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defaultThemeVersion="124226"/>
  <bookViews>
    <workbookView xWindow="-15" yWindow="-15" windowWidth="25215" windowHeight="6180"/>
  </bookViews>
  <sheets>
    <sheet name="Additions " sheetId="14" r:id="rId1"/>
    <sheet name="WO Additions" sheetId="1" r:id="rId2"/>
    <sheet name="Additions Sorted by WO" sheetId="22" r:id="rId3"/>
    <sheet name="Descriptions Sorted by WO " sheetId="23" r:id="rId4"/>
    <sheet name="Updated WO Additions - statute" sheetId="26" r:id="rId5"/>
    <sheet name="WO Retirements" sheetId="4" r:id="rId6"/>
    <sheet name="WO Descriptions" sheetId="17" r:id="rId7"/>
    <sheet name="BWO Estimate" sheetId="20" state="hidden" r:id="rId8"/>
    <sheet name="Open WO Estimate" sheetId="21" state="hidden" r:id="rId9"/>
    <sheet name="Depr-DIT GR-2015-0025" sheetId="6" state="hidden" r:id="rId10"/>
    <sheet name="Depr-DIT Current" sheetId="13" r:id="rId11"/>
    <sheet name="MGE - Deferred Taxes" sheetId="12" r:id="rId12"/>
    <sheet name="Customers" sheetId="7" r:id="rId13"/>
    <sheet name="Rate of Return" sheetId="8" r:id="rId14"/>
    <sheet name="Property Taxes" sheetId="15" r:id="rId15"/>
    <sheet name="Rev Req 9.75%" sheetId="9" r:id="rId16"/>
    <sheet name="summary" sheetId="10" r:id="rId17"/>
    <sheet name="9.75% Wtd Total" sheetId="11" r:id="rId18"/>
    <sheet name="Staff property tax WP" sheetId="16" r:id="rId19"/>
    <sheet name="ISRS Property Taxes" sheetId="24" r:id="rId20"/>
    <sheet name="MGE 2014 property taxes" sheetId="25" r:id="rId21"/>
  </sheets>
  <externalReferences>
    <externalReference r:id="rId22"/>
    <externalReference r:id="rId23"/>
    <externalReference r:id="rId24"/>
    <externalReference r:id="rId25"/>
  </externalReferences>
  <definedNames>
    <definedName name="_xlnm._FilterDatabase" localSheetId="0" hidden="1">'Additions '!$A$4:$O$595</definedName>
    <definedName name="_xlnm._FilterDatabase" localSheetId="2" hidden="1">'Additions Sorted by WO'!$A$4:$O$976</definedName>
    <definedName name="_xlnm._FilterDatabase" localSheetId="10" hidden="1">'Depr-DIT Current'!$A$4:$S$924</definedName>
    <definedName name="_xlnm._FilterDatabase" localSheetId="9" hidden="1">'Depr-DIT GR-2015-0025'!$A$4:$R$843</definedName>
    <definedName name="_xlnm._FilterDatabase" localSheetId="3" hidden="1">'Descriptions Sorted by WO '!$B$4:$P$976</definedName>
    <definedName name="_xlnm._FilterDatabase" localSheetId="4" hidden="1">'Updated WO Additions - statute'!$A$4:$O$1301</definedName>
    <definedName name="_xlnm._FilterDatabase" localSheetId="1" hidden="1">'WO Additions'!$A$4:$O$927</definedName>
    <definedName name="_xlnm._FilterDatabase" localSheetId="6" hidden="1">'WO Descriptions'!$A$4:$G$345</definedName>
    <definedName name="_xlnm._FilterDatabase" localSheetId="5" hidden="1">'WO Retirements'!$A$4:$M$65</definedName>
    <definedName name="DeprRateTable" localSheetId="17">'[1]Depreciation Rates'!$A$1:$C$5</definedName>
    <definedName name="DeprRateTable" localSheetId="12">'[1]Depreciation Rates'!$A$1:$C$5</definedName>
    <definedName name="DeprRateTable" localSheetId="11">'[1]Depreciation Rates'!$A$1:$C$5</definedName>
    <definedName name="DeprRateTable" localSheetId="14">'[1]Depreciation Rates'!$A$1:$C$5</definedName>
    <definedName name="DeprRateTable" localSheetId="13">'[1]Depreciation Rates'!$A$1:$C$5</definedName>
    <definedName name="DeprRateTable" localSheetId="15">'[1]Depreciation Rates'!$A$1:$C$5</definedName>
    <definedName name="DeprRateTable">'[2]Depreciation Rates'!$A$1:$C$4</definedName>
    <definedName name="_xlnm.Print_Area" localSheetId="17">'9.75% Wtd Total'!$A$1:$H$26</definedName>
    <definedName name="_xlnm.Print_Area" localSheetId="2">'Additions Sorted by WO'!$A$5:$N$977</definedName>
    <definedName name="_xlnm.Print_Area" localSheetId="12">Customers!$A$1:$D$13</definedName>
    <definedName name="_xlnm.Print_Area" localSheetId="3">'Descriptions Sorted by WO '!$C$5:$S$995</definedName>
    <definedName name="_xlnm.Print_Area" localSheetId="19">'ISRS Property Taxes'!$A$1:$F$22</definedName>
    <definedName name="_xlnm.Print_Area" localSheetId="11">'MGE - Deferred Taxes'!$A$1:$D$17</definedName>
    <definedName name="_xlnm.Print_Area" localSheetId="20">'MGE 2014 property taxes'!$A$1:$N$65</definedName>
    <definedName name="_xlnm.Print_Area" localSheetId="14">'Property Taxes'!$A$1:$C$18</definedName>
    <definedName name="_xlnm.Print_Area" localSheetId="13">'Rate of Return'!$A$1:$K$28</definedName>
    <definedName name="_xlnm.Print_Area" localSheetId="15">'Rev Req 9.75%'!$A$1:$E$26</definedName>
    <definedName name="_xlnm.Print_Area" localSheetId="18">'Staff property tax WP'!$A$1:$H$54</definedName>
    <definedName name="_xlnm.Print_Area" localSheetId="16">summary!$A$1:$E$22</definedName>
    <definedName name="_xlnm.Print_Area" localSheetId="4">'Updated WO Additions - statute'!$A$5:$R$1323</definedName>
    <definedName name="_xlnm.Print_Area" localSheetId="1">'WO Additions'!$A$5:$R$950</definedName>
    <definedName name="_xlnm.Print_Area" localSheetId="5">'WO Retirements'!$A$5:$M$157</definedName>
    <definedName name="_xlnm.Print_Titles" localSheetId="2">'Additions Sorted by WO'!$1:$4</definedName>
    <definedName name="_xlnm.Print_Titles" localSheetId="3">'Descriptions Sorted by WO '!$1:$4</definedName>
    <definedName name="_xlnm.Print_Titles" localSheetId="20">'MGE 2014 property taxes'!$1:$3</definedName>
    <definedName name="_xlnm.Print_Titles" localSheetId="4">'Updated WO Additions - statute'!$1:$4</definedName>
    <definedName name="_xlnm.Print_Titles" localSheetId="1">'WO Additions'!$1:$4</definedName>
    <definedName name="_xlnm.Print_Titles" localSheetId="5">'WO Retirements'!$1:$4</definedName>
  </definedNames>
  <calcPr calcId="125725"/>
  <pivotCaches>
    <pivotCache cacheId="0" r:id="rId26"/>
  </pivotCaches>
</workbook>
</file>

<file path=xl/calcChain.xml><?xml version="1.0" encoding="utf-8"?>
<calcChain xmlns="http://schemas.openxmlformats.org/spreadsheetml/2006/main">
  <c r="P30" i="26"/>
  <c r="P32"/>
  <c r="P33"/>
  <c r="P1293"/>
  <c r="P1295"/>
  <c r="P1296"/>
  <c r="P1298"/>
  <c r="P35"/>
  <c r="P36"/>
  <c r="P37"/>
  <c r="P38"/>
  <c r="P39"/>
  <c r="P40"/>
  <c r="P42"/>
  <c r="P44"/>
  <c r="P45"/>
  <c r="P46"/>
  <c r="P47"/>
  <c r="P48"/>
  <c r="P49"/>
  <c r="P51"/>
  <c r="P53"/>
  <c r="P54"/>
  <c r="P55"/>
  <c r="P56"/>
  <c r="P57"/>
  <c r="P58"/>
  <c r="P60"/>
  <c r="P61"/>
  <c r="P62"/>
  <c r="P63"/>
  <c r="P64"/>
  <c r="P66"/>
  <c r="P68"/>
  <c r="P70"/>
  <c r="P72"/>
  <c r="P73"/>
  <c r="P74"/>
  <c r="P76"/>
  <c r="P78"/>
  <c r="P80"/>
  <c r="P82"/>
  <c r="P84"/>
  <c r="P86"/>
  <c r="P88"/>
  <c r="P90"/>
  <c r="P92"/>
  <c r="P94"/>
  <c r="P96"/>
  <c r="P97"/>
  <c r="P98"/>
  <c r="P99"/>
  <c r="P101"/>
  <c r="P102"/>
  <c r="P103"/>
  <c r="P104"/>
  <c r="P106"/>
  <c r="P108"/>
  <c r="P110"/>
  <c r="P112"/>
  <c r="P114"/>
  <c r="P116"/>
  <c r="P117"/>
  <c r="P119"/>
  <c r="P121"/>
  <c r="P123"/>
  <c r="P125"/>
  <c r="P127"/>
  <c r="P129"/>
  <c r="P130"/>
  <c r="P131"/>
  <c r="P133"/>
  <c r="P134"/>
  <c r="P135"/>
  <c r="P136"/>
  <c r="P137"/>
  <c r="P139"/>
  <c r="P141"/>
  <c r="P142"/>
  <c r="P143"/>
  <c r="P144"/>
  <c r="P145"/>
  <c r="P147"/>
  <c r="P148"/>
  <c r="P149"/>
  <c r="P150"/>
  <c r="P151"/>
  <c r="P153"/>
  <c r="P154"/>
  <c r="P155"/>
  <c r="P156"/>
  <c r="P157"/>
  <c r="P159"/>
  <c r="P160"/>
  <c r="P161"/>
  <c r="P162"/>
  <c r="P163"/>
  <c r="P164"/>
  <c r="P166"/>
  <c r="P168"/>
  <c r="P170"/>
  <c r="P172"/>
  <c r="P173"/>
  <c r="P174"/>
  <c r="P175"/>
  <c r="P176"/>
  <c r="P177"/>
  <c r="P179"/>
  <c r="P180"/>
  <c r="P181"/>
  <c r="P182"/>
  <c r="P183"/>
  <c r="P185"/>
  <c r="P186"/>
  <c r="P187"/>
  <c r="P188"/>
  <c r="P189"/>
  <c r="P191"/>
  <c r="P192"/>
  <c r="P193"/>
  <c r="P194"/>
  <c r="P195"/>
  <c r="P196"/>
  <c r="P198"/>
  <c r="P199"/>
  <c r="P200"/>
  <c r="P201"/>
  <c r="P202"/>
  <c r="P203"/>
  <c r="P205"/>
  <c r="P207"/>
  <c r="P209"/>
  <c r="P211"/>
  <c r="P213"/>
  <c r="P215"/>
  <c r="P217"/>
  <c r="P219"/>
  <c r="P220"/>
  <c r="P222"/>
  <c r="P223"/>
  <c r="P225"/>
  <c r="P227"/>
  <c r="P229"/>
  <c r="P231"/>
  <c r="P233"/>
  <c r="P235"/>
  <c r="P237"/>
  <c r="P238"/>
  <c r="P239"/>
  <c r="P241"/>
  <c r="P242"/>
  <c r="P244"/>
  <c r="P245"/>
  <c r="P246"/>
  <c r="P248"/>
  <c r="P250"/>
  <c r="P252"/>
  <c r="P254"/>
  <c r="P256"/>
  <c r="P258"/>
  <c r="P260"/>
  <c r="P262"/>
  <c r="P263"/>
  <c r="P264"/>
  <c r="P266"/>
  <c r="P267"/>
  <c r="P269"/>
  <c r="P270"/>
  <c r="P272"/>
  <c r="P273"/>
  <c r="P274"/>
  <c r="P275"/>
  <c r="P277"/>
  <c r="P279"/>
  <c r="P281"/>
  <c r="P283"/>
  <c r="P285"/>
  <c r="P287"/>
  <c r="P289"/>
  <c r="P291"/>
  <c r="P293"/>
  <c r="P295"/>
  <c r="P297"/>
  <c r="P299"/>
  <c r="P300"/>
  <c r="P301"/>
  <c r="P302"/>
  <c r="P303"/>
  <c r="P304"/>
  <c r="P306"/>
  <c r="P308"/>
  <c r="P310"/>
  <c r="P311"/>
  <c r="P312"/>
  <c r="P314"/>
  <c r="P315"/>
  <c r="P316"/>
  <c r="P317"/>
  <c r="P318"/>
  <c r="P319"/>
  <c r="P321"/>
  <c r="P323"/>
  <c r="P324"/>
  <c r="P325"/>
  <c r="P326"/>
  <c r="P327"/>
  <c r="P329"/>
  <c r="P330"/>
  <c r="P331"/>
  <c r="P332"/>
  <c r="P333"/>
  <c r="P334"/>
  <c r="P336"/>
  <c r="P337"/>
  <c r="P338"/>
  <c r="P339"/>
  <c r="P340"/>
  <c r="P341"/>
  <c r="P343"/>
  <c r="P344"/>
  <c r="P345"/>
  <c r="P346"/>
  <c r="P347"/>
  <c r="P348"/>
  <c r="P350"/>
  <c r="P351"/>
  <c r="P352"/>
  <c r="P353"/>
  <c r="P354"/>
  <c r="P355"/>
  <c r="P357"/>
  <c r="P358"/>
  <c r="P359"/>
  <c r="P360"/>
  <c r="P361"/>
  <c r="P362"/>
  <c r="P364"/>
  <c r="P365"/>
  <c r="P366"/>
  <c r="P367"/>
  <c r="P368"/>
  <c r="P369"/>
  <c r="P371"/>
  <c r="P373"/>
  <c r="P375"/>
  <c r="P377"/>
  <c r="P379"/>
  <c r="P381"/>
  <c r="P383"/>
  <c r="P385"/>
  <c r="P387"/>
  <c r="P388"/>
  <c r="P389"/>
  <c r="P390"/>
  <c r="P391"/>
  <c r="P392"/>
  <c r="P394"/>
  <c r="P396"/>
  <c r="P398"/>
  <c r="P400"/>
  <c r="P402"/>
  <c r="P404"/>
  <c r="P406"/>
  <c r="P407"/>
  <c r="P408"/>
  <c r="P409"/>
  <c r="P411"/>
  <c r="P413"/>
  <c r="P415"/>
  <c r="P417"/>
  <c r="P418"/>
  <c r="P419"/>
  <c r="P420"/>
  <c r="P421"/>
  <c r="P422"/>
  <c r="P424"/>
  <c r="P426"/>
  <c r="P428"/>
  <c r="P430"/>
  <c r="P432"/>
  <c r="P434"/>
  <c r="P435"/>
  <c r="P437"/>
  <c r="P439"/>
  <c r="P440"/>
  <c r="P441"/>
  <c r="P442"/>
  <c r="P443"/>
  <c r="P444"/>
  <c r="P446"/>
  <c r="P448"/>
  <c r="P450"/>
  <c r="P451"/>
  <c r="P452"/>
  <c r="P453"/>
  <c r="P454"/>
  <c r="P456"/>
  <c r="P457"/>
  <c r="P458"/>
  <c r="P459"/>
  <c r="P460"/>
  <c r="P462"/>
  <c r="P464"/>
  <c r="P465"/>
  <c r="P466"/>
  <c r="P467"/>
  <c r="P468"/>
  <c r="P469"/>
  <c r="P471"/>
  <c r="P472"/>
  <c r="P473"/>
  <c r="P474"/>
  <c r="P475"/>
  <c r="P476"/>
  <c r="P478"/>
  <c r="P480"/>
  <c r="P482"/>
  <c r="P484"/>
  <c r="P485"/>
  <c r="P487"/>
  <c r="P489"/>
  <c r="P491"/>
  <c r="P493"/>
  <c r="P495"/>
  <c r="P497"/>
  <c r="P499"/>
  <c r="P501"/>
  <c r="P503"/>
  <c r="P505"/>
  <c r="P506"/>
  <c r="P507"/>
  <c r="P508"/>
  <c r="P510"/>
  <c r="P512"/>
  <c r="P513"/>
  <c r="P515"/>
  <c r="P516"/>
  <c r="P517"/>
  <c r="P518"/>
  <c r="P519"/>
  <c r="P520"/>
  <c r="P522"/>
  <c r="P524"/>
  <c r="P526"/>
  <c r="P527"/>
  <c r="P529"/>
  <c r="P530"/>
  <c r="P531"/>
  <c r="P532"/>
  <c r="P533"/>
  <c r="P535"/>
  <c r="P537"/>
  <c r="P538"/>
  <c r="P540"/>
  <c r="P542"/>
  <c r="P543"/>
  <c r="P544"/>
  <c r="P545"/>
  <c r="P547"/>
  <c r="P548"/>
  <c r="P549"/>
  <c r="P551"/>
  <c r="P552"/>
  <c r="P553"/>
  <c r="P554"/>
  <c r="P555"/>
  <c r="P556"/>
  <c r="P557"/>
  <c r="P558"/>
  <c r="P559"/>
  <c r="P561"/>
  <c r="P563"/>
  <c r="P565"/>
  <c r="P567"/>
  <c r="P569"/>
  <c r="P571"/>
  <c r="P572"/>
  <c r="P573"/>
  <c r="P574"/>
  <c r="P575"/>
  <c r="P576"/>
  <c r="P578"/>
  <c r="P579"/>
  <c r="P580"/>
  <c r="P581"/>
  <c r="P582"/>
  <c r="P583"/>
  <c r="P585"/>
  <c r="P587"/>
  <c r="P589"/>
  <c r="P591"/>
  <c r="P592"/>
  <c r="P593"/>
  <c r="P594"/>
  <c r="P596"/>
  <c r="P598"/>
  <c r="P600"/>
  <c r="P602"/>
  <c r="P604"/>
  <c r="P605"/>
  <c r="P606"/>
  <c r="P608"/>
  <c r="P610"/>
  <c r="P612"/>
  <c r="P614"/>
  <c r="P615"/>
  <c r="P617"/>
  <c r="P618"/>
  <c r="P619"/>
  <c r="P621"/>
  <c r="P623"/>
  <c r="P625"/>
  <c r="P626"/>
  <c r="P627"/>
  <c r="P628"/>
  <c r="P630"/>
  <c r="P632"/>
  <c r="P634"/>
  <c r="P636"/>
  <c r="P638"/>
  <c r="P640"/>
  <c r="P642"/>
  <c r="P644"/>
  <c r="P645"/>
  <c r="P646"/>
  <c r="P647"/>
  <c r="P648"/>
  <c r="P650"/>
  <c r="P651"/>
  <c r="P652"/>
  <c r="P653"/>
  <c r="P654"/>
  <c r="P655"/>
  <c r="P657"/>
  <c r="P658"/>
  <c r="P659"/>
  <c r="P660"/>
  <c r="P661"/>
  <c r="P662"/>
  <c r="P664"/>
  <c r="P666"/>
  <c r="P668"/>
  <c r="P670"/>
  <c r="P672"/>
  <c r="P674"/>
  <c r="P676"/>
  <c r="P678"/>
  <c r="P680"/>
  <c r="P681"/>
  <c r="P682"/>
  <c r="P683"/>
  <c r="P684"/>
  <c r="P686"/>
  <c r="P688"/>
  <c r="P690"/>
  <c r="P692"/>
  <c r="P694"/>
  <c r="P695"/>
  <c r="P697"/>
  <c r="P698"/>
  <c r="P700"/>
  <c r="P702"/>
  <c r="P704"/>
  <c r="P705"/>
  <c r="P707"/>
  <c r="P708"/>
  <c r="P709"/>
  <c r="P711"/>
  <c r="P713"/>
  <c r="P715"/>
  <c r="P716"/>
  <c r="P717"/>
  <c r="P718"/>
  <c r="P719"/>
  <c r="P721"/>
  <c r="P722"/>
  <c r="P723"/>
  <c r="P724"/>
  <c r="P725"/>
  <c r="P726"/>
  <c r="P728"/>
  <c r="P729"/>
  <c r="P730"/>
  <c r="P731"/>
  <c r="P732"/>
  <c r="P733"/>
  <c r="P735"/>
  <c r="P736"/>
  <c r="P737"/>
  <c r="P738"/>
  <c r="P740"/>
  <c r="P741"/>
  <c r="P742"/>
  <c r="P743"/>
  <c r="P744"/>
  <c r="P746"/>
  <c r="P747"/>
  <c r="P748"/>
  <c r="P749"/>
  <c r="P750"/>
  <c r="P751"/>
  <c r="P753"/>
  <c r="P755"/>
  <c r="P756"/>
  <c r="P757"/>
  <c r="P758"/>
  <c r="P759"/>
  <c r="P760"/>
  <c r="P762"/>
  <c r="P764"/>
  <c r="P766"/>
  <c r="P768"/>
  <c r="P770"/>
  <c r="P772"/>
  <c r="P774"/>
  <c r="P776"/>
  <c r="P778"/>
  <c r="P780"/>
  <c r="P781"/>
  <c r="P782"/>
  <c r="P784"/>
  <c r="P786"/>
  <c r="P788"/>
  <c r="P789"/>
  <c r="P790"/>
  <c r="P792"/>
  <c r="P794"/>
  <c r="P796"/>
  <c r="P798"/>
  <c r="P800"/>
  <c r="P802"/>
  <c r="P803"/>
  <c r="P805"/>
  <c r="P806"/>
  <c r="P807"/>
  <c r="P808"/>
  <c r="P810"/>
  <c r="P811"/>
  <c r="P813"/>
  <c r="P814"/>
  <c r="P816"/>
  <c r="P817"/>
  <c r="P818"/>
  <c r="P819"/>
  <c r="P820"/>
  <c r="P821"/>
  <c r="P823"/>
  <c r="P825"/>
  <c r="P826"/>
  <c r="P828"/>
  <c r="P829"/>
  <c r="P830"/>
  <c r="P831"/>
  <c r="P833"/>
  <c r="P835"/>
  <c r="P836"/>
  <c r="P838"/>
  <c r="P840"/>
  <c r="P841"/>
  <c r="P842"/>
  <c r="P843"/>
  <c r="P844"/>
  <c r="P845"/>
  <c r="P847"/>
  <c r="P848"/>
  <c r="P849"/>
  <c r="P850"/>
  <c r="P851"/>
  <c r="P852"/>
  <c r="P854"/>
  <c r="P856"/>
  <c r="P857"/>
  <c r="P859"/>
  <c r="P860"/>
  <c r="P861"/>
  <c r="P862"/>
  <c r="P863"/>
  <c r="P865"/>
  <c r="P866"/>
  <c r="P868"/>
  <c r="P869"/>
  <c r="P871"/>
  <c r="P872"/>
  <c r="P873"/>
  <c r="P874"/>
  <c r="P875"/>
  <c r="P876"/>
  <c r="P878"/>
  <c r="P879"/>
  <c r="P881"/>
  <c r="P882"/>
  <c r="P883"/>
  <c r="P885"/>
  <c r="P886"/>
  <c r="P888"/>
  <c r="P889"/>
  <c r="P891"/>
  <c r="P892"/>
  <c r="P894"/>
  <c r="P895"/>
  <c r="P897"/>
  <c r="P898"/>
  <c r="P899"/>
  <c r="P900"/>
  <c r="P901"/>
  <c r="P902"/>
  <c r="P904"/>
  <c r="P905"/>
  <c r="P907"/>
  <c r="P908"/>
  <c r="P909"/>
  <c r="P911"/>
  <c r="P912"/>
  <c r="P913"/>
  <c r="P914"/>
  <c r="P915"/>
  <c r="P916"/>
  <c r="P918"/>
  <c r="P919"/>
  <c r="P920"/>
  <c r="P922"/>
  <c r="P923"/>
  <c r="P924"/>
  <c r="P925"/>
  <c r="P927"/>
  <c r="P928"/>
  <c r="P930"/>
  <c r="P932"/>
  <c r="P933"/>
  <c r="P935"/>
  <c r="P936"/>
  <c r="P937"/>
  <c r="P939"/>
  <c r="P940"/>
  <c r="P942"/>
  <c r="P943"/>
  <c r="P945"/>
  <c r="P946"/>
  <c r="P947"/>
  <c r="P949"/>
  <c r="P950"/>
  <c r="P951"/>
  <c r="P953"/>
  <c r="P954"/>
  <c r="P956"/>
  <c r="P957"/>
  <c r="P958"/>
  <c r="P960"/>
  <c r="P961"/>
  <c r="P962"/>
  <c r="P964"/>
  <c r="P965"/>
  <c r="P967"/>
  <c r="P968"/>
  <c r="P969"/>
  <c r="P970"/>
  <c r="P971"/>
  <c r="P972"/>
  <c r="P974"/>
  <c r="P975"/>
  <c r="P976"/>
  <c r="P978"/>
  <c r="P979"/>
  <c r="P980"/>
  <c r="P982"/>
  <c r="P983"/>
  <c r="P984"/>
  <c r="P985"/>
  <c r="P986"/>
  <c r="P987"/>
  <c r="P989"/>
  <c r="P990"/>
  <c r="P991"/>
  <c r="P993"/>
  <c r="P994"/>
  <c r="P996"/>
  <c r="P997"/>
  <c r="P998"/>
  <c r="P999"/>
  <c r="P1001"/>
  <c r="P1002"/>
  <c r="P1003"/>
  <c r="P1005"/>
  <c r="P1006"/>
  <c r="P1007"/>
  <c r="P1008"/>
  <c r="P1010"/>
  <c r="P1011"/>
  <c r="P1013"/>
  <c r="P1015"/>
  <c r="P1016"/>
  <c r="P1017"/>
  <c r="P1018"/>
  <c r="P1020"/>
  <c r="P1021"/>
  <c r="P1022"/>
  <c r="P1024"/>
  <c r="P1025"/>
  <c r="P1027"/>
  <c r="P1029"/>
  <c r="P1030"/>
  <c r="P1031"/>
  <c r="P1032"/>
  <c r="P1033"/>
  <c r="P1034"/>
  <c r="P1036"/>
  <c r="P1038"/>
  <c r="P1039"/>
  <c r="P1041"/>
  <c r="P1042"/>
  <c r="P1043"/>
  <c r="P1044"/>
  <c r="P1045"/>
  <c r="P1046"/>
  <c r="P1048"/>
  <c r="P1049"/>
  <c r="P1050"/>
  <c r="P1051"/>
  <c r="P1052"/>
  <c r="P1054"/>
  <c r="P1055"/>
  <c r="P1056"/>
  <c r="P1057"/>
  <c r="P1058"/>
  <c r="P1059"/>
  <c r="P1061"/>
  <c r="P1062"/>
  <c r="P1063"/>
  <c r="P1065"/>
  <c r="P1066"/>
  <c r="P1067"/>
  <c r="P1068"/>
  <c r="P1069"/>
  <c r="P1070"/>
  <c r="P1072"/>
  <c r="P1073"/>
  <c r="P1075"/>
  <c r="P1076"/>
  <c r="P1077"/>
  <c r="P1078"/>
  <c r="P1079"/>
  <c r="P1080"/>
  <c r="P1082"/>
  <c r="P1083"/>
  <c r="P1084"/>
  <c r="P1085"/>
  <c r="P1086"/>
  <c r="P1087"/>
  <c r="P1089"/>
  <c r="P1090"/>
  <c r="P1091"/>
  <c r="P1092"/>
  <c r="P1094"/>
  <c r="P1095"/>
  <c r="P1096"/>
  <c r="P1097"/>
  <c r="P1098"/>
  <c r="P1100"/>
  <c r="P1101"/>
  <c r="P1102"/>
  <c r="P1103"/>
  <c r="P1104"/>
  <c r="P1105"/>
  <c r="P1107"/>
  <c r="P1108"/>
  <c r="P1109"/>
  <c r="P1110"/>
  <c r="P1111"/>
  <c r="P1113"/>
  <c r="P1114"/>
  <c r="P1116"/>
  <c r="P1117"/>
  <c r="P1118"/>
  <c r="P1119"/>
  <c r="P1121"/>
  <c r="P1122"/>
  <c r="P1123"/>
  <c r="P1124"/>
  <c r="P1125"/>
  <c r="P1127"/>
  <c r="P1128"/>
  <c r="P1129"/>
  <c r="P1130"/>
  <c r="P1131"/>
  <c r="P1133"/>
  <c r="P1135"/>
  <c r="P1136"/>
  <c r="P1137"/>
  <c r="P1138"/>
  <c r="P1140"/>
  <c r="P1141"/>
  <c r="P1142"/>
  <c r="P1143"/>
  <c r="P1145"/>
  <c r="P1147"/>
  <c r="P1148"/>
  <c r="P1149"/>
  <c r="P1151"/>
  <c r="P1152"/>
  <c r="P1153"/>
  <c r="P1154"/>
  <c r="P1155"/>
  <c r="P1156"/>
  <c r="P1158"/>
  <c r="P1160"/>
  <c r="P1161"/>
  <c r="P1162"/>
  <c r="P1163"/>
  <c r="P1165"/>
  <c r="P1166"/>
  <c r="P1167"/>
  <c r="P1168"/>
  <c r="P1169"/>
  <c r="P1171"/>
  <c r="P1172"/>
  <c r="P1174"/>
  <c r="P1175"/>
  <c r="P1176"/>
  <c r="P1177"/>
  <c r="P1178"/>
  <c r="P1179"/>
  <c r="P1181"/>
  <c r="P1183"/>
  <c r="P1185"/>
  <c r="P1186"/>
  <c r="P1187"/>
  <c r="P1189"/>
  <c r="P1190"/>
  <c r="P1191"/>
  <c r="P1192"/>
  <c r="P1193"/>
  <c r="P1195"/>
  <c r="P1196"/>
  <c r="P1197"/>
  <c r="P1198"/>
  <c r="P1199"/>
  <c r="P1201"/>
  <c r="P1202"/>
  <c r="P1203"/>
  <c r="P1205"/>
  <c r="P1206"/>
  <c r="P1207"/>
  <c r="P1209"/>
  <c r="P1210"/>
  <c r="P1211"/>
  <c r="P1213"/>
  <c r="P1214"/>
  <c r="P1215"/>
  <c r="P1216"/>
  <c r="P1217"/>
  <c r="P1218"/>
  <c r="P1220"/>
  <c r="P1221"/>
  <c r="P1222"/>
  <c r="P1224"/>
  <c r="P1225"/>
  <c r="P1226"/>
  <c r="P1228"/>
  <c r="P1229"/>
  <c r="P1230"/>
  <c r="P1232"/>
  <c r="P1233"/>
  <c r="P1235"/>
  <c r="P1236"/>
  <c r="P1237"/>
  <c r="P1239"/>
  <c r="P1240"/>
  <c r="P1241"/>
  <c r="P1243"/>
  <c r="P1245"/>
  <c r="P1246"/>
  <c r="P1248"/>
  <c r="P1249"/>
  <c r="P1250"/>
  <c r="P1251"/>
  <c r="P1252"/>
  <c r="P1254"/>
  <c r="P1255"/>
  <c r="P1257"/>
  <c r="P1259"/>
  <c r="P1260"/>
  <c r="P1262"/>
  <c r="P1263"/>
  <c r="P1264"/>
  <c r="P1266"/>
  <c r="P1268"/>
  <c r="P1269"/>
  <c r="P1271"/>
  <c r="P1272"/>
  <c r="P1273"/>
  <c r="P1275"/>
  <c r="P1277"/>
  <c r="P1279"/>
  <c r="P1280"/>
  <c r="P1282"/>
  <c r="P1283"/>
  <c r="P1285"/>
  <c r="P1286"/>
  <c r="P1288"/>
  <c r="P1289"/>
  <c r="P1291"/>
  <c r="P7"/>
  <c r="P9"/>
  <c r="P11"/>
  <c r="P13"/>
  <c r="P15"/>
  <c r="P17"/>
  <c r="P19"/>
  <c r="P20"/>
  <c r="P22"/>
  <c r="P23"/>
  <c r="P24"/>
  <c r="P25"/>
  <c r="P27"/>
  <c r="P28"/>
  <c r="P5"/>
  <c r="R1194"/>
  <c r="Q8"/>
  <c r="R8"/>
  <c r="Q10"/>
  <c r="R10"/>
  <c r="Q12"/>
  <c r="R12"/>
  <c r="Q14"/>
  <c r="Q16"/>
  <c r="R16"/>
  <c r="Q18"/>
  <c r="R18"/>
  <c r="Q21"/>
  <c r="Q26"/>
  <c r="R26"/>
  <c r="Q29"/>
  <c r="R29"/>
  <c r="Q31"/>
  <c r="R31"/>
  <c r="Q34"/>
  <c r="R34"/>
  <c r="Q41"/>
  <c r="R41"/>
  <c r="Q43"/>
  <c r="R43"/>
  <c r="Q50"/>
  <c r="R50"/>
  <c r="Q52"/>
  <c r="R52"/>
  <c r="Q59"/>
  <c r="R59"/>
  <c r="Q65"/>
  <c r="R65"/>
  <c r="Q67"/>
  <c r="R67"/>
  <c r="Q69"/>
  <c r="R69"/>
  <c r="Q71"/>
  <c r="Q75"/>
  <c r="R75"/>
  <c r="Q77"/>
  <c r="R77"/>
  <c r="Q79"/>
  <c r="R79"/>
  <c r="Q81"/>
  <c r="R81"/>
  <c r="Q83"/>
  <c r="R83"/>
  <c r="Q85"/>
  <c r="R85"/>
  <c r="Q87"/>
  <c r="R87"/>
  <c r="Q89"/>
  <c r="R89"/>
  <c r="Q91"/>
  <c r="Q93"/>
  <c r="R93"/>
  <c r="Q95"/>
  <c r="R95"/>
  <c r="Q100"/>
  <c r="R100"/>
  <c r="Q105"/>
  <c r="Q107"/>
  <c r="Q109"/>
  <c r="R109"/>
  <c r="Q111"/>
  <c r="R111"/>
  <c r="Q113"/>
  <c r="R113"/>
  <c r="Q115"/>
  <c r="R115"/>
  <c r="Q118"/>
  <c r="R118"/>
  <c r="Q120"/>
  <c r="R120"/>
  <c r="Q122"/>
  <c r="R122"/>
  <c r="Q124"/>
  <c r="Q126"/>
  <c r="Q128"/>
  <c r="R128"/>
  <c r="Q132"/>
  <c r="R132"/>
  <c r="Q138"/>
  <c r="R138"/>
  <c r="Q146"/>
  <c r="R146"/>
  <c r="Q152"/>
  <c r="R152"/>
  <c r="Q158"/>
  <c r="R158"/>
  <c r="Q165"/>
  <c r="R165"/>
  <c r="Q167"/>
  <c r="R167"/>
  <c r="Q169"/>
  <c r="R169"/>
  <c r="Q171"/>
  <c r="R171"/>
  <c r="Q178"/>
  <c r="R178"/>
  <c r="Q184"/>
  <c r="R184"/>
  <c r="Q190"/>
  <c r="R190"/>
  <c r="Q197"/>
  <c r="R197"/>
  <c r="Q204"/>
  <c r="R204"/>
  <c r="Q208"/>
  <c r="R208"/>
  <c r="Q210"/>
  <c r="Q212"/>
  <c r="R212"/>
  <c r="Q214"/>
  <c r="R214"/>
  <c r="Q218"/>
  <c r="R218"/>
  <c r="Q224"/>
  <c r="R224"/>
  <c r="Q226"/>
  <c r="R226"/>
  <c r="Q228"/>
  <c r="R228"/>
  <c r="Q230"/>
  <c r="R230"/>
  <c r="Q232"/>
  <c r="R232"/>
  <c r="Q234"/>
  <c r="Q236"/>
  <c r="R236"/>
  <c r="Q240"/>
  <c r="R240"/>
  <c r="Q243"/>
  <c r="Q247"/>
  <c r="Q249"/>
  <c r="Q251"/>
  <c r="R251"/>
  <c r="Q253"/>
  <c r="R253"/>
  <c r="Q255"/>
  <c r="R255"/>
  <c r="Q257"/>
  <c r="R257"/>
  <c r="Q259"/>
  <c r="R259"/>
  <c r="Q261"/>
  <c r="R261"/>
  <c r="Q265"/>
  <c r="R265"/>
  <c r="Q268"/>
  <c r="Q271"/>
  <c r="R271"/>
  <c r="Q276"/>
  <c r="R276"/>
  <c r="Q278"/>
  <c r="R278"/>
  <c r="Q280"/>
  <c r="R280"/>
  <c r="Q282"/>
  <c r="R282"/>
  <c r="Q284"/>
  <c r="R284"/>
  <c r="Q286"/>
  <c r="R286"/>
  <c r="Q288"/>
  <c r="R288"/>
  <c r="Q290"/>
  <c r="R290"/>
  <c r="Q292"/>
  <c r="R292"/>
  <c r="Q294"/>
  <c r="R294"/>
  <c r="Q296"/>
  <c r="R296"/>
  <c r="Q298"/>
  <c r="Q305"/>
  <c r="R305"/>
  <c r="Q307"/>
  <c r="R307"/>
  <c r="Q309"/>
  <c r="R309"/>
  <c r="Q313"/>
  <c r="R313"/>
  <c r="Q320"/>
  <c r="Q322"/>
  <c r="R322"/>
  <c r="Q328"/>
  <c r="Q335"/>
  <c r="R335"/>
  <c r="Q342"/>
  <c r="R342"/>
  <c r="Q349"/>
  <c r="R349"/>
  <c r="Q356"/>
  <c r="R356"/>
  <c r="Q363"/>
  <c r="R363"/>
  <c r="Q370"/>
  <c r="Q372"/>
  <c r="R372"/>
  <c r="Q374"/>
  <c r="Q376"/>
  <c r="R376"/>
  <c r="Q378"/>
  <c r="R378"/>
  <c r="Q380"/>
  <c r="Q382"/>
  <c r="R382"/>
  <c r="Q384"/>
  <c r="Q386"/>
  <c r="R386"/>
  <c r="Q393"/>
  <c r="R393"/>
  <c r="Q395"/>
  <c r="R395"/>
  <c r="Q397"/>
  <c r="Q399"/>
  <c r="R399"/>
  <c r="Q401"/>
  <c r="R401"/>
  <c r="Q403"/>
  <c r="R403"/>
  <c r="Q405"/>
  <c r="R405"/>
  <c r="Q410"/>
  <c r="R410"/>
  <c r="Q412"/>
  <c r="R412"/>
  <c r="Q414"/>
  <c r="R414"/>
  <c r="Q416"/>
  <c r="R416"/>
  <c r="Q423"/>
  <c r="R423"/>
  <c r="Q425"/>
  <c r="R425"/>
  <c r="Q427"/>
  <c r="R427"/>
  <c r="Q429"/>
  <c r="R429"/>
  <c r="Q431"/>
  <c r="Q433"/>
  <c r="R433"/>
  <c r="Q436"/>
  <c r="Q438"/>
  <c r="R438"/>
  <c r="Q445"/>
  <c r="R445"/>
  <c r="Q447"/>
  <c r="R447"/>
  <c r="Q449"/>
  <c r="R449"/>
  <c r="Q455"/>
  <c r="R455"/>
  <c r="Q461"/>
  <c r="R461"/>
  <c r="Q463"/>
  <c r="R463"/>
  <c r="Q470"/>
  <c r="R470"/>
  <c r="Q477"/>
  <c r="R477"/>
  <c r="Q479"/>
  <c r="Q481"/>
  <c r="Q483"/>
  <c r="R483"/>
  <c r="Q486"/>
  <c r="R486"/>
  <c r="Q488"/>
  <c r="R488"/>
  <c r="Q490"/>
  <c r="R490"/>
  <c r="Q492"/>
  <c r="R492"/>
  <c r="Q494"/>
  <c r="R494"/>
  <c r="Q496"/>
  <c r="Q498"/>
  <c r="R498"/>
  <c r="Q500"/>
  <c r="R500"/>
  <c r="Q502"/>
  <c r="Q504"/>
  <c r="R504"/>
  <c r="Q509"/>
  <c r="R509"/>
  <c r="Q511"/>
  <c r="R511"/>
  <c r="Q514"/>
  <c r="Q521"/>
  <c r="R521"/>
  <c r="Q523"/>
  <c r="R523"/>
  <c r="Q525"/>
  <c r="R525"/>
  <c r="Q528"/>
  <c r="R528"/>
  <c r="Q534"/>
  <c r="Q536"/>
  <c r="Q539"/>
  <c r="R539"/>
  <c r="Q541"/>
  <c r="R541"/>
  <c r="Q546"/>
  <c r="R546"/>
  <c r="Q550"/>
  <c r="Q560"/>
  <c r="Q562"/>
  <c r="R562"/>
  <c r="Q564"/>
  <c r="R564"/>
  <c r="Q566"/>
  <c r="R566"/>
  <c r="Q568"/>
  <c r="R568"/>
  <c r="Q570"/>
  <c r="R570"/>
  <c r="Q577"/>
  <c r="R577"/>
  <c r="Q584"/>
  <c r="R584"/>
  <c r="Q586"/>
  <c r="R586"/>
  <c r="Q588"/>
  <c r="R588"/>
  <c r="Q590"/>
  <c r="R590"/>
  <c r="Q595"/>
  <c r="R595"/>
  <c r="Q597"/>
  <c r="Q599"/>
  <c r="R599"/>
  <c r="Q601"/>
  <c r="R601"/>
  <c r="Q603"/>
  <c r="R603"/>
  <c r="Q607"/>
  <c r="Q609"/>
  <c r="R609"/>
  <c r="Q613"/>
  <c r="R613"/>
  <c r="Q616"/>
  <c r="Q620"/>
  <c r="Q622"/>
  <c r="Q624"/>
  <c r="R624"/>
  <c r="Q629"/>
  <c r="R629"/>
  <c r="Q631"/>
  <c r="Q633"/>
  <c r="Q635"/>
  <c r="R635"/>
  <c r="Q637"/>
  <c r="R637"/>
  <c r="Q639"/>
  <c r="Q641"/>
  <c r="R641"/>
  <c r="Q643"/>
  <c r="R643"/>
  <c r="Q649"/>
  <c r="R649"/>
  <c r="Q656"/>
  <c r="R656"/>
  <c r="Q663"/>
  <c r="R663"/>
  <c r="Q665"/>
  <c r="R665"/>
  <c r="Q667"/>
  <c r="R667"/>
  <c r="Q669"/>
  <c r="Q671"/>
  <c r="R671"/>
  <c r="Q673"/>
  <c r="R673"/>
  <c r="Q675"/>
  <c r="R675"/>
  <c r="Q677"/>
  <c r="R677"/>
  <c r="Q679"/>
  <c r="R679"/>
  <c r="Q685"/>
  <c r="R685"/>
  <c r="Q687"/>
  <c r="R687"/>
  <c r="Q689"/>
  <c r="R689"/>
  <c r="Q691"/>
  <c r="R691"/>
  <c r="Q693"/>
  <c r="Q696"/>
  <c r="R696"/>
  <c r="Q699"/>
  <c r="Q701"/>
  <c r="R701"/>
  <c r="Q703"/>
  <c r="R703"/>
  <c r="Q706"/>
  <c r="Q710"/>
  <c r="R710"/>
  <c r="Q712"/>
  <c r="R712"/>
  <c r="Q714"/>
  <c r="R714"/>
  <c r="Q720"/>
  <c r="R720"/>
  <c r="Q727"/>
  <c r="R727"/>
  <c r="Q734"/>
  <c r="R734"/>
  <c r="Q739"/>
  <c r="R739"/>
  <c r="Q745"/>
  <c r="R745"/>
  <c r="Q752"/>
  <c r="R752"/>
  <c r="Q754"/>
  <c r="R754"/>
  <c r="Q761"/>
  <c r="R761"/>
  <c r="Q763"/>
  <c r="R763"/>
  <c r="Q765"/>
  <c r="R765"/>
  <c r="Q767"/>
  <c r="Q769"/>
  <c r="R769"/>
  <c r="Q771"/>
  <c r="R771"/>
  <c r="Q773"/>
  <c r="R773"/>
  <c r="Q775"/>
  <c r="R775"/>
  <c r="Q777"/>
  <c r="R777"/>
  <c r="Q779"/>
  <c r="R779"/>
  <c r="Q783"/>
  <c r="Q785"/>
  <c r="R785"/>
  <c r="Q787"/>
  <c r="R787"/>
  <c r="Q791"/>
  <c r="Q793"/>
  <c r="R793"/>
  <c r="Q795"/>
  <c r="R795"/>
  <c r="Q797"/>
  <c r="R797"/>
  <c r="Q799"/>
  <c r="R799"/>
  <c r="Q801"/>
  <c r="R801"/>
  <c r="Q804"/>
  <c r="Q809"/>
  <c r="R809"/>
  <c r="Q815"/>
  <c r="R815"/>
  <c r="Q822"/>
  <c r="Q824"/>
  <c r="Q827"/>
  <c r="R827"/>
  <c r="Q832"/>
  <c r="R832"/>
  <c r="Q834"/>
  <c r="Q837"/>
  <c r="R837"/>
  <c r="Q839"/>
  <c r="R839"/>
  <c r="Q846"/>
  <c r="R846"/>
  <c r="Q853"/>
  <c r="R853"/>
  <c r="Q858"/>
  <c r="R858"/>
  <c r="Q864"/>
  <c r="R864"/>
  <c r="Q870"/>
  <c r="R870"/>
  <c r="Q877"/>
  <c r="R877"/>
  <c r="Q880"/>
  <c r="R880"/>
  <c r="Q884"/>
  <c r="R884"/>
  <c r="Q887"/>
  <c r="R887"/>
  <c r="Q890"/>
  <c r="R890"/>
  <c r="Q893"/>
  <c r="R893"/>
  <c r="Q896"/>
  <c r="R896"/>
  <c r="Q903"/>
  <c r="R903"/>
  <c r="Q910"/>
  <c r="R910"/>
  <c r="Q917"/>
  <c r="Q921"/>
  <c r="Q926"/>
  <c r="R926"/>
  <c r="Q934"/>
  <c r="R934"/>
  <c r="Q938"/>
  <c r="R938"/>
  <c r="Q941"/>
  <c r="R941"/>
  <c r="Q944"/>
  <c r="R944"/>
  <c r="Q948"/>
  <c r="R948"/>
  <c r="Q952"/>
  <c r="R952"/>
  <c r="Q959"/>
  <c r="R959"/>
  <c r="Q963"/>
  <c r="R963"/>
  <c r="Q964"/>
  <c r="R964"/>
  <c r="Q966"/>
  <c r="R966"/>
  <c r="Q973"/>
  <c r="R973"/>
  <c r="Q977"/>
  <c r="R977"/>
  <c r="Q981"/>
  <c r="Q988"/>
  <c r="R988"/>
  <c r="Q992"/>
  <c r="R992"/>
  <c r="Q1000"/>
  <c r="Q1004"/>
  <c r="Q1009"/>
  <c r="Q1012"/>
  <c r="R1012"/>
  <c r="Q1019"/>
  <c r="Q1023"/>
  <c r="Q1026"/>
  <c r="Q1028"/>
  <c r="Q1035"/>
  <c r="R1035"/>
  <c r="Q1037"/>
  <c r="Q1047"/>
  <c r="Q1053"/>
  <c r="R1053"/>
  <c r="Q1060"/>
  <c r="R1060"/>
  <c r="Q1064"/>
  <c r="Q1071"/>
  <c r="Q1074"/>
  <c r="Q1081"/>
  <c r="Q1088"/>
  <c r="Q1093"/>
  <c r="Q1099"/>
  <c r="Q1106"/>
  <c r="R1106"/>
  <c r="Q1112"/>
  <c r="R1112"/>
  <c r="Q1115"/>
  <c r="R1115"/>
  <c r="Q1120"/>
  <c r="R1120"/>
  <c r="Q1126"/>
  <c r="R1126"/>
  <c r="Q1132"/>
  <c r="R1132"/>
  <c r="Q1139"/>
  <c r="Q1144"/>
  <c r="R1144"/>
  <c r="Q1150"/>
  <c r="R1150"/>
  <c r="Q1157"/>
  <c r="R1157"/>
  <c r="Q1164"/>
  <c r="R1164"/>
  <c r="Q1170"/>
  <c r="R1170"/>
  <c r="Q1180"/>
  <c r="R1180"/>
  <c r="Q1182"/>
  <c r="R1182"/>
  <c r="Q1188"/>
  <c r="Q1194"/>
  <c r="Q1200"/>
  <c r="R1200"/>
  <c r="Q1204"/>
  <c r="R1204"/>
  <c r="Q1208"/>
  <c r="R1208"/>
  <c r="Q1212"/>
  <c r="R1212"/>
  <c r="Q1219"/>
  <c r="R1219"/>
  <c r="Q1223"/>
  <c r="R1223"/>
  <c r="Q1227"/>
  <c r="R1227"/>
  <c r="Q1231"/>
  <c r="R1231"/>
  <c r="Q1238"/>
  <c r="R1238"/>
  <c r="Q1242"/>
  <c r="R1242"/>
  <c r="Q1253"/>
  <c r="R1253"/>
  <c r="Q1257"/>
  <c r="R1257"/>
  <c r="Q1265"/>
  <c r="R1265"/>
  <c r="Q1274"/>
  <c r="R1274"/>
  <c r="Q6"/>
  <c r="R6"/>
  <c r="J1299"/>
  <c r="J1297"/>
  <c r="J1294"/>
  <c r="J1292"/>
  <c r="J1290"/>
  <c r="J1287"/>
  <c r="J1284"/>
  <c r="J1281"/>
  <c r="J1278"/>
  <c r="J1276"/>
  <c r="J1274"/>
  <c r="J1270"/>
  <c r="J1267"/>
  <c r="J1265"/>
  <c r="J1261"/>
  <c r="J1258"/>
  <c r="J1256"/>
  <c r="J1253"/>
  <c r="J1247"/>
  <c r="J1244"/>
  <c r="J1242"/>
  <c r="J1238"/>
  <c r="J1234"/>
  <c r="J1231"/>
  <c r="J1227"/>
  <c r="J1223"/>
  <c r="J1219"/>
  <c r="J1212"/>
  <c r="J1208"/>
  <c r="J1204"/>
  <c r="J1200"/>
  <c r="J1194"/>
  <c r="J1188"/>
  <c r="J1184"/>
  <c r="J1182"/>
  <c r="J1180"/>
  <c r="J1173"/>
  <c r="J1170"/>
  <c r="J1164"/>
  <c r="J1159"/>
  <c r="J1157"/>
  <c r="J1150"/>
  <c r="J1146"/>
  <c r="J1144"/>
  <c r="J1139"/>
  <c r="J1134"/>
  <c r="J1132"/>
  <c r="J1126"/>
  <c r="J1120"/>
  <c r="J1115"/>
  <c r="J1112"/>
  <c r="J1106"/>
  <c r="J1099"/>
  <c r="J1093"/>
  <c r="J1088"/>
  <c r="J1081"/>
  <c r="J1074"/>
  <c r="J1071"/>
  <c r="J1064"/>
  <c r="J1060"/>
  <c r="J1053"/>
  <c r="J1047"/>
  <c r="J1040"/>
  <c r="J1037"/>
  <c r="J1035"/>
  <c r="J1028"/>
  <c r="J1026"/>
  <c r="J1023"/>
  <c r="J1019"/>
  <c r="J1014"/>
  <c r="J1012"/>
  <c r="J1009"/>
  <c r="J1004"/>
  <c r="J1000"/>
  <c r="J995"/>
  <c r="J992"/>
  <c r="J988"/>
  <c r="J981"/>
  <c r="J977"/>
  <c r="J973"/>
  <c r="J966"/>
  <c r="J963"/>
  <c r="J959"/>
  <c r="J955"/>
  <c r="J952"/>
  <c r="J948"/>
  <c r="J944"/>
  <c r="J941"/>
  <c r="J938"/>
  <c r="J934"/>
  <c r="J931"/>
  <c r="J929"/>
  <c r="J926"/>
  <c r="J921"/>
  <c r="J917"/>
  <c r="J910"/>
  <c r="J906"/>
  <c r="J903"/>
  <c r="J896"/>
  <c r="J893"/>
  <c r="J890"/>
  <c r="J887"/>
  <c r="J884"/>
  <c r="J880"/>
  <c r="J877"/>
  <c r="J870"/>
  <c r="J867"/>
  <c r="J864"/>
  <c r="J858"/>
  <c r="J855"/>
  <c r="J853"/>
  <c r="J846"/>
  <c r="J839"/>
  <c r="J837"/>
  <c r="J834"/>
  <c r="J832"/>
  <c r="J827"/>
  <c r="J824"/>
  <c r="J822"/>
  <c r="J815"/>
  <c r="J812"/>
  <c r="J809"/>
  <c r="J804"/>
  <c r="J801"/>
  <c r="J799"/>
  <c r="J797"/>
  <c r="J795"/>
  <c r="J793"/>
  <c r="J791"/>
  <c r="J787"/>
  <c r="J785"/>
  <c r="J783"/>
  <c r="J779"/>
  <c r="J777"/>
  <c r="J775"/>
  <c r="J773"/>
  <c r="J771"/>
  <c r="J769"/>
  <c r="J767"/>
  <c r="J765"/>
  <c r="J763"/>
  <c r="J761"/>
  <c r="J754"/>
  <c r="J752"/>
  <c r="J745"/>
  <c r="J739"/>
  <c r="J734"/>
  <c r="J727"/>
  <c r="J720"/>
  <c r="J714"/>
  <c r="J712"/>
  <c r="J710"/>
  <c r="J706"/>
  <c r="J703"/>
  <c r="J701"/>
  <c r="J699"/>
  <c r="J696"/>
  <c r="J693"/>
  <c r="J691"/>
  <c r="J689"/>
  <c r="J687"/>
  <c r="J685"/>
  <c r="J679"/>
  <c r="J677"/>
  <c r="J675"/>
  <c r="J673"/>
  <c r="J671"/>
  <c r="J669"/>
  <c r="J667"/>
  <c r="J665"/>
  <c r="J663"/>
  <c r="J656"/>
  <c r="J649"/>
  <c r="J643"/>
  <c r="J641"/>
  <c r="J639"/>
  <c r="J637"/>
  <c r="J635"/>
  <c r="J633"/>
  <c r="J631"/>
  <c r="J629"/>
  <c r="J624"/>
  <c r="J622"/>
  <c r="J620"/>
  <c r="J616"/>
  <c r="J613"/>
  <c r="J611"/>
  <c r="J609"/>
  <c r="J607"/>
  <c r="J603"/>
  <c r="J601"/>
  <c r="J599"/>
  <c r="J597"/>
  <c r="J595"/>
  <c r="J590"/>
  <c r="J588"/>
  <c r="J586"/>
  <c r="J584"/>
  <c r="J577"/>
  <c r="J570"/>
  <c r="J568"/>
  <c r="J566"/>
  <c r="J564"/>
  <c r="J562"/>
  <c r="J560"/>
  <c r="J550"/>
  <c r="J546"/>
  <c r="J541"/>
  <c r="J539"/>
  <c r="J536"/>
  <c r="J534"/>
  <c r="J528"/>
  <c r="J525"/>
  <c r="J523"/>
  <c r="J521"/>
  <c r="J514"/>
  <c r="J511"/>
  <c r="J509"/>
  <c r="J504"/>
  <c r="J502"/>
  <c r="J500"/>
  <c r="J498"/>
  <c r="J496"/>
  <c r="J494"/>
  <c r="J492"/>
  <c r="J490"/>
  <c r="J488"/>
  <c r="J486"/>
  <c r="J483"/>
  <c r="J481"/>
  <c r="J479"/>
  <c r="J477"/>
  <c r="J470"/>
  <c r="J463"/>
  <c r="J461"/>
  <c r="J455"/>
  <c r="J449"/>
  <c r="J447"/>
  <c r="J445"/>
  <c r="J438"/>
  <c r="J436"/>
  <c r="J433"/>
  <c r="J431"/>
  <c r="J429"/>
  <c r="J427"/>
  <c r="J425"/>
  <c r="J423"/>
  <c r="J416"/>
  <c r="J414"/>
  <c r="J412"/>
  <c r="J410"/>
  <c r="J405"/>
  <c r="J403"/>
  <c r="J401"/>
  <c r="J399"/>
  <c r="J397"/>
  <c r="J395"/>
  <c r="J393"/>
  <c r="J386"/>
  <c r="J384"/>
  <c r="J382"/>
  <c r="J380"/>
  <c r="J378"/>
  <c r="J376"/>
  <c r="J374"/>
  <c r="J372"/>
  <c r="J370"/>
  <c r="J363"/>
  <c r="J356"/>
  <c r="J349"/>
  <c r="J342"/>
  <c r="J335"/>
  <c r="J328"/>
  <c r="J322"/>
  <c r="J320"/>
  <c r="J313"/>
  <c r="J309"/>
  <c r="J307"/>
  <c r="J305"/>
  <c r="J298"/>
  <c r="J296"/>
  <c r="J294"/>
  <c r="J292"/>
  <c r="J290"/>
  <c r="J288"/>
  <c r="J286"/>
  <c r="J284"/>
  <c r="J282"/>
  <c r="J280"/>
  <c r="J278"/>
  <c r="J276"/>
  <c r="J271"/>
  <c r="J268"/>
  <c r="J265"/>
  <c r="J261"/>
  <c r="J259"/>
  <c r="J257"/>
  <c r="J255"/>
  <c r="J253"/>
  <c r="J251"/>
  <c r="J249"/>
  <c r="J247"/>
  <c r="J243"/>
  <c r="J240"/>
  <c r="J236"/>
  <c r="J234"/>
  <c r="J232"/>
  <c r="J230"/>
  <c r="J228"/>
  <c r="J226"/>
  <c r="J224"/>
  <c r="J221"/>
  <c r="J218"/>
  <c r="J216"/>
  <c r="J214"/>
  <c r="J212"/>
  <c r="J210"/>
  <c r="J208"/>
  <c r="J206"/>
  <c r="J204"/>
  <c r="J197"/>
  <c r="J190"/>
  <c r="J184"/>
  <c r="J178"/>
  <c r="J171"/>
  <c r="J169"/>
  <c r="J167"/>
  <c r="J165"/>
  <c r="J158"/>
  <c r="J152"/>
  <c r="J146"/>
  <c r="J140"/>
  <c r="J138"/>
  <c r="J132"/>
  <c r="J128"/>
  <c r="J126"/>
  <c r="J124"/>
  <c r="J122"/>
  <c r="J120"/>
  <c r="J118"/>
  <c r="J115"/>
  <c r="J113"/>
  <c r="J111"/>
  <c r="J109"/>
  <c r="J107"/>
  <c r="J105"/>
  <c r="J100"/>
  <c r="J95"/>
  <c r="J93"/>
  <c r="J91"/>
  <c r="J89"/>
  <c r="J87"/>
  <c r="J85"/>
  <c r="J83"/>
  <c r="J81"/>
  <c r="J79"/>
  <c r="J77"/>
  <c r="J75"/>
  <c r="J71"/>
  <c r="J69"/>
  <c r="J67"/>
  <c r="J65"/>
  <c r="J59"/>
  <c r="J52"/>
  <c r="J50"/>
  <c r="J43"/>
  <c r="J41"/>
  <c r="J34"/>
  <c r="J31"/>
  <c r="J29"/>
  <c r="J26"/>
  <c r="J21"/>
  <c r="J18"/>
  <c r="J16"/>
  <c r="J14"/>
  <c r="J12"/>
  <c r="J10"/>
  <c r="J8"/>
  <c r="J6"/>
  <c r="N1252"/>
  <c r="K1252"/>
  <c r="M1252" s="1"/>
  <c r="N1251"/>
  <c r="K1251"/>
  <c r="M1251" s="1"/>
  <c r="N1250"/>
  <c r="K1250"/>
  <c r="M1250" s="1"/>
  <c r="N1249"/>
  <c r="K1249"/>
  <c r="M1249" s="1"/>
  <c r="N1248"/>
  <c r="K1248"/>
  <c r="M1248" s="1"/>
  <c r="N943"/>
  <c r="K943"/>
  <c r="M943" s="1"/>
  <c r="N942"/>
  <c r="K942"/>
  <c r="M942" s="1"/>
  <c r="N838"/>
  <c r="N839" s="1"/>
  <c r="K838"/>
  <c r="M838" s="1"/>
  <c r="M839" s="1"/>
  <c r="N711"/>
  <c r="N712" s="1"/>
  <c r="K711"/>
  <c r="M711" s="1"/>
  <c r="M712" s="1"/>
  <c r="N600"/>
  <c r="N601" s="1"/>
  <c r="K600"/>
  <c r="M600" s="1"/>
  <c r="M601" s="1"/>
  <c r="N428"/>
  <c r="N429" s="1"/>
  <c r="K428"/>
  <c r="M428" s="1"/>
  <c r="M429" s="1"/>
  <c r="N883"/>
  <c r="K883"/>
  <c r="M883" s="1"/>
  <c r="N312"/>
  <c r="K312"/>
  <c r="M312" s="1"/>
  <c r="N220"/>
  <c r="K220"/>
  <c r="M220" s="1"/>
  <c r="N882"/>
  <c r="K882"/>
  <c r="M882" s="1"/>
  <c r="N311"/>
  <c r="K311"/>
  <c r="M311" s="1"/>
  <c r="N219"/>
  <c r="K219"/>
  <c r="M219" s="1"/>
  <c r="N881"/>
  <c r="K881"/>
  <c r="M881" s="1"/>
  <c r="N295"/>
  <c r="N296" s="1"/>
  <c r="K295"/>
  <c r="M295" s="1"/>
  <c r="M296" s="1"/>
  <c r="N114"/>
  <c r="N115" s="1"/>
  <c r="K114"/>
  <c r="M114" s="1"/>
  <c r="M115" s="1"/>
  <c r="N770"/>
  <c r="N771" s="1"/>
  <c r="K770"/>
  <c r="M770" s="1"/>
  <c r="M771" s="1"/>
  <c r="N768"/>
  <c r="N769" s="1"/>
  <c r="K768"/>
  <c r="M768" s="1"/>
  <c r="M769" s="1"/>
  <c r="N762"/>
  <c r="N763" s="1"/>
  <c r="K762"/>
  <c r="M762" s="1"/>
  <c r="M763" s="1"/>
  <c r="N666"/>
  <c r="N667" s="1"/>
  <c r="K666"/>
  <c r="M666" s="1"/>
  <c r="M667" s="1"/>
  <c r="N375"/>
  <c r="N376" s="1"/>
  <c r="K375"/>
  <c r="M375" s="1"/>
  <c r="M376" s="1"/>
  <c r="N310"/>
  <c r="K310"/>
  <c r="M310" s="1"/>
  <c r="N213"/>
  <c r="N214" s="1"/>
  <c r="K213"/>
  <c r="M213" s="1"/>
  <c r="M214" s="1"/>
  <c r="N1293"/>
  <c r="N1294" s="1"/>
  <c r="K1293"/>
  <c r="M1293" s="1"/>
  <c r="M1294" s="1"/>
  <c r="N1286"/>
  <c r="K1286"/>
  <c r="M1286" s="1"/>
  <c r="N1275"/>
  <c r="N1276" s="1"/>
  <c r="K1275"/>
  <c r="M1275" s="1"/>
  <c r="M1276" s="1"/>
  <c r="N1255"/>
  <c r="K1255"/>
  <c r="M1255" s="1"/>
  <c r="N1187"/>
  <c r="K1187"/>
  <c r="M1187" s="1"/>
  <c r="N1183"/>
  <c r="N1184" s="1"/>
  <c r="K1183"/>
  <c r="M1183" s="1"/>
  <c r="M1184" s="1"/>
  <c r="N1138"/>
  <c r="K1138"/>
  <c r="M1138" s="1"/>
  <c r="N1098"/>
  <c r="K1098"/>
  <c r="M1098" s="1"/>
  <c r="N1097"/>
  <c r="K1097"/>
  <c r="M1097" s="1"/>
  <c r="N1092"/>
  <c r="K1092"/>
  <c r="M1092" s="1"/>
  <c r="N1087"/>
  <c r="K1087"/>
  <c r="M1087" s="1"/>
  <c r="N1080"/>
  <c r="K1080"/>
  <c r="M1080" s="1"/>
  <c r="N1070"/>
  <c r="K1070"/>
  <c r="M1070" s="1"/>
  <c r="N1046"/>
  <c r="K1046"/>
  <c r="M1046" s="1"/>
  <c r="N1022"/>
  <c r="K1022"/>
  <c r="M1022" s="1"/>
  <c r="N1018"/>
  <c r="K1018"/>
  <c r="M1018" s="1"/>
  <c r="N1013"/>
  <c r="N1014" s="1"/>
  <c r="K1013"/>
  <c r="M1013" s="1"/>
  <c r="M1014" s="1"/>
  <c r="N1008"/>
  <c r="K1008"/>
  <c r="M1008" s="1"/>
  <c r="N1003"/>
  <c r="K1003"/>
  <c r="M1003" s="1"/>
  <c r="N999"/>
  <c r="K999"/>
  <c r="M999" s="1"/>
  <c r="N920"/>
  <c r="K920"/>
  <c r="M920" s="1"/>
  <c r="N916"/>
  <c r="K916"/>
  <c r="M916" s="1"/>
  <c r="N821"/>
  <c r="K821"/>
  <c r="M821" s="1"/>
  <c r="N790"/>
  <c r="K790"/>
  <c r="M790" s="1"/>
  <c r="N782"/>
  <c r="K782"/>
  <c r="M782" s="1"/>
  <c r="N606"/>
  <c r="K606"/>
  <c r="M606" s="1"/>
  <c r="N559"/>
  <c r="K559"/>
  <c r="M559" s="1"/>
  <c r="N558"/>
  <c r="K558"/>
  <c r="M558" s="1"/>
  <c r="N549"/>
  <c r="K549"/>
  <c r="M549" s="1"/>
  <c r="N533"/>
  <c r="K533"/>
  <c r="M533" s="1"/>
  <c r="N369"/>
  <c r="K369"/>
  <c r="M369" s="1"/>
  <c r="N327"/>
  <c r="K327"/>
  <c r="M327" s="1"/>
  <c r="N319"/>
  <c r="K319"/>
  <c r="M319" s="1"/>
  <c r="N215"/>
  <c r="N216" s="1"/>
  <c r="K215"/>
  <c r="M215" s="1"/>
  <c r="M216" s="1"/>
  <c r="N104"/>
  <c r="K104"/>
  <c r="M104" s="1"/>
  <c r="N1285"/>
  <c r="K1285"/>
  <c r="M1285" s="1"/>
  <c r="N1254"/>
  <c r="K1254"/>
  <c r="M1254" s="1"/>
  <c r="N1186"/>
  <c r="K1186"/>
  <c r="M1186" s="1"/>
  <c r="N1137"/>
  <c r="K1137"/>
  <c r="M1137" s="1"/>
  <c r="N1096"/>
  <c r="K1096"/>
  <c r="M1096" s="1"/>
  <c r="N1091"/>
  <c r="K1091"/>
  <c r="M1091" s="1"/>
  <c r="N1086"/>
  <c r="K1086"/>
  <c r="M1086" s="1"/>
  <c r="N1079"/>
  <c r="K1079"/>
  <c r="M1079" s="1"/>
  <c r="N1069"/>
  <c r="K1069"/>
  <c r="M1069" s="1"/>
  <c r="N1045"/>
  <c r="K1045"/>
  <c r="M1045" s="1"/>
  <c r="N1021"/>
  <c r="K1021"/>
  <c r="M1021" s="1"/>
  <c r="N1017"/>
  <c r="K1017"/>
  <c r="M1017" s="1"/>
  <c r="N1007"/>
  <c r="K1007"/>
  <c r="M1007" s="1"/>
  <c r="N1002"/>
  <c r="K1002"/>
  <c r="M1002" s="1"/>
  <c r="N998"/>
  <c r="K998"/>
  <c r="M998" s="1"/>
  <c r="N919"/>
  <c r="K919"/>
  <c r="M919" s="1"/>
  <c r="N915"/>
  <c r="K915"/>
  <c r="M915" s="1"/>
  <c r="N820"/>
  <c r="K820"/>
  <c r="M820" s="1"/>
  <c r="N789"/>
  <c r="K789"/>
  <c r="M789" s="1"/>
  <c r="N781"/>
  <c r="K781"/>
  <c r="M781" s="1"/>
  <c r="N605"/>
  <c r="K605"/>
  <c r="M605" s="1"/>
  <c r="N557"/>
  <c r="K557"/>
  <c r="M557" s="1"/>
  <c r="N556"/>
  <c r="K556"/>
  <c r="M556" s="1"/>
  <c r="N548"/>
  <c r="K548"/>
  <c r="M548" s="1"/>
  <c r="N532"/>
  <c r="K532"/>
  <c r="M532" s="1"/>
  <c r="N368"/>
  <c r="K368"/>
  <c r="M368" s="1"/>
  <c r="N326"/>
  <c r="K326"/>
  <c r="M326" s="1"/>
  <c r="N318"/>
  <c r="K318"/>
  <c r="M318" s="1"/>
  <c r="N103"/>
  <c r="K103"/>
  <c r="M103" s="1"/>
  <c r="N531"/>
  <c r="K531"/>
  <c r="M531" s="1"/>
  <c r="N1136"/>
  <c r="K1136"/>
  <c r="M1136" s="1"/>
  <c r="N1095"/>
  <c r="K1095"/>
  <c r="M1095" s="1"/>
  <c r="N1090"/>
  <c r="K1090"/>
  <c r="M1090" s="1"/>
  <c r="N1085"/>
  <c r="K1085"/>
  <c r="M1085" s="1"/>
  <c r="N1078"/>
  <c r="K1078"/>
  <c r="M1078" s="1"/>
  <c r="N1020"/>
  <c r="K1020"/>
  <c r="M1020" s="1"/>
  <c r="N1016"/>
  <c r="K1016"/>
  <c r="M1016" s="1"/>
  <c r="N1006"/>
  <c r="K1006"/>
  <c r="M1006" s="1"/>
  <c r="N997"/>
  <c r="K997"/>
  <c r="M997" s="1"/>
  <c r="N918"/>
  <c r="K918"/>
  <c r="M918" s="1"/>
  <c r="N914"/>
  <c r="K914"/>
  <c r="M914" s="1"/>
  <c r="N555"/>
  <c r="K555"/>
  <c r="M555" s="1"/>
  <c r="N317"/>
  <c r="K317"/>
  <c r="M317" s="1"/>
  <c r="N246"/>
  <c r="K246"/>
  <c r="M246" s="1"/>
  <c r="N1185"/>
  <c r="K1185"/>
  <c r="M1185" s="1"/>
  <c r="N1068"/>
  <c r="K1068"/>
  <c r="M1068" s="1"/>
  <c r="N1063"/>
  <c r="K1063"/>
  <c r="M1063" s="1"/>
  <c r="N1044"/>
  <c r="K1044"/>
  <c r="M1044" s="1"/>
  <c r="N1001"/>
  <c r="K1001"/>
  <c r="M1001" s="1"/>
  <c r="N819"/>
  <c r="K819"/>
  <c r="M819" s="1"/>
  <c r="N788"/>
  <c r="K788"/>
  <c r="M788" s="1"/>
  <c r="N780"/>
  <c r="K780"/>
  <c r="M780" s="1"/>
  <c r="N604"/>
  <c r="K604"/>
  <c r="M604" s="1"/>
  <c r="N554"/>
  <c r="K554"/>
  <c r="M554" s="1"/>
  <c r="N367"/>
  <c r="K367"/>
  <c r="M367" s="1"/>
  <c r="N325"/>
  <c r="K325"/>
  <c r="M325" s="1"/>
  <c r="N245"/>
  <c r="K245"/>
  <c r="M245" s="1"/>
  <c r="N102"/>
  <c r="K102"/>
  <c r="M102" s="1"/>
  <c r="N530"/>
  <c r="K530"/>
  <c r="M530" s="1"/>
  <c r="N1135"/>
  <c r="K1135"/>
  <c r="M1135" s="1"/>
  <c r="N1094"/>
  <c r="K1094"/>
  <c r="M1094" s="1"/>
  <c r="N1089"/>
  <c r="K1089"/>
  <c r="M1089" s="1"/>
  <c r="N1084"/>
  <c r="K1084"/>
  <c r="M1084" s="1"/>
  <c r="N1077"/>
  <c r="K1077"/>
  <c r="M1077" s="1"/>
  <c r="N1015"/>
  <c r="K1015"/>
  <c r="M1015" s="1"/>
  <c r="N1005"/>
  <c r="K1005"/>
  <c r="M1005" s="1"/>
  <c r="N996"/>
  <c r="K996"/>
  <c r="M996" s="1"/>
  <c r="N913"/>
  <c r="K913"/>
  <c r="M913" s="1"/>
  <c r="N553"/>
  <c r="K553"/>
  <c r="M553" s="1"/>
  <c r="N316"/>
  <c r="K316"/>
  <c r="M316" s="1"/>
  <c r="N267"/>
  <c r="K267"/>
  <c r="M267" s="1"/>
  <c r="N1067"/>
  <c r="K1067"/>
  <c r="M1067" s="1"/>
  <c r="N1062"/>
  <c r="K1062"/>
  <c r="M1062" s="1"/>
  <c r="N1043"/>
  <c r="K1043"/>
  <c r="M1043" s="1"/>
  <c r="N980"/>
  <c r="K980"/>
  <c r="M980" s="1"/>
  <c r="N818"/>
  <c r="K818"/>
  <c r="M818" s="1"/>
  <c r="N366"/>
  <c r="K366"/>
  <c r="M366" s="1"/>
  <c r="N324"/>
  <c r="K324"/>
  <c r="M324" s="1"/>
  <c r="N323"/>
  <c r="K323"/>
  <c r="M323" s="1"/>
  <c r="N529"/>
  <c r="K529"/>
  <c r="M529" s="1"/>
  <c r="N1083"/>
  <c r="K1083"/>
  <c r="M1083" s="1"/>
  <c r="N1076"/>
  <c r="K1076"/>
  <c r="M1076" s="1"/>
  <c r="N912"/>
  <c r="K912"/>
  <c r="M912" s="1"/>
  <c r="N823"/>
  <c r="N824" s="1"/>
  <c r="K823"/>
  <c r="M823" s="1"/>
  <c r="M824" s="1"/>
  <c r="N705"/>
  <c r="K705"/>
  <c r="M705" s="1"/>
  <c r="N698"/>
  <c r="K698"/>
  <c r="M698" s="1"/>
  <c r="N619"/>
  <c r="K619"/>
  <c r="M619" s="1"/>
  <c r="N552"/>
  <c r="K552"/>
  <c r="M552" s="1"/>
  <c r="N513"/>
  <c r="K513"/>
  <c r="M513" s="1"/>
  <c r="N315"/>
  <c r="K315"/>
  <c r="M315" s="1"/>
  <c r="N1073"/>
  <c r="K1073"/>
  <c r="M1073" s="1"/>
  <c r="N1066"/>
  <c r="K1066"/>
  <c r="M1066" s="1"/>
  <c r="N1042"/>
  <c r="K1042"/>
  <c r="M1042" s="1"/>
  <c r="N1025"/>
  <c r="K1025"/>
  <c r="M1025" s="1"/>
  <c r="N979"/>
  <c r="K979"/>
  <c r="M979" s="1"/>
  <c r="N817"/>
  <c r="K817"/>
  <c r="M817" s="1"/>
  <c r="N618"/>
  <c r="K618"/>
  <c r="M618" s="1"/>
  <c r="N435"/>
  <c r="K435"/>
  <c r="M435" s="1"/>
  <c r="N365"/>
  <c r="K365"/>
  <c r="M365" s="1"/>
  <c r="N20"/>
  <c r="K20"/>
  <c r="M20" s="1"/>
  <c r="N1036"/>
  <c r="N1037" s="1"/>
  <c r="K1036"/>
  <c r="M1036" s="1"/>
  <c r="M1037" s="1"/>
  <c r="N833"/>
  <c r="N834" s="1"/>
  <c r="K833"/>
  <c r="M833" s="1"/>
  <c r="M834" s="1"/>
  <c r="N1082"/>
  <c r="K1082"/>
  <c r="M1082" s="1"/>
  <c r="N1075"/>
  <c r="K1075"/>
  <c r="M1075" s="1"/>
  <c r="N911"/>
  <c r="K911"/>
  <c r="M911" s="1"/>
  <c r="N803"/>
  <c r="K803"/>
  <c r="M803" s="1"/>
  <c r="N704"/>
  <c r="K704"/>
  <c r="M704" s="1"/>
  <c r="N697"/>
  <c r="K697"/>
  <c r="M697" s="1"/>
  <c r="N630"/>
  <c r="N631" s="1"/>
  <c r="K630"/>
  <c r="M630" s="1"/>
  <c r="M631" s="1"/>
  <c r="N615"/>
  <c r="K615"/>
  <c r="M615" s="1"/>
  <c r="N551"/>
  <c r="K551"/>
  <c r="M551" s="1"/>
  <c r="N547"/>
  <c r="K547"/>
  <c r="M547" s="1"/>
  <c r="N512"/>
  <c r="N514" s="1"/>
  <c r="K512"/>
  <c r="M512" s="1"/>
  <c r="M514" s="1"/>
  <c r="N430"/>
  <c r="N431" s="1"/>
  <c r="K430"/>
  <c r="M430" s="1"/>
  <c r="M431" s="1"/>
  <c r="N314"/>
  <c r="K314"/>
  <c r="M314" s="1"/>
  <c r="N266"/>
  <c r="K266"/>
  <c r="M266" s="1"/>
  <c r="N242"/>
  <c r="K242"/>
  <c r="M242" s="1"/>
  <c r="N1072"/>
  <c r="K1072"/>
  <c r="M1072" s="1"/>
  <c r="N1065"/>
  <c r="K1065"/>
  <c r="M1065" s="1"/>
  <c r="N1061"/>
  <c r="K1061"/>
  <c r="M1061" s="1"/>
  <c r="N1041"/>
  <c r="K1041"/>
  <c r="M1041" s="1"/>
  <c r="N1027"/>
  <c r="N1028" s="1"/>
  <c r="K1027"/>
  <c r="M1027" s="1"/>
  <c r="M1028" s="1"/>
  <c r="N1024"/>
  <c r="K1024"/>
  <c r="M1024" s="1"/>
  <c r="N978"/>
  <c r="K978"/>
  <c r="M978" s="1"/>
  <c r="N816"/>
  <c r="K816"/>
  <c r="M816" s="1"/>
  <c r="N802"/>
  <c r="N804" s="1"/>
  <c r="K802"/>
  <c r="M802" s="1"/>
  <c r="M804" s="1"/>
  <c r="N766"/>
  <c r="N767" s="1"/>
  <c r="K766"/>
  <c r="M766" s="1"/>
  <c r="M767" s="1"/>
  <c r="N692"/>
  <c r="N693" s="1"/>
  <c r="K692"/>
  <c r="M692" s="1"/>
  <c r="M693" s="1"/>
  <c r="N668"/>
  <c r="N669" s="1"/>
  <c r="K668"/>
  <c r="M668" s="1"/>
  <c r="M669" s="1"/>
  <c r="N638"/>
  <c r="N639" s="1"/>
  <c r="K638"/>
  <c r="M638" s="1"/>
  <c r="M639" s="1"/>
  <c r="N632"/>
  <c r="N633" s="1"/>
  <c r="K632"/>
  <c r="M632" s="1"/>
  <c r="M633" s="1"/>
  <c r="N621"/>
  <c r="N622" s="1"/>
  <c r="K621"/>
  <c r="M621" s="1"/>
  <c r="M622" s="1"/>
  <c r="N617"/>
  <c r="K617"/>
  <c r="M617" s="1"/>
  <c r="N614"/>
  <c r="N616" s="1"/>
  <c r="K614"/>
  <c r="M614" s="1"/>
  <c r="N596"/>
  <c r="N597" s="1"/>
  <c r="K596"/>
  <c r="M596" s="1"/>
  <c r="M597" s="1"/>
  <c r="N535"/>
  <c r="N536" s="1"/>
  <c r="K535"/>
  <c r="M535" s="1"/>
  <c r="M536" s="1"/>
  <c r="N501"/>
  <c r="N502" s="1"/>
  <c r="K501"/>
  <c r="M501" s="1"/>
  <c r="M502" s="1"/>
  <c r="N495"/>
  <c r="N496" s="1"/>
  <c r="K495"/>
  <c r="M495" s="1"/>
  <c r="M496" s="1"/>
  <c r="N480"/>
  <c r="N481" s="1"/>
  <c r="K480"/>
  <c r="M480" s="1"/>
  <c r="M481" s="1"/>
  <c r="N478"/>
  <c r="N479" s="1"/>
  <c r="K478"/>
  <c r="M478" s="1"/>
  <c r="M479" s="1"/>
  <c r="N434"/>
  <c r="K434"/>
  <c r="M434" s="1"/>
  <c r="N396"/>
  <c r="N397" s="1"/>
  <c r="K396"/>
  <c r="M396" s="1"/>
  <c r="M397" s="1"/>
  <c r="N383"/>
  <c r="N384" s="1"/>
  <c r="K383"/>
  <c r="M383" s="1"/>
  <c r="M384" s="1"/>
  <c r="N379"/>
  <c r="N380" s="1"/>
  <c r="K379"/>
  <c r="M379" s="1"/>
  <c r="M380" s="1"/>
  <c r="N373"/>
  <c r="N374" s="1"/>
  <c r="K373"/>
  <c r="M373" s="1"/>
  <c r="M374" s="1"/>
  <c r="N364"/>
  <c r="K364"/>
  <c r="M364" s="1"/>
  <c r="N297"/>
  <c r="N298" s="1"/>
  <c r="K297"/>
  <c r="M297" s="1"/>
  <c r="M298" s="1"/>
  <c r="N248"/>
  <c r="N249" s="1"/>
  <c r="K248"/>
  <c r="M248" s="1"/>
  <c r="M249" s="1"/>
  <c r="N244"/>
  <c r="K244"/>
  <c r="M244" s="1"/>
  <c r="N241"/>
  <c r="K241"/>
  <c r="M241" s="1"/>
  <c r="N233"/>
  <c r="N234" s="1"/>
  <c r="K233"/>
  <c r="M233" s="1"/>
  <c r="M234" s="1"/>
  <c r="N209"/>
  <c r="N210" s="1"/>
  <c r="K209"/>
  <c r="M209" s="1"/>
  <c r="M210" s="1"/>
  <c r="N125"/>
  <c r="N126" s="1"/>
  <c r="K125"/>
  <c r="M125" s="1"/>
  <c r="M126" s="1"/>
  <c r="N123"/>
  <c r="N124" s="1"/>
  <c r="K123"/>
  <c r="M123" s="1"/>
  <c r="M124" s="1"/>
  <c r="N106"/>
  <c r="N107" s="1"/>
  <c r="K106"/>
  <c r="M106" s="1"/>
  <c r="M107" s="1"/>
  <c r="N101"/>
  <c r="K101"/>
  <c r="M101" s="1"/>
  <c r="N90"/>
  <c r="N91" s="1"/>
  <c r="K90"/>
  <c r="M90" s="1"/>
  <c r="M91" s="1"/>
  <c r="N70"/>
  <c r="N71" s="1"/>
  <c r="K70"/>
  <c r="M70" s="1"/>
  <c r="M71" s="1"/>
  <c r="N19"/>
  <c r="K19"/>
  <c r="M19" s="1"/>
  <c r="N13"/>
  <c r="N14" s="1"/>
  <c r="K13"/>
  <c r="M13" s="1"/>
  <c r="M14" s="1"/>
  <c r="N1298"/>
  <c r="N1299" s="1"/>
  <c r="K1298"/>
  <c r="M1298" s="1"/>
  <c r="M1299" s="1"/>
  <c r="N1296"/>
  <c r="K1296"/>
  <c r="M1296" s="1"/>
  <c r="N1291"/>
  <c r="N1292" s="1"/>
  <c r="K1291"/>
  <c r="M1291" s="1"/>
  <c r="M1292" s="1"/>
  <c r="N1289"/>
  <c r="K1289"/>
  <c r="M1289" s="1"/>
  <c r="N1283"/>
  <c r="K1283"/>
  <c r="M1283" s="1"/>
  <c r="N1280"/>
  <c r="K1280"/>
  <c r="M1280" s="1"/>
  <c r="N1277"/>
  <c r="N1278" s="1"/>
  <c r="K1277"/>
  <c r="M1277" s="1"/>
  <c r="M1278" s="1"/>
  <c r="N1273"/>
  <c r="K1273"/>
  <c r="M1273" s="1"/>
  <c r="N1269"/>
  <c r="K1269"/>
  <c r="M1269" s="1"/>
  <c r="N1266"/>
  <c r="N1267" s="1"/>
  <c r="K1266"/>
  <c r="M1266" s="1"/>
  <c r="M1267" s="1"/>
  <c r="N1264"/>
  <c r="K1264"/>
  <c r="M1264" s="1"/>
  <c r="N1260"/>
  <c r="K1260"/>
  <c r="M1260" s="1"/>
  <c r="N1257"/>
  <c r="N1258" s="1"/>
  <c r="K1257"/>
  <c r="M1257" s="1"/>
  <c r="M1258" s="1"/>
  <c r="N1246"/>
  <c r="K1246"/>
  <c r="M1246" s="1"/>
  <c r="N1243"/>
  <c r="N1244" s="1"/>
  <c r="K1243"/>
  <c r="M1243" s="1"/>
  <c r="M1244" s="1"/>
  <c r="N1241"/>
  <c r="K1241"/>
  <c r="M1241" s="1"/>
  <c r="N1237"/>
  <c r="K1237"/>
  <c r="M1237" s="1"/>
  <c r="N1233"/>
  <c r="K1233"/>
  <c r="M1233" s="1"/>
  <c r="N1230"/>
  <c r="K1230"/>
  <c r="M1230" s="1"/>
  <c r="N1226"/>
  <c r="K1226"/>
  <c r="M1226" s="1"/>
  <c r="N1222"/>
  <c r="K1222"/>
  <c r="M1222" s="1"/>
  <c r="N1218"/>
  <c r="K1218"/>
  <c r="M1218" s="1"/>
  <c r="N1211"/>
  <c r="K1211"/>
  <c r="M1211" s="1"/>
  <c r="N1207"/>
  <c r="K1207"/>
  <c r="M1207" s="1"/>
  <c r="N1203"/>
  <c r="K1203"/>
  <c r="M1203" s="1"/>
  <c r="N1199"/>
  <c r="K1199"/>
  <c r="M1199" s="1"/>
  <c r="N1193"/>
  <c r="K1193"/>
  <c r="M1193" s="1"/>
  <c r="N1179"/>
  <c r="K1179"/>
  <c r="M1179" s="1"/>
  <c r="N1172"/>
  <c r="K1172"/>
  <c r="M1172" s="1"/>
  <c r="N1169"/>
  <c r="K1169"/>
  <c r="M1169" s="1"/>
  <c r="N1163"/>
  <c r="K1163"/>
  <c r="M1163" s="1"/>
  <c r="N1158"/>
  <c r="N1159" s="1"/>
  <c r="K1158"/>
  <c r="M1158" s="1"/>
  <c r="M1159" s="1"/>
  <c r="N1156"/>
  <c r="K1156"/>
  <c r="M1156" s="1"/>
  <c r="N1149"/>
  <c r="K1149"/>
  <c r="M1149" s="1"/>
  <c r="N1145"/>
  <c r="N1146" s="1"/>
  <c r="K1145"/>
  <c r="M1145" s="1"/>
  <c r="M1146" s="1"/>
  <c r="N1143"/>
  <c r="K1143"/>
  <c r="M1143" s="1"/>
  <c r="N1133"/>
  <c r="N1134" s="1"/>
  <c r="K1133"/>
  <c r="M1133" s="1"/>
  <c r="M1134" s="1"/>
  <c r="N1131"/>
  <c r="K1131"/>
  <c r="M1131" s="1"/>
  <c r="N1125"/>
  <c r="K1125"/>
  <c r="M1125" s="1"/>
  <c r="N1119"/>
  <c r="K1119"/>
  <c r="M1119" s="1"/>
  <c r="N1111"/>
  <c r="K1111"/>
  <c r="M1111" s="1"/>
  <c r="N1105"/>
  <c r="K1105"/>
  <c r="M1105" s="1"/>
  <c r="N1059"/>
  <c r="K1059"/>
  <c r="M1059" s="1"/>
  <c r="N1052"/>
  <c r="K1052"/>
  <c r="M1052" s="1"/>
  <c r="N1039"/>
  <c r="K1039"/>
  <c r="M1039" s="1"/>
  <c r="N1034"/>
  <c r="K1034"/>
  <c r="M1034" s="1"/>
  <c r="N994"/>
  <c r="K994"/>
  <c r="M994" s="1"/>
  <c r="N987"/>
  <c r="K987"/>
  <c r="M987" s="1"/>
  <c r="N972"/>
  <c r="K972"/>
  <c r="M972" s="1"/>
  <c r="N962"/>
  <c r="K962"/>
  <c r="M962" s="1"/>
  <c r="N954"/>
  <c r="K954"/>
  <c r="M954" s="1"/>
  <c r="N937"/>
  <c r="K937"/>
  <c r="M937" s="1"/>
  <c r="N930"/>
  <c r="N931" s="1"/>
  <c r="K930"/>
  <c r="M930" s="1"/>
  <c r="M931" s="1"/>
  <c r="N928"/>
  <c r="K928"/>
  <c r="M928" s="1"/>
  <c r="N909"/>
  <c r="K909"/>
  <c r="M909" s="1"/>
  <c r="N905"/>
  <c r="K905"/>
  <c r="M905" s="1"/>
  <c r="N902"/>
  <c r="K902"/>
  <c r="M902" s="1"/>
  <c r="N876"/>
  <c r="K876"/>
  <c r="M876" s="1"/>
  <c r="N866"/>
  <c r="K866"/>
  <c r="M866" s="1"/>
  <c r="N863"/>
  <c r="K863"/>
  <c r="M863" s="1"/>
  <c r="N854"/>
  <c r="N855" s="1"/>
  <c r="K854"/>
  <c r="M854" s="1"/>
  <c r="M855" s="1"/>
  <c r="N852"/>
  <c r="K852"/>
  <c r="M852" s="1"/>
  <c r="N845"/>
  <c r="K845"/>
  <c r="M845" s="1"/>
  <c r="N831"/>
  <c r="K831"/>
  <c r="M831" s="1"/>
  <c r="N811"/>
  <c r="K811"/>
  <c r="M811" s="1"/>
  <c r="N808"/>
  <c r="K808"/>
  <c r="M808" s="1"/>
  <c r="N760"/>
  <c r="K760"/>
  <c r="M760" s="1"/>
  <c r="N709"/>
  <c r="K709"/>
  <c r="M709" s="1"/>
  <c r="N684"/>
  <c r="K684"/>
  <c r="M684" s="1"/>
  <c r="N628"/>
  <c r="K628"/>
  <c r="M628" s="1"/>
  <c r="N610"/>
  <c r="N611" s="1"/>
  <c r="K610"/>
  <c r="M610" s="1"/>
  <c r="M611" s="1"/>
  <c r="N594"/>
  <c r="K594"/>
  <c r="M594" s="1"/>
  <c r="N538"/>
  <c r="K538"/>
  <c r="M538" s="1"/>
  <c r="N520"/>
  <c r="K520"/>
  <c r="M520" s="1"/>
  <c r="N508"/>
  <c r="K508"/>
  <c r="M508" s="1"/>
  <c r="N444"/>
  <c r="K444"/>
  <c r="M444" s="1"/>
  <c r="N422"/>
  <c r="K422"/>
  <c r="M422" s="1"/>
  <c r="N409"/>
  <c r="K409"/>
  <c r="M409" s="1"/>
  <c r="N392"/>
  <c r="K392"/>
  <c r="M392" s="1"/>
  <c r="N304"/>
  <c r="K304"/>
  <c r="M304" s="1"/>
  <c r="N275"/>
  <c r="K275"/>
  <c r="M275" s="1"/>
  <c r="N264"/>
  <c r="K264"/>
  <c r="M264" s="1"/>
  <c r="N99"/>
  <c r="K99"/>
  <c r="M99" s="1"/>
  <c r="N25"/>
  <c r="K25"/>
  <c r="M25" s="1"/>
  <c r="N1295"/>
  <c r="K1295"/>
  <c r="M1295" s="1"/>
  <c r="N1288"/>
  <c r="K1288"/>
  <c r="M1288" s="1"/>
  <c r="N1282"/>
  <c r="K1282"/>
  <c r="M1282" s="1"/>
  <c r="N1279"/>
  <c r="K1279"/>
  <c r="M1279" s="1"/>
  <c r="N1272"/>
  <c r="K1272"/>
  <c r="M1272" s="1"/>
  <c r="N1268"/>
  <c r="K1268"/>
  <c r="M1268" s="1"/>
  <c r="N1263"/>
  <c r="K1263"/>
  <c r="M1263" s="1"/>
  <c r="N1259"/>
  <c r="N1261" s="1"/>
  <c r="K1259"/>
  <c r="M1259" s="1"/>
  <c r="M1261" s="1"/>
  <c r="N1245"/>
  <c r="K1245"/>
  <c r="M1245" s="1"/>
  <c r="N1240"/>
  <c r="K1240"/>
  <c r="M1240" s="1"/>
  <c r="N1236"/>
  <c r="K1236"/>
  <c r="M1236" s="1"/>
  <c r="N1232"/>
  <c r="K1232"/>
  <c r="M1232" s="1"/>
  <c r="N1229"/>
  <c r="K1229"/>
  <c r="M1229" s="1"/>
  <c r="N1225"/>
  <c r="K1225"/>
  <c r="M1225" s="1"/>
  <c r="N1221"/>
  <c r="K1221"/>
  <c r="M1221" s="1"/>
  <c r="N1217"/>
  <c r="K1217"/>
  <c r="M1217" s="1"/>
  <c r="N1210"/>
  <c r="K1210"/>
  <c r="M1210" s="1"/>
  <c r="N1206"/>
  <c r="K1206"/>
  <c r="M1206" s="1"/>
  <c r="N1202"/>
  <c r="K1202"/>
  <c r="M1202" s="1"/>
  <c r="N1198"/>
  <c r="K1198"/>
  <c r="M1198" s="1"/>
  <c r="N1192"/>
  <c r="K1192"/>
  <c r="M1192" s="1"/>
  <c r="N1178"/>
  <c r="K1178"/>
  <c r="M1178" s="1"/>
  <c r="N1171"/>
  <c r="K1171"/>
  <c r="M1171" s="1"/>
  <c r="N1168"/>
  <c r="K1168"/>
  <c r="M1168" s="1"/>
  <c r="N1162"/>
  <c r="K1162"/>
  <c r="M1162" s="1"/>
  <c r="N1155"/>
  <c r="K1155"/>
  <c r="M1155" s="1"/>
  <c r="N1148"/>
  <c r="K1148"/>
  <c r="M1148" s="1"/>
  <c r="N1142"/>
  <c r="K1142"/>
  <c r="M1142" s="1"/>
  <c r="N1130"/>
  <c r="K1130"/>
  <c r="M1130" s="1"/>
  <c r="N1124"/>
  <c r="K1124"/>
  <c r="M1124" s="1"/>
  <c r="N1118"/>
  <c r="K1118"/>
  <c r="M1118" s="1"/>
  <c r="N1114"/>
  <c r="K1114"/>
  <c r="M1114" s="1"/>
  <c r="N1110"/>
  <c r="K1110"/>
  <c r="M1110" s="1"/>
  <c r="N1104"/>
  <c r="K1104"/>
  <c r="M1104" s="1"/>
  <c r="N1058"/>
  <c r="K1058"/>
  <c r="M1058" s="1"/>
  <c r="N1051"/>
  <c r="K1051"/>
  <c r="M1051" s="1"/>
  <c r="N1038"/>
  <c r="N1040" s="1"/>
  <c r="K1038"/>
  <c r="M1038" s="1"/>
  <c r="M1040" s="1"/>
  <c r="N1033"/>
  <c r="K1033"/>
  <c r="M1033" s="1"/>
  <c r="N993"/>
  <c r="K993"/>
  <c r="M993" s="1"/>
  <c r="M995" s="1"/>
  <c r="N991"/>
  <c r="K991"/>
  <c r="M991" s="1"/>
  <c r="N986"/>
  <c r="K986"/>
  <c r="M986" s="1"/>
  <c r="N971"/>
  <c r="K971"/>
  <c r="M971" s="1"/>
  <c r="N961"/>
  <c r="K961"/>
  <c r="M961" s="1"/>
  <c r="N958"/>
  <c r="K958"/>
  <c r="M958" s="1"/>
  <c r="N953"/>
  <c r="K953"/>
  <c r="M953" s="1"/>
  <c r="N940"/>
  <c r="K940"/>
  <c r="M940" s="1"/>
  <c r="N936"/>
  <c r="K936"/>
  <c r="M936" s="1"/>
  <c r="N927"/>
  <c r="K927"/>
  <c r="M927" s="1"/>
  <c r="N908"/>
  <c r="K908"/>
  <c r="M908" s="1"/>
  <c r="N904"/>
  <c r="K904"/>
  <c r="M904" s="1"/>
  <c r="N901"/>
  <c r="K901"/>
  <c r="M901" s="1"/>
  <c r="N900"/>
  <c r="K900"/>
  <c r="M900" s="1"/>
  <c r="N875"/>
  <c r="K875"/>
  <c r="M875" s="1"/>
  <c r="N865"/>
  <c r="K865"/>
  <c r="M865" s="1"/>
  <c r="N862"/>
  <c r="K862"/>
  <c r="M862" s="1"/>
  <c r="N851"/>
  <c r="K851"/>
  <c r="M851" s="1"/>
  <c r="N844"/>
  <c r="K844"/>
  <c r="M844" s="1"/>
  <c r="N830"/>
  <c r="K830"/>
  <c r="M830" s="1"/>
  <c r="N810"/>
  <c r="K810"/>
  <c r="M810" s="1"/>
  <c r="N807"/>
  <c r="K807"/>
  <c r="M807" s="1"/>
  <c r="N759"/>
  <c r="K759"/>
  <c r="M759" s="1"/>
  <c r="N708"/>
  <c r="K708"/>
  <c r="M708" s="1"/>
  <c r="N683"/>
  <c r="K683"/>
  <c r="M683" s="1"/>
  <c r="N627"/>
  <c r="K627"/>
  <c r="M627" s="1"/>
  <c r="N593"/>
  <c r="K593"/>
  <c r="M593" s="1"/>
  <c r="N519"/>
  <c r="K519"/>
  <c r="M519" s="1"/>
  <c r="N507"/>
  <c r="K507"/>
  <c r="M507" s="1"/>
  <c r="N443"/>
  <c r="K443"/>
  <c r="M443" s="1"/>
  <c r="N421"/>
  <c r="K421"/>
  <c r="M421" s="1"/>
  <c r="N408"/>
  <c r="K408"/>
  <c r="M408" s="1"/>
  <c r="N391"/>
  <c r="K391"/>
  <c r="M391" s="1"/>
  <c r="N303"/>
  <c r="K303"/>
  <c r="M303" s="1"/>
  <c r="N274"/>
  <c r="K274"/>
  <c r="M274" s="1"/>
  <c r="N263"/>
  <c r="K263"/>
  <c r="M263" s="1"/>
  <c r="N98"/>
  <c r="K98"/>
  <c r="M98" s="1"/>
  <c r="N24"/>
  <c r="K24"/>
  <c r="M24" s="1"/>
  <c r="N1271"/>
  <c r="K1271"/>
  <c r="M1271" s="1"/>
  <c r="N1262"/>
  <c r="K1262"/>
  <c r="M1262" s="1"/>
  <c r="N1239"/>
  <c r="K1239"/>
  <c r="M1239" s="1"/>
  <c r="N1235"/>
  <c r="K1235"/>
  <c r="M1235" s="1"/>
  <c r="N1228"/>
  <c r="K1228"/>
  <c r="M1228" s="1"/>
  <c r="N1224"/>
  <c r="K1224"/>
  <c r="M1224" s="1"/>
  <c r="N1220"/>
  <c r="K1220"/>
  <c r="M1220" s="1"/>
  <c r="N1216"/>
  <c r="K1216"/>
  <c r="M1216" s="1"/>
  <c r="N1209"/>
  <c r="K1209"/>
  <c r="M1209" s="1"/>
  <c r="N1205"/>
  <c r="K1205"/>
  <c r="M1205" s="1"/>
  <c r="N1201"/>
  <c r="K1201"/>
  <c r="M1201" s="1"/>
  <c r="N1197"/>
  <c r="K1197"/>
  <c r="M1197" s="1"/>
  <c r="N1191"/>
  <c r="K1191"/>
  <c r="M1191" s="1"/>
  <c r="N1177"/>
  <c r="K1177"/>
  <c r="M1177" s="1"/>
  <c r="N1167"/>
  <c r="K1167"/>
  <c r="M1167" s="1"/>
  <c r="N1161"/>
  <c r="K1161"/>
  <c r="M1161" s="1"/>
  <c r="N1141"/>
  <c r="K1141"/>
  <c r="M1141" s="1"/>
  <c r="N1129"/>
  <c r="K1129"/>
  <c r="M1129" s="1"/>
  <c r="N1117"/>
  <c r="K1117"/>
  <c r="M1117" s="1"/>
  <c r="N1109"/>
  <c r="K1109"/>
  <c r="M1109" s="1"/>
  <c r="N1103"/>
  <c r="K1103"/>
  <c r="M1103" s="1"/>
  <c r="N1057"/>
  <c r="K1057"/>
  <c r="M1057" s="1"/>
  <c r="N1050"/>
  <c r="K1050"/>
  <c r="M1050" s="1"/>
  <c r="N1032"/>
  <c r="K1032"/>
  <c r="M1032" s="1"/>
  <c r="N985"/>
  <c r="K985"/>
  <c r="M985" s="1"/>
  <c r="N976"/>
  <c r="K976"/>
  <c r="M976" s="1"/>
  <c r="N960"/>
  <c r="K960"/>
  <c r="M960" s="1"/>
  <c r="N947"/>
  <c r="K947"/>
  <c r="M947" s="1"/>
  <c r="N935"/>
  <c r="K935"/>
  <c r="M935" s="1"/>
  <c r="N907"/>
  <c r="K907"/>
  <c r="M907" s="1"/>
  <c r="N899"/>
  <c r="K899"/>
  <c r="M899" s="1"/>
  <c r="N874"/>
  <c r="K874"/>
  <c r="M874" s="1"/>
  <c r="N861"/>
  <c r="K861"/>
  <c r="M861" s="1"/>
  <c r="N850"/>
  <c r="K850"/>
  <c r="M850" s="1"/>
  <c r="N829"/>
  <c r="K829"/>
  <c r="M829" s="1"/>
  <c r="N806"/>
  <c r="K806"/>
  <c r="M806" s="1"/>
  <c r="N506"/>
  <c r="K506"/>
  <c r="M506" s="1"/>
  <c r="N420"/>
  <c r="K420"/>
  <c r="M420" s="1"/>
  <c r="N390"/>
  <c r="K390"/>
  <c r="M390" s="1"/>
  <c r="N273"/>
  <c r="K273"/>
  <c r="M273" s="1"/>
  <c r="N97"/>
  <c r="K97"/>
  <c r="M97" s="1"/>
  <c r="N23"/>
  <c r="K23"/>
  <c r="M23" s="1"/>
  <c r="N1154"/>
  <c r="K1154"/>
  <c r="M1154" s="1"/>
  <c r="N1147"/>
  <c r="K1147"/>
  <c r="M1147" s="1"/>
  <c r="N1123"/>
  <c r="K1123"/>
  <c r="M1123" s="1"/>
  <c r="N970"/>
  <c r="K970"/>
  <c r="M970" s="1"/>
  <c r="N946"/>
  <c r="K946"/>
  <c r="M946" s="1"/>
  <c r="N857"/>
  <c r="K857"/>
  <c r="M857" s="1"/>
  <c r="N843"/>
  <c r="K843"/>
  <c r="M843" s="1"/>
  <c r="N758"/>
  <c r="K758"/>
  <c r="M758" s="1"/>
  <c r="N707"/>
  <c r="K707"/>
  <c r="M707" s="1"/>
  <c r="N682"/>
  <c r="K682"/>
  <c r="M682" s="1"/>
  <c r="N626"/>
  <c r="K626"/>
  <c r="M626" s="1"/>
  <c r="N518"/>
  <c r="K518"/>
  <c r="M518" s="1"/>
  <c r="N442"/>
  <c r="K442"/>
  <c r="M442" s="1"/>
  <c r="N302"/>
  <c r="K302"/>
  <c r="M302" s="1"/>
  <c r="N262"/>
  <c r="K262"/>
  <c r="M262" s="1"/>
  <c r="N1215"/>
  <c r="K1215"/>
  <c r="M1215" s="1"/>
  <c r="N1196"/>
  <c r="K1196"/>
  <c r="M1196" s="1"/>
  <c r="N1190"/>
  <c r="K1190"/>
  <c r="M1190" s="1"/>
  <c r="N1176"/>
  <c r="K1176"/>
  <c r="M1176" s="1"/>
  <c r="N1166"/>
  <c r="K1166"/>
  <c r="M1166" s="1"/>
  <c r="N1160"/>
  <c r="K1160"/>
  <c r="M1160" s="1"/>
  <c r="N1140"/>
  <c r="K1140"/>
  <c r="M1140" s="1"/>
  <c r="N1128"/>
  <c r="K1128"/>
  <c r="M1128" s="1"/>
  <c r="N1102"/>
  <c r="K1102"/>
  <c r="M1102" s="1"/>
  <c r="N1056"/>
  <c r="K1056"/>
  <c r="M1056" s="1"/>
  <c r="N1049"/>
  <c r="K1049"/>
  <c r="M1049" s="1"/>
  <c r="N1031"/>
  <c r="K1031"/>
  <c r="M1031" s="1"/>
  <c r="N984"/>
  <c r="K984"/>
  <c r="M984" s="1"/>
  <c r="N975"/>
  <c r="K975"/>
  <c r="M975" s="1"/>
  <c r="N898"/>
  <c r="K898"/>
  <c r="M898" s="1"/>
  <c r="N873"/>
  <c r="K873"/>
  <c r="M873" s="1"/>
  <c r="N860"/>
  <c r="K860"/>
  <c r="M860" s="1"/>
  <c r="N849"/>
  <c r="K849"/>
  <c r="M849" s="1"/>
  <c r="N828"/>
  <c r="K828"/>
  <c r="M828" s="1"/>
  <c r="N805"/>
  <c r="K805"/>
  <c r="M805" s="1"/>
  <c r="N695"/>
  <c r="K695"/>
  <c r="M695" s="1"/>
  <c r="N505"/>
  <c r="K505"/>
  <c r="M505" s="1"/>
  <c r="N419"/>
  <c r="K419"/>
  <c r="M419" s="1"/>
  <c r="N389"/>
  <c r="K389"/>
  <c r="M389" s="1"/>
  <c r="N272"/>
  <c r="K272"/>
  <c r="M272" s="1"/>
  <c r="N131"/>
  <c r="K131"/>
  <c r="M131" s="1"/>
  <c r="N96"/>
  <c r="K96"/>
  <c r="M96" s="1"/>
  <c r="N22"/>
  <c r="K22"/>
  <c r="M22" s="1"/>
  <c r="N1153"/>
  <c r="K1153"/>
  <c r="M1153" s="1"/>
  <c r="N969"/>
  <c r="K969"/>
  <c r="M969" s="1"/>
  <c r="N951"/>
  <c r="K951"/>
  <c r="M951" s="1"/>
  <c r="N842"/>
  <c r="K842"/>
  <c r="M842" s="1"/>
  <c r="N757"/>
  <c r="K757"/>
  <c r="M757" s="1"/>
  <c r="N681"/>
  <c r="K681"/>
  <c r="M681" s="1"/>
  <c r="N625"/>
  <c r="K625"/>
  <c r="M625" s="1"/>
  <c r="N517"/>
  <c r="K517"/>
  <c r="M517" s="1"/>
  <c r="N441"/>
  <c r="K441"/>
  <c r="M441" s="1"/>
  <c r="N301"/>
  <c r="K301"/>
  <c r="M301" s="1"/>
  <c r="N130"/>
  <c r="K130"/>
  <c r="M130" s="1"/>
  <c r="N74"/>
  <c r="K74"/>
  <c r="M74" s="1"/>
  <c r="N1214"/>
  <c r="K1214"/>
  <c r="M1214" s="1"/>
  <c r="N1195"/>
  <c r="K1195"/>
  <c r="M1195" s="1"/>
  <c r="N1189"/>
  <c r="K1189"/>
  <c r="M1189" s="1"/>
  <c r="N1175"/>
  <c r="K1175"/>
  <c r="M1175" s="1"/>
  <c r="N1165"/>
  <c r="K1165"/>
  <c r="M1165" s="1"/>
  <c r="N1127"/>
  <c r="K1127"/>
  <c r="M1127" s="1"/>
  <c r="N1108"/>
  <c r="K1108"/>
  <c r="M1108" s="1"/>
  <c r="N1101"/>
  <c r="K1101"/>
  <c r="M1101" s="1"/>
  <c r="N1055"/>
  <c r="K1055"/>
  <c r="M1055" s="1"/>
  <c r="N1048"/>
  <c r="K1048"/>
  <c r="M1048" s="1"/>
  <c r="N1030"/>
  <c r="K1030"/>
  <c r="M1030" s="1"/>
  <c r="N1011"/>
  <c r="K1011"/>
  <c r="M1011" s="1"/>
  <c r="N990"/>
  <c r="K990"/>
  <c r="M990" s="1"/>
  <c r="N983"/>
  <c r="K983"/>
  <c r="M983" s="1"/>
  <c r="N965"/>
  <c r="K965"/>
  <c r="M965" s="1"/>
  <c r="N957"/>
  <c r="K957"/>
  <c r="M957" s="1"/>
  <c r="N933"/>
  <c r="K933"/>
  <c r="M933" s="1"/>
  <c r="N925"/>
  <c r="K925"/>
  <c r="M925" s="1"/>
  <c r="N897"/>
  <c r="K897"/>
  <c r="M897" s="1"/>
  <c r="N895"/>
  <c r="K895"/>
  <c r="M895" s="1"/>
  <c r="N892"/>
  <c r="K892"/>
  <c r="M892" s="1"/>
  <c r="N889"/>
  <c r="K889"/>
  <c r="M889" s="1"/>
  <c r="N886"/>
  <c r="K886"/>
  <c r="M886" s="1"/>
  <c r="N879"/>
  <c r="K879"/>
  <c r="M879" s="1"/>
  <c r="N872"/>
  <c r="K872"/>
  <c r="M872" s="1"/>
  <c r="N869"/>
  <c r="K869"/>
  <c r="M869" s="1"/>
  <c r="N859"/>
  <c r="K859"/>
  <c r="M859" s="1"/>
  <c r="N848"/>
  <c r="K848"/>
  <c r="M848" s="1"/>
  <c r="N836"/>
  <c r="K836"/>
  <c r="M836" s="1"/>
  <c r="N826"/>
  <c r="K826"/>
  <c r="M826" s="1"/>
  <c r="N814"/>
  <c r="K814"/>
  <c r="M814" s="1"/>
  <c r="N545"/>
  <c r="K545"/>
  <c r="M545" s="1"/>
  <c r="N527"/>
  <c r="K527"/>
  <c r="M527" s="1"/>
  <c r="N418"/>
  <c r="K418"/>
  <c r="M418" s="1"/>
  <c r="N407"/>
  <c r="K407"/>
  <c r="M407" s="1"/>
  <c r="N388"/>
  <c r="K388"/>
  <c r="M388" s="1"/>
  <c r="N270"/>
  <c r="K270"/>
  <c r="M270" s="1"/>
  <c r="N250"/>
  <c r="N251" s="1"/>
  <c r="K250"/>
  <c r="M250" s="1"/>
  <c r="M251" s="1"/>
  <c r="N239"/>
  <c r="K239"/>
  <c r="M239" s="1"/>
  <c r="N28"/>
  <c r="K28"/>
  <c r="M28" s="1"/>
  <c r="N1152"/>
  <c r="K1152"/>
  <c r="M1152" s="1"/>
  <c r="N1122"/>
  <c r="K1122"/>
  <c r="M1122" s="1"/>
  <c r="N968"/>
  <c r="K968"/>
  <c r="M968" s="1"/>
  <c r="N950"/>
  <c r="K950"/>
  <c r="M950" s="1"/>
  <c r="N924"/>
  <c r="K924"/>
  <c r="M924" s="1"/>
  <c r="N841"/>
  <c r="K841"/>
  <c r="M841" s="1"/>
  <c r="N756"/>
  <c r="K756"/>
  <c r="M756" s="1"/>
  <c r="N592"/>
  <c r="K592"/>
  <c r="M592" s="1"/>
  <c r="N544"/>
  <c r="K544"/>
  <c r="M544" s="1"/>
  <c r="N516"/>
  <c r="K516"/>
  <c r="M516" s="1"/>
  <c r="N485"/>
  <c r="K485"/>
  <c r="M485" s="1"/>
  <c r="N440"/>
  <c r="K440"/>
  <c r="M440" s="1"/>
  <c r="N300"/>
  <c r="K300"/>
  <c r="M300" s="1"/>
  <c r="N238"/>
  <c r="K238"/>
  <c r="M238" s="1"/>
  <c r="N73"/>
  <c r="K73"/>
  <c r="M73" s="1"/>
  <c r="N1213"/>
  <c r="K1213"/>
  <c r="M1213" s="1"/>
  <c r="N1181"/>
  <c r="N1182" s="1"/>
  <c r="K1181"/>
  <c r="M1181" s="1"/>
  <c r="M1182" s="1"/>
  <c r="N1174"/>
  <c r="K1174"/>
  <c r="M1174" s="1"/>
  <c r="N1116"/>
  <c r="K1116"/>
  <c r="M1116" s="1"/>
  <c r="N1107"/>
  <c r="K1107"/>
  <c r="M1107" s="1"/>
  <c r="N1100"/>
  <c r="K1100"/>
  <c r="M1100" s="1"/>
  <c r="N1054"/>
  <c r="K1054"/>
  <c r="M1054" s="1"/>
  <c r="N1029"/>
  <c r="K1029"/>
  <c r="M1029" s="1"/>
  <c r="N1010"/>
  <c r="N1012" s="1"/>
  <c r="K1010"/>
  <c r="M1010" s="1"/>
  <c r="M1012" s="1"/>
  <c r="N989"/>
  <c r="K989"/>
  <c r="M989" s="1"/>
  <c r="N982"/>
  <c r="K982"/>
  <c r="M982" s="1"/>
  <c r="N974"/>
  <c r="K974"/>
  <c r="M974" s="1"/>
  <c r="N964"/>
  <c r="K964"/>
  <c r="M964" s="1"/>
  <c r="N956"/>
  <c r="K956"/>
  <c r="M956" s="1"/>
  <c r="N939"/>
  <c r="K939"/>
  <c r="M939" s="1"/>
  <c r="N932"/>
  <c r="K932"/>
  <c r="M932" s="1"/>
  <c r="N923"/>
  <c r="K923"/>
  <c r="M923" s="1"/>
  <c r="N894"/>
  <c r="K894"/>
  <c r="M894" s="1"/>
  <c r="N891"/>
  <c r="K891"/>
  <c r="M891" s="1"/>
  <c r="N888"/>
  <c r="K888"/>
  <c r="M888" s="1"/>
  <c r="N885"/>
  <c r="K885"/>
  <c r="M885" s="1"/>
  <c r="N878"/>
  <c r="K878"/>
  <c r="M878" s="1"/>
  <c r="N871"/>
  <c r="K871"/>
  <c r="M871" s="1"/>
  <c r="N868"/>
  <c r="K868"/>
  <c r="M868" s="1"/>
  <c r="N847"/>
  <c r="K847"/>
  <c r="M847" s="1"/>
  <c r="N835"/>
  <c r="N837" s="1"/>
  <c r="K835"/>
  <c r="M835" s="1"/>
  <c r="M837" s="1"/>
  <c r="N825"/>
  <c r="N827" s="1"/>
  <c r="K825"/>
  <c r="M825" s="1"/>
  <c r="N813"/>
  <c r="N815" s="1"/>
  <c r="K813"/>
  <c r="M813" s="1"/>
  <c r="M815" s="1"/>
  <c r="N786"/>
  <c r="N787" s="1"/>
  <c r="K786"/>
  <c r="M786" s="1"/>
  <c r="M787" s="1"/>
  <c r="N694"/>
  <c r="N696" s="1"/>
  <c r="K694"/>
  <c r="M694" s="1"/>
  <c r="M696" s="1"/>
  <c r="N686"/>
  <c r="N687" s="1"/>
  <c r="K686"/>
  <c r="M686" s="1"/>
  <c r="M687" s="1"/>
  <c r="N543"/>
  <c r="K543"/>
  <c r="M543" s="1"/>
  <c r="N526"/>
  <c r="K526"/>
  <c r="M526" s="1"/>
  <c r="N524"/>
  <c r="N525" s="1"/>
  <c r="K524"/>
  <c r="M524" s="1"/>
  <c r="M525" s="1"/>
  <c r="N510"/>
  <c r="N511" s="1"/>
  <c r="K510"/>
  <c r="M510" s="1"/>
  <c r="M511" s="1"/>
  <c r="N426"/>
  <c r="N427" s="1"/>
  <c r="K426"/>
  <c r="M426" s="1"/>
  <c r="M427" s="1"/>
  <c r="N417"/>
  <c r="K417"/>
  <c r="M417" s="1"/>
  <c r="N411"/>
  <c r="N412" s="1"/>
  <c r="K411"/>
  <c r="M411" s="1"/>
  <c r="M412" s="1"/>
  <c r="N406"/>
  <c r="K406"/>
  <c r="M406" s="1"/>
  <c r="N402"/>
  <c r="N403" s="1"/>
  <c r="K402"/>
  <c r="M402" s="1"/>
  <c r="M403" s="1"/>
  <c r="N387"/>
  <c r="K387"/>
  <c r="M387" s="1"/>
  <c r="N385"/>
  <c r="N386" s="1"/>
  <c r="K385"/>
  <c r="M385" s="1"/>
  <c r="M386" s="1"/>
  <c r="N381"/>
  <c r="N382" s="1"/>
  <c r="K381"/>
  <c r="M381" s="1"/>
  <c r="M382" s="1"/>
  <c r="N289"/>
  <c r="N290" s="1"/>
  <c r="K289"/>
  <c r="M289" s="1"/>
  <c r="M290" s="1"/>
  <c r="N285"/>
  <c r="N286" s="1"/>
  <c r="K285"/>
  <c r="M285" s="1"/>
  <c r="M286" s="1"/>
  <c r="N269"/>
  <c r="N271" s="1"/>
  <c r="K269"/>
  <c r="M269" s="1"/>
  <c r="M271" s="1"/>
  <c r="N117"/>
  <c r="K117"/>
  <c r="M117" s="1"/>
  <c r="N92"/>
  <c r="N93" s="1"/>
  <c r="K92"/>
  <c r="M92" s="1"/>
  <c r="M93" s="1"/>
  <c r="N27"/>
  <c r="N29" s="1"/>
  <c r="K27"/>
  <c r="M27" s="1"/>
  <c r="M29" s="1"/>
  <c r="N217"/>
  <c r="N218" s="1"/>
  <c r="K217"/>
  <c r="M217" s="1"/>
  <c r="M218" s="1"/>
  <c r="N1151"/>
  <c r="K1151"/>
  <c r="M1151" s="1"/>
  <c r="N1121"/>
  <c r="K1121"/>
  <c r="M1121" s="1"/>
  <c r="N1113"/>
  <c r="K1113"/>
  <c r="M1113" s="1"/>
  <c r="N967"/>
  <c r="K967"/>
  <c r="M967" s="1"/>
  <c r="N949"/>
  <c r="K949"/>
  <c r="M949" s="1"/>
  <c r="N945"/>
  <c r="K945"/>
  <c r="M945" s="1"/>
  <c r="N922"/>
  <c r="K922"/>
  <c r="M922" s="1"/>
  <c r="N856"/>
  <c r="K856"/>
  <c r="M856" s="1"/>
  <c r="N840"/>
  <c r="K840"/>
  <c r="M840" s="1"/>
  <c r="N800"/>
  <c r="N801" s="1"/>
  <c r="K800"/>
  <c r="M800" s="1"/>
  <c r="M801" s="1"/>
  <c r="N798"/>
  <c r="N799" s="1"/>
  <c r="K798"/>
  <c r="M798" s="1"/>
  <c r="M799" s="1"/>
  <c r="N796"/>
  <c r="N797" s="1"/>
  <c r="K796"/>
  <c r="M796" s="1"/>
  <c r="M797" s="1"/>
  <c r="N794"/>
  <c r="N795" s="1"/>
  <c r="K794"/>
  <c r="M794" s="1"/>
  <c r="M795" s="1"/>
  <c r="N792"/>
  <c r="N793" s="1"/>
  <c r="K792"/>
  <c r="M792" s="1"/>
  <c r="M793" s="1"/>
  <c r="N784"/>
  <c r="N785" s="1"/>
  <c r="K784"/>
  <c r="M784" s="1"/>
  <c r="M785" s="1"/>
  <c r="N778"/>
  <c r="N779" s="1"/>
  <c r="K778"/>
  <c r="M778" s="1"/>
  <c r="M779" s="1"/>
  <c r="N776"/>
  <c r="N777" s="1"/>
  <c r="K776"/>
  <c r="M776" s="1"/>
  <c r="M777" s="1"/>
  <c r="N774"/>
  <c r="N775" s="1"/>
  <c r="K774"/>
  <c r="M774" s="1"/>
  <c r="M775" s="1"/>
  <c r="N772"/>
  <c r="N773" s="1"/>
  <c r="K772"/>
  <c r="M772" s="1"/>
  <c r="M773" s="1"/>
  <c r="N764"/>
  <c r="N765" s="1"/>
  <c r="K764"/>
  <c r="M764" s="1"/>
  <c r="M765" s="1"/>
  <c r="N755"/>
  <c r="K755"/>
  <c r="M755" s="1"/>
  <c r="N753"/>
  <c r="N754" s="1"/>
  <c r="K753"/>
  <c r="M753" s="1"/>
  <c r="M754" s="1"/>
  <c r="N702"/>
  <c r="N703" s="1"/>
  <c r="K702"/>
  <c r="M702" s="1"/>
  <c r="M703" s="1"/>
  <c r="N700"/>
  <c r="N701" s="1"/>
  <c r="K700"/>
  <c r="M700" s="1"/>
  <c r="M701" s="1"/>
  <c r="N690"/>
  <c r="N691" s="1"/>
  <c r="K690"/>
  <c r="M690" s="1"/>
  <c r="M691" s="1"/>
  <c r="N688"/>
  <c r="N689" s="1"/>
  <c r="K688"/>
  <c r="M688" s="1"/>
  <c r="M689" s="1"/>
  <c r="N680"/>
  <c r="K680"/>
  <c r="M680" s="1"/>
  <c r="N678"/>
  <c r="N679" s="1"/>
  <c r="K678"/>
  <c r="M678" s="1"/>
  <c r="M679" s="1"/>
  <c r="N676"/>
  <c r="N677" s="1"/>
  <c r="K676"/>
  <c r="M676" s="1"/>
  <c r="M677" s="1"/>
  <c r="N674"/>
  <c r="N675" s="1"/>
  <c r="K674"/>
  <c r="M674" s="1"/>
  <c r="M675" s="1"/>
  <c r="N672"/>
  <c r="N673" s="1"/>
  <c r="K672"/>
  <c r="M672" s="1"/>
  <c r="M673" s="1"/>
  <c r="N670"/>
  <c r="N671" s="1"/>
  <c r="K670"/>
  <c r="M670" s="1"/>
  <c r="M671" s="1"/>
  <c r="N664"/>
  <c r="N665" s="1"/>
  <c r="K664"/>
  <c r="M664" s="1"/>
  <c r="M665" s="1"/>
  <c r="N642"/>
  <c r="N643" s="1"/>
  <c r="K642"/>
  <c r="M642" s="1"/>
  <c r="M643" s="1"/>
  <c r="N640"/>
  <c r="N641" s="1"/>
  <c r="K640"/>
  <c r="M640" s="1"/>
  <c r="M641" s="1"/>
  <c r="N636"/>
  <c r="N637" s="1"/>
  <c r="K636"/>
  <c r="M636" s="1"/>
  <c r="M637" s="1"/>
  <c r="N634"/>
  <c r="N635" s="1"/>
  <c r="K634"/>
  <c r="M634" s="1"/>
  <c r="M635" s="1"/>
  <c r="N623"/>
  <c r="N624" s="1"/>
  <c r="K623"/>
  <c r="M623" s="1"/>
  <c r="M624" s="1"/>
  <c r="N612"/>
  <c r="N613" s="1"/>
  <c r="K612"/>
  <c r="M612" s="1"/>
  <c r="M613" s="1"/>
  <c r="N608"/>
  <c r="N609" s="1"/>
  <c r="K608"/>
  <c r="M608" s="1"/>
  <c r="M609" s="1"/>
  <c r="N602"/>
  <c r="N603" s="1"/>
  <c r="K602"/>
  <c r="M602" s="1"/>
  <c r="M603" s="1"/>
  <c r="N598"/>
  <c r="N599" s="1"/>
  <c r="K598"/>
  <c r="M598" s="1"/>
  <c r="M599" s="1"/>
  <c r="N591"/>
  <c r="K591"/>
  <c r="M591" s="1"/>
  <c r="N589"/>
  <c r="N590" s="1"/>
  <c r="K589"/>
  <c r="M589" s="1"/>
  <c r="M590" s="1"/>
  <c r="N587"/>
  <c r="N588" s="1"/>
  <c r="K587"/>
  <c r="M587" s="1"/>
  <c r="M588" s="1"/>
  <c r="N585"/>
  <c r="N586" s="1"/>
  <c r="K585"/>
  <c r="M585" s="1"/>
  <c r="M586" s="1"/>
  <c r="N561"/>
  <c r="N562" s="1"/>
  <c r="K561"/>
  <c r="M561" s="1"/>
  <c r="M562" s="1"/>
  <c r="N542"/>
  <c r="K542"/>
  <c r="M542" s="1"/>
  <c r="N540"/>
  <c r="N541" s="1"/>
  <c r="K540"/>
  <c r="M540" s="1"/>
  <c r="M541" s="1"/>
  <c r="N537"/>
  <c r="K537"/>
  <c r="M537" s="1"/>
  <c r="N522"/>
  <c r="N523" s="1"/>
  <c r="K522"/>
  <c r="M522" s="1"/>
  <c r="M523" s="1"/>
  <c r="N515"/>
  <c r="K515"/>
  <c r="M515" s="1"/>
  <c r="N503"/>
  <c r="N504" s="1"/>
  <c r="K503"/>
  <c r="M503" s="1"/>
  <c r="M504" s="1"/>
  <c r="N499"/>
  <c r="N500" s="1"/>
  <c r="K499"/>
  <c r="M499" s="1"/>
  <c r="M500" s="1"/>
  <c r="N497"/>
  <c r="N498" s="1"/>
  <c r="K497"/>
  <c r="M497" s="1"/>
  <c r="M498" s="1"/>
  <c r="N493"/>
  <c r="N494" s="1"/>
  <c r="K493"/>
  <c r="M493" s="1"/>
  <c r="M494" s="1"/>
  <c r="N491"/>
  <c r="N492" s="1"/>
  <c r="K491"/>
  <c r="M491" s="1"/>
  <c r="M492" s="1"/>
  <c r="N489"/>
  <c r="N490" s="1"/>
  <c r="K489"/>
  <c r="M489" s="1"/>
  <c r="M490" s="1"/>
  <c r="N487"/>
  <c r="N488" s="1"/>
  <c r="K487"/>
  <c r="M487" s="1"/>
  <c r="M488" s="1"/>
  <c r="N484"/>
  <c r="K484"/>
  <c r="M484" s="1"/>
  <c r="N482"/>
  <c r="N483" s="1"/>
  <c r="K482"/>
  <c r="M482" s="1"/>
  <c r="M483" s="1"/>
  <c r="N462"/>
  <c r="N463" s="1"/>
  <c r="K462"/>
  <c r="M462" s="1"/>
  <c r="M463" s="1"/>
  <c r="N448"/>
  <c r="N449" s="1"/>
  <c r="K448"/>
  <c r="M448" s="1"/>
  <c r="M449" s="1"/>
  <c r="N446"/>
  <c r="N447" s="1"/>
  <c r="K446"/>
  <c r="M446" s="1"/>
  <c r="M447" s="1"/>
  <c r="N439"/>
  <c r="K439"/>
  <c r="M439" s="1"/>
  <c r="N437"/>
  <c r="N438" s="1"/>
  <c r="K437"/>
  <c r="M437" s="1"/>
  <c r="M438" s="1"/>
  <c r="N432"/>
  <c r="N433" s="1"/>
  <c r="K432"/>
  <c r="M432" s="1"/>
  <c r="M433" s="1"/>
  <c r="N424"/>
  <c r="N425" s="1"/>
  <c r="K424"/>
  <c r="M424" s="1"/>
  <c r="M425" s="1"/>
  <c r="N415"/>
  <c r="N416" s="1"/>
  <c r="K415"/>
  <c r="M415" s="1"/>
  <c r="M416" s="1"/>
  <c r="N413"/>
  <c r="N414" s="1"/>
  <c r="K413"/>
  <c r="M413" s="1"/>
  <c r="M414" s="1"/>
  <c r="N404"/>
  <c r="N405" s="1"/>
  <c r="K404"/>
  <c r="M404" s="1"/>
  <c r="M405" s="1"/>
  <c r="N400"/>
  <c r="N401" s="1"/>
  <c r="K400"/>
  <c r="M400" s="1"/>
  <c r="M401" s="1"/>
  <c r="N398"/>
  <c r="N399" s="1"/>
  <c r="K398"/>
  <c r="M398" s="1"/>
  <c r="M399" s="1"/>
  <c r="N394"/>
  <c r="N395" s="1"/>
  <c r="K394"/>
  <c r="M394" s="1"/>
  <c r="M395" s="1"/>
  <c r="N377"/>
  <c r="N378" s="1"/>
  <c r="K377"/>
  <c r="M377" s="1"/>
  <c r="M378" s="1"/>
  <c r="N371"/>
  <c r="N372" s="1"/>
  <c r="K371"/>
  <c r="M371" s="1"/>
  <c r="M372" s="1"/>
  <c r="N321"/>
  <c r="N322" s="1"/>
  <c r="K321"/>
  <c r="M321" s="1"/>
  <c r="M322" s="1"/>
  <c r="N308"/>
  <c r="N309" s="1"/>
  <c r="K308"/>
  <c r="M308" s="1"/>
  <c r="M309" s="1"/>
  <c r="N306"/>
  <c r="N307" s="1"/>
  <c r="K306"/>
  <c r="M306" s="1"/>
  <c r="M307" s="1"/>
  <c r="N299"/>
  <c r="K299"/>
  <c r="M299" s="1"/>
  <c r="N293"/>
  <c r="N294" s="1"/>
  <c r="K293"/>
  <c r="M293" s="1"/>
  <c r="M294" s="1"/>
  <c r="N291"/>
  <c r="N292" s="1"/>
  <c r="K291"/>
  <c r="M291" s="1"/>
  <c r="M292" s="1"/>
  <c r="N287"/>
  <c r="N288" s="1"/>
  <c r="K287"/>
  <c r="M287" s="1"/>
  <c r="M288" s="1"/>
  <c r="N283"/>
  <c r="N284" s="1"/>
  <c r="K283"/>
  <c r="M283" s="1"/>
  <c r="M284" s="1"/>
  <c r="N281"/>
  <c r="N282" s="1"/>
  <c r="K281"/>
  <c r="M281" s="1"/>
  <c r="M282" s="1"/>
  <c r="N279"/>
  <c r="N280" s="1"/>
  <c r="K279"/>
  <c r="M279" s="1"/>
  <c r="M280" s="1"/>
  <c r="N277"/>
  <c r="N278" s="1"/>
  <c r="K277"/>
  <c r="M277" s="1"/>
  <c r="M278" s="1"/>
  <c r="N260"/>
  <c r="N261" s="1"/>
  <c r="K260"/>
  <c r="M260" s="1"/>
  <c r="M261" s="1"/>
  <c r="N258"/>
  <c r="N259" s="1"/>
  <c r="K258"/>
  <c r="M258" s="1"/>
  <c r="M259" s="1"/>
  <c r="N256"/>
  <c r="N257" s="1"/>
  <c r="K256"/>
  <c r="M256" s="1"/>
  <c r="M257" s="1"/>
  <c r="N254"/>
  <c r="N255" s="1"/>
  <c r="K254"/>
  <c r="M254" s="1"/>
  <c r="M255" s="1"/>
  <c r="N252"/>
  <c r="N253" s="1"/>
  <c r="K252"/>
  <c r="M252" s="1"/>
  <c r="M253" s="1"/>
  <c r="N237"/>
  <c r="K237"/>
  <c r="M237" s="1"/>
  <c r="N235"/>
  <c r="N236" s="1"/>
  <c r="K235"/>
  <c r="M235" s="1"/>
  <c r="M236" s="1"/>
  <c r="N231"/>
  <c r="N232" s="1"/>
  <c r="K231"/>
  <c r="M231" s="1"/>
  <c r="M232" s="1"/>
  <c r="N229"/>
  <c r="N230" s="1"/>
  <c r="K229"/>
  <c r="M229" s="1"/>
  <c r="M230" s="1"/>
  <c r="N227"/>
  <c r="N228" s="1"/>
  <c r="K227"/>
  <c r="M227" s="1"/>
  <c r="M228" s="1"/>
  <c r="N225"/>
  <c r="N226" s="1"/>
  <c r="K225"/>
  <c r="M225" s="1"/>
  <c r="M226" s="1"/>
  <c r="N223"/>
  <c r="K223"/>
  <c r="M223" s="1"/>
  <c r="N222"/>
  <c r="K222"/>
  <c r="M222" s="1"/>
  <c r="N211"/>
  <c r="N212" s="1"/>
  <c r="K211"/>
  <c r="M211" s="1"/>
  <c r="M212" s="1"/>
  <c r="N170"/>
  <c r="N171" s="1"/>
  <c r="K170"/>
  <c r="M170" s="1"/>
  <c r="M171" s="1"/>
  <c r="N129"/>
  <c r="K129"/>
  <c r="M129" s="1"/>
  <c r="N127"/>
  <c r="N128" s="1"/>
  <c r="K127"/>
  <c r="M127" s="1"/>
  <c r="M128" s="1"/>
  <c r="N121"/>
  <c r="N122" s="1"/>
  <c r="K121"/>
  <c r="M121" s="1"/>
  <c r="M122" s="1"/>
  <c r="N119"/>
  <c r="N120" s="1"/>
  <c r="K119"/>
  <c r="M119" s="1"/>
  <c r="M120" s="1"/>
  <c r="N116"/>
  <c r="K116"/>
  <c r="M116" s="1"/>
  <c r="N112"/>
  <c r="N113" s="1"/>
  <c r="K112"/>
  <c r="M112" s="1"/>
  <c r="M113" s="1"/>
  <c r="N110"/>
  <c r="N111" s="1"/>
  <c r="K110"/>
  <c r="M110" s="1"/>
  <c r="M111" s="1"/>
  <c r="N108"/>
  <c r="N109" s="1"/>
  <c r="K108"/>
  <c r="M108" s="1"/>
  <c r="M109" s="1"/>
  <c r="N94"/>
  <c r="N95" s="1"/>
  <c r="K94"/>
  <c r="M94" s="1"/>
  <c r="M95" s="1"/>
  <c r="N88"/>
  <c r="N89" s="1"/>
  <c r="K88"/>
  <c r="M88" s="1"/>
  <c r="M89" s="1"/>
  <c r="N86"/>
  <c r="N87" s="1"/>
  <c r="K86"/>
  <c r="M86" s="1"/>
  <c r="M87" s="1"/>
  <c r="N84"/>
  <c r="N85" s="1"/>
  <c r="K84"/>
  <c r="M84" s="1"/>
  <c r="M85" s="1"/>
  <c r="N82"/>
  <c r="N83" s="1"/>
  <c r="K82"/>
  <c r="M82" s="1"/>
  <c r="M83" s="1"/>
  <c r="N80"/>
  <c r="N81" s="1"/>
  <c r="K80"/>
  <c r="M80" s="1"/>
  <c r="M81" s="1"/>
  <c r="N78"/>
  <c r="N79" s="1"/>
  <c r="K78"/>
  <c r="M78" s="1"/>
  <c r="M79" s="1"/>
  <c r="N76"/>
  <c r="N77" s="1"/>
  <c r="K76"/>
  <c r="M76" s="1"/>
  <c r="M77" s="1"/>
  <c r="N72"/>
  <c r="K72"/>
  <c r="M72" s="1"/>
  <c r="N68"/>
  <c r="N69" s="1"/>
  <c r="K68"/>
  <c r="M68" s="1"/>
  <c r="M69" s="1"/>
  <c r="N30"/>
  <c r="N31" s="1"/>
  <c r="K30"/>
  <c r="M30" s="1"/>
  <c r="M31" s="1"/>
  <c r="N17"/>
  <c r="N18" s="1"/>
  <c r="K17"/>
  <c r="M17" s="1"/>
  <c r="M18" s="1"/>
  <c r="N15"/>
  <c r="N16" s="1"/>
  <c r="K15"/>
  <c r="M15" s="1"/>
  <c r="M16" s="1"/>
  <c r="N11"/>
  <c r="N12" s="1"/>
  <c r="K11"/>
  <c r="M11" s="1"/>
  <c r="M12" s="1"/>
  <c r="N9"/>
  <c r="N10" s="1"/>
  <c r="K9"/>
  <c r="M9" s="1"/>
  <c r="M10" s="1"/>
  <c r="N7"/>
  <c r="N8" s="1"/>
  <c r="K7"/>
  <c r="M7" s="1"/>
  <c r="M8" s="1"/>
  <c r="N5"/>
  <c r="K5"/>
  <c r="M5" s="1"/>
  <c r="N177"/>
  <c r="K177"/>
  <c r="M177" s="1"/>
  <c r="N176"/>
  <c r="K176"/>
  <c r="M176" s="1"/>
  <c r="N175"/>
  <c r="K175"/>
  <c r="M175" s="1"/>
  <c r="N174"/>
  <c r="K174"/>
  <c r="M174" s="1"/>
  <c r="N173"/>
  <c r="K173"/>
  <c r="M173" s="1"/>
  <c r="N172"/>
  <c r="K172"/>
  <c r="M172" s="1"/>
  <c r="N751"/>
  <c r="K751"/>
  <c r="M751" s="1"/>
  <c r="N738"/>
  <c r="K738"/>
  <c r="M738" s="1"/>
  <c r="N733"/>
  <c r="K733"/>
  <c r="M733" s="1"/>
  <c r="N726"/>
  <c r="K726"/>
  <c r="M726" s="1"/>
  <c r="N719"/>
  <c r="K719"/>
  <c r="M719" s="1"/>
  <c r="N662"/>
  <c r="K662"/>
  <c r="M662" s="1"/>
  <c r="N655"/>
  <c r="K655"/>
  <c r="M655" s="1"/>
  <c r="N583"/>
  <c r="K583"/>
  <c r="M583" s="1"/>
  <c r="N576"/>
  <c r="K576"/>
  <c r="M576" s="1"/>
  <c r="N476"/>
  <c r="K476"/>
  <c r="M476" s="1"/>
  <c r="N469"/>
  <c r="K469"/>
  <c r="M469" s="1"/>
  <c r="N454"/>
  <c r="K454"/>
  <c r="M454" s="1"/>
  <c r="N362"/>
  <c r="K362"/>
  <c r="M362" s="1"/>
  <c r="N355"/>
  <c r="K355"/>
  <c r="M355" s="1"/>
  <c r="N348"/>
  <c r="K348"/>
  <c r="M348" s="1"/>
  <c r="N341"/>
  <c r="K341"/>
  <c r="M341" s="1"/>
  <c r="N334"/>
  <c r="K334"/>
  <c r="M334" s="1"/>
  <c r="N205"/>
  <c r="N206" s="1"/>
  <c r="K205"/>
  <c r="M205" s="1"/>
  <c r="M206" s="1"/>
  <c r="N203"/>
  <c r="K203"/>
  <c r="M203" s="1"/>
  <c r="N196"/>
  <c r="K196"/>
  <c r="M196" s="1"/>
  <c r="N183"/>
  <c r="K183"/>
  <c r="M183" s="1"/>
  <c r="N164"/>
  <c r="K164"/>
  <c r="M164" s="1"/>
  <c r="N145"/>
  <c r="K145"/>
  <c r="M145" s="1"/>
  <c r="N139"/>
  <c r="N140" s="1"/>
  <c r="K139"/>
  <c r="M139" s="1"/>
  <c r="M140" s="1"/>
  <c r="N137"/>
  <c r="K137"/>
  <c r="M137" s="1"/>
  <c r="N58"/>
  <c r="K58"/>
  <c r="M58" s="1"/>
  <c r="N49"/>
  <c r="K49"/>
  <c r="M49" s="1"/>
  <c r="N40"/>
  <c r="K40"/>
  <c r="M40" s="1"/>
  <c r="N750"/>
  <c r="K750"/>
  <c r="M750" s="1"/>
  <c r="N744"/>
  <c r="K744"/>
  <c r="M744" s="1"/>
  <c r="N737"/>
  <c r="K737"/>
  <c r="M737" s="1"/>
  <c r="N732"/>
  <c r="K732"/>
  <c r="M732" s="1"/>
  <c r="N725"/>
  <c r="K725"/>
  <c r="M725" s="1"/>
  <c r="N718"/>
  <c r="K718"/>
  <c r="M718" s="1"/>
  <c r="N661"/>
  <c r="K661"/>
  <c r="M661" s="1"/>
  <c r="N654"/>
  <c r="K654"/>
  <c r="M654" s="1"/>
  <c r="N648"/>
  <c r="K648"/>
  <c r="M648" s="1"/>
  <c r="N582"/>
  <c r="K582"/>
  <c r="M582" s="1"/>
  <c r="N575"/>
  <c r="K575"/>
  <c r="M575" s="1"/>
  <c r="N475"/>
  <c r="K475"/>
  <c r="M475" s="1"/>
  <c r="N468"/>
  <c r="K468"/>
  <c r="M468" s="1"/>
  <c r="N460"/>
  <c r="K460"/>
  <c r="M460" s="1"/>
  <c r="N453"/>
  <c r="K453"/>
  <c r="M453" s="1"/>
  <c r="N361"/>
  <c r="K361"/>
  <c r="M361" s="1"/>
  <c r="N354"/>
  <c r="K354"/>
  <c r="M354" s="1"/>
  <c r="N347"/>
  <c r="K347"/>
  <c r="M347" s="1"/>
  <c r="N340"/>
  <c r="K340"/>
  <c r="M340" s="1"/>
  <c r="N333"/>
  <c r="K333"/>
  <c r="M333" s="1"/>
  <c r="N202"/>
  <c r="K202"/>
  <c r="M202" s="1"/>
  <c r="N195"/>
  <c r="K195"/>
  <c r="M195" s="1"/>
  <c r="N189"/>
  <c r="K189"/>
  <c r="M189" s="1"/>
  <c r="N182"/>
  <c r="K182"/>
  <c r="M182" s="1"/>
  <c r="N163"/>
  <c r="K163"/>
  <c r="M163" s="1"/>
  <c r="N157"/>
  <c r="K157"/>
  <c r="M157" s="1"/>
  <c r="N151"/>
  <c r="K151"/>
  <c r="M151" s="1"/>
  <c r="N144"/>
  <c r="K144"/>
  <c r="M144" s="1"/>
  <c r="N136"/>
  <c r="K136"/>
  <c r="M136" s="1"/>
  <c r="N64"/>
  <c r="K64"/>
  <c r="M64" s="1"/>
  <c r="N57"/>
  <c r="K57"/>
  <c r="M57" s="1"/>
  <c r="N48"/>
  <c r="K48"/>
  <c r="M48" s="1"/>
  <c r="N39"/>
  <c r="K39"/>
  <c r="M39" s="1"/>
  <c r="N749"/>
  <c r="K749"/>
  <c r="M749" s="1"/>
  <c r="N743"/>
  <c r="K743"/>
  <c r="M743" s="1"/>
  <c r="N736"/>
  <c r="K736"/>
  <c r="M736" s="1"/>
  <c r="N731"/>
  <c r="K731"/>
  <c r="M731" s="1"/>
  <c r="N724"/>
  <c r="K724"/>
  <c r="M724" s="1"/>
  <c r="N717"/>
  <c r="K717"/>
  <c r="M717" s="1"/>
  <c r="N660"/>
  <c r="K660"/>
  <c r="M660" s="1"/>
  <c r="N653"/>
  <c r="K653"/>
  <c r="M653" s="1"/>
  <c r="N647"/>
  <c r="K647"/>
  <c r="M647" s="1"/>
  <c r="N581"/>
  <c r="K581"/>
  <c r="M581" s="1"/>
  <c r="N574"/>
  <c r="K574"/>
  <c r="M574" s="1"/>
  <c r="N563"/>
  <c r="N564" s="1"/>
  <c r="K563"/>
  <c r="M563" s="1"/>
  <c r="M564" s="1"/>
  <c r="N474"/>
  <c r="K474"/>
  <c r="M474" s="1"/>
  <c r="N467"/>
  <c r="K467"/>
  <c r="M467" s="1"/>
  <c r="N459"/>
  <c r="K459"/>
  <c r="M459" s="1"/>
  <c r="N452"/>
  <c r="K452"/>
  <c r="M452" s="1"/>
  <c r="N360"/>
  <c r="K360"/>
  <c r="M360" s="1"/>
  <c r="N353"/>
  <c r="K353"/>
  <c r="M353" s="1"/>
  <c r="N346"/>
  <c r="K346"/>
  <c r="M346" s="1"/>
  <c r="N339"/>
  <c r="K339"/>
  <c r="M339" s="1"/>
  <c r="N332"/>
  <c r="K332"/>
  <c r="M332" s="1"/>
  <c r="N201"/>
  <c r="K201"/>
  <c r="M201" s="1"/>
  <c r="N194"/>
  <c r="K194"/>
  <c r="M194" s="1"/>
  <c r="N188"/>
  <c r="K188"/>
  <c r="M188" s="1"/>
  <c r="N181"/>
  <c r="K181"/>
  <c r="M181" s="1"/>
  <c r="N162"/>
  <c r="K162"/>
  <c r="M162" s="1"/>
  <c r="N156"/>
  <c r="K156"/>
  <c r="M156" s="1"/>
  <c r="N150"/>
  <c r="K150"/>
  <c r="M150" s="1"/>
  <c r="N143"/>
  <c r="K143"/>
  <c r="M143" s="1"/>
  <c r="N135"/>
  <c r="K135"/>
  <c r="M135" s="1"/>
  <c r="N63"/>
  <c r="K63"/>
  <c r="M63" s="1"/>
  <c r="N56"/>
  <c r="K56"/>
  <c r="M56" s="1"/>
  <c r="N47"/>
  <c r="K47"/>
  <c r="M47" s="1"/>
  <c r="N38"/>
  <c r="K38"/>
  <c r="M38" s="1"/>
  <c r="N748"/>
  <c r="K748"/>
  <c r="M748" s="1"/>
  <c r="N742"/>
  <c r="K742"/>
  <c r="M742" s="1"/>
  <c r="N730"/>
  <c r="K730"/>
  <c r="M730" s="1"/>
  <c r="N723"/>
  <c r="K723"/>
  <c r="M723" s="1"/>
  <c r="N716"/>
  <c r="K716"/>
  <c r="M716" s="1"/>
  <c r="N659"/>
  <c r="K659"/>
  <c r="M659" s="1"/>
  <c r="N652"/>
  <c r="K652"/>
  <c r="M652" s="1"/>
  <c r="N646"/>
  <c r="K646"/>
  <c r="M646" s="1"/>
  <c r="N580"/>
  <c r="K580"/>
  <c r="M580" s="1"/>
  <c r="N573"/>
  <c r="K573"/>
  <c r="M573" s="1"/>
  <c r="N473"/>
  <c r="K473"/>
  <c r="M473" s="1"/>
  <c r="N466"/>
  <c r="K466"/>
  <c r="M466" s="1"/>
  <c r="N458"/>
  <c r="K458"/>
  <c r="M458" s="1"/>
  <c r="N451"/>
  <c r="K451"/>
  <c r="M451" s="1"/>
  <c r="N359"/>
  <c r="K359"/>
  <c r="M359" s="1"/>
  <c r="N352"/>
  <c r="K352"/>
  <c r="M352" s="1"/>
  <c r="N345"/>
  <c r="K345"/>
  <c r="M345" s="1"/>
  <c r="N338"/>
  <c r="K338"/>
  <c r="M338" s="1"/>
  <c r="N331"/>
  <c r="K331"/>
  <c r="M331" s="1"/>
  <c r="N200"/>
  <c r="K200"/>
  <c r="M200" s="1"/>
  <c r="N193"/>
  <c r="K193"/>
  <c r="M193" s="1"/>
  <c r="N187"/>
  <c r="K187"/>
  <c r="M187" s="1"/>
  <c r="N180"/>
  <c r="K180"/>
  <c r="M180" s="1"/>
  <c r="N161"/>
  <c r="K161"/>
  <c r="M161" s="1"/>
  <c r="N155"/>
  <c r="K155"/>
  <c r="M155" s="1"/>
  <c r="N149"/>
  <c r="K149"/>
  <c r="M149" s="1"/>
  <c r="N142"/>
  <c r="K142"/>
  <c r="M142" s="1"/>
  <c r="N134"/>
  <c r="K134"/>
  <c r="M134" s="1"/>
  <c r="N62"/>
  <c r="K62"/>
  <c r="M62" s="1"/>
  <c r="N55"/>
  <c r="K55"/>
  <c r="M55" s="1"/>
  <c r="N46"/>
  <c r="K46"/>
  <c r="M46" s="1"/>
  <c r="N37"/>
  <c r="K37"/>
  <c r="M37" s="1"/>
  <c r="N747"/>
  <c r="K747"/>
  <c r="M747" s="1"/>
  <c r="N741"/>
  <c r="K741"/>
  <c r="M741" s="1"/>
  <c r="N729"/>
  <c r="K729"/>
  <c r="M729" s="1"/>
  <c r="N722"/>
  <c r="K722"/>
  <c r="M722" s="1"/>
  <c r="N658"/>
  <c r="K658"/>
  <c r="M658" s="1"/>
  <c r="N651"/>
  <c r="K651"/>
  <c r="M651" s="1"/>
  <c r="N645"/>
  <c r="K645"/>
  <c r="M645" s="1"/>
  <c r="N579"/>
  <c r="K579"/>
  <c r="M579" s="1"/>
  <c r="N572"/>
  <c r="K572"/>
  <c r="M572" s="1"/>
  <c r="N472"/>
  <c r="K472"/>
  <c r="M472" s="1"/>
  <c r="N465"/>
  <c r="K465"/>
  <c r="M465" s="1"/>
  <c r="N457"/>
  <c r="K457"/>
  <c r="M457" s="1"/>
  <c r="N358"/>
  <c r="K358"/>
  <c r="M358" s="1"/>
  <c r="N351"/>
  <c r="K351"/>
  <c r="M351" s="1"/>
  <c r="N344"/>
  <c r="K344"/>
  <c r="M344" s="1"/>
  <c r="N337"/>
  <c r="K337"/>
  <c r="M337" s="1"/>
  <c r="N330"/>
  <c r="K330"/>
  <c r="M330" s="1"/>
  <c r="N199"/>
  <c r="K199"/>
  <c r="M199" s="1"/>
  <c r="N192"/>
  <c r="K192"/>
  <c r="M192" s="1"/>
  <c r="N186"/>
  <c r="K186"/>
  <c r="M186" s="1"/>
  <c r="N160"/>
  <c r="K160"/>
  <c r="M160" s="1"/>
  <c r="N154"/>
  <c r="K154"/>
  <c r="M154" s="1"/>
  <c r="N148"/>
  <c r="K148"/>
  <c r="M148" s="1"/>
  <c r="N133"/>
  <c r="K133"/>
  <c r="M133" s="1"/>
  <c r="N61"/>
  <c r="K61"/>
  <c r="M61" s="1"/>
  <c r="N54"/>
  <c r="K54"/>
  <c r="M54" s="1"/>
  <c r="N45"/>
  <c r="K45"/>
  <c r="M45" s="1"/>
  <c r="N36"/>
  <c r="K36"/>
  <c r="M36" s="1"/>
  <c r="N33"/>
  <c r="K33"/>
  <c r="M33" s="1"/>
  <c r="N746"/>
  <c r="K746"/>
  <c r="M746" s="1"/>
  <c r="N740"/>
  <c r="K740"/>
  <c r="M740" s="1"/>
  <c r="N735"/>
  <c r="K735"/>
  <c r="M735" s="1"/>
  <c r="N728"/>
  <c r="K728"/>
  <c r="M728" s="1"/>
  <c r="N721"/>
  <c r="K721"/>
  <c r="M721" s="1"/>
  <c r="N715"/>
  <c r="K715"/>
  <c r="M715" s="1"/>
  <c r="N713"/>
  <c r="N714" s="1"/>
  <c r="K713"/>
  <c r="M713" s="1"/>
  <c r="M714" s="1"/>
  <c r="N657"/>
  <c r="K657"/>
  <c r="M657" s="1"/>
  <c r="N650"/>
  <c r="K650"/>
  <c r="M650" s="1"/>
  <c r="N644"/>
  <c r="K644"/>
  <c r="M644" s="1"/>
  <c r="N578"/>
  <c r="K578"/>
  <c r="M578" s="1"/>
  <c r="N571"/>
  <c r="K571"/>
  <c r="M571" s="1"/>
  <c r="N569"/>
  <c r="N570" s="1"/>
  <c r="K569"/>
  <c r="M569" s="1"/>
  <c r="M570" s="1"/>
  <c r="N567"/>
  <c r="N568" s="1"/>
  <c r="K567"/>
  <c r="M567" s="1"/>
  <c r="M568" s="1"/>
  <c r="N565"/>
  <c r="N566" s="1"/>
  <c r="K565"/>
  <c r="M565" s="1"/>
  <c r="M566" s="1"/>
  <c r="N471"/>
  <c r="K471"/>
  <c r="M471" s="1"/>
  <c r="N464"/>
  <c r="K464"/>
  <c r="M464" s="1"/>
  <c r="N456"/>
  <c r="K456"/>
  <c r="M456" s="1"/>
  <c r="N450"/>
  <c r="K450"/>
  <c r="M450" s="1"/>
  <c r="N357"/>
  <c r="K357"/>
  <c r="M357" s="1"/>
  <c r="N350"/>
  <c r="K350"/>
  <c r="M350" s="1"/>
  <c r="N343"/>
  <c r="K343"/>
  <c r="M343" s="1"/>
  <c r="N336"/>
  <c r="K336"/>
  <c r="M336" s="1"/>
  <c r="N329"/>
  <c r="K329"/>
  <c r="M329" s="1"/>
  <c r="N207"/>
  <c r="N208" s="1"/>
  <c r="K207"/>
  <c r="M207" s="1"/>
  <c r="M208" s="1"/>
  <c r="N198"/>
  <c r="K198"/>
  <c r="M198" s="1"/>
  <c r="N191"/>
  <c r="K191"/>
  <c r="M191" s="1"/>
  <c r="N185"/>
  <c r="K185"/>
  <c r="M185" s="1"/>
  <c r="N179"/>
  <c r="K179"/>
  <c r="M179" s="1"/>
  <c r="N168"/>
  <c r="N169" s="1"/>
  <c r="K168"/>
  <c r="M168" s="1"/>
  <c r="M169" s="1"/>
  <c r="N166"/>
  <c r="N167" s="1"/>
  <c r="K166"/>
  <c r="M166" s="1"/>
  <c r="M167" s="1"/>
  <c r="N159"/>
  <c r="K159"/>
  <c r="M159" s="1"/>
  <c r="N153"/>
  <c r="K153"/>
  <c r="M153" s="1"/>
  <c r="N147"/>
  <c r="K147"/>
  <c r="M147" s="1"/>
  <c r="N141"/>
  <c r="K141"/>
  <c r="M141" s="1"/>
  <c r="N66"/>
  <c r="N67" s="1"/>
  <c r="K66"/>
  <c r="M66" s="1"/>
  <c r="M67" s="1"/>
  <c r="N60"/>
  <c r="K60"/>
  <c r="M60" s="1"/>
  <c r="N53"/>
  <c r="K53"/>
  <c r="M53" s="1"/>
  <c r="N51"/>
  <c r="N52" s="1"/>
  <c r="K51"/>
  <c r="M51" s="1"/>
  <c r="M52" s="1"/>
  <c r="N44"/>
  <c r="K44"/>
  <c r="M44" s="1"/>
  <c r="N42"/>
  <c r="N43" s="1"/>
  <c r="K42"/>
  <c r="M42" s="1"/>
  <c r="M43" s="1"/>
  <c r="N35"/>
  <c r="K35"/>
  <c r="M35" s="1"/>
  <c r="N32"/>
  <c r="K32"/>
  <c r="M32" s="1"/>
  <c r="P837" i="1"/>
  <c r="P838"/>
  <c r="P839"/>
  <c r="P840"/>
  <c r="P841"/>
  <c r="P842"/>
  <c r="P843"/>
  <c r="P844"/>
  <c r="P845"/>
  <c r="P846"/>
  <c r="P847"/>
  <c r="P848"/>
  <c r="P849"/>
  <c r="P850"/>
  <c r="P851"/>
  <c r="P852"/>
  <c r="P853"/>
  <c r="P854"/>
  <c r="P855"/>
  <c r="P856"/>
  <c r="P857"/>
  <c r="P858"/>
  <c r="P859"/>
  <c r="P860"/>
  <c r="P861"/>
  <c r="P862"/>
  <c r="P863"/>
  <c r="P864"/>
  <c r="P865"/>
  <c r="P866"/>
  <c r="P867"/>
  <c r="P868"/>
  <c r="P869"/>
  <c r="P870"/>
  <c r="P871"/>
  <c r="P872"/>
  <c r="P873"/>
  <c r="P874"/>
  <c r="P875"/>
  <c r="P876"/>
  <c r="P877"/>
  <c r="P878"/>
  <c r="P879"/>
  <c r="P880"/>
  <c r="P881"/>
  <c r="P882"/>
  <c r="P883"/>
  <c r="P884"/>
  <c r="P885"/>
  <c r="P886"/>
  <c r="P887"/>
  <c r="P888"/>
  <c r="P889"/>
  <c r="P890"/>
  <c r="P891"/>
  <c r="P892"/>
  <c r="P893"/>
  <c r="P894"/>
  <c r="P895"/>
  <c r="P896"/>
  <c r="P897"/>
  <c r="P898"/>
  <c r="P899"/>
  <c r="P902"/>
  <c r="P903"/>
  <c r="P904"/>
  <c r="P905"/>
  <c r="P906"/>
  <c r="P907"/>
  <c r="P908"/>
  <c r="P909"/>
  <c r="P910"/>
  <c r="P911"/>
  <c r="P912"/>
  <c r="P913"/>
  <c r="P914"/>
  <c r="P915"/>
  <c r="P916"/>
  <c r="P917"/>
  <c r="P919"/>
  <c r="P920"/>
  <c r="P921"/>
  <c r="P922"/>
  <c r="P923"/>
  <c r="P924"/>
  <c r="P925"/>
  <c r="P926"/>
  <c r="P927"/>
  <c r="P928"/>
  <c r="P929"/>
  <c r="P836"/>
  <c r="P543"/>
  <c r="P544"/>
  <c r="P545"/>
  <c r="P546"/>
  <c r="P547"/>
  <c r="P548"/>
  <c r="P549"/>
  <c r="P550"/>
  <c r="P551"/>
  <c r="P552"/>
  <c r="P553"/>
  <c r="P554"/>
  <c r="P555"/>
  <c r="P556"/>
  <c r="P557"/>
  <c r="P558"/>
  <c r="P559"/>
  <c r="P560"/>
  <c r="P561"/>
  <c r="P562"/>
  <c r="P563"/>
  <c r="P564"/>
  <c r="P565"/>
  <c r="P566"/>
  <c r="P567"/>
  <c r="P568"/>
  <c r="P569"/>
  <c r="P570"/>
  <c r="P571"/>
  <c r="P572"/>
  <c r="P573"/>
  <c r="P574"/>
  <c r="P575"/>
  <c r="P576"/>
  <c r="P577"/>
  <c r="P578"/>
  <c r="P579"/>
  <c r="P580"/>
  <c r="P581"/>
  <c r="P582"/>
  <c r="P583"/>
  <c r="P584"/>
  <c r="P585"/>
  <c r="P586"/>
  <c r="P587"/>
  <c r="P588"/>
  <c r="P589"/>
  <c r="P590"/>
  <c r="P591"/>
  <c r="P592"/>
  <c r="P593"/>
  <c r="P594"/>
  <c r="P595"/>
  <c r="P596"/>
  <c r="P597"/>
  <c r="P598"/>
  <c r="P599"/>
  <c r="P600"/>
  <c r="P601"/>
  <c r="P602"/>
  <c r="P603"/>
  <c r="P604"/>
  <c r="P605"/>
  <c r="P606"/>
  <c r="P607"/>
  <c r="P608"/>
  <c r="P609"/>
  <c r="P610"/>
  <c r="P611"/>
  <c r="P612"/>
  <c r="P613"/>
  <c r="P614"/>
  <c r="P615"/>
  <c r="P616"/>
  <c r="P617"/>
  <c r="P618"/>
  <c r="P619"/>
  <c r="P620"/>
  <c r="P621"/>
  <c r="P622"/>
  <c r="P623"/>
  <c r="P624"/>
  <c r="P625"/>
  <c r="P626"/>
  <c r="P627"/>
  <c r="P628"/>
  <c r="P629"/>
  <c r="P630"/>
  <c r="P631"/>
  <c r="P632"/>
  <c r="P633"/>
  <c r="P634"/>
  <c r="P635"/>
  <c r="P636"/>
  <c r="P637"/>
  <c r="P638"/>
  <c r="P639"/>
  <c r="P640"/>
  <c r="P641"/>
  <c r="P642"/>
  <c r="P643"/>
  <c r="P644"/>
  <c r="P645"/>
  <c r="P646"/>
  <c r="P647"/>
  <c r="P648"/>
  <c r="P649"/>
  <c r="P650"/>
  <c r="P651"/>
  <c r="P652"/>
  <c r="P653"/>
  <c r="P654"/>
  <c r="P655"/>
  <c r="P656"/>
  <c r="P657"/>
  <c r="P658"/>
  <c r="P659"/>
  <c r="P660"/>
  <c r="P661"/>
  <c r="P662"/>
  <c r="P663"/>
  <c r="P664"/>
  <c r="P665"/>
  <c r="P666"/>
  <c r="P667"/>
  <c r="P668"/>
  <c r="P669"/>
  <c r="P670"/>
  <c r="P671"/>
  <c r="P672"/>
  <c r="P673"/>
  <c r="P674"/>
  <c r="P675"/>
  <c r="P676"/>
  <c r="P677"/>
  <c r="P678"/>
  <c r="P679"/>
  <c r="P680"/>
  <c r="P681"/>
  <c r="P682"/>
  <c r="P683"/>
  <c r="P684"/>
  <c r="P685"/>
  <c r="P686"/>
  <c r="P687"/>
  <c r="P688"/>
  <c r="P689"/>
  <c r="P690"/>
  <c r="P691"/>
  <c r="P692"/>
  <c r="P693"/>
  <c r="P694"/>
  <c r="P695"/>
  <c r="P696"/>
  <c r="P697"/>
  <c r="P698"/>
  <c r="P699"/>
  <c r="P700"/>
  <c r="P701"/>
  <c r="P702"/>
  <c r="P542"/>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6"/>
  <c r="P207"/>
  <c r="P208"/>
  <c r="P209"/>
  <c r="P210"/>
  <c r="P211"/>
  <c r="P143"/>
  <c r="P144"/>
  <c r="P145"/>
  <c r="P146"/>
  <c r="P147"/>
  <c r="P148"/>
  <c r="P149"/>
  <c r="P150"/>
  <c r="P151"/>
  <c r="P142"/>
  <c r="M616" i="26" l="1"/>
  <c r="M827"/>
  <c r="M1000"/>
  <c r="M948"/>
  <c r="M1281"/>
  <c r="M699"/>
  <c r="M921"/>
  <c r="N995"/>
  <c r="M59"/>
  <c r="N65"/>
  <c r="M152"/>
  <c r="N158"/>
  <c r="N184"/>
  <c r="M204"/>
  <c r="M649"/>
  <c r="M745"/>
  <c r="N752"/>
  <c r="M75"/>
  <c r="N539"/>
  <c r="M595"/>
  <c r="N948"/>
  <c r="M1115"/>
  <c r="M528"/>
  <c r="N870"/>
  <c r="M887"/>
  <c r="N890"/>
  <c r="M966"/>
  <c r="M1112"/>
  <c r="N1120"/>
  <c r="M1219"/>
  <c r="N903"/>
  <c r="M1106"/>
  <c r="N1194"/>
  <c r="M26"/>
  <c r="N100"/>
  <c r="M809"/>
  <c r="N1144"/>
  <c r="M265"/>
  <c r="M1144"/>
  <c r="N1164"/>
  <c r="N1238"/>
  <c r="M1274"/>
  <c r="M1247"/>
  <c r="M1297"/>
  <c r="M247"/>
  <c r="M436"/>
  <c r="M822"/>
  <c r="N981"/>
  <c r="N1064"/>
  <c r="N268"/>
  <c r="N21"/>
  <c r="M1019"/>
  <c r="M1099"/>
  <c r="N1139"/>
  <c r="M1004"/>
  <c r="N1023"/>
  <c r="M105"/>
  <c r="N221"/>
  <c r="M944"/>
  <c r="M992"/>
  <c r="M1208"/>
  <c r="N1212"/>
  <c r="N1231"/>
  <c r="M906"/>
  <c r="N955"/>
  <c r="M1227"/>
  <c r="M1290"/>
  <c r="N620"/>
  <c r="N607"/>
  <c r="N1287"/>
  <c r="N34"/>
  <c r="M50"/>
  <c r="N146"/>
  <c r="M190"/>
  <c r="N197"/>
  <c r="N342"/>
  <c r="M477"/>
  <c r="M34"/>
  <c r="N138"/>
  <c r="M752"/>
  <c r="M240"/>
  <c r="N305"/>
  <c r="M761"/>
  <c r="M846"/>
  <c r="M893"/>
  <c r="M941"/>
  <c r="M1060"/>
  <c r="M1180"/>
  <c r="M1126"/>
  <c r="M870"/>
  <c r="M1053"/>
  <c r="M710"/>
  <c r="M832"/>
  <c r="M903"/>
  <c r="M963"/>
  <c r="M1204"/>
  <c r="N1265"/>
  <c r="N867"/>
  <c r="M1238"/>
  <c r="M21"/>
  <c r="N370"/>
  <c r="M1071"/>
  <c r="N1074"/>
  <c r="N1026"/>
  <c r="N320"/>
  <c r="N328"/>
  <c r="M268"/>
  <c r="M221"/>
  <c r="M41"/>
  <c r="M349"/>
  <c r="N356"/>
  <c r="M461"/>
  <c r="N470"/>
  <c r="N656"/>
  <c r="M720"/>
  <c r="N727"/>
  <c r="M656"/>
  <c r="M65"/>
  <c r="M165"/>
  <c r="M739"/>
  <c r="M178"/>
  <c r="M118"/>
  <c r="M132"/>
  <c r="M685"/>
  <c r="M926"/>
  <c r="N1126"/>
  <c r="M393"/>
  <c r="M423"/>
  <c r="M853"/>
  <c r="N934"/>
  <c r="N977"/>
  <c r="N1035"/>
  <c r="N864"/>
  <c r="N629"/>
  <c r="N832"/>
  <c r="N1150"/>
  <c r="N276"/>
  <c r="M509"/>
  <c r="M938"/>
  <c r="M1194"/>
  <c r="M1212"/>
  <c r="M1231"/>
  <c r="N929"/>
  <c r="M955"/>
  <c r="N1234"/>
  <c r="N1281"/>
  <c r="M1223"/>
  <c r="N105"/>
  <c r="M620"/>
  <c r="M1047"/>
  <c r="N550"/>
  <c r="N699"/>
  <c r="M917"/>
  <c r="N1081"/>
  <c r="M1150"/>
  <c r="M981"/>
  <c r="M1023"/>
  <c r="N560"/>
  <c r="N534"/>
  <c r="M607"/>
  <c r="N783"/>
  <c r="M1188"/>
  <c r="N921"/>
  <c r="M1287"/>
  <c r="N313"/>
  <c r="N884"/>
  <c r="M1253"/>
  <c r="N41"/>
  <c r="M342"/>
  <c r="N349"/>
  <c r="M455"/>
  <c r="N461"/>
  <c r="M584"/>
  <c r="N50"/>
  <c r="M138"/>
  <c r="M727"/>
  <c r="N118"/>
  <c r="M305"/>
  <c r="M486"/>
  <c r="M858"/>
  <c r="N926"/>
  <c r="M973"/>
  <c r="N393"/>
  <c r="N528"/>
  <c r="M880"/>
  <c r="M934"/>
  <c r="M1170"/>
  <c r="M864"/>
  <c r="N265"/>
  <c r="M910"/>
  <c r="M1265"/>
  <c r="M867"/>
  <c r="N1247"/>
  <c r="M1270"/>
  <c r="N1297"/>
  <c r="N812"/>
  <c r="M929"/>
  <c r="N1173"/>
  <c r="N1284"/>
  <c r="N436"/>
  <c r="M1074"/>
  <c r="N706"/>
  <c r="M1081"/>
  <c r="M1009"/>
  <c r="M1093"/>
  <c r="N1188"/>
  <c r="M550"/>
  <c r="M783"/>
  <c r="N791"/>
  <c r="M313"/>
  <c r="N152"/>
  <c r="N204"/>
  <c r="N720"/>
  <c r="M521"/>
  <c r="N595"/>
  <c r="N685"/>
  <c r="N1115"/>
  <c r="N423"/>
  <c r="N887"/>
  <c r="M896"/>
  <c r="N966"/>
  <c r="N1112"/>
  <c r="N809"/>
  <c r="M335"/>
  <c r="M363"/>
  <c r="N455"/>
  <c r="M577"/>
  <c r="N584"/>
  <c r="M663"/>
  <c r="M734"/>
  <c r="N739"/>
  <c r="N224"/>
  <c r="M445"/>
  <c r="N486"/>
  <c r="N521"/>
  <c r="N546"/>
  <c r="N858"/>
  <c r="M952"/>
  <c r="N973"/>
  <c r="M1157"/>
  <c r="M410"/>
  <c r="M877"/>
  <c r="N880"/>
  <c r="N896"/>
  <c r="N959"/>
  <c r="M988"/>
  <c r="N992"/>
  <c r="N1106"/>
  <c r="M1132"/>
  <c r="N1170"/>
  <c r="M1200"/>
  <c r="M1164"/>
  <c r="N910"/>
  <c r="N1208"/>
  <c r="N1227"/>
  <c r="M1242"/>
  <c r="M812"/>
  <c r="N906"/>
  <c r="M1173"/>
  <c r="N1242"/>
  <c r="N1270"/>
  <c r="M1284"/>
  <c r="N1290"/>
  <c r="N243"/>
  <c r="M1026"/>
  <c r="M320"/>
  <c r="M560"/>
  <c r="M706"/>
  <c r="M1088"/>
  <c r="M328"/>
  <c r="N1009"/>
  <c r="N1093"/>
  <c r="M791"/>
  <c r="N1256"/>
  <c r="N6"/>
  <c r="M158"/>
  <c r="N165"/>
  <c r="M184"/>
  <c r="N190"/>
  <c r="N577"/>
  <c r="N663"/>
  <c r="N734"/>
  <c r="N445"/>
  <c r="N952"/>
  <c r="N1157"/>
  <c r="N410"/>
  <c r="N877"/>
  <c r="N988"/>
  <c r="N1053"/>
  <c r="N1132"/>
  <c r="N1200"/>
  <c r="M6"/>
  <c r="N59"/>
  <c r="M146"/>
  <c r="M197"/>
  <c r="N649"/>
  <c r="N745"/>
  <c r="N75"/>
  <c r="N132"/>
  <c r="M224"/>
  <c r="M546"/>
  <c r="N853"/>
  <c r="M959"/>
  <c r="N1219"/>
  <c r="N26"/>
  <c r="M276"/>
  <c r="N938"/>
  <c r="N1274"/>
  <c r="M243"/>
  <c r="N247"/>
  <c r="M370"/>
  <c r="N822"/>
  <c r="N1047"/>
  <c r="N917"/>
  <c r="N1088"/>
  <c r="N1019"/>
  <c r="N1099"/>
  <c r="N1004"/>
  <c r="M1256"/>
  <c r="N944"/>
  <c r="J1304"/>
  <c r="N335"/>
  <c r="M356"/>
  <c r="N363"/>
  <c r="M470"/>
  <c r="N477"/>
  <c r="N178"/>
  <c r="N240"/>
  <c r="M539"/>
  <c r="N761"/>
  <c r="N846"/>
  <c r="M890"/>
  <c r="N893"/>
  <c r="N941"/>
  <c r="M977"/>
  <c r="M1035"/>
  <c r="N1060"/>
  <c r="M1120"/>
  <c r="N1180"/>
  <c r="M629"/>
  <c r="M100"/>
  <c r="N509"/>
  <c r="M534"/>
  <c r="N710"/>
  <c r="N963"/>
  <c r="N1204"/>
  <c r="N1223"/>
  <c r="M1234"/>
  <c r="M1064"/>
  <c r="N1071"/>
  <c r="N1000"/>
  <c r="M1139"/>
  <c r="M884"/>
  <c r="N1253"/>
  <c r="C8" i="15"/>
  <c r="M1304" i="26" l="1"/>
  <c r="N1304"/>
  <c r="I159" i="4"/>
  <c r="M177" i="1"/>
  <c r="M178"/>
  <c r="M620"/>
  <c r="M696"/>
  <c r="M697"/>
  <c r="M698"/>
  <c r="M699"/>
  <c r="M700"/>
  <c r="N776" i="13" l="1"/>
  <c r="N784"/>
  <c r="N792"/>
  <c r="N800"/>
  <c r="N808"/>
  <c r="N816"/>
  <c r="N824"/>
  <c r="N832"/>
  <c r="N840"/>
  <c r="N848"/>
  <c r="N856"/>
  <c r="N864"/>
  <c r="N872"/>
  <c r="N880"/>
  <c r="N888"/>
  <c r="N896"/>
  <c r="N904"/>
  <c r="N912"/>
  <c r="N920"/>
  <c r="L771"/>
  <c r="N771" s="1"/>
  <c r="L772"/>
  <c r="N772" s="1"/>
  <c r="L773"/>
  <c r="N773" s="1"/>
  <c r="L774"/>
  <c r="N774" s="1"/>
  <c r="L775"/>
  <c r="N775" s="1"/>
  <c r="L776"/>
  <c r="L777"/>
  <c r="N777" s="1"/>
  <c r="L778"/>
  <c r="N778" s="1"/>
  <c r="L779"/>
  <c r="N779" s="1"/>
  <c r="L780"/>
  <c r="N780" s="1"/>
  <c r="L781"/>
  <c r="N781" s="1"/>
  <c r="L782"/>
  <c r="N782" s="1"/>
  <c r="L783"/>
  <c r="N783" s="1"/>
  <c r="L784"/>
  <c r="L785"/>
  <c r="N785" s="1"/>
  <c r="L786"/>
  <c r="N786" s="1"/>
  <c r="L787"/>
  <c r="N787" s="1"/>
  <c r="L788"/>
  <c r="N788" s="1"/>
  <c r="L789"/>
  <c r="N789" s="1"/>
  <c r="L790"/>
  <c r="N790" s="1"/>
  <c r="L791"/>
  <c r="N791" s="1"/>
  <c r="L792"/>
  <c r="L793"/>
  <c r="N793" s="1"/>
  <c r="L794"/>
  <c r="N794" s="1"/>
  <c r="L795"/>
  <c r="N795" s="1"/>
  <c r="L796"/>
  <c r="N796" s="1"/>
  <c r="L797"/>
  <c r="N797" s="1"/>
  <c r="L798"/>
  <c r="N798" s="1"/>
  <c r="L799"/>
  <c r="N799" s="1"/>
  <c r="L800"/>
  <c r="L801"/>
  <c r="N801" s="1"/>
  <c r="L802"/>
  <c r="N802" s="1"/>
  <c r="L803"/>
  <c r="N803" s="1"/>
  <c r="L804"/>
  <c r="N804" s="1"/>
  <c r="L805"/>
  <c r="N805" s="1"/>
  <c r="L806"/>
  <c r="N806" s="1"/>
  <c r="L807"/>
  <c r="N807" s="1"/>
  <c r="L808"/>
  <c r="L809"/>
  <c r="N809" s="1"/>
  <c r="L810"/>
  <c r="N810" s="1"/>
  <c r="L811"/>
  <c r="N811" s="1"/>
  <c r="L812"/>
  <c r="N812" s="1"/>
  <c r="L813"/>
  <c r="N813" s="1"/>
  <c r="L814"/>
  <c r="N814" s="1"/>
  <c r="L815"/>
  <c r="N815" s="1"/>
  <c r="L816"/>
  <c r="L817"/>
  <c r="N817" s="1"/>
  <c r="L818"/>
  <c r="N818" s="1"/>
  <c r="L819"/>
  <c r="N819" s="1"/>
  <c r="L820"/>
  <c r="N820" s="1"/>
  <c r="L821"/>
  <c r="N821" s="1"/>
  <c r="L822"/>
  <c r="N822" s="1"/>
  <c r="L823"/>
  <c r="N823" s="1"/>
  <c r="L824"/>
  <c r="L825"/>
  <c r="N825" s="1"/>
  <c r="L826"/>
  <c r="N826" s="1"/>
  <c r="L827"/>
  <c r="N827" s="1"/>
  <c r="L828"/>
  <c r="N828" s="1"/>
  <c r="L829"/>
  <c r="N829" s="1"/>
  <c r="L830"/>
  <c r="N830" s="1"/>
  <c r="L831"/>
  <c r="N831" s="1"/>
  <c r="L832"/>
  <c r="L833"/>
  <c r="N833" s="1"/>
  <c r="L834"/>
  <c r="N834" s="1"/>
  <c r="L835"/>
  <c r="N835" s="1"/>
  <c r="L836"/>
  <c r="N836" s="1"/>
  <c r="L837"/>
  <c r="N837" s="1"/>
  <c r="L838"/>
  <c r="N838" s="1"/>
  <c r="L839"/>
  <c r="N839" s="1"/>
  <c r="L840"/>
  <c r="L841"/>
  <c r="N841" s="1"/>
  <c r="L842"/>
  <c r="N842" s="1"/>
  <c r="L843"/>
  <c r="N843" s="1"/>
  <c r="L844"/>
  <c r="N844" s="1"/>
  <c r="L845"/>
  <c r="N845" s="1"/>
  <c r="L846"/>
  <c r="N846" s="1"/>
  <c r="L847"/>
  <c r="N847" s="1"/>
  <c r="L848"/>
  <c r="L849"/>
  <c r="N849" s="1"/>
  <c r="L850"/>
  <c r="N850" s="1"/>
  <c r="L851"/>
  <c r="N851" s="1"/>
  <c r="L852"/>
  <c r="N852" s="1"/>
  <c r="L853"/>
  <c r="N853" s="1"/>
  <c r="L854"/>
  <c r="N854" s="1"/>
  <c r="L855"/>
  <c r="N855" s="1"/>
  <c r="L856"/>
  <c r="L857"/>
  <c r="N857" s="1"/>
  <c r="L858"/>
  <c r="N858" s="1"/>
  <c r="L859"/>
  <c r="N859" s="1"/>
  <c r="L860"/>
  <c r="N860" s="1"/>
  <c r="L861"/>
  <c r="N861" s="1"/>
  <c r="L862"/>
  <c r="N862" s="1"/>
  <c r="L863"/>
  <c r="N863" s="1"/>
  <c r="L864"/>
  <c r="L865"/>
  <c r="N865" s="1"/>
  <c r="L866"/>
  <c r="N866" s="1"/>
  <c r="L867"/>
  <c r="N867" s="1"/>
  <c r="L868"/>
  <c r="N868" s="1"/>
  <c r="L869"/>
  <c r="N869" s="1"/>
  <c r="L870"/>
  <c r="N870" s="1"/>
  <c r="L871"/>
  <c r="N871" s="1"/>
  <c r="L872"/>
  <c r="L873"/>
  <c r="N873" s="1"/>
  <c r="L874"/>
  <c r="N874" s="1"/>
  <c r="L875"/>
  <c r="N875" s="1"/>
  <c r="L876"/>
  <c r="N876" s="1"/>
  <c r="L877"/>
  <c r="N877" s="1"/>
  <c r="L878"/>
  <c r="N878" s="1"/>
  <c r="L879"/>
  <c r="N879" s="1"/>
  <c r="L880"/>
  <c r="L881"/>
  <c r="N881" s="1"/>
  <c r="L882"/>
  <c r="N882" s="1"/>
  <c r="L883"/>
  <c r="N883" s="1"/>
  <c r="L884"/>
  <c r="N884" s="1"/>
  <c r="L885"/>
  <c r="N885" s="1"/>
  <c r="L886"/>
  <c r="N886" s="1"/>
  <c r="L887"/>
  <c r="N887" s="1"/>
  <c r="L888"/>
  <c r="L889"/>
  <c r="N889" s="1"/>
  <c r="L890"/>
  <c r="N890" s="1"/>
  <c r="L891"/>
  <c r="N891" s="1"/>
  <c r="L892"/>
  <c r="N892" s="1"/>
  <c r="L893"/>
  <c r="N893" s="1"/>
  <c r="L894"/>
  <c r="N894" s="1"/>
  <c r="L895"/>
  <c r="N895" s="1"/>
  <c r="L896"/>
  <c r="L897"/>
  <c r="N897" s="1"/>
  <c r="L898"/>
  <c r="N898" s="1"/>
  <c r="L899"/>
  <c r="N899" s="1"/>
  <c r="L900"/>
  <c r="N900" s="1"/>
  <c r="L901"/>
  <c r="N901" s="1"/>
  <c r="L902"/>
  <c r="N902" s="1"/>
  <c r="L903"/>
  <c r="N903" s="1"/>
  <c r="L904"/>
  <c r="L905"/>
  <c r="N905" s="1"/>
  <c r="L906"/>
  <c r="N906" s="1"/>
  <c r="L907"/>
  <c r="N907" s="1"/>
  <c r="L908"/>
  <c r="N908" s="1"/>
  <c r="L909"/>
  <c r="N909" s="1"/>
  <c r="L910"/>
  <c r="N910" s="1"/>
  <c r="L911"/>
  <c r="N911" s="1"/>
  <c r="L912"/>
  <c r="L913"/>
  <c r="N913" s="1"/>
  <c r="L914"/>
  <c r="N914" s="1"/>
  <c r="L915"/>
  <c r="N915" s="1"/>
  <c r="L916"/>
  <c r="N916" s="1"/>
  <c r="L917"/>
  <c r="N917" s="1"/>
  <c r="L918"/>
  <c r="N918" s="1"/>
  <c r="L919"/>
  <c r="N919" s="1"/>
  <c r="L920"/>
  <c r="L921"/>
  <c r="N921" s="1"/>
  <c r="L922"/>
  <c r="N922" s="1"/>
  <c r="N931" i="1"/>
  <c r="J931"/>
  <c r="N930"/>
  <c r="M930"/>
  <c r="J930"/>
  <c r="K929"/>
  <c r="N929"/>
  <c r="M929"/>
  <c r="N918"/>
  <c r="M918"/>
  <c r="J918"/>
  <c r="K915"/>
  <c r="K916"/>
  <c r="K917"/>
  <c r="M917" s="1"/>
  <c r="N917"/>
  <c r="N916"/>
  <c r="M916"/>
  <c r="N915"/>
  <c r="M915"/>
  <c r="N901"/>
  <c r="M901"/>
  <c r="J901"/>
  <c r="M897"/>
  <c r="M898"/>
  <c r="K865"/>
  <c r="K866"/>
  <c r="M866" s="1"/>
  <c r="K867"/>
  <c r="K868"/>
  <c r="K869"/>
  <c r="K870"/>
  <c r="M870" s="1"/>
  <c r="K871"/>
  <c r="K872"/>
  <c r="K873"/>
  <c r="K874"/>
  <c r="M874" s="1"/>
  <c r="K875"/>
  <c r="K876"/>
  <c r="K877"/>
  <c r="K878"/>
  <c r="M878" s="1"/>
  <c r="K879"/>
  <c r="K880"/>
  <c r="K881"/>
  <c r="K882"/>
  <c r="M882" s="1"/>
  <c r="K883"/>
  <c r="K884"/>
  <c r="K885"/>
  <c r="K886"/>
  <c r="M886" s="1"/>
  <c r="K887"/>
  <c r="K888"/>
  <c r="K889"/>
  <c r="K890"/>
  <c r="M890" s="1"/>
  <c r="K891"/>
  <c r="K892"/>
  <c r="K893"/>
  <c r="K894"/>
  <c r="M894" s="1"/>
  <c r="K895"/>
  <c r="K896"/>
  <c r="K897"/>
  <c r="K898"/>
  <c r="K899"/>
  <c r="M899" s="1"/>
  <c r="N899"/>
  <c r="N898"/>
  <c r="N897"/>
  <c r="N896"/>
  <c r="M896"/>
  <c r="N895"/>
  <c r="M895"/>
  <c r="N894"/>
  <c r="N893"/>
  <c r="M893"/>
  <c r="N892"/>
  <c r="M892"/>
  <c r="N891"/>
  <c r="M891"/>
  <c r="N890"/>
  <c r="N889"/>
  <c r="M889"/>
  <c r="N888"/>
  <c r="M888"/>
  <c r="N887"/>
  <c r="M887"/>
  <c r="N886"/>
  <c r="N885"/>
  <c r="M885"/>
  <c r="N884"/>
  <c r="M884"/>
  <c r="N883"/>
  <c r="M883"/>
  <c r="N882"/>
  <c r="N881"/>
  <c r="M881"/>
  <c r="N880"/>
  <c r="M880"/>
  <c r="N879"/>
  <c r="M879"/>
  <c r="N878"/>
  <c r="N877"/>
  <c r="M877"/>
  <c r="N876"/>
  <c r="M876"/>
  <c r="N875"/>
  <c r="M875"/>
  <c r="N874"/>
  <c r="N873"/>
  <c r="M873"/>
  <c r="N872"/>
  <c r="M872"/>
  <c r="N871"/>
  <c r="M871"/>
  <c r="N870"/>
  <c r="N869"/>
  <c r="M869"/>
  <c r="N868"/>
  <c r="M868"/>
  <c r="N867"/>
  <c r="M867"/>
  <c r="N866"/>
  <c r="N865"/>
  <c r="M865"/>
  <c r="K619"/>
  <c r="M619" s="1"/>
  <c r="K620"/>
  <c r="K621"/>
  <c r="M621" s="1"/>
  <c r="K622"/>
  <c r="K623"/>
  <c r="M623" s="1"/>
  <c r="K624"/>
  <c r="M624" s="1"/>
  <c r="K625"/>
  <c r="M625" s="1"/>
  <c r="K626"/>
  <c r="M626" s="1"/>
  <c r="K627"/>
  <c r="K628"/>
  <c r="M628" s="1"/>
  <c r="K629"/>
  <c r="M629" s="1"/>
  <c r="K630"/>
  <c r="K631"/>
  <c r="M631" s="1"/>
  <c r="K632"/>
  <c r="M632" s="1"/>
  <c r="K633"/>
  <c r="K634"/>
  <c r="M634" s="1"/>
  <c r="K635"/>
  <c r="K636"/>
  <c r="M636" s="1"/>
  <c r="K637"/>
  <c r="M637" s="1"/>
  <c r="K638"/>
  <c r="M638" s="1"/>
  <c r="K639"/>
  <c r="M639" s="1"/>
  <c r="K640"/>
  <c r="M640" s="1"/>
  <c r="K641"/>
  <c r="M641" s="1"/>
  <c r="K642"/>
  <c r="M642" s="1"/>
  <c r="K643"/>
  <c r="M643" s="1"/>
  <c r="K644"/>
  <c r="M644" s="1"/>
  <c r="K645"/>
  <c r="M645" s="1"/>
  <c r="K646"/>
  <c r="M646" s="1"/>
  <c r="K647"/>
  <c r="M647" s="1"/>
  <c r="K648"/>
  <c r="M648" s="1"/>
  <c r="K649"/>
  <c r="M649" s="1"/>
  <c r="K650"/>
  <c r="M650" s="1"/>
  <c r="K651"/>
  <c r="M651" s="1"/>
  <c r="K652"/>
  <c r="M652" s="1"/>
  <c r="K653"/>
  <c r="M653" s="1"/>
  <c r="K654"/>
  <c r="M654" s="1"/>
  <c r="K655"/>
  <c r="M655" s="1"/>
  <c r="K656"/>
  <c r="M656" s="1"/>
  <c r="K657"/>
  <c r="M657" s="1"/>
  <c r="K658"/>
  <c r="M658" s="1"/>
  <c r="K659"/>
  <c r="K660"/>
  <c r="M660" s="1"/>
  <c r="K661"/>
  <c r="M661" s="1"/>
  <c r="K662"/>
  <c r="M662" s="1"/>
  <c r="K663"/>
  <c r="M663" s="1"/>
  <c r="K664"/>
  <c r="M664" s="1"/>
  <c r="K665"/>
  <c r="M665" s="1"/>
  <c r="K666"/>
  <c r="M666" s="1"/>
  <c r="K667"/>
  <c r="M667" s="1"/>
  <c r="K668"/>
  <c r="M668" s="1"/>
  <c r="K669"/>
  <c r="M669" s="1"/>
  <c r="K670"/>
  <c r="M670" s="1"/>
  <c r="K671"/>
  <c r="M671" s="1"/>
  <c r="K672"/>
  <c r="M672" s="1"/>
  <c r="K673"/>
  <c r="M673" s="1"/>
  <c r="K674"/>
  <c r="M674" s="1"/>
  <c r="K675"/>
  <c r="K676"/>
  <c r="M676" s="1"/>
  <c r="K677"/>
  <c r="M677" s="1"/>
  <c r="K678"/>
  <c r="M678" s="1"/>
  <c r="K679"/>
  <c r="M679" s="1"/>
  <c r="K680"/>
  <c r="M680" s="1"/>
  <c r="K681"/>
  <c r="K682"/>
  <c r="M682" s="1"/>
  <c r="K683"/>
  <c r="M683" s="1"/>
  <c r="K684"/>
  <c r="M684" s="1"/>
  <c r="K685"/>
  <c r="M685" s="1"/>
  <c r="K686"/>
  <c r="M686" s="1"/>
  <c r="K687"/>
  <c r="M687" s="1"/>
  <c r="K688"/>
  <c r="M688" s="1"/>
  <c r="K689"/>
  <c r="M689" s="1"/>
  <c r="K690"/>
  <c r="M690" s="1"/>
  <c r="K691"/>
  <c r="M691" s="1"/>
  <c r="K692"/>
  <c r="M692" s="1"/>
  <c r="K693"/>
  <c r="M693" s="1"/>
  <c r="K694"/>
  <c r="M694" s="1"/>
  <c r="K695"/>
  <c r="K696"/>
  <c r="K697"/>
  <c r="K698"/>
  <c r="K699"/>
  <c r="K700"/>
  <c r="K701"/>
  <c r="M701" s="1"/>
  <c r="K702"/>
  <c r="M702" s="1"/>
  <c r="N702"/>
  <c r="N701"/>
  <c r="N700"/>
  <c r="N699"/>
  <c r="N698"/>
  <c r="N697"/>
  <c r="N696"/>
  <c r="N695"/>
  <c r="M695"/>
  <c r="N694"/>
  <c r="N693"/>
  <c r="N692"/>
  <c r="N691"/>
  <c r="N690"/>
  <c r="N689"/>
  <c r="N688"/>
  <c r="N687"/>
  <c r="N686"/>
  <c r="N685"/>
  <c r="N684"/>
  <c r="N683"/>
  <c r="N682"/>
  <c r="N681"/>
  <c r="M681"/>
  <c r="N680"/>
  <c r="N679"/>
  <c r="N678"/>
  <c r="N677"/>
  <c r="N676"/>
  <c r="N675"/>
  <c r="M675"/>
  <c r="N674"/>
  <c r="N673"/>
  <c r="N672"/>
  <c r="N671"/>
  <c r="N670"/>
  <c r="N669"/>
  <c r="N668"/>
  <c r="N667"/>
  <c r="N666"/>
  <c r="N665"/>
  <c r="N664"/>
  <c r="N663"/>
  <c r="N662"/>
  <c r="N661"/>
  <c r="N660"/>
  <c r="N659"/>
  <c r="M659"/>
  <c r="N658"/>
  <c r="N657"/>
  <c r="N656"/>
  <c r="N655"/>
  <c r="N654"/>
  <c r="N653"/>
  <c r="N652"/>
  <c r="N651"/>
  <c r="N650"/>
  <c r="N649"/>
  <c r="N648"/>
  <c r="N647"/>
  <c r="N646"/>
  <c r="N645"/>
  <c r="N644"/>
  <c r="N643"/>
  <c r="N642"/>
  <c r="N641"/>
  <c r="N640"/>
  <c r="N639"/>
  <c r="N638"/>
  <c r="N637"/>
  <c r="N636"/>
  <c r="N635"/>
  <c r="M635"/>
  <c r="N634"/>
  <c r="N633"/>
  <c r="M633"/>
  <c r="N632"/>
  <c r="N631"/>
  <c r="N630"/>
  <c r="M630"/>
  <c r="N629"/>
  <c r="N628"/>
  <c r="N627"/>
  <c r="M627"/>
  <c r="N626"/>
  <c r="N625"/>
  <c r="N624"/>
  <c r="N623"/>
  <c r="N622"/>
  <c r="M622"/>
  <c r="N621"/>
  <c r="N620"/>
  <c r="N619"/>
  <c r="K211"/>
  <c r="M211" s="1"/>
  <c r="N211"/>
  <c r="K176"/>
  <c r="M176" s="1"/>
  <c r="K177"/>
  <c r="K178"/>
  <c r="K179"/>
  <c r="M179" s="1"/>
  <c r="K180"/>
  <c r="M180" s="1"/>
  <c r="K181"/>
  <c r="M181" s="1"/>
  <c r="K182"/>
  <c r="M182" s="1"/>
  <c r="K183"/>
  <c r="M183" s="1"/>
  <c r="K184"/>
  <c r="M184" s="1"/>
  <c r="K185"/>
  <c r="M185" s="1"/>
  <c r="K186"/>
  <c r="M186" s="1"/>
  <c r="K187"/>
  <c r="M187" s="1"/>
  <c r="K188"/>
  <c r="M188" s="1"/>
  <c r="K189"/>
  <c r="M189" s="1"/>
  <c r="K190"/>
  <c r="M190" s="1"/>
  <c r="K191"/>
  <c r="M191" s="1"/>
  <c r="K192"/>
  <c r="M192" s="1"/>
  <c r="K193"/>
  <c r="M193" s="1"/>
  <c r="K194"/>
  <c r="M194" s="1"/>
  <c r="K195"/>
  <c r="M195" s="1"/>
  <c r="K196"/>
  <c r="M196" s="1"/>
  <c r="K197"/>
  <c r="M197" s="1"/>
  <c r="K198"/>
  <c r="M198" s="1"/>
  <c r="K199"/>
  <c r="M199" s="1"/>
  <c r="K200"/>
  <c r="M200" s="1"/>
  <c r="K201"/>
  <c r="M201" s="1"/>
  <c r="K202"/>
  <c r="M202" s="1"/>
  <c r="K203"/>
  <c r="M203" s="1"/>
  <c r="N203"/>
  <c r="N202"/>
  <c r="N201"/>
  <c r="N200"/>
  <c r="N199"/>
  <c r="N198"/>
  <c r="N197"/>
  <c r="N196"/>
  <c r="N195"/>
  <c r="N194"/>
  <c r="N193"/>
  <c r="N192"/>
  <c r="N191"/>
  <c r="N190"/>
  <c r="N189"/>
  <c r="N188"/>
  <c r="N187"/>
  <c r="N186"/>
  <c r="N185"/>
  <c r="N184"/>
  <c r="N183"/>
  <c r="N182"/>
  <c r="N181"/>
  <c r="N180"/>
  <c r="N179"/>
  <c r="N178"/>
  <c r="N177"/>
  <c r="N176"/>
  <c r="M154" i="4"/>
  <c r="L154"/>
  <c r="M153"/>
  <c r="L153"/>
  <c r="M152"/>
  <c r="L152"/>
  <c r="M151"/>
  <c r="L151"/>
  <c r="M150"/>
  <c r="L150"/>
  <c r="M149"/>
  <c r="L149"/>
  <c r="M148"/>
  <c r="L148"/>
  <c r="M147"/>
  <c r="L147"/>
  <c r="M146"/>
  <c r="L146"/>
  <c r="M145"/>
  <c r="L145"/>
  <c r="M144"/>
  <c r="L144"/>
  <c r="M143"/>
  <c r="L143"/>
  <c r="M142"/>
  <c r="L142"/>
  <c r="M141"/>
  <c r="L141"/>
  <c r="M140"/>
  <c r="L140"/>
  <c r="M139"/>
  <c r="L139"/>
  <c r="M138"/>
  <c r="L138"/>
  <c r="M137"/>
  <c r="L137"/>
  <c r="M136"/>
  <c r="L136"/>
  <c r="M135"/>
  <c r="L135"/>
  <c r="M134"/>
  <c r="L134"/>
  <c r="M133"/>
  <c r="L133"/>
  <c r="M132"/>
  <c r="L132"/>
  <c r="M131"/>
  <c r="L131"/>
  <c r="M130"/>
  <c r="L130"/>
  <c r="M129"/>
  <c r="L129"/>
  <c r="M128"/>
  <c r="L128"/>
  <c r="M127"/>
  <c r="L127"/>
  <c r="M126"/>
  <c r="L126"/>
  <c r="M125"/>
  <c r="L125"/>
  <c r="M124"/>
  <c r="L124"/>
  <c r="M123"/>
  <c r="L123"/>
  <c r="M122"/>
  <c r="L122"/>
  <c r="M121"/>
  <c r="L121"/>
  <c r="M120"/>
  <c r="L120"/>
  <c r="M119"/>
  <c r="L119"/>
  <c r="M118"/>
  <c r="L118"/>
  <c r="M117"/>
  <c r="L117"/>
  <c r="M116"/>
  <c r="L116"/>
  <c r="M115"/>
  <c r="L115"/>
  <c r="M114"/>
  <c r="L114"/>
  <c r="M113"/>
  <c r="L113"/>
  <c r="M112"/>
  <c r="L112"/>
  <c r="M111"/>
  <c r="L111"/>
  <c r="M110"/>
  <c r="L110"/>
  <c r="M109"/>
  <c r="L109"/>
  <c r="M108"/>
  <c r="L108"/>
  <c r="M107"/>
  <c r="L107"/>
  <c r="M106"/>
  <c r="L106"/>
  <c r="M105"/>
  <c r="L105"/>
  <c r="M104"/>
  <c r="L104"/>
  <c r="M103"/>
  <c r="L103"/>
  <c r="M102"/>
  <c r="L102"/>
  <c r="M101"/>
  <c r="L101"/>
  <c r="M100"/>
  <c r="L100"/>
  <c r="M99"/>
  <c r="L99"/>
  <c r="M98"/>
  <c r="L98"/>
  <c r="M97"/>
  <c r="L97"/>
  <c r="M96"/>
  <c r="L96"/>
  <c r="M95"/>
  <c r="L95"/>
  <c r="M94"/>
  <c r="L94"/>
  <c r="M93"/>
  <c r="L93"/>
  <c r="M92"/>
  <c r="L92"/>
  <c r="L770" i="13" l="1"/>
  <c r="N770" s="1"/>
  <c r="L769"/>
  <c r="N769" s="1"/>
  <c r="L768"/>
  <c r="N768" s="1"/>
  <c r="L767"/>
  <c r="N767" s="1"/>
  <c r="L766"/>
  <c r="N766" s="1"/>
  <c r="L765"/>
  <c r="N765" s="1"/>
  <c r="L764"/>
  <c r="N764" s="1"/>
  <c r="L763"/>
  <c r="N763" s="1"/>
  <c r="L762"/>
  <c r="N762" s="1"/>
  <c r="L761"/>
  <c r="N761" s="1"/>
  <c r="L760"/>
  <c r="N760" s="1"/>
  <c r="L759"/>
  <c r="N759" s="1"/>
  <c r="L758"/>
  <c r="N758" s="1"/>
  <c r="L757"/>
  <c r="N757" s="1"/>
  <c r="L756"/>
  <c r="N756" s="1"/>
  <c r="L755"/>
  <c r="N755" s="1"/>
  <c r="L754"/>
  <c r="N754" s="1"/>
  <c r="L753"/>
  <c r="N753" s="1"/>
  <c r="L752"/>
  <c r="N752" s="1"/>
  <c r="L751"/>
  <c r="N751" s="1"/>
  <c r="L750"/>
  <c r="N750" s="1"/>
  <c r="L749"/>
  <c r="N749" s="1"/>
  <c r="L748"/>
  <c r="N748" s="1"/>
  <c r="L747"/>
  <c r="N747" s="1"/>
  <c r="L746"/>
  <c r="N746" s="1"/>
  <c r="L745"/>
  <c r="N745" s="1"/>
  <c r="L744"/>
  <c r="N744" s="1"/>
  <c r="L743"/>
  <c r="N743" s="1"/>
  <c r="L742"/>
  <c r="N742" s="1"/>
  <c r="L741"/>
  <c r="N741" s="1"/>
  <c r="L740"/>
  <c r="N740" s="1"/>
  <c r="L739"/>
  <c r="N739" s="1"/>
  <c r="L738"/>
  <c r="N738" s="1"/>
  <c r="L737"/>
  <c r="N737" s="1"/>
  <c r="L736"/>
  <c r="N736" s="1"/>
  <c r="L735"/>
  <c r="N735" s="1"/>
  <c r="L734"/>
  <c r="N734" s="1"/>
  <c r="L733"/>
  <c r="N733" s="1"/>
  <c r="L732"/>
  <c r="N732" s="1"/>
  <c r="L731"/>
  <c r="N731" s="1"/>
  <c r="L730"/>
  <c r="N730" s="1"/>
  <c r="L729"/>
  <c r="N729" s="1"/>
  <c r="L728"/>
  <c r="N728" s="1"/>
  <c r="L727"/>
  <c r="N727" s="1"/>
  <c r="L726"/>
  <c r="N726" s="1"/>
  <c r="L725"/>
  <c r="N725" s="1"/>
  <c r="L724"/>
  <c r="N724" s="1"/>
  <c r="L723"/>
  <c r="N723" s="1"/>
  <c r="L722"/>
  <c r="N722" s="1"/>
  <c r="L721"/>
  <c r="N721" s="1"/>
  <c r="L720"/>
  <c r="N720" s="1"/>
  <c r="L719"/>
  <c r="N719" s="1"/>
  <c r="L718"/>
  <c r="N718" s="1"/>
  <c r="L717"/>
  <c r="N717" s="1"/>
  <c r="L716"/>
  <c r="N716" s="1"/>
  <c r="L715"/>
  <c r="N715" s="1"/>
  <c r="L714"/>
  <c r="N714" s="1"/>
  <c r="L713"/>
  <c r="N713" s="1"/>
  <c r="L712"/>
  <c r="N712" s="1"/>
  <c r="L711"/>
  <c r="N711" s="1"/>
  <c r="L710"/>
  <c r="N710" s="1"/>
  <c r="L709"/>
  <c r="N709" s="1"/>
  <c r="L708"/>
  <c r="N708" s="1"/>
  <c r="L707"/>
  <c r="N707" s="1"/>
  <c r="L706"/>
  <c r="N706" s="1"/>
  <c r="L705"/>
  <c r="N705" s="1"/>
  <c r="L704"/>
  <c r="N704" s="1"/>
  <c r="L703"/>
  <c r="N703" s="1"/>
  <c r="L702"/>
  <c r="N702" s="1"/>
  <c r="L701"/>
  <c r="N701" s="1"/>
  <c r="L700"/>
  <c r="N700" s="1"/>
  <c r="L699"/>
  <c r="N699" s="1"/>
  <c r="L698"/>
  <c r="N698" s="1"/>
  <c r="L697"/>
  <c r="N697" s="1"/>
  <c r="L696"/>
  <c r="N696" s="1"/>
  <c r="L695"/>
  <c r="N695" s="1"/>
  <c r="L694"/>
  <c r="N694" s="1"/>
  <c r="L693"/>
  <c r="N693" s="1"/>
  <c r="L692"/>
  <c r="N692" s="1"/>
  <c r="L691"/>
  <c r="N691" s="1"/>
  <c r="L690"/>
  <c r="N690" s="1"/>
  <c r="L689"/>
  <c r="N689" s="1"/>
  <c r="L688"/>
  <c r="N688" s="1"/>
  <c r="L687"/>
  <c r="N687" s="1"/>
  <c r="L686"/>
  <c r="N686" s="1"/>
  <c r="L685"/>
  <c r="N685" s="1"/>
  <c r="L684"/>
  <c r="N684" s="1"/>
  <c r="L683"/>
  <c r="N683" s="1"/>
  <c r="L682"/>
  <c r="N682" s="1"/>
  <c r="L681"/>
  <c r="N681" s="1"/>
  <c r="L680"/>
  <c r="N680" s="1"/>
  <c r="L679"/>
  <c r="N679" s="1"/>
  <c r="L678"/>
  <c r="N678" s="1"/>
  <c r="L677"/>
  <c r="N677" s="1"/>
  <c r="L676"/>
  <c r="N676" s="1"/>
  <c r="L675"/>
  <c r="N675" s="1"/>
  <c r="L674"/>
  <c r="N674" s="1"/>
  <c r="L673"/>
  <c r="N673" s="1"/>
  <c r="L672"/>
  <c r="N672" s="1"/>
  <c r="L671"/>
  <c r="N671" s="1"/>
  <c r="L670"/>
  <c r="N670" s="1"/>
  <c r="L669"/>
  <c r="N669" s="1"/>
  <c r="L668"/>
  <c r="N668" s="1"/>
  <c r="L667"/>
  <c r="N667" s="1"/>
  <c r="L666"/>
  <c r="N666" s="1"/>
  <c r="L665"/>
  <c r="N665" s="1"/>
  <c r="L664"/>
  <c r="N664" s="1"/>
  <c r="L663"/>
  <c r="N663" s="1"/>
  <c r="L662"/>
  <c r="N662" s="1"/>
  <c r="L661"/>
  <c r="N661" s="1"/>
  <c r="L660"/>
  <c r="N660" s="1"/>
  <c r="L659"/>
  <c r="N659" s="1"/>
  <c r="L658"/>
  <c r="N658" s="1"/>
  <c r="L657"/>
  <c r="N657" s="1"/>
  <c r="L656"/>
  <c r="N656" s="1"/>
  <c r="L655"/>
  <c r="N655" s="1"/>
  <c r="L654"/>
  <c r="N654" s="1"/>
  <c r="L653"/>
  <c r="N653" s="1"/>
  <c r="L652"/>
  <c r="N652" s="1"/>
  <c r="L651"/>
  <c r="N651" s="1"/>
  <c r="L650"/>
  <c r="N650" s="1"/>
  <c r="L649"/>
  <c r="N649" s="1"/>
  <c r="L648"/>
  <c r="N648" s="1"/>
  <c r="L647"/>
  <c r="N647" s="1"/>
  <c r="L646"/>
  <c r="N646" s="1"/>
  <c r="L645"/>
  <c r="N645" s="1"/>
  <c r="L644"/>
  <c r="N644" s="1"/>
  <c r="L643"/>
  <c r="N643" s="1"/>
  <c r="L642"/>
  <c r="N642" s="1"/>
  <c r="L641"/>
  <c r="N641" s="1"/>
  <c r="L640"/>
  <c r="N640" s="1"/>
  <c r="L639"/>
  <c r="N639" s="1"/>
  <c r="L638"/>
  <c r="N638" s="1"/>
  <c r="L637"/>
  <c r="N637" s="1"/>
  <c r="L636"/>
  <c r="N636" s="1"/>
  <c r="L635"/>
  <c r="N635" s="1"/>
  <c r="L634"/>
  <c r="N634" s="1"/>
  <c r="L633"/>
  <c r="N633" s="1"/>
  <c r="L632"/>
  <c r="N632" s="1"/>
  <c r="L631"/>
  <c r="N631" s="1"/>
  <c r="L630"/>
  <c r="N630" s="1"/>
  <c r="L629"/>
  <c r="N629" s="1"/>
  <c r="L628"/>
  <c r="N628" s="1"/>
  <c r="M91" i="4"/>
  <c r="L91"/>
  <c r="M90"/>
  <c r="L90"/>
  <c r="M89"/>
  <c r="L89"/>
  <c r="M88"/>
  <c r="L88"/>
  <c r="M87"/>
  <c r="L87"/>
  <c r="M86"/>
  <c r="L86"/>
  <c r="M85"/>
  <c r="L85"/>
  <c r="M84"/>
  <c r="L84"/>
  <c r="M83"/>
  <c r="L83"/>
  <c r="M82"/>
  <c r="L82"/>
  <c r="M81"/>
  <c r="L81"/>
  <c r="M80"/>
  <c r="L80"/>
  <c r="M79"/>
  <c r="L79"/>
  <c r="M78"/>
  <c r="L78"/>
  <c r="M77"/>
  <c r="L77"/>
  <c r="M76"/>
  <c r="L76"/>
  <c r="M75"/>
  <c r="L75"/>
  <c r="M74"/>
  <c r="L74"/>
  <c r="M73"/>
  <c r="L73"/>
  <c r="M72"/>
  <c r="L72"/>
  <c r="K928" i="1" l="1"/>
  <c r="M928" s="1"/>
  <c r="N928"/>
  <c r="K912"/>
  <c r="M912" s="1"/>
  <c r="K913"/>
  <c r="M913" s="1"/>
  <c r="K914"/>
  <c r="M914" s="1"/>
  <c r="N914"/>
  <c r="N913"/>
  <c r="N912"/>
  <c r="K836"/>
  <c r="M836" s="1"/>
  <c r="K837"/>
  <c r="M837" s="1"/>
  <c r="K838"/>
  <c r="M838" s="1"/>
  <c r="K839"/>
  <c r="M839" s="1"/>
  <c r="K840"/>
  <c r="M840" s="1"/>
  <c r="K841"/>
  <c r="K842"/>
  <c r="M842" s="1"/>
  <c r="K843"/>
  <c r="M843" s="1"/>
  <c r="K844"/>
  <c r="M844" s="1"/>
  <c r="K845"/>
  <c r="M845" s="1"/>
  <c r="K846"/>
  <c r="M846" s="1"/>
  <c r="K847"/>
  <c r="M847" s="1"/>
  <c r="K848"/>
  <c r="M848" s="1"/>
  <c r="K849"/>
  <c r="M849" s="1"/>
  <c r="K850"/>
  <c r="M850" s="1"/>
  <c r="K851"/>
  <c r="M851" s="1"/>
  <c r="K852"/>
  <c r="M852" s="1"/>
  <c r="K853"/>
  <c r="M853" s="1"/>
  <c r="K854"/>
  <c r="M854" s="1"/>
  <c r="K855"/>
  <c r="M855" s="1"/>
  <c r="K856"/>
  <c r="M856" s="1"/>
  <c r="K857"/>
  <c r="M857" s="1"/>
  <c r="K858"/>
  <c r="M858" s="1"/>
  <c r="K859"/>
  <c r="M859" s="1"/>
  <c r="K860"/>
  <c r="M860" s="1"/>
  <c r="K861"/>
  <c r="K862"/>
  <c r="M862" s="1"/>
  <c r="K863"/>
  <c r="M863" s="1"/>
  <c r="K864"/>
  <c r="M864" s="1"/>
  <c r="N864"/>
  <c r="N863"/>
  <c r="N862"/>
  <c r="N861"/>
  <c r="M861"/>
  <c r="N860"/>
  <c r="N859"/>
  <c r="N858"/>
  <c r="N857"/>
  <c r="N856"/>
  <c r="N855"/>
  <c r="N854"/>
  <c r="N853"/>
  <c r="N852"/>
  <c r="N851"/>
  <c r="N850"/>
  <c r="N849"/>
  <c r="N848"/>
  <c r="N847"/>
  <c r="N846"/>
  <c r="N845"/>
  <c r="N844"/>
  <c r="N843"/>
  <c r="N842"/>
  <c r="N841"/>
  <c r="M841"/>
  <c r="N840"/>
  <c r="N839"/>
  <c r="N838"/>
  <c r="N837"/>
  <c r="N836"/>
  <c r="K543"/>
  <c r="M543" s="1"/>
  <c r="K544"/>
  <c r="M544" s="1"/>
  <c r="K545"/>
  <c r="M545" s="1"/>
  <c r="K546"/>
  <c r="M546" s="1"/>
  <c r="K547"/>
  <c r="M547" s="1"/>
  <c r="K548"/>
  <c r="M548" s="1"/>
  <c r="K549"/>
  <c r="M549" s="1"/>
  <c r="K550"/>
  <c r="M550" s="1"/>
  <c r="K551"/>
  <c r="M551" s="1"/>
  <c r="K552"/>
  <c r="M552" s="1"/>
  <c r="K553"/>
  <c r="M553" s="1"/>
  <c r="K554"/>
  <c r="M554" s="1"/>
  <c r="K555"/>
  <c r="M555" s="1"/>
  <c r="K556"/>
  <c r="M556" s="1"/>
  <c r="K557"/>
  <c r="M557" s="1"/>
  <c r="K558"/>
  <c r="M558" s="1"/>
  <c r="K559"/>
  <c r="M559" s="1"/>
  <c r="K560"/>
  <c r="M560" s="1"/>
  <c r="K561"/>
  <c r="M561" s="1"/>
  <c r="K562"/>
  <c r="M562" s="1"/>
  <c r="K563"/>
  <c r="M563" s="1"/>
  <c r="K564"/>
  <c r="M564" s="1"/>
  <c r="K565"/>
  <c r="M565" s="1"/>
  <c r="K566"/>
  <c r="M566" s="1"/>
  <c r="K567"/>
  <c r="M567" s="1"/>
  <c r="K568"/>
  <c r="M568" s="1"/>
  <c r="K569"/>
  <c r="M569" s="1"/>
  <c r="K570"/>
  <c r="M570" s="1"/>
  <c r="K571"/>
  <c r="M571" s="1"/>
  <c r="K572"/>
  <c r="M572" s="1"/>
  <c r="K573"/>
  <c r="M573" s="1"/>
  <c r="K574"/>
  <c r="M574" s="1"/>
  <c r="K575"/>
  <c r="M575" s="1"/>
  <c r="K576"/>
  <c r="M576" s="1"/>
  <c r="K577"/>
  <c r="M577" s="1"/>
  <c r="K578"/>
  <c r="M578" s="1"/>
  <c r="K579"/>
  <c r="M579" s="1"/>
  <c r="K580"/>
  <c r="M580" s="1"/>
  <c r="K581"/>
  <c r="M581" s="1"/>
  <c r="K582"/>
  <c r="M582" s="1"/>
  <c r="K583"/>
  <c r="M583" s="1"/>
  <c r="K584"/>
  <c r="M584" s="1"/>
  <c r="K585"/>
  <c r="M585" s="1"/>
  <c r="K586"/>
  <c r="M586" s="1"/>
  <c r="K587"/>
  <c r="M587" s="1"/>
  <c r="K588"/>
  <c r="M588" s="1"/>
  <c r="K589"/>
  <c r="M589" s="1"/>
  <c r="K590"/>
  <c r="M590" s="1"/>
  <c r="K591"/>
  <c r="M591" s="1"/>
  <c r="K592"/>
  <c r="M592" s="1"/>
  <c r="K593"/>
  <c r="M593" s="1"/>
  <c r="K594"/>
  <c r="M594" s="1"/>
  <c r="K595"/>
  <c r="M595" s="1"/>
  <c r="K596"/>
  <c r="M596" s="1"/>
  <c r="K597"/>
  <c r="M597" s="1"/>
  <c r="K598"/>
  <c r="M598" s="1"/>
  <c r="K599"/>
  <c r="M599" s="1"/>
  <c r="K600"/>
  <c r="M600" s="1"/>
  <c r="K601"/>
  <c r="M601" s="1"/>
  <c r="K602"/>
  <c r="M602" s="1"/>
  <c r="K603"/>
  <c r="M603" s="1"/>
  <c r="K604"/>
  <c r="M604" s="1"/>
  <c r="K605"/>
  <c r="M605" s="1"/>
  <c r="K606"/>
  <c r="M606" s="1"/>
  <c r="K607"/>
  <c r="M607" s="1"/>
  <c r="K608"/>
  <c r="M608" s="1"/>
  <c r="K609"/>
  <c r="M609" s="1"/>
  <c r="K610"/>
  <c r="M610" s="1"/>
  <c r="K611"/>
  <c r="M611" s="1"/>
  <c r="K612"/>
  <c r="M612" s="1"/>
  <c r="K613"/>
  <c r="M613" s="1"/>
  <c r="K614"/>
  <c r="M614" s="1"/>
  <c r="K615"/>
  <c r="M615" s="1"/>
  <c r="K616"/>
  <c r="M616" s="1"/>
  <c r="K617"/>
  <c r="M617" s="1"/>
  <c r="K618"/>
  <c r="M618" s="1"/>
  <c r="N618"/>
  <c r="N617"/>
  <c r="N616"/>
  <c r="N615"/>
  <c r="N614"/>
  <c r="N613"/>
  <c r="N612"/>
  <c r="N611"/>
  <c r="N610"/>
  <c r="N609"/>
  <c r="N608"/>
  <c r="N607"/>
  <c r="N606"/>
  <c r="N605"/>
  <c r="N604"/>
  <c r="N603"/>
  <c r="N602"/>
  <c r="N601"/>
  <c r="N600"/>
  <c r="N599"/>
  <c r="N598"/>
  <c r="N597"/>
  <c r="N596"/>
  <c r="N595"/>
  <c r="N594"/>
  <c r="N593"/>
  <c r="N592"/>
  <c r="N591"/>
  <c r="N590"/>
  <c r="N589"/>
  <c r="N588"/>
  <c r="N587"/>
  <c r="N586"/>
  <c r="N585"/>
  <c r="N584"/>
  <c r="N583"/>
  <c r="N582"/>
  <c r="N581"/>
  <c r="N580"/>
  <c r="N579"/>
  <c r="N578"/>
  <c r="N577"/>
  <c r="N576"/>
  <c r="N575"/>
  <c r="N574"/>
  <c r="N573"/>
  <c r="N572"/>
  <c r="N571"/>
  <c r="N570"/>
  <c r="N569"/>
  <c r="N568"/>
  <c r="N567"/>
  <c r="N566"/>
  <c r="N565"/>
  <c r="N564"/>
  <c r="N563"/>
  <c r="N562"/>
  <c r="N561"/>
  <c r="N560"/>
  <c r="N559"/>
  <c r="N558"/>
  <c r="N557"/>
  <c r="N556"/>
  <c r="N555"/>
  <c r="N554"/>
  <c r="N553"/>
  <c r="N552"/>
  <c r="N551"/>
  <c r="N550"/>
  <c r="N549"/>
  <c r="N548"/>
  <c r="N547"/>
  <c r="N546"/>
  <c r="N545"/>
  <c r="N544"/>
  <c r="N543"/>
  <c r="K210"/>
  <c r="M210" s="1"/>
  <c r="N210"/>
  <c r="K143"/>
  <c r="M143" s="1"/>
  <c r="K144"/>
  <c r="M144" s="1"/>
  <c r="K145"/>
  <c r="M145" s="1"/>
  <c r="K146"/>
  <c r="M146" s="1"/>
  <c r="K147"/>
  <c r="M147" s="1"/>
  <c r="K148"/>
  <c r="M148" s="1"/>
  <c r="K149"/>
  <c r="M149" s="1"/>
  <c r="K150"/>
  <c r="M150" s="1"/>
  <c r="K151"/>
  <c r="M151" s="1"/>
  <c r="K152"/>
  <c r="M152" s="1"/>
  <c r="K153"/>
  <c r="M153" s="1"/>
  <c r="K154"/>
  <c r="M154" s="1"/>
  <c r="K155"/>
  <c r="M155" s="1"/>
  <c r="K156"/>
  <c r="M156" s="1"/>
  <c r="K157"/>
  <c r="M157" s="1"/>
  <c r="K158"/>
  <c r="M158" s="1"/>
  <c r="K159"/>
  <c r="M159" s="1"/>
  <c r="K160"/>
  <c r="M160" s="1"/>
  <c r="K161"/>
  <c r="M161" s="1"/>
  <c r="K162"/>
  <c r="M162" s="1"/>
  <c r="K163"/>
  <c r="M163" s="1"/>
  <c r="K164"/>
  <c r="M164" s="1"/>
  <c r="K165"/>
  <c r="M165" s="1"/>
  <c r="K166"/>
  <c r="M166" s="1"/>
  <c r="K167"/>
  <c r="M167" s="1"/>
  <c r="K168"/>
  <c r="M168" s="1"/>
  <c r="K169"/>
  <c r="M169" s="1"/>
  <c r="K170"/>
  <c r="M170" s="1"/>
  <c r="K171"/>
  <c r="M171" s="1"/>
  <c r="K172"/>
  <c r="K173"/>
  <c r="M173" s="1"/>
  <c r="K174"/>
  <c r="M174" s="1"/>
  <c r="K175"/>
  <c r="M175" s="1"/>
  <c r="N175"/>
  <c r="N174"/>
  <c r="N173"/>
  <c r="N172"/>
  <c r="M172"/>
  <c r="N171"/>
  <c r="N170"/>
  <c r="N169"/>
  <c r="N168"/>
  <c r="N167"/>
  <c r="N166"/>
  <c r="N165"/>
  <c r="N164"/>
  <c r="N163"/>
  <c r="N162"/>
  <c r="N161"/>
  <c r="N160"/>
  <c r="N159"/>
  <c r="N158"/>
  <c r="N157"/>
  <c r="N156"/>
  <c r="N155"/>
  <c r="N154"/>
  <c r="N153"/>
  <c r="N152"/>
  <c r="N151"/>
  <c r="N150"/>
  <c r="N149"/>
  <c r="N148"/>
  <c r="N147"/>
  <c r="N146"/>
  <c r="N145"/>
  <c r="N144"/>
  <c r="N143"/>
  <c r="L55" i="25" l="1"/>
  <c r="L57" s="1"/>
  <c r="J55"/>
  <c r="J57" s="1"/>
  <c r="M57" s="1"/>
  <c r="G55"/>
  <c r="N55" s="1"/>
  <c r="E55"/>
  <c r="E57" s="1"/>
  <c r="N54"/>
  <c r="M54"/>
  <c r="K54"/>
  <c r="N53"/>
  <c r="M53"/>
  <c r="K53"/>
  <c r="H51"/>
  <c r="G51"/>
  <c r="E51"/>
  <c r="N50"/>
  <c r="M50"/>
  <c r="J50"/>
  <c r="K50" s="1"/>
  <c r="N49"/>
  <c r="M49"/>
  <c r="L49"/>
  <c r="K49"/>
  <c r="J49"/>
  <c r="N48"/>
  <c r="L48"/>
  <c r="K48" s="1"/>
  <c r="J48"/>
  <c r="M48" s="1"/>
  <c r="N47"/>
  <c r="J47"/>
  <c r="K47" s="1"/>
  <c r="N46"/>
  <c r="J46"/>
  <c r="K46" s="1"/>
  <c r="N45"/>
  <c r="J45"/>
  <c r="K45" s="1"/>
  <c r="M44"/>
  <c r="L44"/>
  <c r="N44" s="1"/>
  <c r="K44"/>
  <c r="J44"/>
  <c r="N43"/>
  <c r="M43"/>
  <c r="K43"/>
  <c r="J43"/>
  <c r="L42"/>
  <c r="K42" s="1"/>
  <c r="J42"/>
  <c r="M42" s="1"/>
  <c r="N41"/>
  <c r="M41"/>
  <c r="L41"/>
  <c r="K41"/>
  <c r="J41"/>
  <c r="N40"/>
  <c r="L40"/>
  <c r="K40" s="1"/>
  <c r="J40"/>
  <c r="M40" s="1"/>
  <c r="N39"/>
  <c r="J39"/>
  <c r="K39" s="1"/>
  <c r="M38"/>
  <c r="L38"/>
  <c r="N38" s="1"/>
  <c r="K38"/>
  <c r="J38"/>
  <c r="L37"/>
  <c r="K37" s="1"/>
  <c r="J37"/>
  <c r="M37" s="1"/>
  <c r="N36"/>
  <c r="M36"/>
  <c r="J36"/>
  <c r="K36" s="1"/>
  <c r="N35"/>
  <c r="M35"/>
  <c r="J35"/>
  <c r="K35" s="1"/>
  <c r="N34"/>
  <c r="M34"/>
  <c r="J34"/>
  <c r="K34" s="1"/>
  <c r="N33"/>
  <c r="M33"/>
  <c r="L33"/>
  <c r="K33"/>
  <c r="N32"/>
  <c r="M32"/>
  <c r="L32"/>
  <c r="K32"/>
  <c r="J32"/>
  <c r="N31"/>
  <c r="K31"/>
  <c r="J31"/>
  <c r="M31" s="1"/>
  <c r="N30"/>
  <c r="L30"/>
  <c r="K30" s="1"/>
  <c r="J30"/>
  <c r="M30" s="1"/>
  <c r="N29"/>
  <c r="J29"/>
  <c r="K29" s="1"/>
  <c r="N28"/>
  <c r="J28"/>
  <c r="J51" s="1"/>
  <c r="M51" s="1"/>
  <c r="M27"/>
  <c r="L27"/>
  <c r="N27" s="1"/>
  <c r="K27"/>
  <c r="J27"/>
  <c r="N26"/>
  <c r="M26"/>
  <c r="K26"/>
  <c r="J26"/>
  <c r="M25"/>
  <c r="L25"/>
  <c r="K25" s="1"/>
  <c r="N24"/>
  <c r="M24"/>
  <c r="K24"/>
  <c r="J24"/>
  <c r="M23"/>
  <c r="L23"/>
  <c r="L51" s="1"/>
  <c r="N22"/>
  <c r="M22"/>
  <c r="K22"/>
  <c r="J22"/>
  <c r="N21"/>
  <c r="M21"/>
  <c r="K21"/>
  <c r="J21"/>
  <c r="N20"/>
  <c r="M20"/>
  <c r="K20"/>
  <c r="E18"/>
  <c r="N10"/>
  <c r="M10"/>
  <c r="K10"/>
  <c r="F10"/>
  <c r="G9"/>
  <c r="G8"/>
  <c r="G18" s="1"/>
  <c r="G57" s="1"/>
  <c r="F57" s="1"/>
  <c r="K6"/>
  <c r="F4"/>
  <c r="D10" i="24"/>
  <c r="D15" s="1"/>
  <c r="D5"/>
  <c r="D7" s="1"/>
  <c r="D16" l="1"/>
  <c r="C13" i="15"/>
  <c r="N57" i="25"/>
  <c r="K57"/>
  <c r="N51"/>
  <c r="K51"/>
  <c r="M55"/>
  <c r="N23"/>
  <c r="N25"/>
  <c r="M28"/>
  <c r="M29"/>
  <c r="N37"/>
  <c r="M39"/>
  <c r="N42"/>
  <c r="M45"/>
  <c r="M46"/>
  <c r="M47"/>
  <c r="K23"/>
  <c r="K28"/>
  <c r="I22" i="16"/>
  <c r="H12"/>
  <c r="H16" s="1"/>
  <c r="E22" s="1"/>
  <c r="I12"/>
  <c r="I14"/>
  <c r="H14"/>
  <c r="I16" l="1"/>
  <c r="L975" i="23"/>
  <c r="K975"/>
  <c r="L974"/>
  <c r="K974"/>
  <c r="O974" s="1"/>
  <c r="L973"/>
  <c r="K973"/>
  <c r="O973" s="1"/>
  <c r="L972"/>
  <c r="K972"/>
  <c r="O972" s="1"/>
  <c r="O971"/>
  <c r="L971"/>
  <c r="N971" s="1"/>
  <c r="L970"/>
  <c r="K970"/>
  <c r="L969"/>
  <c r="K969"/>
  <c r="L968"/>
  <c r="K968"/>
  <c r="L967"/>
  <c r="K967"/>
  <c r="K966"/>
  <c r="Q965"/>
  <c r="O965"/>
  <c r="O966" s="1"/>
  <c r="L965"/>
  <c r="N965" s="1"/>
  <c r="N966" s="1"/>
  <c r="K964"/>
  <c r="Q963"/>
  <c r="O963"/>
  <c r="O964" s="1"/>
  <c r="N963"/>
  <c r="N964" s="1"/>
  <c r="L963"/>
  <c r="K962"/>
  <c r="Q961"/>
  <c r="O961"/>
  <c r="N961"/>
  <c r="L961"/>
  <c r="Q960"/>
  <c r="O960"/>
  <c r="N960"/>
  <c r="L960"/>
  <c r="Q959"/>
  <c r="O959"/>
  <c r="O962" s="1"/>
  <c r="N959"/>
  <c r="N962" s="1"/>
  <c r="L959"/>
  <c r="K958"/>
  <c r="Q957"/>
  <c r="O957"/>
  <c r="O958" s="1"/>
  <c r="N957"/>
  <c r="N958" s="1"/>
  <c r="L957"/>
  <c r="K956"/>
  <c r="Q955"/>
  <c r="O955"/>
  <c r="O956" s="1"/>
  <c r="L955"/>
  <c r="N955" s="1"/>
  <c r="N956" s="1"/>
  <c r="O954"/>
  <c r="K954"/>
  <c r="Q953"/>
  <c r="O953"/>
  <c r="N953"/>
  <c r="N954" s="1"/>
  <c r="L953"/>
  <c r="K952"/>
  <c r="Q951"/>
  <c r="O951"/>
  <c r="O952" s="1"/>
  <c r="N951"/>
  <c r="N952" s="1"/>
  <c r="L951"/>
  <c r="K950"/>
  <c r="Q949"/>
  <c r="O949"/>
  <c r="O950" s="1"/>
  <c r="N949"/>
  <c r="N950" s="1"/>
  <c r="L949"/>
  <c r="K948"/>
  <c r="Q947"/>
  <c r="O947"/>
  <c r="L947"/>
  <c r="N947" s="1"/>
  <c r="Q946"/>
  <c r="O946"/>
  <c r="L946"/>
  <c r="N946" s="1"/>
  <c r="Q945"/>
  <c r="O945"/>
  <c r="L945"/>
  <c r="N945" s="1"/>
  <c r="Q944"/>
  <c r="O944"/>
  <c r="O948" s="1"/>
  <c r="L944"/>
  <c r="N944" s="1"/>
  <c r="O943"/>
  <c r="K943"/>
  <c r="Q942"/>
  <c r="O942"/>
  <c r="N942"/>
  <c r="N943" s="1"/>
  <c r="L942"/>
  <c r="K941"/>
  <c r="Q940"/>
  <c r="O940"/>
  <c r="O941" s="1"/>
  <c r="N940"/>
  <c r="N941" s="1"/>
  <c r="L940"/>
  <c r="K939"/>
  <c r="Q938"/>
  <c r="O938"/>
  <c r="O939" s="1"/>
  <c r="N938"/>
  <c r="N939" s="1"/>
  <c r="L938"/>
  <c r="K937"/>
  <c r="Q936"/>
  <c r="O936"/>
  <c r="L936"/>
  <c r="N936" s="1"/>
  <c r="Q935"/>
  <c r="O935"/>
  <c r="L935"/>
  <c r="N935" s="1"/>
  <c r="Q934"/>
  <c r="O934"/>
  <c r="O937" s="1"/>
  <c r="L934"/>
  <c r="N934" s="1"/>
  <c r="O933"/>
  <c r="K933"/>
  <c r="Q932"/>
  <c r="O932"/>
  <c r="N932"/>
  <c r="L932"/>
  <c r="Q931"/>
  <c r="O931"/>
  <c r="N931"/>
  <c r="L931"/>
  <c r="Q930"/>
  <c r="O930"/>
  <c r="N930"/>
  <c r="N933" s="1"/>
  <c r="L930"/>
  <c r="K929"/>
  <c r="Q928"/>
  <c r="O928"/>
  <c r="O929" s="1"/>
  <c r="N928"/>
  <c r="N929" s="1"/>
  <c r="L928"/>
  <c r="K927"/>
  <c r="Q926"/>
  <c r="O926"/>
  <c r="O927" s="1"/>
  <c r="N926"/>
  <c r="N927" s="1"/>
  <c r="L926"/>
  <c r="K925"/>
  <c r="Q924"/>
  <c r="O924"/>
  <c r="L924"/>
  <c r="N924" s="1"/>
  <c r="Q923"/>
  <c r="O923"/>
  <c r="L923"/>
  <c r="N923" s="1"/>
  <c r="Q922"/>
  <c r="O922"/>
  <c r="L922"/>
  <c r="N922" s="1"/>
  <c r="Q921"/>
  <c r="O921"/>
  <c r="O925" s="1"/>
  <c r="L921"/>
  <c r="N921" s="1"/>
  <c r="N925" s="1"/>
  <c r="K920"/>
  <c r="Q919"/>
  <c r="O919"/>
  <c r="N919"/>
  <c r="L919"/>
  <c r="Q918"/>
  <c r="O918"/>
  <c r="N918"/>
  <c r="L918"/>
  <c r="Q917"/>
  <c r="O917"/>
  <c r="O920" s="1"/>
  <c r="N917"/>
  <c r="N920" s="1"/>
  <c r="L917"/>
  <c r="K916"/>
  <c r="Q915"/>
  <c r="O915"/>
  <c r="N915"/>
  <c r="L915"/>
  <c r="Q914"/>
  <c r="O914"/>
  <c r="O916" s="1"/>
  <c r="N914"/>
  <c r="N916" s="1"/>
  <c r="L914"/>
  <c r="K913"/>
  <c r="Q912"/>
  <c r="O912"/>
  <c r="N912"/>
  <c r="L912"/>
  <c r="Q911"/>
  <c r="O911"/>
  <c r="N911"/>
  <c r="L911"/>
  <c r="Q910"/>
  <c r="O910"/>
  <c r="N910"/>
  <c r="L910"/>
  <c r="Q909"/>
  <c r="O909"/>
  <c r="O913" s="1"/>
  <c r="N909"/>
  <c r="N913" s="1"/>
  <c r="L909"/>
  <c r="K908"/>
  <c r="Q907"/>
  <c r="O907"/>
  <c r="O908" s="1"/>
  <c r="L907"/>
  <c r="N907" s="1"/>
  <c r="N908" s="1"/>
  <c r="O906"/>
  <c r="K906"/>
  <c r="Q905"/>
  <c r="O905"/>
  <c r="N905"/>
  <c r="L905"/>
  <c r="Q904"/>
  <c r="O904"/>
  <c r="N904"/>
  <c r="N906" s="1"/>
  <c r="L904"/>
  <c r="K903"/>
  <c r="Q902"/>
  <c r="O902"/>
  <c r="N902"/>
  <c r="L902"/>
  <c r="Q901"/>
  <c r="O901"/>
  <c r="O903" s="1"/>
  <c r="N901"/>
  <c r="N903" s="1"/>
  <c r="L901"/>
  <c r="K900"/>
  <c r="Q899"/>
  <c r="O899"/>
  <c r="N899"/>
  <c r="L899"/>
  <c r="Q898"/>
  <c r="O898"/>
  <c r="N898"/>
  <c r="L898"/>
  <c r="Q897"/>
  <c r="O897"/>
  <c r="O900" s="1"/>
  <c r="N897"/>
  <c r="N900" s="1"/>
  <c r="L897"/>
  <c r="K896"/>
  <c r="Q895"/>
  <c r="O895"/>
  <c r="L895"/>
  <c r="N895" s="1"/>
  <c r="Q894"/>
  <c r="O894"/>
  <c r="L894"/>
  <c r="N894" s="1"/>
  <c r="Q893"/>
  <c r="O893"/>
  <c r="O896" s="1"/>
  <c r="L893"/>
  <c r="N893" s="1"/>
  <c r="N896" s="1"/>
  <c r="K892"/>
  <c r="Q891"/>
  <c r="O891"/>
  <c r="N891"/>
  <c r="L891"/>
  <c r="Q890"/>
  <c r="O890"/>
  <c r="O892" s="1"/>
  <c r="N890"/>
  <c r="N892" s="1"/>
  <c r="L890"/>
  <c r="K889"/>
  <c r="Q888"/>
  <c r="O888"/>
  <c r="O889" s="1"/>
  <c r="N888"/>
  <c r="N889" s="1"/>
  <c r="L888"/>
  <c r="K887"/>
  <c r="Q886"/>
  <c r="O886"/>
  <c r="N886"/>
  <c r="L886"/>
  <c r="Q885"/>
  <c r="O885"/>
  <c r="N885"/>
  <c r="L885"/>
  <c r="Q884"/>
  <c r="O884"/>
  <c r="O887" s="1"/>
  <c r="N884"/>
  <c r="N887" s="1"/>
  <c r="L884"/>
  <c r="K883"/>
  <c r="Q882"/>
  <c r="O882"/>
  <c r="L882"/>
  <c r="N882" s="1"/>
  <c r="Q881"/>
  <c r="O881"/>
  <c r="L881"/>
  <c r="N881" s="1"/>
  <c r="Q880"/>
  <c r="O880"/>
  <c r="L880"/>
  <c r="N880" s="1"/>
  <c r="Q879"/>
  <c r="O879"/>
  <c r="O883" s="1"/>
  <c r="L879"/>
  <c r="N879" s="1"/>
  <c r="O878"/>
  <c r="K878"/>
  <c r="Q877"/>
  <c r="O877"/>
  <c r="N877"/>
  <c r="L877"/>
  <c r="Q876"/>
  <c r="O876"/>
  <c r="N876"/>
  <c r="N878" s="1"/>
  <c r="L876"/>
  <c r="K875"/>
  <c r="Q874"/>
  <c r="O874"/>
  <c r="N874"/>
  <c r="L874"/>
  <c r="Q873"/>
  <c r="O873"/>
  <c r="O875" s="1"/>
  <c r="N873"/>
  <c r="N875" s="1"/>
  <c r="L873"/>
  <c r="K872"/>
  <c r="Q871"/>
  <c r="O871"/>
  <c r="N871"/>
  <c r="L871"/>
  <c r="Q870"/>
  <c r="O870"/>
  <c r="N870"/>
  <c r="L870"/>
  <c r="Q869"/>
  <c r="O869"/>
  <c r="N869"/>
  <c r="L869"/>
  <c r="Q868"/>
  <c r="O868"/>
  <c r="O872" s="1"/>
  <c r="N868"/>
  <c r="N872" s="1"/>
  <c r="L868"/>
  <c r="K867"/>
  <c r="Q866"/>
  <c r="O866"/>
  <c r="L866"/>
  <c r="N866" s="1"/>
  <c r="Q865"/>
  <c r="O865"/>
  <c r="L865"/>
  <c r="N865" s="1"/>
  <c r="Q864"/>
  <c r="O864"/>
  <c r="L864"/>
  <c r="N864" s="1"/>
  <c r="Q863"/>
  <c r="O863"/>
  <c r="O867" s="1"/>
  <c r="L863"/>
  <c r="N863" s="1"/>
  <c r="N867" s="1"/>
  <c r="K862"/>
  <c r="Q861"/>
  <c r="O861"/>
  <c r="N861"/>
  <c r="L861"/>
  <c r="Q860"/>
  <c r="O860"/>
  <c r="O862" s="1"/>
  <c r="N860"/>
  <c r="N862" s="1"/>
  <c r="L860"/>
  <c r="K859"/>
  <c r="Q858"/>
  <c r="O858"/>
  <c r="N858"/>
  <c r="L858"/>
  <c r="Q857"/>
  <c r="O857"/>
  <c r="N857"/>
  <c r="L857"/>
  <c r="Q856"/>
  <c r="O856"/>
  <c r="N856"/>
  <c r="L856"/>
  <c r="Q855"/>
  <c r="O855"/>
  <c r="O859" s="1"/>
  <c r="N855"/>
  <c r="N859" s="1"/>
  <c r="L855"/>
  <c r="K854"/>
  <c r="Q853"/>
  <c r="O853"/>
  <c r="N853"/>
  <c r="L853"/>
  <c r="Q852"/>
  <c r="O852"/>
  <c r="N852"/>
  <c r="L852"/>
  <c r="Q851"/>
  <c r="O851"/>
  <c r="O854" s="1"/>
  <c r="N851"/>
  <c r="N854" s="1"/>
  <c r="L851"/>
  <c r="K850"/>
  <c r="Q849"/>
  <c r="O849"/>
  <c r="L849"/>
  <c r="N849" s="1"/>
  <c r="Q848"/>
  <c r="O848"/>
  <c r="L848"/>
  <c r="N848" s="1"/>
  <c r="Q847"/>
  <c r="O847"/>
  <c r="L847"/>
  <c r="N847" s="1"/>
  <c r="Q846"/>
  <c r="O846"/>
  <c r="O850" s="1"/>
  <c r="L846"/>
  <c r="N846" s="1"/>
  <c r="O845"/>
  <c r="K845"/>
  <c r="Q844"/>
  <c r="O844"/>
  <c r="N844"/>
  <c r="L844"/>
  <c r="Q843"/>
  <c r="O843"/>
  <c r="N843"/>
  <c r="L843"/>
  <c r="Q842"/>
  <c r="O842"/>
  <c r="N842"/>
  <c r="N845" s="1"/>
  <c r="L842"/>
  <c r="K841"/>
  <c r="Q840"/>
  <c r="O840"/>
  <c r="N840"/>
  <c r="L840"/>
  <c r="Q839"/>
  <c r="O839"/>
  <c r="N839"/>
  <c r="L839"/>
  <c r="Q838"/>
  <c r="O838"/>
  <c r="N838"/>
  <c r="L838"/>
  <c r="Q837"/>
  <c r="O837"/>
  <c r="O841" s="1"/>
  <c r="N837"/>
  <c r="N841" s="1"/>
  <c r="L837"/>
  <c r="K836"/>
  <c r="Q835"/>
  <c r="O835"/>
  <c r="O836" s="1"/>
  <c r="N835"/>
  <c r="N836" s="1"/>
  <c r="L835"/>
  <c r="K834"/>
  <c r="Q833"/>
  <c r="O833"/>
  <c r="L833"/>
  <c r="N833" s="1"/>
  <c r="Q832"/>
  <c r="O832"/>
  <c r="L832"/>
  <c r="N832" s="1"/>
  <c r="Q831"/>
  <c r="O831"/>
  <c r="L831"/>
  <c r="N831" s="1"/>
  <c r="Q830"/>
  <c r="O830"/>
  <c r="O834" s="1"/>
  <c r="L830"/>
  <c r="N830" s="1"/>
  <c r="N834" s="1"/>
  <c r="K829"/>
  <c r="Q828"/>
  <c r="O828"/>
  <c r="O829" s="1"/>
  <c r="N828"/>
  <c r="N829" s="1"/>
  <c r="L828"/>
  <c r="K827"/>
  <c r="Q826"/>
  <c r="O826"/>
  <c r="N826"/>
  <c r="L826"/>
  <c r="Q825"/>
  <c r="O825"/>
  <c r="O827" s="1"/>
  <c r="N825"/>
  <c r="N827" s="1"/>
  <c r="L825"/>
  <c r="K824"/>
  <c r="Q823"/>
  <c r="O823"/>
  <c r="O824" s="1"/>
  <c r="N823"/>
  <c r="N824" s="1"/>
  <c r="L823"/>
  <c r="K822"/>
  <c r="Q821"/>
  <c r="O821"/>
  <c r="L821"/>
  <c r="N821" s="1"/>
  <c r="Q820"/>
  <c r="O820"/>
  <c r="O822" s="1"/>
  <c r="L820"/>
  <c r="N820" s="1"/>
  <c r="N822" s="1"/>
  <c r="K819"/>
  <c r="Q818"/>
  <c r="O818"/>
  <c r="N818"/>
  <c r="L818"/>
  <c r="Q817"/>
  <c r="O817"/>
  <c r="O819" s="1"/>
  <c r="N817"/>
  <c r="N819" s="1"/>
  <c r="L817"/>
  <c r="K816"/>
  <c r="Q815"/>
  <c r="O815"/>
  <c r="N815"/>
  <c r="L815"/>
  <c r="Q814"/>
  <c r="O814"/>
  <c r="O816" s="1"/>
  <c r="N814"/>
  <c r="N816" s="1"/>
  <c r="L814"/>
  <c r="K813"/>
  <c r="Q812"/>
  <c r="O812"/>
  <c r="O813" s="1"/>
  <c r="N812"/>
  <c r="N813" s="1"/>
  <c r="L812"/>
  <c r="K811"/>
  <c r="Q810"/>
  <c r="O810"/>
  <c r="L810"/>
  <c r="N810" s="1"/>
  <c r="Q809"/>
  <c r="O809"/>
  <c r="O811" s="1"/>
  <c r="L809"/>
  <c r="N809" s="1"/>
  <c r="N811" s="1"/>
  <c r="K808"/>
  <c r="Q807"/>
  <c r="O807"/>
  <c r="N807"/>
  <c r="L807"/>
  <c r="Q806"/>
  <c r="O806"/>
  <c r="O808" s="1"/>
  <c r="N806"/>
  <c r="N808" s="1"/>
  <c r="L806"/>
  <c r="K805"/>
  <c r="Q804"/>
  <c r="O804"/>
  <c r="N804"/>
  <c r="L804"/>
  <c r="Q803"/>
  <c r="O803"/>
  <c r="N803"/>
  <c r="L803"/>
  <c r="Q802"/>
  <c r="O802"/>
  <c r="N802"/>
  <c r="L802"/>
  <c r="Q801"/>
  <c r="O801"/>
  <c r="O805" s="1"/>
  <c r="N801"/>
  <c r="N805" s="1"/>
  <c r="L801"/>
  <c r="K800"/>
  <c r="Q799"/>
  <c r="O799"/>
  <c r="N799"/>
  <c r="L799"/>
  <c r="Q798"/>
  <c r="O798"/>
  <c r="N798"/>
  <c r="L798"/>
  <c r="Q797"/>
  <c r="O797"/>
  <c r="O800" s="1"/>
  <c r="N797"/>
  <c r="N800" s="1"/>
  <c r="L797"/>
  <c r="K796"/>
  <c r="Q795"/>
  <c r="O795"/>
  <c r="L795"/>
  <c r="N795" s="1"/>
  <c r="Q794"/>
  <c r="O794"/>
  <c r="L794"/>
  <c r="N794" s="1"/>
  <c r="Q793"/>
  <c r="O793"/>
  <c r="O796" s="1"/>
  <c r="L793"/>
  <c r="N793" s="1"/>
  <c r="K792"/>
  <c r="Q791"/>
  <c r="O791"/>
  <c r="N791"/>
  <c r="L791"/>
  <c r="Q790"/>
  <c r="O790"/>
  <c r="N790"/>
  <c r="L790"/>
  <c r="Q789"/>
  <c r="O789"/>
  <c r="N789"/>
  <c r="L789"/>
  <c r="Q788"/>
  <c r="O788"/>
  <c r="O792" s="1"/>
  <c r="N788"/>
  <c r="N792" s="1"/>
  <c r="L788"/>
  <c r="K787"/>
  <c r="Q786"/>
  <c r="O786"/>
  <c r="L786"/>
  <c r="N786" s="1"/>
  <c r="Q785"/>
  <c r="O785"/>
  <c r="O787" s="1"/>
  <c r="L785"/>
  <c r="N785" s="1"/>
  <c r="N787" s="1"/>
  <c r="K784"/>
  <c r="Q783"/>
  <c r="O783"/>
  <c r="O784" s="1"/>
  <c r="N783"/>
  <c r="N784" s="1"/>
  <c r="L783"/>
  <c r="K782"/>
  <c r="Q781"/>
  <c r="O781"/>
  <c r="L781"/>
  <c r="N781" s="1"/>
  <c r="Q780"/>
  <c r="O780"/>
  <c r="O782" s="1"/>
  <c r="L780"/>
  <c r="N780" s="1"/>
  <c r="N782" s="1"/>
  <c r="K779"/>
  <c r="Q778"/>
  <c r="O778"/>
  <c r="N778"/>
  <c r="L778"/>
  <c r="Q777"/>
  <c r="O777"/>
  <c r="N777"/>
  <c r="L777"/>
  <c r="Q776"/>
  <c r="O776"/>
  <c r="O779" s="1"/>
  <c r="N776"/>
  <c r="N779" s="1"/>
  <c r="L776"/>
  <c r="K775"/>
  <c r="Q774"/>
  <c r="O774"/>
  <c r="L774"/>
  <c r="N774" s="1"/>
  <c r="Q773"/>
  <c r="O773"/>
  <c r="L773"/>
  <c r="N773" s="1"/>
  <c r="Q772"/>
  <c r="O772"/>
  <c r="O775" s="1"/>
  <c r="L772"/>
  <c r="N772" s="1"/>
  <c r="K771"/>
  <c r="Q770"/>
  <c r="O770"/>
  <c r="N770"/>
  <c r="L770"/>
  <c r="Q769"/>
  <c r="O769"/>
  <c r="O771" s="1"/>
  <c r="N769"/>
  <c r="N771" s="1"/>
  <c r="L769"/>
  <c r="K768"/>
  <c r="Q767"/>
  <c r="O767"/>
  <c r="O768" s="1"/>
  <c r="L767"/>
  <c r="N767" s="1"/>
  <c r="N768" s="1"/>
  <c r="K766"/>
  <c r="Q765"/>
  <c r="O765"/>
  <c r="O766" s="1"/>
  <c r="N765"/>
  <c r="N766" s="1"/>
  <c r="L765"/>
  <c r="K764"/>
  <c r="Q763"/>
  <c r="O763"/>
  <c r="N763"/>
  <c r="L763"/>
  <c r="Q762"/>
  <c r="O762"/>
  <c r="O764" s="1"/>
  <c r="N762"/>
  <c r="N764" s="1"/>
  <c r="L762"/>
  <c r="K761"/>
  <c r="Q760"/>
  <c r="O760"/>
  <c r="N760"/>
  <c r="L760"/>
  <c r="Q759"/>
  <c r="O759"/>
  <c r="N759"/>
  <c r="L759"/>
  <c r="Q758"/>
  <c r="O758"/>
  <c r="N758"/>
  <c r="L758"/>
  <c r="Q757"/>
  <c r="O757"/>
  <c r="O761" s="1"/>
  <c r="N757"/>
  <c r="N761" s="1"/>
  <c r="L757"/>
  <c r="O756"/>
  <c r="K756"/>
  <c r="Q755"/>
  <c r="O755"/>
  <c r="L755"/>
  <c r="N755" s="1"/>
  <c r="N756" s="1"/>
  <c r="K754"/>
  <c r="Q753"/>
  <c r="O753"/>
  <c r="N753"/>
  <c r="L753"/>
  <c r="Q752"/>
  <c r="O752"/>
  <c r="N752"/>
  <c r="L752"/>
  <c r="Q751"/>
  <c r="O751"/>
  <c r="N751"/>
  <c r="L751"/>
  <c r="Q750"/>
  <c r="O750"/>
  <c r="O754" s="1"/>
  <c r="N750"/>
  <c r="N754" s="1"/>
  <c r="L750"/>
  <c r="K749"/>
  <c r="Q748"/>
  <c r="O748"/>
  <c r="O749" s="1"/>
  <c r="N748"/>
  <c r="N749" s="1"/>
  <c r="L748"/>
  <c r="K747"/>
  <c r="Q746"/>
  <c r="O746"/>
  <c r="N746"/>
  <c r="L746"/>
  <c r="Q745"/>
  <c r="O745"/>
  <c r="N745"/>
  <c r="L745"/>
  <c r="Q744"/>
  <c r="O744"/>
  <c r="O747" s="1"/>
  <c r="N744"/>
  <c r="N747" s="1"/>
  <c r="L744"/>
  <c r="K743"/>
  <c r="Q742"/>
  <c r="O742"/>
  <c r="L742"/>
  <c r="N742" s="1"/>
  <c r="Q741"/>
  <c r="O741"/>
  <c r="O743" s="1"/>
  <c r="L741"/>
  <c r="N741" s="1"/>
  <c r="N743" s="1"/>
  <c r="K740"/>
  <c r="Q739"/>
  <c r="O739"/>
  <c r="N739"/>
  <c r="L739"/>
  <c r="Q738"/>
  <c r="O738"/>
  <c r="O740" s="1"/>
  <c r="N738"/>
  <c r="N740" s="1"/>
  <c r="L738"/>
  <c r="O737"/>
  <c r="K737"/>
  <c r="Q736"/>
  <c r="O736"/>
  <c r="N736"/>
  <c r="L736"/>
  <c r="Q735"/>
  <c r="O735"/>
  <c r="N735"/>
  <c r="N737" s="1"/>
  <c r="L735"/>
  <c r="K734"/>
  <c r="Q733"/>
  <c r="O733"/>
  <c r="N733"/>
  <c r="L733"/>
  <c r="Q732"/>
  <c r="O732"/>
  <c r="O734" s="1"/>
  <c r="N732"/>
  <c r="N734" s="1"/>
  <c r="L732"/>
  <c r="K731"/>
  <c r="Q730"/>
  <c r="O730"/>
  <c r="O731" s="1"/>
  <c r="L730"/>
  <c r="N730" s="1"/>
  <c r="N731" s="1"/>
  <c r="K729"/>
  <c r="Q728"/>
  <c r="O728"/>
  <c r="N728"/>
  <c r="L728"/>
  <c r="Q727"/>
  <c r="O727"/>
  <c r="O729" s="1"/>
  <c r="N727"/>
  <c r="N729" s="1"/>
  <c r="L727"/>
  <c r="K726"/>
  <c r="Q725"/>
  <c r="O725"/>
  <c r="N725"/>
  <c r="L725"/>
  <c r="Q724"/>
  <c r="O724"/>
  <c r="N724"/>
  <c r="L724"/>
  <c r="Q723"/>
  <c r="O723"/>
  <c r="N723"/>
  <c r="L723"/>
  <c r="Q722"/>
  <c r="O722"/>
  <c r="O726" s="1"/>
  <c r="N722"/>
  <c r="N726" s="1"/>
  <c r="L722"/>
  <c r="K721"/>
  <c r="Q720"/>
  <c r="O720"/>
  <c r="L720"/>
  <c r="N720" s="1"/>
  <c r="Q719"/>
  <c r="O719"/>
  <c r="O721" s="1"/>
  <c r="L719"/>
  <c r="N719" s="1"/>
  <c r="N721" s="1"/>
  <c r="K718"/>
  <c r="Q717"/>
  <c r="O717"/>
  <c r="L717"/>
  <c r="N717" s="1"/>
  <c r="Q716"/>
  <c r="O716"/>
  <c r="L716"/>
  <c r="N716" s="1"/>
  <c r="Q715"/>
  <c r="O715"/>
  <c r="O718" s="1"/>
  <c r="L715"/>
  <c r="N715" s="1"/>
  <c r="K714"/>
  <c r="Q713"/>
  <c r="O713"/>
  <c r="N713"/>
  <c r="L713"/>
  <c r="Q712"/>
  <c r="O712"/>
  <c r="O714" s="1"/>
  <c r="N712"/>
  <c r="N714" s="1"/>
  <c r="L712"/>
  <c r="K711"/>
  <c r="Q710"/>
  <c r="O710"/>
  <c r="N710"/>
  <c r="L710"/>
  <c r="Q709"/>
  <c r="O709"/>
  <c r="N709"/>
  <c r="L709"/>
  <c r="Q708"/>
  <c r="O708"/>
  <c r="N708"/>
  <c r="L708"/>
  <c r="Q707"/>
  <c r="O707"/>
  <c r="O711" s="1"/>
  <c r="N707"/>
  <c r="N711" s="1"/>
  <c r="L707"/>
  <c r="K706"/>
  <c r="Q705"/>
  <c r="O705"/>
  <c r="L705"/>
  <c r="N705" s="1"/>
  <c r="Q704"/>
  <c r="O704"/>
  <c r="L704"/>
  <c r="N704" s="1"/>
  <c r="Q703"/>
  <c r="O703"/>
  <c r="L703"/>
  <c r="N703" s="1"/>
  <c r="Q702"/>
  <c r="O702"/>
  <c r="O706" s="1"/>
  <c r="L702"/>
  <c r="N702" s="1"/>
  <c r="N706" s="1"/>
  <c r="K701"/>
  <c r="Q700"/>
  <c r="O700"/>
  <c r="O701" s="1"/>
  <c r="L700"/>
  <c r="N700" s="1"/>
  <c r="N701" s="1"/>
  <c r="K699"/>
  <c r="Q698"/>
  <c r="O698"/>
  <c r="N698"/>
  <c r="L698"/>
  <c r="Q697"/>
  <c r="O697"/>
  <c r="O699" s="1"/>
  <c r="N697"/>
  <c r="N699" s="1"/>
  <c r="L697"/>
  <c r="K696"/>
  <c r="Q695"/>
  <c r="O695"/>
  <c r="O696" s="1"/>
  <c r="N695"/>
  <c r="N696" s="1"/>
  <c r="L695"/>
  <c r="K694"/>
  <c r="Q693"/>
  <c r="O693"/>
  <c r="L693"/>
  <c r="N693" s="1"/>
  <c r="Q692"/>
  <c r="O692"/>
  <c r="O694" s="1"/>
  <c r="L692"/>
  <c r="N692" s="1"/>
  <c r="K691"/>
  <c r="Q690"/>
  <c r="O690"/>
  <c r="L690"/>
  <c r="N690" s="1"/>
  <c r="Q689"/>
  <c r="O689"/>
  <c r="O691" s="1"/>
  <c r="L689"/>
  <c r="N689" s="1"/>
  <c r="O688"/>
  <c r="K688"/>
  <c r="Q687"/>
  <c r="O687"/>
  <c r="N687"/>
  <c r="N688" s="1"/>
  <c r="L687"/>
  <c r="K686"/>
  <c r="Q685"/>
  <c r="O685"/>
  <c r="N685"/>
  <c r="L685"/>
  <c r="Q684"/>
  <c r="O684"/>
  <c r="N684"/>
  <c r="L684"/>
  <c r="Q683"/>
  <c r="O683"/>
  <c r="N683"/>
  <c r="L683"/>
  <c r="Q682"/>
  <c r="O682"/>
  <c r="O686" s="1"/>
  <c r="N682"/>
  <c r="N686" s="1"/>
  <c r="L682"/>
  <c r="K681"/>
  <c r="Q680"/>
  <c r="O680"/>
  <c r="N680"/>
  <c r="L680"/>
  <c r="Q679"/>
  <c r="O679"/>
  <c r="O681" s="1"/>
  <c r="N679"/>
  <c r="N681" s="1"/>
  <c r="L679"/>
  <c r="K678"/>
  <c r="Q677"/>
  <c r="O677"/>
  <c r="L677"/>
  <c r="N677" s="1"/>
  <c r="Q676"/>
  <c r="O676"/>
  <c r="O678" s="1"/>
  <c r="L676"/>
  <c r="N676" s="1"/>
  <c r="N678" s="1"/>
  <c r="K675"/>
  <c r="Q674"/>
  <c r="O674"/>
  <c r="N674"/>
  <c r="L674"/>
  <c r="Q673"/>
  <c r="O673"/>
  <c r="O675" s="1"/>
  <c r="N673"/>
  <c r="N675" s="1"/>
  <c r="L673"/>
  <c r="K672"/>
  <c r="Q671"/>
  <c r="O671"/>
  <c r="O672" s="1"/>
  <c r="N671"/>
  <c r="N672" s="1"/>
  <c r="L671"/>
  <c r="K670"/>
  <c r="Q669"/>
  <c r="O669"/>
  <c r="O670" s="1"/>
  <c r="L669"/>
  <c r="N669" s="1"/>
  <c r="N670" s="1"/>
  <c r="K668"/>
  <c r="Q667"/>
  <c r="O667"/>
  <c r="O668" s="1"/>
  <c r="L667"/>
  <c r="N667" s="1"/>
  <c r="N668" s="1"/>
  <c r="O666"/>
  <c r="K666"/>
  <c r="Q665"/>
  <c r="O665"/>
  <c r="N665"/>
  <c r="N666" s="1"/>
  <c r="L665"/>
  <c r="K664"/>
  <c r="Q663"/>
  <c r="O663"/>
  <c r="O664" s="1"/>
  <c r="N663"/>
  <c r="N664" s="1"/>
  <c r="L663"/>
  <c r="K662"/>
  <c r="Q661"/>
  <c r="O661"/>
  <c r="O662" s="1"/>
  <c r="N661"/>
  <c r="N662" s="1"/>
  <c r="L661"/>
  <c r="K660"/>
  <c r="Q659"/>
  <c r="O659"/>
  <c r="O660" s="1"/>
  <c r="L659"/>
  <c r="N659" s="1"/>
  <c r="N660" s="1"/>
  <c r="O658"/>
  <c r="K658"/>
  <c r="Q657"/>
  <c r="O657"/>
  <c r="N657"/>
  <c r="N658" s="1"/>
  <c r="L657"/>
  <c r="K656"/>
  <c r="Q655"/>
  <c r="O655"/>
  <c r="O656" s="1"/>
  <c r="N655"/>
  <c r="N656" s="1"/>
  <c r="L655"/>
  <c r="K654"/>
  <c r="Q653"/>
  <c r="O653"/>
  <c r="O654" s="1"/>
  <c r="N653"/>
  <c r="N654" s="1"/>
  <c r="L653"/>
  <c r="K652"/>
  <c r="Q651"/>
  <c r="O651"/>
  <c r="O652" s="1"/>
  <c r="L651"/>
  <c r="N651" s="1"/>
  <c r="N652" s="1"/>
  <c r="K650"/>
  <c r="Q649"/>
  <c r="O649"/>
  <c r="O650" s="1"/>
  <c r="N649"/>
  <c r="N650" s="1"/>
  <c r="L649"/>
  <c r="K648"/>
  <c r="Q647"/>
  <c r="O647"/>
  <c r="O648" s="1"/>
  <c r="N647"/>
  <c r="N648" s="1"/>
  <c r="L647"/>
  <c r="K646"/>
  <c r="Q645"/>
  <c r="O645"/>
  <c r="O646" s="1"/>
  <c r="N645"/>
  <c r="N646" s="1"/>
  <c r="L645"/>
  <c r="K644"/>
  <c r="Q643"/>
  <c r="O643"/>
  <c r="O644" s="1"/>
  <c r="L643"/>
  <c r="N643" s="1"/>
  <c r="N644" s="1"/>
  <c r="K642"/>
  <c r="Q641"/>
  <c r="O641"/>
  <c r="O642" s="1"/>
  <c r="N641"/>
  <c r="N642" s="1"/>
  <c r="L641"/>
  <c r="K640"/>
  <c r="Q639"/>
  <c r="O639"/>
  <c r="O640" s="1"/>
  <c r="N639"/>
  <c r="N640" s="1"/>
  <c r="L639"/>
  <c r="K638"/>
  <c r="Q637"/>
  <c r="O637"/>
  <c r="O638" s="1"/>
  <c r="L637"/>
  <c r="N637" s="1"/>
  <c r="N638" s="1"/>
  <c r="K636"/>
  <c r="Q635"/>
  <c r="O635"/>
  <c r="L635"/>
  <c r="N635" s="1"/>
  <c r="Q634"/>
  <c r="O634"/>
  <c r="L634"/>
  <c r="N634" s="1"/>
  <c r="Q633"/>
  <c r="O633"/>
  <c r="L633"/>
  <c r="N633" s="1"/>
  <c r="Q632"/>
  <c r="O632"/>
  <c r="O636" s="1"/>
  <c r="L632"/>
  <c r="N632" s="1"/>
  <c r="K631"/>
  <c r="Q630"/>
  <c r="O630"/>
  <c r="O631" s="1"/>
  <c r="N630"/>
  <c r="N631" s="1"/>
  <c r="L630"/>
  <c r="K629"/>
  <c r="Q628"/>
  <c r="O628"/>
  <c r="N628"/>
  <c r="L628"/>
  <c r="Q627"/>
  <c r="O627"/>
  <c r="N627"/>
  <c r="L627"/>
  <c r="Q626"/>
  <c r="O626"/>
  <c r="N626"/>
  <c r="L626"/>
  <c r="Q625"/>
  <c r="O625"/>
  <c r="O629" s="1"/>
  <c r="N625"/>
  <c r="N629" s="1"/>
  <c r="L625"/>
  <c r="K624"/>
  <c r="Q623"/>
  <c r="O623"/>
  <c r="L623"/>
  <c r="N623" s="1"/>
  <c r="Q622"/>
  <c r="O622"/>
  <c r="L622"/>
  <c r="N622" s="1"/>
  <c r="Q621"/>
  <c r="O621"/>
  <c r="L621"/>
  <c r="N621" s="1"/>
  <c r="Q620"/>
  <c r="O620"/>
  <c r="O624" s="1"/>
  <c r="L620"/>
  <c r="N620" s="1"/>
  <c r="K619"/>
  <c r="Q618"/>
  <c r="O618"/>
  <c r="L618"/>
  <c r="N618" s="1"/>
  <c r="Q617"/>
  <c r="O617"/>
  <c r="O619" s="1"/>
  <c r="L617"/>
  <c r="N617" s="1"/>
  <c r="O616"/>
  <c r="K616"/>
  <c r="Q615"/>
  <c r="O615"/>
  <c r="N615"/>
  <c r="L615"/>
  <c r="Q614"/>
  <c r="O614"/>
  <c r="N614"/>
  <c r="L614"/>
  <c r="Q613"/>
  <c r="O613"/>
  <c r="N613"/>
  <c r="L613"/>
  <c r="Q612"/>
  <c r="O612"/>
  <c r="N612"/>
  <c r="N616" s="1"/>
  <c r="L612"/>
  <c r="K611"/>
  <c r="Q610"/>
  <c r="O610"/>
  <c r="N610"/>
  <c r="L610"/>
  <c r="Q609"/>
  <c r="O609"/>
  <c r="N609"/>
  <c r="L609"/>
  <c r="Q608"/>
  <c r="O608"/>
  <c r="N608"/>
  <c r="L608"/>
  <c r="Q607"/>
  <c r="O607"/>
  <c r="O611" s="1"/>
  <c r="N607"/>
  <c r="N611" s="1"/>
  <c r="L607"/>
  <c r="K606"/>
  <c r="Q605"/>
  <c r="O605"/>
  <c r="N605"/>
  <c r="L605"/>
  <c r="Q604"/>
  <c r="O604"/>
  <c r="N604"/>
  <c r="L604"/>
  <c r="Q603"/>
  <c r="O603"/>
  <c r="O606" s="1"/>
  <c r="N603"/>
  <c r="N606" s="1"/>
  <c r="L603"/>
  <c r="K602"/>
  <c r="Q601"/>
  <c r="O601"/>
  <c r="O602" s="1"/>
  <c r="L601"/>
  <c r="N601" s="1"/>
  <c r="N602" s="1"/>
  <c r="K600"/>
  <c r="Q599"/>
  <c r="O599"/>
  <c r="O600" s="1"/>
  <c r="N599"/>
  <c r="N600" s="1"/>
  <c r="L599"/>
  <c r="K598"/>
  <c r="Q597"/>
  <c r="O597"/>
  <c r="O598" s="1"/>
  <c r="N597"/>
  <c r="N598" s="1"/>
  <c r="L597"/>
  <c r="K596"/>
  <c r="Q595"/>
  <c r="O595"/>
  <c r="L595"/>
  <c r="N595" s="1"/>
  <c r="Q594"/>
  <c r="O594"/>
  <c r="O596" s="1"/>
  <c r="L594"/>
  <c r="N594" s="1"/>
  <c r="N596" s="1"/>
  <c r="K593"/>
  <c r="Q592"/>
  <c r="O592"/>
  <c r="O593" s="1"/>
  <c r="L592"/>
  <c r="N592" s="1"/>
  <c r="N593" s="1"/>
  <c r="K591"/>
  <c r="Q590"/>
  <c r="O590"/>
  <c r="O591" s="1"/>
  <c r="N590"/>
  <c r="N591" s="1"/>
  <c r="L590"/>
  <c r="K589"/>
  <c r="Q588"/>
  <c r="O588"/>
  <c r="N588"/>
  <c r="L588"/>
  <c r="Q587"/>
  <c r="O587"/>
  <c r="O589" s="1"/>
  <c r="N587"/>
  <c r="N589" s="1"/>
  <c r="L587"/>
  <c r="K586"/>
  <c r="Q585"/>
  <c r="O585"/>
  <c r="L585"/>
  <c r="N585" s="1"/>
  <c r="Q584"/>
  <c r="O584"/>
  <c r="O586" s="1"/>
  <c r="L584"/>
  <c r="N584" s="1"/>
  <c r="K583"/>
  <c r="Q582"/>
  <c r="O582"/>
  <c r="O583" s="1"/>
  <c r="L582"/>
  <c r="N582" s="1"/>
  <c r="N583" s="1"/>
  <c r="O581"/>
  <c r="K581"/>
  <c r="Q580"/>
  <c r="O580"/>
  <c r="N580"/>
  <c r="N581" s="1"/>
  <c r="L580"/>
  <c r="K579"/>
  <c r="Q578"/>
  <c r="O578"/>
  <c r="O579" s="1"/>
  <c r="N578"/>
  <c r="N579" s="1"/>
  <c r="L578"/>
  <c r="K577"/>
  <c r="Q576"/>
  <c r="O576"/>
  <c r="O577" s="1"/>
  <c r="N576"/>
  <c r="N577" s="1"/>
  <c r="L576"/>
  <c r="K575"/>
  <c r="Q574"/>
  <c r="O574"/>
  <c r="L574"/>
  <c r="N574" s="1"/>
  <c r="Q573"/>
  <c r="O573"/>
  <c r="L573"/>
  <c r="N573" s="1"/>
  <c r="Q572"/>
  <c r="O572"/>
  <c r="O575" s="1"/>
  <c r="L572"/>
  <c r="N572" s="1"/>
  <c r="N575" s="1"/>
  <c r="K571"/>
  <c r="Q570"/>
  <c r="O570"/>
  <c r="O571" s="1"/>
  <c r="N570"/>
  <c r="N571" s="1"/>
  <c r="L570"/>
  <c r="K569"/>
  <c r="Q568"/>
  <c r="O568"/>
  <c r="O569" s="1"/>
  <c r="N568"/>
  <c r="N569" s="1"/>
  <c r="L568"/>
  <c r="K567"/>
  <c r="Q566"/>
  <c r="O566"/>
  <c r="O567" s="1"/>
  <c r="L566"/>
  <c r="N566" s="1"/>
  <c r="N567" s="1"/>
  <c r="K565"/>
  <c r="Q564"/>
  <c r="O564"/>
  <c r="O565" s="1"/>
  <c r="L564"/>
  <c r="N564" s="1"/>
  <c r="N565" s="1"/>
  <c r="O563"/>
  <c r="K563"/>
  <c r="Q562"/>
  <c r="O562"/>
  <c r="N562"/>
  <c r="N563" s="1"/>
  <c r="L562"/>
  <c r="K561"/>
  <c r="Q560"/>
  <c r="O560"/>
  <c r="O561" s="1"/>
  <c r="N560"/>
  <c r="N561" s="1"/>
  <c r="L560"/>
  <c r="K559"/>
  <c r="Q558"/>
  <c r="O558"/>
  <c r="O559" s="1"/>
  <c r="N558"/>
  <c r="N559" s="1"/>
  <c r="L558"/>
  <c r="K557"/>
  <c r="Q556"/>
  <c r="O556"/>
  <c r="O557" s="1"/>
  <c r="L556"/>
  <c r="N556" s="1"/>
  <c r="N557" s="1"/>
  <c r="O555"/>
  <c r="K555"/>
  <c r="Q554"/>
  <c r="O554"/>
  <c r="N554"/>
  <c r="L554"/>
  <c r="Q553"/>
  <c r="O553"/>
  <c r="N553"/>
  <c r="L553"/>
  <c r="Q552"/>
  <c r="O552"/>
  <c r="N552"/>
  <c r="L552"/>
  <c r="Q551"/>
  <c r="O551"/>
  <c r="N551"/>
  <c r="N555" s="1"/>
  <c r="L551"/>
  <c r="K550"/>
  <c r="Q549"/>
  <c r="O549"/>
  <c r="N549"/>
  <c r="L549"/>
  <c r="Q548"/>
  <c r="O548"/>
  <c r="N548"/>
  <c r="L548"/>
  <c r="Q547"/>
  <c r="O547"/>
  <c r="N547"/>
  <c r="L547"/>
  <c r="Q546"/>
  <c r="O546"/>
  <c r="O550" s="1"/>
  <c r="N546"/>
  <c r="N550" s="1"/>
  <c r="L546"/>
  <c r="K545"/>
  <c r="Q544"/>
  <c r="O544"/>
  <c r="N544"/>
  <c r="L544"/>
  <c r="Q543"/>
  <c r="O543"/>
  <c r="N543"/>
  <c r="L543"/>
  <c r="Q542"/>
  <c r="O542"/>
  <c r="N542"/>
  <c r="L542"/>
  <c r="Q541"/>
  <c r="O541"/>
  <c r="O545" s="1"/>
  <c r="N541"/>
  <c r="N545" s="1"/>
  <c r="L541"/>
  <c r="K540"/>
  <c r="Q539"/>
  <c r="O539"/>
  <c r="O540" s="1"/>
  <c r="L539"/>
  <c r="N539" s="1"/>
  <c r="N540" s="1"/>
  <c r="K538"/>
  <c r="Q537"/>
  <c r="O537"/>
  <c r="O538" s="1"/>
  <c r="N537"/>
  <c r="N538" s="1"/>
  <c r="L537"/>
  <c r="K536"/>
  <c r="Q535"/>
  <c r="O535"/>
  <c r="O536" s="1"/>
  <c r="N535"/>
  <c r="N536" s="1"/>
  <c r="L535"/>
  <c r="K534"/>
  <c r="Q533"/>
  <c r="O533"/>
  <c r="O534" s="1"/>
  <c r="N533"/>
  <c r="N534" s="1"/>
  <c r="L533"/>
  <c r="K532"/>
  <c r="Q531"/>
  <c r="O531"/>
  <c r="O532" s="1"/>
  <c r="L531"/>
  <c r="N531" s="1"/>
  <c r="N532" s="1"/>
  <c r="K530"/>
  <c r="Q529"/>
  <c r="O529"/>
  <c r="O530" s="1"/>
  <c r="N529"/>
  <c r="N530" s="1"/>
  <c r="L529"/>
  <c r="K528"/>
  <c r="Q527"/>
  <c r="O527"/>
  <c r="O528" s="1"/>
  <c r="N527"/>
  <c r="N528" s="1"/>
  <c r="L527"/>
  <c r="K526"/>
  <c r="Q525"/>
  <c r="O525"/>
  <c r="L525"/>
  <c r="N525" s="1"/>
  <c r="Q524"/>
  <c r="O524"/>
  <c r="O526" s="1"/>
  <c r="L524"/>
  <c r="N524" s="1"/>
  <c r="N526" s="1"/>
  <c r="K523"/>
  <c r="Q522"/>
  <c r="O522"/>
  <c r="O523" s="1"/>
  <c r="L522"/>
  <c r="N522" s="1"/>
  <c r="N523" s="1"/>
  <c r="K521"/>
  <c r="Q520"/>
  <c r="O520"/>
  <c r="O521" s="1"/>
  <c r="N520"/>
  <c r="N521" s="1"/>
  <c r="L520"/>
  <c r="K519"/>
  <c r="Q518"/>
  <c r="O518"/>
  <c r="N518"/>
  <c r="L518"/>
  <c r="Q517"/>
  <c r="O517"/>
  <c r="N517"/>
  <c r="L517"/>
  <c r="Q516"/>
  <c r="O516"/>
  <c r="O519" s="1"/>
  <c r="N516"/>
  <c r="N519" s="1"/>
  <c r="L516"/>
  <c r="K515"/>
  <c r="Q514"/>
  <c r="O514"/>
  <c r="N514"/>
  <c r="L514"/>
  <c r="Q513"/>
  <c r="O513"/>
  <c r="O515" s="1"/>
  <c r="N513"/>
  <c r="N515" s="1"/>
  <c r="L513"/>
  <c r="K512"/>
  <c r="Q511"/>
  <c r="O511"/>
  <c r="O512" s="1"/>
  <c r="L511"/>
  <c r="N511" s="1"/>
  <c r="N512" s="1"/>
  <c r="O510"/>
  <c r="K510"/>
  <c r="Q509"/>
  <c r="O509"/>
  <c r="N509"/>
  <c r="N510" s="1"/>
  <c r="L509"/>
  <c r="K508"/>
  <c r="Q507"/>
  <c r="O507"/>
  <c r="O508" s="1"/>
  <c r="N507"/>
  <c r="N508" s="1"/>
  <c r="L507"/>
  <c r="K506"/>
  <c r="Q505"/>
  <c r="O505"/>
  <c r="O506" s="1"/>
  <c r="N505"/>
  <c r="N506" s="1"/>
  <c r="L505"/>
  <c r="K504"/>
  <c r="Q503"/>
  <c r="O503"/>
  <c r="O504" s="1"/>
  <c r="L503"/>
  <c r="N503" s="1"/>
  <c r="N504" s="1"/>
  <c r="K502"/>
  <c r="Q501"/>
  <c r="O501"/>
  <c r="O502" s="1"/>
  <c r="N501"/>
  <c r="N502" s="1"/>
  <c r="L501"/>
  <c r="O500"/>
  <c r="K500"/>
  <c r="Q499"/>
  <c r="O499"/>
  <c r="N499"/>
  <c r="N500" s="1"/>
  <c r="L499"/>
  <c r="K498"/>
  <c r="Q497"/>
  <c r="O497"/>
  <c r="L497"/>
  <c r="N497" s="1"/>
  <c r="Q496"/>
  <c r="O496"/>
  <c r="O498" s="1"/>
  <c r="L496"/>
  <c r="N496" s="1"/>
  <c r="N498" s="1"/>
  <c r="K495"/>
  <c r="Q494"/>
  <c r="O494"/>
  <c r="O495" s="1"/>
  <c r="L494"/>
  <c r="N494" s="1"/>
  <c r="N495" s="1"/>
  <c r="K493"/>
  <c r="Q492"/>
  <c r="O492"/>
  <c r="O493" s="1"/>
  <c r="N492"/>
  <c r="N493" s="1"/>
  <c r="L492"/>
  <c r="K491"/>
  <c r="Q490"/>
  <c r="O490"/>
  <c r="O491" s="1"/>
  <c r="N490"/>
  <c r="N491" s="1"/>
  <c r="L490"/>
  <c r="K489"/>
  <c r="Q488"/>
  <c r="O488"/>
  <c r="L488"/>
  <c r="N488" s="1"/>
  <c r="Q487"/>
  <c r="O487"/>
  <c r="L487"/>
  <c r="N487" s="1"/>
  <c r="Q486"/>
  <c r="O486"/>
  <c r="L486"/>
  <c r="N486" s="1"/>
  <c r="Q485"/>
  <c r="O485"/>
  <c r="O489" s="1"/>
  <c r="L485"/>
  <c r="N485" s="1"/>
  <c r="N489" s="1"/>
  <c r="K484"/>
  <c r="Q483"/>
  <c r="O483"/>
  <c r="L483"/>
  <c r="N483" s="1"/>
  <c r="Q482"/>
  <c r="O482"/>
  <c r="L482"/>
  <c r="N482" s="1"/>
  <c r="Q481"/>
  <c r="O481"/>
  <c r="L481"/>
  <c r="N481" s="1"/>
  <c r="Q480"/>
  <c r="O480"/>
  <c r="O484" s="1"/>
  <c r="L480"/>
  <c r="N480" s="1"/>
  <c r="K479"/>
  <c r="Q478"/>
  <c r="O478"/>
  <c r="O479" s="1"/>
  <c r="N478"/>
  <c r="N479" s="1"/>
  <c r="L478"/>
  <c r="K477"/>
  <c r="Q476"/>
  <c r="O476"/>
  <c r="O477" s="1"/>
  <c r="N476"/>
  <c r="N477" s="1"/>
  <c r="L476"/>
  <c r="K475"/>
  <c r="Q474"/>
  <c r="O474"/>
  <c r="O475" s="1"/>
  <c r="L474"/>
  <c r="N474" s="1"/>
  <c r="N475" s="1"/>
  <c r="K473"/>
  <c r="Q472"/>
  <c r="O472"/>
  <c r="O473" s="1"/>
  <c r="L472"/>
  <c r="N472" s="1"/>
  <c r="N473" s="1"/>
  <c r="K471"/>
  <c r="Q470"/>
  <c r="O470"/>
  <c r="O471" s="1"/>
  <c r="N470"/>
  <c r="N471" s="1"/>
  <c r="L470"/>
  <c r="K469"/>
  <c r="Q468"/>
  <c r="O468"/>
  <c r="N468"/>
  <c r="L468"/>
  <c r="Q467"/>
  <c r="O467"/>
  <c r="N467"/>
  <c r="L467"/>
  <c r="Q466"/>
  <c r="O466"/>
  <c r="N466"/>
  <c r="L466"/>
  <c r="Q465"/>
  <c r="O465"/>
  <c r="N465"/>
  <c r="L465"/>
  <c r="Q464"/>
  <c r="O464"/>
  <c r="O469" s="1"/>
  <c r="N464"/>
  <c r="N469" s="1"/>
  <c r="L464"/>
  <c r="K463"/>
  <c r="Q462"/>
  <c r="O462"/>
  <c r="O463" s="1"/>
  <c r="N462"/>
  <c r="N463" s="1"/>
  <c r="L462"/>
  <c r="K461"/>
  <c r="Q460"/>
  <c r="O460"/>
  <c r="L460"/>
  <c r="N460" s="1"/>
  <c r="Q459"/>
  <c r="O459"/>
  <c r="L459"/>
  <c r="N459" s="1"/>
  <c r="Q458"/>
  <c r="O458"/>
  <c r="L458"/>
  <c r="N458" s="1"/>
  <c r="Q457"/>
  <c r="O457"/>
  <c r="O461" s="1"/>
  <c r="L457"/>
  <c r="N457" s="1"/>
  <c r="O456"/>
  <c r="K456"/>
  <c r="Q455"/>
  <c r="O455"/>
  <c r="L455"/>
  <c r="N455" s="1"/>
  <c r="N456" s="1"/>
  <c r="K454"/>
  <c r="Q453"/>
  <c r="O453"/>
  <c r="O454" s="1"/>
  <c r="N453"/>
  <c r="N454" s="1"/>
  <c r="L453"/>
  <c r="K452"/>
  <c r="Q451"/>
  <c r="O451"/>
  <c r="O452" s="1"/>
  <c r="N451"/>
  <c r="N452" s="1"/>
  <c r="L451"/>
  <c r="K450"/>
  <c r="Q449"/>
  <c r="O449"/>
  <c r="L449"/>
  <c r="N449" s="1"/>
  <c r="Q448"/>
  <c r="O448"/>
  <c r="L448"/>
  <c r="N448" s="1"/>
  <c r="Q447"/>
  <c r="O447"/>
  <c r="O450" s="1"/>
  <c r="L447"/>
  <c r="N447" s="1"/>
  <c r="N450" s="1"/>
  <c r="K446"/>
  <c r="Q445"/>
  <c r="O445"/>
  <c r="O446" s="1"/>
  <c r="L445"/>
  <c r="N445" s="1"/>
  <c r="Q444"/>
  <c r="O444"/>
  <c r="L444"/>
  <c r="N444" s="1"/>
  <c r="N446" s="1"/>
  <c r="K443"/>
  <c r="Q442"/>
  <c r="O442"/>
  <c r="O443" s="1"/>
  <c r="N442"/>
  <c r="N443" s="1"/>
  <c r="L442"/>
  <c r="K441"/>
  <c r="Q440"/>
  <c r="O440"/>
  <c r="O441" s="1"/>
  <c r="N440"/>
  <c r="N441" s="1"/>
  <c r="L440"/>
  <c r="K439"/>
  <c r="Q438"/>
  <c r="O438"/>
  <c r="L438"/>
  <c r="N438" s="1"/>
  <c r="Q437"/>
  <c r="O437"/>
  <c r="L437"/>
  <c r="N437" s="1"/>
  <c r="Q436"/>
  <c r="O436"/>
  <c r="L436"/>
  <c r="N436" s="1"/>
  <c r="Q435"/>
  <c r="O435"/>
  <c r="O439" s="1"/>
  <c r="L435"/>
  <c r="N435" s="1"/>
  <c r="K434"/>
  <c r="Q433"/>
  <c r="O433"/>
  <c r="N433"/>
  <c r="L433"/>
  <c r="Q432"/>
  <c r="O432"/>
  <c r="O434" s="1"/>
  <c r="N432"/>
  <c r="N434" s="1"/>
  <c r="L432"/>
  <c r="O431"/>
  <c r="K431"/>
  <c r="Q430"/>
  <c r="O430"/>
  <c r="N430"/>
  <c r="N431" s="1"/>
  <c r="L430"/>
  <c r="K429"/>
  <c r="Q428"/>
  <c r="O428"/>
  <c r="L428"/>
  <c r="N428" s="1"/>
  <c r="Q427"/>
  <c r="O427"/>
  <c r="O429" s="1"/>
  <c r="L427"/>
  <c r="N427" s="1"/>
  <c r="K426"/>
  <c r="Q425"/>
  <c r="O425"/>
  <c r="O426" s="1"/>
  <c r="L425"/>
  <c r="N425" s="1"/>
  <c r="N426" s="1"/>
  <c r="K424"/>
  <c r="Q423"/>
  <c r="O423"/>
  <c r="O424" s="1"/>
  <c r="N423"/>
  <c r="N424" s="1"/>
  <c r="L423"/>
  <c r="K422"/>
  <c r="Q421"/>
  <c r="O421"/>
  <c r="O422" s="1"/>
  <c r="N421"/>
  <c r="N422" s="1"/>
  <c r="L421"/>
  <c r="K420"/>
  <c r="Q419"/>
  <c r="O419"/>
  <c r="O420" s="1"/>
  <c r="L419"/>
  <c r="N419" s="1"/>
  <c r="N420" s="1"/>
  <c r="K418"/>
  <c r="Q417"/>
  <c r="O417"/>
  <c r="O418" s="1"/>
  <c r="L417"/>
  <c r="N417" s="1"/>
  <c r="N418" s="1"/>
  <c r="O416"/>
  <c r="K416"/>
  <c r="Q415"/>
  <c r="O415"/>
  <c r="N415"/>
  <c r="N416" s="1"/>
  <c r="L415"/>
  <c r="K414"/>
  <c r="Q413"/>
  <c r="O413"/>
  <c r="O414" s="1"/>
  <c r="L413"/>
  <c r="N413" s="1"/>
  <c r="N414" s="1"/>
  <c r="K412"/>
  <c r="Q411"/>
  <c r="O411"/>
  <c r="O412" s="1"/>
  <c r="L411"/>
  <c r="N411" s="1"/>
  <c r="N412" s="1"/>
  <c r="O410"/>
  <c r="K410"/>
  <c r="Q409"/>
  <c r="O409"/>
  <c r="N409"/>
  <c r="N410" s="1"/>
  <c r="L409"/>
  <c r="K408"/>
  <c r="Q407"/>
  <c r="O407"/>
  <c r="N407"/>
  <c r="L407"/>
  <c r="Q406"/>
  <c r="O406"/>
  <c r="O408" s="1"/>
  <c r="N406"/>
  <c r="N408" s="1"/>
  <c r="L406"/>
  <c r="K405"/>
  <c r="Q404"/>
  <c r="O404"/>
  <c r="O405" s="1"/>
  <c r="N404"/>
  <c r="N405" s="1"/>
  <c r="L404"/>
  <c r="K403"/>
  <c r="Q402"/>
  <c r="O402"/>
  <c r="O403" s="1"/>
  <c r="L402"/>
  <c r="N402" s="1"/>
  <c r="N403" s="1"/>
  <c r="O401"/>
  <c r="K401"/>
  <c r="Q400"/>
  <c r="O400"/>
  <c r="N400"/>
  <c r="N401" s="1"/>
  <c r="L400"/>
  <c r="K399"/>
  <c r="Q398"/>
  <c r="O398"/>
  <c r="N398"/>
  <c r="L398"/>
  <c r="Q397"/>
  <c r="O397"/>
  <c r="N397"/>
  <c r="L397"/>
  <c r="Q396"/>
  <c r="O396"/>
  <c r="N396"/>
  <c r="L396"/>
  <c r="Q395"/>
  <c r="O395"/>
  <c r="O399" s="1"/>
  <c r="N395"/>
  <c r="N399" s="1"/>
  <c r="L395"/>
  <c r="K394"/>
  <c r="Q393"/>
  <c r="O393"/>
  <c r="N393"/>
  <c r="L393"/>
  <c r="Q392"/>
  <c r="O392"/>
  <c r="N392"/>
  <c r="L392"/>
  <c r="Q391"/>
  <c r="O391"/>
  <c r="N391"/>
  <c r="L391"/>
  <c r="Q390"/>
  <c r="O390"/>
  <c r="O394" s="1"/>
  <c r="N390"/>
  <c r="N394" s="1"/>
  <c r="L390"/>
  <c r="K389"/>
  <c r="Q388"/>
  <c r="O388"/>
  <c r="O389" s="1"/>
  <c r="L388"/>
  <c r="N388" s="1"/>
  <c r="N389" s="1"/>
  <c r="K387"/>
  <c r="Q386"/>
  <c r="O386"/>
  <c r="N386"/>
  <c r="L386"/>
  <c r="Q385"/>
  <c r="O385"/>
  <c r="N385"/>
  <c r="L385"/>
  <c r="Q384"/>
  <c r="O384"/>
  <c r="N384"/>
  <c r="L384"/>
  <c r="Q383"/>
  <c r="O383"/>
  <c r="O387" s="1"/>
  <c r="N383"/>
  <c r="N387" s="1"/>
  <c r="L383"/>
  <c r="K382"/>
  <c r="Q381"/>
  <c r="O381"/>
  <c r="N381"/>
  <c r="L381"/>
  <c r="Q380"/>
  <c r="O380"/>
  <c r="N380"/>
  <c r="L380"/>
  <c r="Q379"/>
  <c r="O379"/>
  <c r="O382" s="1"/>
  <c r="N379"/>
  <c r="N382" s="1"/>
  <c r="L379"/>
  <c r="K378"/>
  <c r="Q377"/>
  <c r="O377"/>
  <c r="O378" s="1"/>
  <c r="L377"/>
  <c r="N377" s="1"/>
  <c r="N378" s="1"/>
  <c r="K376"/>
  <c r="Q375"/>
  <c r="O375"/>
  <c r="O376" s="1"/>
  <c r="L375"/>
  <c r="N375" s="1"/>
  <c r="N376" s="1"/>
  <c r="K374"/>
  <c r="Q373"/>
  <c r="O373"/>
  <c r="N373"/>
  <c r="L373"/>
  <c r="Q372"/>
  <c r="O372"/>
  <c r="N372"/>
  <c r="L372"/>
  <c r="Q371"/>
  <c r="O371"/>
  <c r="N371"/>
  <c r="L371"/>
  <c r="Q370"/>
  <c r="O370"/>
  <c r="O374" s="1"/>
  <c r="N370"/>
  <c r="N374" s="1"/>
  <c r="L370"/>
  <c r="K369"/>
  <c r="Q368"/>
  <c r="O368"/>
  <c r="O369" s="1"/>
  <c r="N368"/>
  <c r="N369" s="1"/>
  <c r="L368"/>
  <c r="K367"/>
  <c r="Q366"/>
  <c r="O366"/>
  <c r="L366"/>
  <c r="N366" s="1"/>
  <c r="Q365"/>
  <c r="O365"/>
  <c r="O367" s="1"/>
  <c r="L365"/>
  <c r="N365" s="1"/>
  <c r="N367" s="1"/>
  <c r="K364"/>
  <c r="Q363"/>
  <c r="O363"/>
  <c r="O364" s="1"/>
  <c r="L363"/>
  <c r="N363" s="1"/>
  <c r="N364" s="1"/>
  <c r="O362"/>
  <c r="K362"/>
  <c r="Q361"/>
  <c r="O361"/>
  <c r="N361"/>
  <c r="N362" s="1"/>
  <c r="L361"/>
  <c r="K360"/>
  <c r="Q359"/>
  <c r="O359"/>
  <c r="O360" s="1"/>
  <c r="N359"/>
  <c r="N360" s="1"/>
  <c r="L359"/>
  <c r="K358"/>
  <c r="Q357"/>
  <c r="O357"/>
  <c r="O358" s="1"/>
  <c r="N357"/>
  <c r="N358" s="1"/>
  <c r="L357"/>
  <c r="K356"/>
  <c r="Q355"/>
  <c r="O355"/>
  <c r="O356" s="1"/>
  <c r="L355"/>
  <c r="N355" s="1"/>
  <c r="N356" s="1"/>
  <c r="O354"/>
  <c r="K354"/>
  <c r="Q353"/>
  <c r="O353"/>
  <c r="N353"/>
  <c r="L353"/>
  <c r="Q352"/>
  <c r="O352"/>
  <c r="N352"/>
  <c r="L352"/>
  <c r="Q351"/>
  <c r="O351"/>
  <c r="N351"/>
  <c r="L351"/>
  <c r="Q350"/>
  <c r="O350"/>
  <c r="N350"/>
  <c r="N354" s="1"/>
  <c r="L350"/>
  <c r="K349"/>
  <c r="Q348"/>
  <c r="O348"/>
  <c r="O349" s="1"/>
  <c r="N348"/>
  <c r="N349" s="1"/>
  <c r="L348"/>
  <c r="K347"/>
  <c r="Q346"/>
  <c r="O346"/>
  <c r="O347" s="1"/>
  <c r="N346"/>
  <c r="N347" s="1"/>
  <c r="L346"/>
  <c r="K345"/>
  <c r="Q344"/>
  <c r="O344"/>
  <c r="O345" s="1"/>
  <c r="L344"/>
  <c r="N344" s="1"/>
  <c r="N345" s="1"/>
  <c r="K343"/>
  <c r="Q342"/>
  <c r="O342"/>
  <c r="N342"/>
  <c r="L342"/>
  <c r="Q341"/>
  <c r="O341"/>
  <c r="O343" s="1"/>
  <c r="N341"/>
  <c r="N343" s="1"/>
  <c r="L341"/>
  <c r="K340"/>
  <c r="Q339"/>
  <c r="O339"/>
  <c r="O340" s="1"/>
  <c r="N339"/>
  <c r="N340" s="1"/>
  <c r="L339"/>
  <c r="K338"/>
  <c r="Q337"/>
  <c r="O337"/>
  <c r="O338" s="1"/>
  <c r="L337"/>
  <c r="N337" s="1"/>
  <c r="N338" s="1"/>
  <c r="K336"/>
  <c r="Q335"/>
  <c r="O335"/>
  <c r="O336" s="1"/>
  <c r="L335"/>
  <c r="N335" s="1"/>
  <c r="N336" s="1"/>
  <c r="K334"/>
  <c r="Q333"/>
  <c r="O333"/>
  <c r="O334" s="1"/>
  <c r="N333"/>
  <c r="N334" s="1"/>
  <c r="L333"/>
  <c r="K332"/>
  <c r="Q331"/>
  <c r="O331"/>
  <c r="O332" s="1"/>
  <c r="N331"/>
  <c r="N332" s="1"/>
  <c r="L331"/>
  <c r="K330"/>
  <c r="Q329"/>
  <c r="O329"/>
  <c r="O330" s="1"/>
  <c r="L329"/>
  <c r="N329" s="1"/>
  <c r="N330" s="1"/>
  <c r="K328"/>
  <c r="Q327"/>
  <c r="O327"/>
  <c r="L327"/>
  <c r="N327" s="1"/>
  <c r="Q326"/>
  <c r="O326"/>
  <c r="L326"/>
  <c r="N326" s="1"/>
  <c r="Q325"/>
  <c r="O325"/>
  <c r="L325"/>
  <c r="N325" s="1"/>
  <c r="Q324"/>
  <c r="O324"/>
  <c r="O328" s="1"/>
  <c r="L324"/>
  <c r="N324" s="1"/>
  <c r="N328" s="1"/>
  <c r="K323"/>
  <c r="Q322"/>
  <c r="O322"/>
  <c r="O323" s="1"/>
  <c r="N322"/>
  <c r="N323" s="1"/>
  <c r="L322"/>
  <c r="K321"/>
  <c r="Q320"/>
  <c r="O320"/>
  <c r="O321" s="1"/>
  <c r="N320"/>
  <c r="N321" s="1"/>
  <c r="L320"/>
  <c r="K319"/>
  <c r="Q318"/>
  <c r="O318"/>
  <c r="O319" s="1"/>
  <c r="L318"/>
  <c r="N318" s="1"/>
  <c r="N319" s="1"/>
  <c r="K317"/>
  <c r="Q316"/>
  <c r="O316"/>
  <c r="O317" s="1"/>
  <c r="L316"/>
  <c r="N316" s="1"/>
  <c r="N317" s="1"/>
  <c r="O315"/>
  <c r="K315"/>
  <c r="Q314"/>
  <c r="O314"/>
  <c r="N314"/>
  <c r="N315" s="1"/>
  <c r="L314"/>
  <c r="K313"/>
  <c r="Q312"/>
  <c r="O312"/>
  <c r="O313" s="1"/>
  <c r="N312"/>
  <c r="N313" s="1"/>
  <c r="L312"/>
  <c r="K311"/>
  <c r="Q310"/>
  <c r="O310"/>
  <c r="O311" s="1"/>
  <c r="N310"/>
  <c r="N311" s="1"/>
  <c r="L310"/>
  <c r="K309"/>
  <c r="Q308"/>
  <c r="O308"/>
  <c r="O309" s="1"/>
  <c r="L308"/>
  <c r="N308" s="1"/>
  <c r="N309" s="1"/>
  <c r="O307"/>
  <c r="K307"/>
  <c r="Q306"/>
  <c r="O306"/>
  <c r="N306"/>
  <c r="L306"/>
  <c r="Q305"/>
  <c r="O305"/>
  <c r="N305"/>
  <c r="L305"/>
  <c r="Q304"/>
  <c r="O304"/>
  <c r="N304"/>
  <c r="L304"/>
  <c r="Q303"/>
  <c r="O303"/>
  <c r="N303"/>
  <c r="N307" s="1"/>
  <c r="L303"/>
  <c r="K302"/>
  <c r="Q301"/>
  <c r="O301"/>
  <c r="N301"/>
  <c r="L301"/>
  <c r="Q300"/>
  <c r="O300"/>
  <c r="N300"/>
  <c r="L300"/>
  <c r="Q299"/>
  <c r="O299"/>
  <c r="N299"/>
  <c r="L299"/>
  <c r="Q298"/>
  <c r="O298"/>
  <c r="O302" s="1"/>
  <c r="N298"/>
  <c r="N302" s="1"/>
  <c r="L298"/>
  <c r="K297"/>
  <c r="Q296"/>
  <c r="O296"/>
  <c r="N296"/>
  <c r="L296"/>
  <c r="Q295"/>
  <c r="O295"/>
  <c r="N295"/>
  <c r="L295"/>
  <c r="Q294"/>
  <c r="O294"/>
  <c r="N294"/>
  <c r="L294"/>
  <c r="Q293"/>
  <c r="O293"/>
  <c r="O297" s="1"/>
  <c r="N293"/>
  <c r="N297" s="1"/>
  <c r="L293"/>
  <c r="K292"/>
  <c r="Q291"/>
  <c r="O291"/>
  <c r="L291"/>
  <c r="N291" s="1"/>
  <c r="Q290"/>
  <c r="O290"/>
  <c r="L290"/>
  <c r="N290" s="1"/>
  <c r="Q289"/>
  <c r="O289"/>
  <c r="L289"/>
  <c r="N289" s="1"/>
  <c r="Q288"/>
  <c r="O288"/>
  <c r="O292" s="1"/>
  <c r="L288"/>
  <c r="N288" s="1"/>
  <c r="O287"/>
  <c r="K287"/>
  <c r="Q286"/>
  <c r="O286"/>
  <c r="N286"/>
  <c r="L286"/>
  <c r="Q285"/>
  <c r="O285"/>
  <c r="N285"/>
  <c r="L285"/>
  <c r="Q284"/>
  <c r="O284"/>
  <c r="N284"/>
  <c r="L284"/>
  <c r="Q283"/>
  <c r="O283"/>
  <c r="N283"/>
  <c r="N287" s="1"/>
  <c r="L283"/>
  <c r="K282"/>
  <c r="Q281"/>
  <c r="O281"/>
  <c r="N281"/>
  <c r="L281"/>
  <c r="Q280"/>
  <c r="O280"/>
  <c r="N280"/>
  <c r="L280"/>
  <c r="Q279"/>
  <c r="O279"/>
  <c r="N279"/>
  <c r="L279"/>
  <c r="Q278"/>
  <c r="O278"/>
  <c r="O282" s="1"/>
  <c r="N278"/>
  <c r="N282" s="1"/>
  <c r="L278"/>
  <c r="K277"/>
  <c r="Q276"/>
  <c r="O276"/>
  <c r="N276"/>
  <c r="L276"/>
  <c r="Q275"/>
  <c r="O275"/>
  <c r="N275"/>
  <c r="L275"/>
  <c r="Q274"/>
  <c r="O274"/>
  <c r="O277" s="1"/>
  <c r="N274"/>
  <c r="N277" s="1"/>
  <c r="L274"/>
  <c r="K273"/>
  <c r="Q272"/>
  <c r="O272"/>
  <c r="O273" s="1"/>
  <c r="L272"/>
  <c r="N272" s="1"/>
  <c r="N273" s="1"/>
  <c r="K271"/>
  <c r="Q270"/>
  <c r="O270"/>
  <c r="N270"/>
  <c r="L270"/>
  <c r="Q269"/>
  <c r="O269"/>
  <c r="N269"/>
  <c r="L269"/>
  <c r="Q268"/>
  <c r="O268"/>
  <c r="N268"/>
  <c r="L268"/>
  <c r="Q267"/>
  <c r="O267"/>
  <c r="O271" s="1"/>
  <c r="N267"/>
  <c r="N271" s="1"/>
  <c r="L267"/>
  <c r="K266"/>
  <c r="Q265"/>
  <c r="O265"/>
  <c r="O266" s="1"/>
  <c r="N265"/>
  <c r="N266" s="1"/>
  <c r="L265"/>
  <c r="K264"/>
  <c r="Q263"/>
  <c r="O263"/>
  <c r="O264" s="1"/>
  <c r="L263"/>
  <c r="N263" s="1"/>
  <c r="N264" s="1"/>
  <c r="K262"/>
  <c r="Q261"/>
  <c r="O261"/>
  <c r="O262" s="1"/>
  <c r="L261"/>
  <c r="N261" s="1"/>
  <c r="N262" s="1"/>
  <c r="K260"/>
  <c r="Q259"/>
  <c r="O259"/>
  <c r="N259"/>
  <c r="L259"/>
  <c r="Q258"/>
  <c r="O258"/>
  <c r="N258"/>
  <c r="L258"/>
  <c r="Q257"/>
  <c r="O257"/>
  <c r="N257"/>
  <c r="L257"/>
  <c r="Q256"/>
  <c r="O256"/>
  <c r="O260" s="1"/>
  <c r="N256"/>
  <c r="N260" s="1"/>
  <c r="L256"/>
  <c r="K255"/>
  <c r="Q254"/>
  <c r="O254"/>
  <c r="O255" s="1"/>
  <c r="N254"/>
  <c r="N255" s="1"/>
  <c r="L254"/>
  <c r="K253"/>
  <c r="Q252"/>
  <c r="O252"/>
  <c r="O253" s="1"/>
  <c r="L252"/>
  <c r="N252" s="1"/>
  <c r="N253" s="1"/>
  <c r="K251"/>
  <c r="Q250"/>
  <c r="O250"/>
  <c r="O251" s="1"/>
  <c r="L250"/>
  <c r="N250" s="1"/>
  <c r="N251" s="1"/>
  <c r="O249"/>
  <c r="K249"/>
  <c r="Q248"/>
  <c r="O248"/>
  <c r="N248"/>
  <c r="N249" s="1"/>
  <c r="L248"/>
  <c r="K247"/>
  <c r="Q246"/>
  <c r="O246"/>
  <c r="O247" s="1"/>
  <c r="N246"/>
  <c r="N247" s="1"/>
  <c r="L246"/>
  <c r="K245"/>
  <c r="Q244"/>
  <c r="O244"/>
  <c r="O245" s="1"/>
  <c r="N244"/>
  <c r="N245" s="1"/>
  <c r="L244"/>
  <c r="K243"/>
  <c r="Q242"/>
  <c r="O242"/>
  <c r="O243" s="1"/>
  <c r="L242"/>
  <c r="N242" s="1"/>
  <c r="N243" s="1"/>
  <c r="O241"/>
  <c r="K241"/>
  <c r="Q240"/>
  <c r="O240"/>
  <c r="N240"/>
  <c r="N241" s="1"/>
  <c r="L240"/>
  <c r="K239"/>
  <c r="Q238"/>
  <c r="O238"/>
  <c r="O239" s="1"/>
  <c r="N238"/>
  <c r="N239" s="1"/>
  <c r="L238"/>
  <c r="K237"/>
  <c r="Q236"/>
  <c r="O236"/>
  <c r="O237" s="1"/>
  <c r="N236"/>
  <c r="N237" s="1"/>
  <c r="L236"/>
  <c r="K235"/>
  <c r="Q234"/>
  <c r="O234"/>
  <c r="O235" s="1"/>
  <c r="L234"/>
  <c r="N234" s="1"/>
  <c r="N235" s="1"/>
  <c r="K233"/>
  <c r="Q232"/>
  <c r="O232"/>
  <c r="N232"/>
  <c r="L232"/>
  <c r="Q231"/>
  <c r="O231"/>
  <c r="O233" s="1"/>
  <c r="N231"/>
  <c r="N233" s="1"/>
  <c r="L231"/>
  <c r="K230"/>
  <c r="Q229"/>
  <c r="O229"/>
  <c r="N229"/>
  <c r="L229"/>
  <c r="Q228"/>
  <c r="O228"/>
  <c r="O230" s="1"/>
  <c r="N228"/>
  <c r="N230" s="1"/>
  <c r="L228"/>
  <c r="K227"/>
  <c r="Q226"/>
  <c r="O226"/>
  <c r="L226"/>
  <c r="N226" s="1"/>
  <c r="Q225"/>
  <c r="O225"/>
  <c r="O227" s="1"/>
  <c r="L225"/>
  <c r="N225" s="1"/>
  <c r="K224"/>
  <c r="Q223"/>
  <c r="O223"/>
  <c r="O224" s="1"/>
  <c r="L223"/>
  <c r="N223" s="1"/>
  <c r="N224" s="1"/>
  <c r="K222"/>
  <c r="Q221"/>
  <c r="O221"/>
  <c r="O222" s="1"/>
  <c r="N221"/>
  <c r="N222" s="1"/>
  <c r="L221"/>
  <c r="K220"/>
  <c r="Q219"/>
  <c r="O219"/>
  <c r="O220" s="1"/>
  <c r="N219"/>
  <c r="N220" s="1"/>
  <c r="L219"/>
  <c r="K218"/>
  <c r="Q217"/>
  <c r="O217"/>
  <c r="O218" s="1"/>
  <c r="L217"/>
  <c r="N217" s="1"/>
  <c r="N218" s="1"/>
  <c r="K216"/>
  <c r="Q215"/>
  <c r="O215"/>
  <c r="O216" s="1"/>
  <c r="L215"/>
  <c r="N215" s="1"/>
  <c r="N216" s="1"/>
  <c r="O214"/>
  <c r="K214"/>
  <c r="Q213"/>
  <c r="O213"/>
  <c r="N213"/>
  <c r="N214" s="1"/>
  <c r="L213"/>
  <c r="K212"/>
  <c r="Q211"/>
  <c r="O211"/>
  <c r="O212" s="1"/>
  <c r="N211"/>
  <c r="N212" s="1"/>
  <c r="L211"/>
  <c r="K210"/>
  <c r="Q209"/>
  <c r="O209"/>
  <c r="O210" s="1"/>
  <c r="N209"/>
  <c r="N210" s="1"/>
  <c r="L209"/>
  <c r="K208"/>
  <c r="Q207"/>
  <c r="O207"/>
  <c r="L207"/>
  <c r="N207" s="1"/>
  <c r="Q206"/>
  <c r="O206"/>
  <c r="L206"/>
  <c r="N206" s="1"/>
  <c r="Q205"/>
  <c r="O205"/>
  <c r="O208" s="1"/>
  <c r="L205"/>
  <c r="N205" s="1"/>
  <c r="N208" s="1"/>
  <c r="K204"/>
  <c r="Q203"/>
  <c r="O203"/>
  <c r="N203"/>
  <c r="L203"/>
  <c r="Q202"/>
  <c r="O202"/>
  <c r="O204" s="1"/>
  <c r="N202"/>
  <c r="N204" s="1"/>
  <c r="L202"/>
  <c r="K201"/>
  <c r="Q200"/>
  <c r="O200"/>
  <c r="N200"/>
  <c r="L200"/>
  <c r="Q199"/>
  <c r="O199"/>
  <c r="N199"/>
  <c r="L199"/>
  <c r="Q198"/>
  <c r="O198"/>
  <c r="O201" s="1"/>
  <c r="N198"/>
  <c r="N201" s="1"/>
  <c r="L198"/>
  <c r="K197"/>
  <c r="Q196"/>
  <c r="O196"/>
  <c r="O197" s="1"/>
  <c r="L196"/>
  <c r="N196" s="1"/>
  <c r="N197" s="1"/>
  <c r="K195"/>
  <c r="Q194"/>
  <c r="O194"/>
  <c r="O195" s="1"/>
  <c r="L194"/>
  <c r="N194" s="1"/>
  <c r="N195" s="1"/>
  <c r="O193"/>
  <c r="K193"/>
  <c r="Q192"/>
  <c r="O192"/>
  <c r="N192"/>
  <c r="N193" s="1"/>
  <c r="L192"/>
  <c r="K191"/>
  <c r="Q190"/>
  <c r="O190"/>
  <c r="O191" s="1"/>
  <c r="N190"/>
  <c r="N191" s="1"/>
  <c r="L190"/>
  <c r="K189"/>
  <c r="Q188"/>
  <c r="O188"/>
  <c r="O189" s="1"/>
  <c r="N188"/>
  <c r="N189" s="1"/>
  <c r="L188"/>
  <c r="K187"/>
  <c r="Q186"/>
  <c r="O186"/>
  <c r="O187" s="1"/>
  <c r="L186"/>
  <c r="N186" s="1"/>
  <c r="N187" s="1"/>
  <c r="O185"/>
  <c r="K185"/>
  <c r="Q184"/>
  <c r="O184"/>
  <c r="N184"/>
  <c r="L184"/>
  <c r="Q183"/>
  <c r="O183"/>
  <c r="N183"/>
  <c r="N185" s="1"/>
  <c r="L183"/>
  <c r="K182"/>
  <c r="Q181"/>
  <c r="O181"/>
  <c r="O182" s="1"/>
  <c r="N181"/>
  <c r="N182" s="1"/>
  <c r="L181"/>
  <c r="K180"/>
  <c r="Q179"/>
  <c r="O179"/>
  <c r="O180" s="1"/>
  <c r="N179"/>
  <c r="N180" s="1"/>
  <c r="L179"/>
  <c r="K178"/>
  <c r="Q177"/>
  <c r="O177"/>
  <c r="O178" s="1"/>
  <c r="L177"/>
  <c r="N177" s="1"/>
  <c r="N178" s="1"/>
  <c r="K176"/>
  <c r="Q175"/>
  <c r="O175"/>
  <c r="O176" s="1"/>
  <c r="N175"/>
  <c r="N176" s="1"/>
  <c r="L175"/>
  <c r="K174"/>
  <c r="Q173"/>
  <c r="O173"/>
  <c r="O174" s="1"/>
  <c r="N173"/>
  <c r="N174" s="1"/>
  <c r="L173"/>
  <c r="K172"/>
  <c r="Q171"/>
  <c r="O171"/>
  <c r="L171"/>
  <c r="N171" s="1"/>
  <c r="Q170"/>
  <c r="O170"/>
  <c r="L170"/>
  <c r="N170" s="1"/>
  <c r="Q169"/>
  <c r="O169"/>
  <c r="L169"/>
  <c r="N169" s="1"/>
  <c r="Q168"/>
  <c r="O168"/>
  <c r="O172" s="1"/>
  <c r="L168"/>
  <c r="N168" s="1"/>
  <c r="N172" s="1"/>
  <c r="K167"/>
  <c r="Q166"/>
  <c r="O166"/>
  <c r="L166"/>
  <c r="N166" s="1"/>
  <c r="Q165"/>
  <c r="O165"/>
  <c r="L165"/>
  <c r="N165" s="1"/>
  <c r="Q164"/>
  <c r="O164"/>
  <c r="L164"/>
  <c r="N164" s="1"/>
  <c r="Q163"/>
  <c r="O163"/>
  <c r="O167" s="1"/>
  <c r="L163"/>
  <c r="N163" s="1"/>
  <c r="K162"/>
  <c r="Q161"/>
  <c r="O161"/>
  <c r="N161"/>
  <c r="L161"/>
  <c r="Q160"/>
  <c r="O160"/>
  <c r="N160"/>
  <c r="L160"/>
  <c r="Q159"/>
  <c r="O159"/>
  <c r="N159"/>
  <c r="L159"/>
  <c r="Q158"/>
  <c r="O158"/>
  <c r="O162" s="1"/>
  <c r="N158"/>
  <c r="N162" s="1"/>
  <c r="L158"/>
  <c r="K157"/>
  <c r="Q156"/>
  <c r="O156"/>
  <c r="N156"/>
  <c r="L156"/>
  <c r="Q155"/>
  <c r="O155"/>
  <c r="N155"/>
  <c r="L155"/>
  <c r="Q154"/>
  <c r="O154"/>
  <c r="O157" s="1"/>
  <c r="N154"/>
  <c r="N157" s="1"/>
  <c r="L154"/>
  <c r="K153"/>
  <c r="Q152"/>
  <c r="O152"/>
  <c r="L152"/>
  <c r="N152" s="1"/>
  <c r="Q151"/>
  <c r="O151"/>
  <c r="L151"/>
  <c r="N151" s="1"/>
  <c r="Q150"/>
  <c r="O150"/>
  <c r="L150"/>
  <c r="N150" s="1"/>
  <c r="Q149"/>
  <c r="O149"/>
  <c r="O153" s="1"/>
  <c r="L149"/>
  <c r="N149" s="1"/>
  <c r="N153" s="1"/>
  <c r="K148"/>
  <c r="Q147"/>
  <c r="O147"/>
  <c r="O148" s="1"/>
  <c r="L147"/>
  <c r="N147" s="1"/>
  <c r="N148" s="1"/>
  <c r="K146"/>
  <c r="Q145"/>
  <c r="O145"/>
  <c r="O146" s="1"/>
  <c r="N145"/>
  <c r="N146" s="1"/>
  <c r="L145"/>
  <c r="K144"/>
  <c r="Q143"/>
  <c r="O143"/>
  <c r="O144" s="1"/>
  <c r="N143"/>
  <c r="N144" s="1"/>
  <c r="L143"/>
  <c r="K142"/>
  <c r="Q141"/>
  <c r="O141"/>
  <c r="L141"/>
  <c r="N141" s="1"/>
  <c r="Q140"/>
  <c r="O140"/>
  <c r="L140"/>
  <c r="N140" s="1"/>
  <c r="Q139"/>
  <c r="O139"/>
  <c r="L139"/>
  <c r="N139" s="1"/>
  <c r="Q138"/>
  <c r="O138"/>
  <c r="O142" s="1"/>
  <c r="L138"/>
  <c r="N138" s="1"/>
  <c r="K137"/>
  <c r="Q136"/>
  <c r="O136"/>
  <c r="L136"/>
  <c r="N136" s="1"/>
  <c r="Q135"/>
  <c r="O135"/>
  <c r="L135"/>
  <c r="N135" s="1"/>
  <c r="Q134"/>
  <c r="O134"/>
  <c r="L134"/>
  <c r="N134" s="1"/>
  <c r="Q133"/>
  <c r="O133"/>
  <c r="O137" s="1"/>
  <c r="L133"/>
  <c r="N133" s="1"/>
  <c r="K132"/>
  <c r="Q131"/>
  <c r="O131"/>
  <c r="N131"/>
  <c r="L131"/>
  <c r="Q130"/>
  <c r="O130"/>
  <c r="N130"/>
  <c r="L130"/>
  <c r="Q129"/>
  <c r="O129"/>
  <c r="N129"/>
  <c r="L129"/>
  <c r="Q128"/>
  <c r="O128"/>
  <c r="O132" s="1"/>
  <c r="N128"/>
  <c r="N132" s="1"/>
  <c r="L128"/>
  <c r="K127"/>
  <c r="Q126"/>
  <c r="O126"/>
  <c r="L126"/>
  <c r="N126" s="1"/>
  <c r="Q125"/>
  <c r="O125"/>
  <c r="L125"/>
  <c r="N125" s="1"/>
  <c r="Q124"/>
  <c r="O124"/>
  <c r="O127" s="1"/>
  <c r="L124"/>
  <c r="N124" s="1"/>
  <c r="K123"/>
  <c r="Q122"/>
  <c r="O122"/>
  <c r="N122"/>
  <c r="L122"/>
  <c r="Q121"/>
  <c r="O121"/>
  <c r="N121"/>
  <c r="L121"/>
  <c r="Q120"/>
  <c r="O120"/>
  <c r="O123" s="1"/>
  <c r="N120"/>
  <c r="N123" s="1"/>
  <c r="L120"/>
  <c r="K119"/>
  <c r="Q118"/>
  <c r="O118"/>
  <c r="L118"/>
  <c r="N118" s="1"/>
  <c r="Q117"/>
  <c r="O117"/>
  <c r="L117"/>
  <c r="N117" s="1"/>
  <c r="Q116"/>
  <c r="O116"/>
  <c r="O119" s="1"/>
  <c r="L116"/>
  <c r="N116" s="1"/>
  <c r="N119" s="1"/>
  <c r="K115"/>
  <c r="Q114"/>
  <c r="O114"/>
  <c r="O115" s="1"/>
  <c r="N114"/>
  <c r="N115" s="1"/>
  <c r="L114"/>
  <c r="K113"/>
  <c r="Q112"/>
  <c r="O112"/>
  <c r="O113" s="1"/>
  <c r="N112"/>
  <c r="N113" s="1"/>
  <c r="L112"/>
  <c r="K111"/>
  <c r="Q110"/>
  <c r="O110"/>
  <c r="O111" s="1"/>
  <c r="L110"/>
  <c r="N110" s="1"/>
  <c r="N111" s="1"/>
  <c r="K109"/>
  <c r="Q108"/>
  <c r="O108"/>
  <c r="O109" s="1"/>
  <c r="L108"/>
  <c r="N108" s="1"/>
  <c r="N109" s="1"/>
  <c r="K107"/>
  <c r="Q106"/>
  <c r="O106"/>
  <c r="O107" s="1"/>
  <c r="N106"/>
  <c r="N107" s="1"/>
  <c r="L106"/>
  <c r="K105"/>
  <c r="Q104"/>
  <c r="O104"/>
  <c r="L104"/>
  <c r="N104" s="1"/>
  <c r="Q103"/>
  <c r="O103"/>
  <c r="O105" s="1"/>
  <c r="L103"/>
  <c r="N103" s="1"/>
  <c r="N105" s="1"/>
  <c r="K102"/>
  <c r="Q101"/>
  <c r="O101"/>
  <c r="O102" s="1"/>
  <c r="N101"/>
  <c r="N102" s="1"/>
  <c r="L101"/>
  <c r="K100"/>
  <c r="Q99"/>
  <c r="O99"/>
  <c r="O100" s="1"/>
  <c r="L99"/>
  <c r="N99" s="1"/>
  <c r="N100" s="1"/>
  <c r="K98"/>
  <c r="Q97"/>
  <c r="O97"/>
  <c r="O98" s="1"/>
  <c r="N97"/>
  <c r="N98" s="1"/>
  <c r="L97"/>
  <c r="K96"/>
  <c r="Q95"/>
  <c r="O95"/>
  <c r="O96" s="1"/>
  <c r="L95"/>
  <c r="N95" s="1"/>
  <c r="N96" s="1"/>
  <c r="K94"/>
  <c r="Q93"/>
  <c r="O93"/>
  <c r="O94" s="1"/>
  <c r="N93"/>
  <c r="N94" s="1"/>
  <c r="L93"/>
  <c r="O92"/>
  <c r="K92"/>
  <c r="Q91"/>
  <c r="O91"/>
  <c r="L91"/>
  <c r="N91" s="1"/>
  <c r="Q90"/>
  <c r="O90"/>
  <c r="L90"/>
  <c r="N90" s="1"/>
  <c r="K89"/>
  <c r="Q88"/>
  <c r="O88"/>
  <c r="N88"/>
  <c r="L88"/>
  <c r="Q87"/>
  <c r="O87"/>
  <c r="O89" s="1"/>
  <c r="N87"/>
  <c r="N89" s="1"/>
  <c r="L87"/>
  <c r="K86"/>
  <c r="Q85"/>
  <c r="O85"/>
  <c r="O86" s="1"/>
  <c r="L85"/>
  <c r="N85" s="1"/>
  <c r="N86" s="1"/>
  <c r="K84"/>
  <c r="Q83"/>
  <c r="O83"/>
  <c r="O84" s="1"/>
  <c r="N83"/>
  <c r="N84" s="1"/>
  <c r="L83"/>
  <c r="K82"/>
  <c r="Q81"/>
  <c r="O81"/>
  <c r="O82" s="1"/>
  <c r="N81"/>
  <c r="N82" s="1"/>
  <c r="L81"/>
  <c r="K80"/>
  <c r="Q79"/>
  <c r="O79"/>
  <c r="O80" s="1"/>
  <c r="L79"/>
  <c r="N79" s="1"/>
  <c r="N80" s="1"/>
  <c r="K78"/>
  <c r="Q77"/>
  <c r="O77"/>
  <c r="O78" s="1"/>
  <c r="L77"/>
  <c r="N77" s="1"/>
  <c r="N78" s="1"/>
  <c r="K76"/>
  <c r="Q75"/>
  <c r="O75"/>
  <c r="O76" s="1"/>
  <c r="N75"/>
  <c r="N76" s="1"/>
  <c r="L75"/>
  <c r="K74"/>
  <c r="Q73"/>
  <c r="O73"/>
  <c r="O74" s="1"/>
  <c r="N73"/>
  <c r="N74" s="1"/>
  <c r="L73"/>
  <c r="K72"/>
  <c r="Q71"/>
  <c r="O71"/>
  <c r="O72" s="1"/>
  <c r="L71"/>
  <c r="N71" s="1"/>
  <c r="N72" s="1"/>
  <c r="K70"/>
  <c r="Q69"/>
  <c r="O69"/>
  <c r="O70" s="1"/>
  <c r="L69"/>
  <c r="N69" s="1"/>
  <c r="N70" s="1"/>
  <c r="K68"/>
  <c r="Q67"/>
  <c r="O67"/>
  <c r="O68" s="1"/>
  <c r="N67"/>
  <c r="N68" s="1"/>
  <c r="L67"/>
  <c r="K66"/>
  <c r="Q65"/>
  <c r="O65"/>
  <c r="N65"/>
  <c r="L65"/>
  <c r="Q64"/>
  <c r="O64"/>
  <c r="N64"/>
  <c r="L64"/>
  <c r="Q63"/>
  <c r="O63"/>
  <c r="O66" s="1"/>
  <c r="N63"/>
  <c r="N66" s="1"/>
  <c r="L63"/>
  <c r="K62"/>
  <c r="Q61"/>
  <c r="O61"/>
  <c r="O62" s="1"/>
  <c r="L61"/>
  <c r="N61" s="1"/>
  <c r="N62" s="1"/>
  <c r="K60"/>
  <c r="Q59"/>
  <c r="O59"/>
  <c r="O60" s="1"/>
  <c r="L59"/>
  <c r="N59" s="1"/>
  <c r="N60" s="1"/>
  <c r="K58"/>
  <c r="Q57"/>
  <c r="O57"/>
  <c r="O58" s="1"/>
  <c r="N57"/>
  <c r="N58" s="1"/>
  <c r="L57"/>
  <c r="K56"/>
  <c r="Q55"/>
  <c r="O55"/>
  <c r="N55"/>
  <c r="L55"/>
  <c r="Q54"/>
  <c r="O54"/>
  <c r="N54"/>
  <c r="L54"/>
  <c r="Q53"/>
  <c r="O53"/>
  <c r="N53"/>
  <c r="L53"/>
  <c r="Q52"/>
  <c r="O52"/>
  <c r="O56" s="1"/>
  <c r="N52"/>
  <c r="N56" s="1"/>
  <c r="L52"/>
  <c r="K51"/>
  <c r="Q50"/>
  <c r="O50"/>
  <c r="L50"/>
  <c r="N50" s="1"/>
  <c r="Q49"/>
  <c r="O49"/>
  <c r="L49"/>
  <c r="N49" s="1"/>
  <c r="Q48"/>
  <c r="O48"/>
  <c r="L48"/>
  <c r="N48" s="1"/>
  <c r="Q47"/>
  <c r="O47"/>
  <c r="O51" s="1"/>
  <c r="L47"/>
  <c r="N47" s="1"/>
  <c r="K46"/>
  <c r="Q45"/>
  <c r="O45"/>
  <c r="O46" s="1"/>
  <c r="L45"/>
  <c r="N45" s="1"/>
  <c r="N46" s="1"/>
  <c r="K44"/>
  <c r="Q43"/>
  <c r="O43"/>
  <c r="N43"/>
  <c r="L43"/>
  <c r="Q42"/>
  <c r="O42"/>
  <c r="N42"/>
  <c r="L42"/>
  <c r="Q41"/>
  <c r="O41"/>
  <c r="N41"/>
  <c r="L41"/>
  <c r="Q40"/>
  <c r="O40"/>
  <c r="O44" s="1"/>
  <c r="N40"/>
  <c r="N44" s="1"/>
  <c r="L40"/>
  <c r="K39"/>
  <c r="Q38"/>
  <c r="O38"/>
  <c r="O39" s="1"/>
  <c r="N38"/>
  <c r="N39" s="1"/>
  <c r="L38"/>
  <c r="K37"/>
  <c r="Q36"/>
  <c r="O36"/>
  <c r="L36"/>
  <c r="N36" s="1"/>
  <c r="Q35"/>
  <c r="O35"/>
  <c r="L35"/>
  <c r="N35" s="1"/>
  <c r="Q34"/>
  <c r="O34"/>
  <c r="L34"/>
  <c r="N34" s="1"/>
  <c r="Q33"/>
  <c r="O33"/>
  <c r="O37" s="1"/>
  <c r="L33"/>
  <c r="N33" s="1"/>
  <c r="N37" s="1"/>
  <c r="K32"/>
  <c r="Q31"/>
  <c r="O31"/>
  <c r="L31"/>
  <c r="N31" s="1"/>
  <c r="Q30"/>
  <c r="O30"/>
  <c r="O32" s="1"/>
  <c r="L30"/>
  <c r="N30" s="1"/>
  <c r="K29"/>
  <c r="Q28"/>
  <c r="O28"/>
  <c r="O29" s="1"/>
  <c r="N28"/>
  <c r="N29" s="1"/>
  <c r="L28"/>
  <c r="K27"/>
  <c r="Q26"/>
  <c r="O26"/>
  <c r="N26"/>
  <c r="L26"/>
  <c r="Q25"/>
  <c r="O25"/>
  <c r="O27" s="1"/>
  <c r="N25"/>
  <c r="N27" s="1"/>
  <c r="L25"/>
  <c r="K24"/>
  <c r="Q23"/>
  <c r="O23"/>
  <c r="L23"/>
  <c r="N23" s="1"/>
  <c r="Q22"/>
  <c r="O22"/>
  <c r="O24" s="1"/>
  <c r="L22"/>
  <c r="N22" s="1"/>
  <c r="N24" s="1"/>
  <c r="K21"/>
  <c r="Q20"/>
  <c r="O20"/>
  <c r="L20"/>
  <c r="N20" s="1"/>
  <c r="Q19"/>
  <c r="O19"/>
  <c r="O21" s="1"/>
  <c r="L19"/>
  <c r="N19" s="1"/>
  <c r="K18"/>
  <c r="Q17"/>
  <c r="O17"/>
  <c r="O18" s="1"/>
  <c r="N17"/>
  <c r="N18" s="1"/>
  <c r="L17"/>
  <c r="K16"/>
  <c r="Q15"/>
  <c r="O15"/>
  <c r="O16" s="1"/>
  <c r="N15"/>
  <c r="N16" s="1"/>
  <c r="L15"/>
  <c r="K14"/>
  <c r="Q13"/>
  <c r="O13"/>
  <c r="O14" s="1"/>
  <c r="L13"/>
  <c r="N13" s="1"/>
  <c r="N14" s="1"/>
  <c r="K12"/>
  <c r="Q11"/>
  <c r="O11"/>
  <c r="O12" s="1"/>
  <c r="L11"/>
  <c r="N11" s="1"/>
  <c r="N12" s="1"/>
  <c r="K10"/>
  <c r="Q9"/>
  <c r="O9"/>
  <c r="O10" s="1"/>
  <c r="N9"/>
  <c r="N10" s="1"/>
  <c r="L9"/>
  <c r="K8"/>
  <c r="Q7"/>
  <c r="O7"/>
  <c r="O8" s="1"/>
  <c r="N7"/>
  <c r="N8" s="1"/>
  <c r="L7"/>
  <c r="K6"/>
  <c r="Q5"/>
  <c r="O5"/>
  <c r="L5"/>
  <c r="N5" s="1"/>
  <c r="N974" l="1"/>
  <c r="K977"/>
  <c r="N973"/>
  <c r="N975"/>
  <c r="O975"/>
  <c r="N972"/>
  <c r="N51"/>
  <c r="N6"/>
  <c r="N21"/>
  <c r="N32"/>
  <c r="N127"/>
  <c r="N142"/>
  <c r="N227"/>
  <c r="N429"/>
  <c r="N461"/>
  <c r="N586"/>
  <c r="N624"/>
  <c r="N694"/>
  <c r="O967"/>
  <c r="N967"/>
  <c r="N977" s="1"/>
  <c r="O969"/>
  <c r="N969"/>
  <c r="O6"/>
  <c r="N92"/>
  <c r="N292"/>
  <c r="N636"/>
  <c r="N137"/>
  <c r="N167"/>
  <c r="N484"/>
  <c r="N619"/>
  <c r="N691"/>
  <c r="N775"/>
  <c r="N850"/>
  <c r="N883"/>
  <c r="N937"/>
  <c r="N439"/>
  <c r="N718"/>
  <c r="N948"/>
  <c r="N796"/>
  <c r="O968"/>
  <c r="N968"/>
  <c r="O970"/>
  <c r="N970"/>
  <c r="O977" l="1"/>
  <c r="J966" i="22"/>
  <c r="J964"/>
  <c r="J962"/>
  <c r="J958"/>
  <c r="J956"/>
  <c r="J954"/>
  <c r="J952"/>
  <c r="J950"/>
  <c r="J948"/>
  <c r="J943"/>
  <c r="J941"/>
  <c r="J939"/>
  <c r="J937"/>
  <c r="J933"/>
  <c r="J929"/>
  <c r="J927"/>
  <c r="J925"/>
  <c r="J920"/>
  <c r="J916"/>
  <c r="J913"/>
  <c r="J908"/>
  <c r="J906"/>
  <c r="J903"/>
  <c r="J900"/>
  <c r="J896"/>
  <c r="J892"/>
  <c r="J889"/>
  <c r="J887"/>
  <c r="J883"/>
  <c r="J878"/>
  <c r="J875"/>
  <c r="J872"/>
  <c r="J867"/>
  <c r="J862"/>
  <c r="J859"/>
  <c r="J854"/>
  <c r="J850"/>
  <c r="J845"/>
  <c r="J841"/>
  <c r="J836"/>
  <c r="J834"/>
  <c r="J829"/>
  <c r="J827"/>
  <c r="J824"/>
  <c r="J822"/>
  <c r="J819"/>
  <c r="J816"/>
  <c r="J813"/>
  <c r="J811"/>
  <c r="J808"/>
  <c r="J805"/>
  <c r="J800"/>
  <c r="J796"/>
  <c r="J792"/>
  <c r="J787"/>
  <c r="J784"/>
  <c r="J782"/>
  <c r="J779"/>
  <c r="J775"/>
  <c r="J771"/>
  <c r="J768"/>
  <c r="J766"/>
  <c r="J764"/>
  <c r="J761"/>
  <c r="J756"/>
  <c r="J754"/>
  <c r="J749"/>
  <c r="J747"/>
  <c r="J743"/>
  <c r="J740"/>
  <c r="J737"/>
  <c r="J734"/>
  <c r="J731"/>
  <c r="J729"/>
  <c r="J726"/>
  <c r="J721"/>
  <c r="J718"/>
  <c r="J714"/>
  <c r="J711"/>
  <c r="J706"/>
  <c r="J701"/>
  <c r="J699"/>
  <c r="J696"/>
  <c r="J694"/>
  <c r="J691"/>
  <c r="J688"/>
  <c r="J686"/>
  <c r="J681"/>
  <c r="J678"/>
  <c r="J675"/>
  <c r="J672"/>
  <c r="J670"/>
  <c r="J668"/>
  <c r="J666"/>
  <c r="J664"/>
  <c r="J662"/>
  <c r="J660"/>
  <c r="J658"/>
  <c r="J656"/>
  <c r="J654"/>
  <c r="J652"/>
  <c r="J650"/>
  <c r="J648"/>
  <c r="J646"/>
  <c r="J644"/>
  <c r="J642"/>
  <c r="J640"/>
  <c r="J638"/>
  <c r="J636"/>
  <c r="J631"/>
  <c r="J629"/>
  <c r="J624"/>
  <c r="J619"/>
  <c r="J616"/>
  <c r="J611"/>
  <c r="J606"/>
  <c r="J602"/>
  <c r="J600"/>
  <c r="J598"/>
  <c r="J596"/>
  <c r="J593"/>
  <c r="J591"/>
  <c r="J589"/>
  <c r="J586"/>
  <c r="J583"/>
  <c r="J581"/>
  <c r="J579"/>
  <c r="J577"/>
  <c r="J575"/>
  <c r="J571"/>
  <c r="J569"/>
  <c r="J567"/>
  <c r="J565"/>
  <c r="J563"/>
  <c r="J561"/>
  <c r="J559"/>
  <c r="J557"/>
  <c r="J555"/>
  <c r="J550"/>
  <c r="J545"/>
  <c r="J540"/>
  <c r="J538"/>
  <c r="J536"/>
  <c r="J534"/>
  <c r="J532"/>
  <c r="J530"/>
  <c r="J528"/>
  <c r="J526"/>
  <c r="J523"/>
  <c r="J521"/>
  <c r="J519"/>
  <c r="J515"/>
  <c r="J512"/>
  <c r="J510"/>
  <c r="J508"/>
  <c r="J506"/>
  <c r="J504"/>
  <c r="J502"/>
  <c r="J500"/>
  <c r="J498"/>
  <c r="J495"/>
  <c r="J493"/>
  <c r="J491"/>
  <c r="J489"/>
  <c r="J484"/>
  <c r="J479"/>
  <c r="J477"/>
  <c r="J475"/>
  <c r="J473"/>
  <c r="J471"/>
  <c r="J469"/>
  <c r="J463"/>
  <c r="J461"/>
  <c r="J456"/>
  <c r="J454"/>
  <c r="J452"/>
  <c r="J450"/>
  <c r="J446"/>
  <c r="J443"/>
  <c r="J441"/>
  <c r="J439"/>
  <c r="J434"/>
  <c r="J431"/>
  <c r="J429"/>
  <c r="J426"/>
  <c r="J424"/>
  <c r="J422"/>
  <c r="J420"/>
  <c r="J418"/>
  <c r="J416"/>
  <c r="J414"/>
  <c r="J412"/>
  <c r="J410"/>
  <c r="J408"/>
  <c r="J405"/>
  <c r="J403"/>
  <c r="J401"/>
  <c r="J399"/>
  <c r="J394"/>
  <c r="J389"/>
  <c r="J387"/>
  <c r="J382"/>
  <c r="J378"/>
  <c r="J376"/>
  <c r="J374"/>
  <c r="J369"/>
  <c r="J367"/>
  <c r="J364"/>
  <c r="J362"/>
  <c r="J360"/>
  <c r="J358"/>
  <c r="J356"/>
  <c r="J354"/>
  <c r="J349"/>
  <c r="J347"/>
  <c r="J345"/>
  <c r="J343"/>
  <c r="J340"/>
  <c r="J338"/>
  <c r="J336"/>
  <c r="J334"/>
  <c r="J332"/>
  <c r="J330"/>
  <c r="J328"/>
  <c r="J323"/>
  <c r="J321"/>
  <c r="J319"/>
  <c r="J317"/>
  <c r="J315"/>
  <c r="J313"/>
  <c r="J311"/>
  <c r="J309"/>
  <c r="J307"/>
  <c r="J302"/>
  <c r="J297"/>
  <c r="J292"/>
  <c r="J287"/>
  <c r="J282"/>
  <c r="J277"/>
  <c r="J273"/>
  <c r="J271"/>
  <c r="J266"/>
  <c r="J264"/>
  <c r="J262"/>
  <c r="J260"/>
  <c r="J255"/>
  <c r="J253"/>
  <c r="J251"/>
  <c r="J249"/>
  <c r="J247"/>
  <c r="J245"/>
  <c r="J243"/>
  <c r="J241"/>
  <c r="J239"/>
  <c r="J237"/>
  <c r="J235"/>
  <c r="J233"/>
  <c r="J230"/>
  <c r="J227"/>
  <c r="J224"/>
  <c r="J222"/>
  <c r="J220"/>
  <c r="J218"/>
  <c r="J216"/>
  <c r="J214"/>
  <c r="J212"/>
  <c r="J210"/>
  <c r="J208"/>
  <c r="J204"/>
  <c r="J201"/>
  <c r="J197"/>
  <c r="J195"/>
  <c r="J193"/>
  <c r="J191"/>
  <c r="J189"/>
  <c r="J187"/>
  <c r="J185"/>
  <c r="J182"/>
  <c r="J180"/>
  <c r="J178"/>
  <c r="J176"/>
  <c r="J174"/>
  <c r="J172"/>
  <c r="J167"/>
  <c r="J162"/>
  <c r="J157"/>
  <c r="J153"/>
  <c r="J148"/>
  <c r="J146"/>
  <c r="J144"/>
  <c r="J142"/>
  <c r="J137"/>
  <c r="J132"/>
  <c r="J127"/>
  <c r="J123"/>
  <c r="J119"/>
  <c r="J115"/>
  <c r="J113"/>
  <c r="J111"/>
  <c r="J109"/>
  <c r="J107"/>
  <c r="J105"/>
  <c r="J102"/>
  <c r="J100"/>
  <c r="J98"/>
  <c r="J96"/>
  <c r="J94"/>
  <c r="J92"/>
  <c r="J89"/>
  <c r="J86"/>
  <c r="J84"/>
  <c r="J82"/>
  <c r="J80"/>
  <c r="J78"/>
  <c r="J76"/>
  <c r="J74"/>
  <c r="J72"/>
  <c r="J70"/>
  <c r="J68"/>
  <c r="J66"/>
  <c r="J62"/>
  <c r="J60"/>
  <c r="J58"/>
  <c r="J56"/>
  <c r="J51"/>
  <c r="J46"/>
  <c r="J44"/>
  <c r="J39"/>
  <c r="J37"/>
  <c r="J32"/>
  <c r="J29"/>
  <c r="J27"/>
  <c r="J24"/>
  <c r="J21"/>
  <c r="J18"/>
  <c r="J16"/>
  <c r="J14"/>
  <c r="J12"/>
  <c r="J10"/>
  <c r="J8"/>
  <c r="J6"/>
  <c r="P961"/>
  <c r="N961"/>
  <c r="K961"/>
  <c r="M961" s="1"/>
  <c r="P960"/>
  <c r="N960"/>
  <c r="K960"/>
  <c r="M960" s="1"/>
  <c r="P959"/>
  <c r="N959"/>
  <c r="K959"/>
  <c r="M959" s="1"/>
  <c r="P770"/>
  <c r="N770"/>
  <c r="K770"/>
  <c r="M770" s="1"/>
  <c r="P769"/>
  <c r="N769"/>
  <c r="K769"/>
  <c r="M769" s="1"/>
  <c r="P700"/>
  <c r="N700"/>
  <c r="N701" s="1"/>
  <c r="K700"/>
  <c r="M700" s="1"/>
  <c r="M701" s="1"/>
  <c r="P599"/>
  <c r="N599"/>
  <c r="N600" s="1"/>
  <c r="K599"/>
  <c r="M599" s="1"/>
  <c r="M600" s="1"/>
  <c r="P503"/>
  <c r="N503"/>
  <c r="N504" s="1"/>
  <c r="K503"/>
  <c r="M503" s="1"/>
  <c r="M504" s="1"/>
  <c r="P359"/>
  <c r="N359"/>
  <c r="N360" s="1"/>
  <c r="K359"/>
  <c r="M359" s="1"/>
  <c r="M360" s="1"/>
  <c r="P730"/>
  <c r="N730"/>
  <c r="N731" s="1"/>
  <c r="K730"/>
  <c r="M730" s="1"/>
  <c r="M731" s="1"/>
  <c r="P252"/>
  <c r="N252"/>
  <c r="N253" s="1"/>
  <c r="K252"/>
  <c r="M252" s="1"/>
  <c r="M253" s="1"/>
  <c r="P101"/>
  <c r="N101"/>
  <c r="N102" s="1"/>
  <c r="K101"/>
  <c r="M101" s="1"/>
  <c r="M102" s="1"/>
  <c r="P645"/>
  <c r="N645"/>
  <c r="N646" s="1"/>
  <c r="K645"/>
  <c r="M645" s="1"/>
  <c r="M646" s="1"/>
  <c r="P643"/>
  <c r="N643"/>
  <c r="N644" s="1"/>
  <c r="K643"/>
  <c r="M643" s="1"/>
  <c r="M644" s="1"/>
  <c r="P637"/>
  <c r="N637"/>
  <c r="N638" s="1"/>
  <c r="K637"/>
  <c r="M637" s="1"/>
  <c r="M638" s="1"/>
  <c r="P558"/>
  <c r="N558"/>
  <c r="N559" s="1"/>
  <c r="K558"/>
  <c r="M558" s="1"/>
  <c r="M559" s="1"/>
  <c r="P312"/>
  <c r="N312"/>
  <c r="N313" s="1"/>
  <c r="K312"/>
  <c r="M312" s="1"/>
  <c r="M313" s="1"/>
  <c r="P265"/>
  <c r="N265"/>
  <c r="N266" s="1"/>
  <c r="K265"/>
  <c r="M265" s="1"/>
  <c r="M266" s="1"/>
  <c r="P179"/>
  <c r="N179"/>
  <c r="N180" s="1"/>
  <c r="K179"/>
  <c r="M179" s="1"/>
  <c r="M180" s="1"/>
  <c r="N971"/>
  <c r="K971"/>
  <c r="M971" s="1"/>
  <c r="P449"/>
  <c r="N449"/>
  <c r="K449"/>
  <c r="M449" s="1"/>
  <c r="P902"/>
  <c r="N902"/>
  <c r="K902"/>
  <c r="M902" s="1"/>
  <c r="P877"/>
  <c r="N877"/>
  <c r="K877"/>
  <c r="M877" s="1"/>
  <c r="P874"/>
  <c r="N874"/>
  <c r="K874"/>
  <c r="M874" s="1"/>
  <c r="P871"/>
  <c r="N871"/>
  <c r="K871"/>
  <c r="M871" s="1"/>
  <c r="P866"/>
  <c r="N866"/>
  <c r="K866"/>
  <c r="M866" s="1"/>
  <c r="P823"/>
  <c r="N823"/>
  <c r="N824" s="1"/>
  <c r="K823"/>
  <c r="M823" s="1"/>
  <c r="M824" s="1"/>
  <c r="P821"/>
  <c r="N821"/>
  <c r="K821"/>
  <c r="M821" s="1"/>
  <c r="P815"/>
  <c r="N815"/>
  <c r="K815"/>
  <c r="M815" s="1"/>
  <c r="P810"/>
  <c r="N810"/>
  <c r="K810"/>
  <c r="M810" s="1"/>
  <c r="P755"/>
  <c r="N755"/>
  <c r="N756" s="1"/>
  <c r="K755"/>
  <c r="M755" s="1"/>
  <c r="M756" s="1"/>
  <c r="P753"/>
  <c r="N753"/>
  <c r="K753"/>
  <c r="M753" s="1"/>
  <c r="P468"/>
  <c r="N468"/>
  <c r="K468"/>
  <c r="M468" s="1"/>
  <c r="P270"/>
  <c r="N270"/>
  <c r="K270"/>
  <c r="M270" s="1"/>
  <c r="P207"/>
  <c r="N207"/>
  <c r="K207"/>
  <c r="M207" s="1"/>
  <c r="P928"/>
  <c r="N928"/>
  <c r="N929" s="1"/>
  <c r="K928"/>
  <c r="M928" s="1"/>
  <c r="M929" s="1"/>
  <c r="P858"/>
  <c r="N858"/>
  <c r="K858"/>
  <c r="M858" s="1"/>
  <c r="P853"/>
  <c r="N853"/>
  <c r="K853"/>
  <c r="M853" s="1"/>
  <c r="P840"/>
  <c r="N840"/>
  <c r="K840"/>
  <c r="M840" s="1"/>
  <c r="P812"/>
  <c r="N812"/>
  <c r="N813" s="1"/>
  <c r="K812"/>
  <c r="M812" s="1"/>
  <c r="M813" s="1"/>
  <c r="P685"/>
  <c r="N685"/>
  <c r="K685"/>
  <c r="M685" s="1"/>
  <c r="P661"/>
  <c r="N661"/>
  <c r="N662" s="1"/>
  <c r="K661"/>
  <c r="M661" s="1"/>
  <c r="M662" s="1"/>
  <c r="P655"/>
  <c r="N655"/>
  <c r="N656" s="1"/>
  <c r="K655"/>
  <c r="M655" s="1"/>
  <c r="M656" s="1"/>
  <c r="P507"/>
  <c r="N507"/>
  <c r="N508" s="1"/>
  <c r="K507"/>
  <c r="M507" s="1"/>
  <c r="M508" s="1"/>
  <c r="P464"/>
  <c r="N464"/>
  <c r="K464"/>
  <c r="M464" s="1"/>
  <c r="P306"/>
  <c r="N306"/>
  <c r="K306"/>
  <c r="M306" s="1"/>
  <c r="P276"/>
  <c r="N276"/>
  <c r="K276"/>
  <c r="M276" s="1"/>
  <c r="P206"/>
  <c r="N206"/>
  <c r="K206"/>
  <c r="M206" s="1"/>
  <c r="P91"/>
  <c r="N91"/>
  <c r="K91"/>
  <c r="M91" s="1"/>
  <c r="P448"/>
  <c r="N448"/>
  <c r="K448"/>
  <c r="M448" s="1"/>
  <c r="P901"/>
  <c r="N901"/>
  <c r="K901"/>
  <c r="M901" s="1"/>
  <c r="P876"/>
  <c r="N876"/>
  <c r="K876"/>
  <c r="M876" s="1"/>
  <c r="P873"/>
  <c r="N873"/>
  <c r="K873"/>
  <c r="M873" s="1"/>
  <c r="P870"/>
  <c r="N870"/>
  <c r="K870"/>
  <c r="M870" s="1"/>
  <c r="P865"/>
  <c r="N865"/>
  <c r="K865"/>
  <c r="M865" s="1"/>
  <c r="P820"/>
  <c r="N820"/>
  <c r="N822" s="1"/>
  <c r="K820"/>
  <c r="M820" s="1"/>
  <c r="M822" s="1"/>
  <c r="P814"/>
  <c r="N814"/>
  <c r="N816" s="1"/>
  <c r="K814"/>
  <c r="M814" s="1"/>
  <c r="M816" s="1"/>
  <c r="P809"/>
  <c r="N809"/>
  <c r="N811" s="1"/>
  <c r="K809"/>
  <c r="M809" s="1"/>
  <c r="M811" s="1"/>
  <c r="P752"/>
  <c r="N752"/>
  <c r="K752"/>
  <c r="M752" s="1"/>
  <c r="P467"/>
  <c r="N467"/>
  <c r="K467"/>
  <c r="M467" s="1"/>
  <c r="P269"/>
  <c r="N269"/>
  <c r="K269"/>
  <c r="M269" s="1"/>
  <c r="P226"/>
  <c r="N226"/>
  <c r="K226"/>
  <c r="M226" s="1"/>
  <c r="P857"/>
  <c r="N857"/>
  <c r="K857"/>
  <c r="M857" s="1"/>
  <c r="P852"/>
  <c r="N852"/>
  <c r="K852"/>
  <c r="M852" s="1"/>
  <c r="P839"/>
  <c r="N839"/>
  <c r="K839"/>
  <c r="M839" s="1"/>
  <c r="P799"/>
  <c r="N799"/>
  <c r="K799"/>
  <c r="M799" s="1"/>
  <c r="P684"/>
  <c r="N684"/>
  <c r="K684"/>
  <c r="M684" s="1"/>
  <c r="P305"/>
  <c r="N305"/>
  <c r="K305"/>
  <c r="M305" s="1"/>
  <c r="P275"/>
  <c r="N275"/>
  <c r="K275"/>
  <c r="M275" s="1"/>
  <c r="P274"/>
  <c r="N274"/>
  <c r="K274"/>
  <c r="M274" s="1"/>
  <c r="P447"/>
  <c r="N447"/>
  <c r="K447"/>
  <c r="M447" s="1"/>
  <c r="P869"/>
  <c r="N869"/>
  <c r="K869"/>
  <c r="M869" s="1"/>
  <c r="P864"/>
  <c r="N864"/>
  <c r="K864"/>
  <c r="M864" s="1"/>
  <c r="P751"/>
  <c r="N751"/>
  <c r="K751"/>
  <c r="M751" s="1"/>
  <c r="P687"/>
  <c r="N687"/>
  <c r="N688" s="1"/>
  <c r="K687"/>
  <c r="M687" s="1"/>
  <c r="M688" s="1"/>
  <c r="P595"/>
  <c r="N595"/>
  <c r="K595"/>
  <c r="M595" s="1"/>
  <c r="P588"/>
  <c r="N588"/>
  <c r="K588"/>
  <c r="M588" s="1"/>
  <c r="P518"/>
  <c r="N518"/>
  <c r="K518"/>
  <c r="M518" s="1"/>
  <c r="P466"/>
  <c r="N466"/>
  <c r="K466"/>
  <c r="M466" s="1"/>
  <c r="P433"/>
  <c r="N433"/>
  <c r="K433"/>
  <c r="M433" s="1"/>
  <c r="P268"/>
  <c r="N268"/>
  <c r="K268"/>
  <c r="M268" s="1"/>
  <c r="P861"/>
  <c r="N861"/>
  <c r="K861"/>
  <c r="M861" s="1"/>
  <c r="P856"/>
  <c r="N856"/>
  <c r="K856"/>
  <c r="M856" s="1"/>
  <c r="P838"/>
  <c r="N838"/>
  <c r="K838"/>
  <c r="M838" s="1"/>
  <c r="P826"/>
  <c r="N826"/>
  <c r="K826"/>
  <c r="M826" s="1"/>
  <c r="P798"/>
  <c r="N798"/>
  <c r="K798"/>
  <c r="M798" s="1"/>
  <c r="P683"/>
  <c r="N683"/>
  <c r="K683"/>
  <c r="M683" s="1"/>
  <c r="P517"/>
  <c r="N517"/>
  <c r="K517"/>
  <c r="M517" s="1"/>
  <c r="P366"/>
  <c r="N366"/>
  <c r="K366"/>
  <c r="M366" s="1"/>
  <c r="P304"/>
  <c r="N304"/>
  <c r="K304"/>
  <c r="M304" s="1"/>
  <c r="P20"/>
  <c r="N20"/>
  <c r="K20"/>
  <c r="M20" s="1"/>
  <c r="P835"/>
  <c r="N835"/>
  <c r="N836" s="1"/>
  <c r="K835"/>
  <c r="M835" s="1"/>
  <c r="M836" s="1"/>
  <c r="P695"/>
  <c r="N695"/>
  <c r="N696" s="1"/>
  <c r="K695"/>
  <c r="M695" s="1"/>
  <c r="M696" s="1"/>
  <c r="P868"/>
  <c r="N868"/>
  <c r="K868"/>
  <c r="M868" s="1"/>
  <c r="P863"/>
  <c r="N863"/>
  <c r="K863"/>
  <c r="M863" s="1"/>
  <c r="P750"/>
  <c r="N750"/>
  <c r="K750"/>
  <c r="M750" s="1"/>
  <c r="P674"/>
  <c r="N674"/>
  <c r="K674"/>
  <c r="M674" s="1"/>
  <c r="P594"/>
  <c r="N594"/>
  <c r="K594"/>
  <c r="M594" s="1"/>
  <c r="P587"/>
  <c r="N587"/>
  <c r="K587"/>
  <c r="M587" s="1"/>
  <c r="P527"/>
  <c r="N527"/>
  <c r="N528" s="1"/>
  <c r="K527"/>
  <c r="M527" s="1"/>
  <c r="M528" s="1"/>
  <c r="P514"/>
  <c r="N514"/>
  <c r="K514"/>
  <c r="M514" s="1"/>
  <c r="P465"/>
  <c r="N465"/>
  <c r="K465"/>
  <c r="M465" s="1"/>
  <c r="P462"/>
  <c r="N462"/>
  <c r="N463" s="1"/>
  <c r="K462"/>
  <c r="M462" s="1"/>
  <c r="M463" s="1"/>
  <c r="P432"/>
  <c r="N432"/>
  <c r="N434" s="1"/>
  <c r="K432"/>
  <c r="M432" s="1"/>
  <c r="M434" s="1"/>
  <c r="P361"/>
  <c r="N361"/>
  <c r="N362" s="1"/>
  <c r="K361"/>
  <c r="M361" s="1"/>
  <c r="M362" s="1"/>
  <c r="P267"/>
  <c r="N267"/>
  <c r="K267"/>
  <c r="M267" s="1"/>
  <c r="P225"/>
  <c r="N225"/>
  <c r="K225"/>
  <c r="M225" s="1"/>
  <c r="P203"/>
  <c r="N203"/>
  <c r="K203"/>
  <c r="M203" s="1"/>
  <c r="P860"/>
  <c r="N860"/>
  <c r="K860"/>
  <c r="M860" s="1"/>
  <c r="P855"/>
  <c r="N855"/>
  <c r="K855"/>
  <c r="M855" s="1"/>
  <c r="P851"/>
  <c r="N851"/>
  <c r="K851"/>
  <c r="M851" s="1"/>
  <c r="P837"/>
  <c r="N837"/>
  <c r="K837"/>
  <c r="M837" s="1"/>
  <c r="P828"/>
  <c r="N828"/>
  <c r="N829" s="1"/>
  <c r="K828"/>
  <c r="M828" s="1"/>
  <c r="M829" s="1"/>
  <c r="P825"/>
  <c r="N825"/>
  <c r="K825"/>
  <c r="M825" s="1"/>
  <c r="P797"/>
  <c r="N797"/>
  <c r="K797"/>
  <c r="M797" s="1"/>
  <c r="P682"/>
  <c r="N682"/>
  <c r="K682"/>
  <c r="M682" s="1"/>
  <c r="P673"/>
  <c r="N673"/>
  <c r="N675" s="1"/>
  <c r="K673"/>
  <c r="M673" s="1"/>
  <c r="M675" s="1"/>
  <c r="P641"/>
  <c r="N641"/>
  <c r="N642" s="1"/>
  <c r="K641"/>
  <c r="M641" s="1"/>
  <c r="M642" s="1"/>
  <c r="P582"/>
  <c r="N582"/>
  <c r="N583" s="1"/>
  <c r="K582"/>
  <c r="M582" s="1"/>
  <c r="M583" s="1"/>
  <c r="P560"/>
  <c r="N560"/>
  <c r="N561" s="1"/>
  <c r="K560"/>
  <c r="M560" s="1"/>
  <c r="M561" s="1"/>
  <c r="P535"/>
  <c r="N535"/>
  <c r="N536" s="1"/>
  <c r="K535"/>
  <c r="M535" s="1"/>
  <c r="M536" s="1"/>
  <c r="P529"/>
  <c r="N529"/>
  <c r="N530" s="1"/>
  <c r="K529"/>
  <c r="M529" s="1"/>
  <c r="M530" s="1"/>
  <c r="P520"/>
  <c r="N520"/>
  <c r="N521" s="1"/>
  <c r="K520"/>
  <c r="M520" s="1"/>
  <c r="M521" s="1"/>
  <c r="P516"/>
  <c r="N516"/>
  <c r="K516"/>
  <c r="M516" s="1"/>
  <c r="P513"/>
  <c r="N513"/>
  <c r="N515" s="1"/>
  <c r="K513"/>
  <c r="M513" s="1"/>
  <c r="P499"/>
  <c r="N499"/>
  <c r="N500" s="1"/>
  <c r="K499"/>
  <c r="M499" s="1"/>
  <c r="M500" s="1"/>
  <c r="P451"/>
  <c r="N451"/>
  <c r="N452" s="1"/>
  <c r="K451"/>
  <c r="M451" s="1"/>
  <c r="M452" s="1"/>
  <c r="P423"/>
  <c r="N423"/>
  <c r="N424" s="1"/>
  <c r="K423"/>
  <c r="M423" s="1"/>
  <c r="M424" s="1"/>
  <c r="P417"/>
  <c r="N417"/>
  <c r="N418" s="1"/>
  <c r="K417"/>
  <c r="M417" s="1"/>
  <c r="M418" s="1"/>
  <c r="P402"/>
  <c r="N402"/>
  <c r="N403" s="1"/>
  <c r="K402"/>
  <c r="M402" s="1"/>
  <c r="M403" s="1"/>
  <c r="P400"/>
  <c r="N400"/>
  <c r="N401" s="1"/>
  <c r="K400"/>
  <c r="M400" s="1"/>
  <c r="M401" s="1"/>
  <c r="P365"/>
  <c r="N365"/>
  <c r="K365"/>
  <c r="M365" s="1"/>
  <c r="P331"/>
  <c r="N331"/>
  <c r="N332" s="1"/>
  <c r="K331"/>
  <c r="M331" s="1"/>
  <c r="M332" s="1"/>
  <c r="P320"/>
  <c r="N320"/>
  <c r="N321" s="1"/>
  <c r="K320"/>
  <c r="M320" s="1"/>
  <c r="M321" s="1"/>
  <c r="P316"/>
  <c r="N316"/>
  <c r="N317" s="1"/>
  <c r="K316"/>
  <c r="M316" s="1"/>
  <c r="M317" s="1"/>
  <c r="P310"/>
  <c r="N310"/>
  <c r="N311" s="1"/>
  <c r="K310"/>
  <c r="M310" s="1"/>
  <c r="M311" s="1"/>
  <c r="P303"/>
  <c r="N303"/>
  <c r="K303"/>
  <c r="M303" s="1"/>
  <c r="P254"/>
  <c r="N254"/>
  <c r="N255" s="1"/>
  <c r="K254"/>
  <c r="M254" s="1"/>
  <c r="M255" s="1"/>
  <c r="P209"/>
  <c r="N209"/>
  <c r="N210" s="1"/>
  <c r="K209"/>
  <c r="M209" s="1"/>
  <c r="M210" s="1"/>
  <c r="P205"/>
  <c r="N205"/>
  <c r="K205"/>
  <c r="M205" s="1"/>
  <c r="P202"/>
  <c r="N202"/>
  <c r="K202"/>
  <c r="M202" s="1"/>
  <c r="P194"/>
  <c r="N194"/>
  <c r="N195" s="1"/>
  <c r="K194"/>
  <c r="M194" s="1"/>
  <c r="M195" s="1"/>
  <c r="P175"/>
  <c r="N175"/>
  <c r="N176" s="1"/>
  <c r="K175"/>
  <c r="M175" s="1"/>
  <c r="M176" s="1"/>
  <c r="P112"/>
  <c r="N112"/>
  <c r="N113" s="1"/>
  <c r="K112"/>
  <c r="M112" s="1"/>
  <c r="M113" s="1"/>
  <c r="P110"/>
  <c r="N110"/>
  <c r="N111" s="1"/>
  <c r="K110"/>
  <c r="M110" s="1"/>
  <c r="M111" s="1"/>
  <c r="P93"/>
  <c r="N93"/>
  <c r="N94" s="1"/>
  <c r="K93"/>
  <c r="M93" s="1"/>
  <c r="M94" s="1"/>
  <c r="P90"/>
  <c r="N90"/>
  <c r="K90"/>
  <c r="M90" s="1"/>
  <c r="P81"/>
  <c r="N81"/>
  <c r="N82" s="1"/>
  <c r="K81"/>
  <c r="M81" s="1"/>
  <c r="M82" s="1"/>
  <c r="P61"/>
  <c r="N61"/>
  <c r="N62" s="1"/>
  <c r="K61"/>
  <c r="M61" s="1"/>
  <c r="M62" s="1"/>
  <c r="P19"/>
  <c r="N19"/>
  <c r="K19"/>
  <c r="M19" s="1"/>
  <c r="P13"/>
  <c r="N13"/>
  <c r="N14" s="1"/>
  <c r="K13"/>
  <c r="M13" s="1"/>
  <c r="M14" s="1"/>
  <c r="K975"/>
  <c r="J975"/>
  <c r="K970"/>
  <c r="J970"/>
  <c r="P965"/>
  <c r="N965"/>
  <c r="N966" s="1"/>
  <c r="K965"/>
  <c r="M965" s="1"/>
  <c r="M966" s="1"/>
  <c r="P963"/>
  <c r="N963"/>
  <c r="N964" s="1"/>
  <c r="K963"/>
  <c r="M963" s="1"/>
  <c r="M964" s="1"/>
  <c r="P957"/>
  <c r="N957"/>
  <c r="N958" s="1"/>
  <c r="K957"/>
  <c r="M957" s="1"/>
  <c r="M958" s="1"/>
  <c r="P955"/>
  <c r="N955"/>
  <c r="N956" s="1"/>
  <c r="K955"/>
  <c r="M955" s="1"/>
  <c r="M956" s="1"/>
  <c r="P953"/>
  <c r="N953"/>
  <c r="N954" s="1"/>
  <c r="K953"/>
  <c r="M953" s="1"/>
  <c r="M954" s="1"/>
  <c r="P951"/>
  <c r="N951"/>
  <c r="N952" s="1"/>
  <c r="K951"/>
  <c r="M951" s="1"/>
  <c r="M952" s="1"/>
  <c r="P949"/>
  <c r="N949"/>
  <c r="N950" s="1"/>
  <c r="K949"/>
  <c r="M949" s="1"/>
  <c r="M950" s="1"/>
  <c r="P947"/>
  <c r="N947"/>
  <c r="K947"/>
  <c r="M947" s="1"/>
  <c r="P942"/>
  <c r="N942"/>
  <c r="N943" s="1"/>
  <c r="K942"/>
  <c r="M942" s="1"/>
  <c r="M943" s="1"/>
  <c r="P940"/>
  <c r="N940"/>
  <c r="N941" s="1"/>
  <c r="K940"/>
  <c r="M940" s="1"/>
  <c r="M941" s="1"/>
  <c r="P938"/>
  <c r="N938"/>
  <c r="N939" s="1"/>
  <c r="K938"/>
  <c r="M938" s="1"/>
  <c r="M939" s="1"/>
  <c r="P936"/>
  <c r="N936"/>
  <c r="K936"/>
  <c r="M936" s="1"/>
  <c r="P932"/>
  <c r="N932"/>
  <c r="K932"/>
  <c r="M932" s="1"/>
  <c r="P924"/>
  <c r="N924"/>
  <c r="K924"/>
  <c r="M924" s="1"/>
  <c r="P919"/>
  <c r="N919"/>
  <c r="K919"/>
  <c r="M919" s="1"/>
  <c r="P915"/>
  <c r="N915"/>
  <c r="K915"/>
  <c r="M915" s="1"/>
  <c r="P905"/>
  <c r="N905"/>
  <c r="K905"/>
  <c r="M905" s="1"/>
  <c r="P899"/>
  <c r="N899"/>
  <c r="K899"/>
  <c r="M899" s="1"/>
  <c r="P891"/>
  <c r="N891"/>
  <c r="K891"/>
  <c r="M891" s="1"/>
  <c r="P886"/>
  <c r="N886"/>
  <c r="K886"/>
  <c r="M886" s="1"/>
  <c r="P882"/>
  <c r="N882"/>
  <c r="K882"/>
  <c r="M882" s="1"/>
  <c r="P849"/>
  <c r="N849"/>
  <c r="K849"/>
  <c r="M849" s="1"/>
  <c r="P844"/>
  <c r="N844"/>
  <c r="K844"/>
  <c r="M844" s="1"/>
  <c r="P833"/>
  <c r="N833"/>
  <c r="K833"/>
  <c r="M833" s="1"/>
  <c r="P804"/>
  <c r="N804"/>
  <c r="K804"/>
  <c r="M804" s="1"/>
  <c r="P795"/>
  <c r="N795"/>
  <c r="K795"/>
  <c r="M795" s="1"/>
  <c r="P783"/>
  <c r="N783"/>
  <c r="N784" s="1"/>
  <c r="K783"/>
  <c r="M783" s="1"/>
  <c r="M784" s="1"/>
  <c r="P774"/>
  <c r="N774"/>
  <c r="K774"/>
  <c r="M774" s="1"/>
  <c r="P765"/>
  <c r="N765"/>
  <c r="N766" s="1"/>
  <c r="K765"/>
  <c r="M765" s="1"/>
  <c r="M766" s="1"/>
  <c r="P748"/>
  <c r="N748"/>
  <c r="N749" s="1"/>
  <c r="K748"/>
  <c r="M748" s="1"/>
  <c r="M749" s="1"/>
  <c r="P746"/>
  <c r="N746"/>
  <c r="K746"/>
  <c r="M746" s="1"/>
  <c r="P725"/>
  <c r="N725"/>
  <c r="K725"/>
  <c r="M725" s="1"/>
  <c r="P717"/>
  <c r="N717"/>
  <c r="K717"/>
  <c r="M717" s="1"/>
  <c r="P710"/>
  <c r="N710"/>
  <c r="K710"/>
  <c r="M710" s="1"/>
  <c r="P693"/>
  <c r="N693"/>
  <c r="K693"/>
  <c r="M693" s="1"/>
  <c r="P677"/>
  <c r="N677"/>
  <c r="K677"/>
  <c r="M677" s="1"/>
  <c r="P428"/>
  <c r="N428"/>
  <c r="K428"/>
  <c r="M428" s="1"/>
  <c r="P353"/>
  <c r="N353"/>
  <c r="K353"/>
  <c r="M353" s="1"/>
  <c r="P327"/>
  <c r="N327"/>
  <c r="K327"/>
  <c r="M327" s="1"/>
  <c r="P232"/>
  <c r="N232"/>
  <c r="K232"/>
  <c r="M232" s="1"/>
  <c r="P88"/>
  <c r="N88"/>
  <c r="K88"/>
  <c r="M88" s="1"/>
  <c r="P23"/>
  <c r="N23"/>
  <c r="K23"/>
  <c r="M23" s="1"/>
  <c r="P912"/>
  <c r="N912"/>
  <c r="K912"/>
  <c r="M912" s="1"/>
  <c r="P907"/>
  <c r="N907"/>
  <c r="N908" s="1"/>
  <c r="K907"/>
  <c r="M907" s="1"/>
  <c r="M908" s="1"/>
  <c r="P895"/>
  <c r="N895"/>
  <c r="K895"/>
  <c r="M895" s="1"/>
  <c r="P791"/>
  <c r="N791"/>
  <c r="K791"/>
  <c r="M791" s="1"/>
  <c r="P773"/>
  <c r="N773"/>
  <c r="K773"/>
  <c r="M773" s="1"/>
  <c r="P713"/>
  <c r="N713"/>
  <c r="K713"/>
  <c r="M713" s="1"/>
  <c r="P705"/>
  <c r="N705"/>
  <c r="K705"/>
  <c r="M705" s="1"/>
  <c r="P635"/>
  <c r="N635"/>
  <c r="K635"/>
  <c r="M635" s="1"/>
  <c r="P597"/>
  <c r="N597"/>
  <c r="N598" s="1"/>
  <c r="K597"/>
  <c r="M597" s="1"/>
  <c r="M598" s="1"/>
  <c r="P574"/>
  <c r="N574"/>
  <c r="K574"/>
  <c r="M574" s="1"/>
  <c r="P525"/>
  <c r="N525"/>
  <c r="K525"/>
  <c r="M525" s="1"/>
  <c r="P438"/>
  <c r="N438"/>
  <c r="K438"/>
  <c r="M438" s="1"/>
  <c r="P373"/>
  <c r="N373"/>
  <c r="K373"/>
  <c r="M373" s="1"/>
  <c r="P259"/>
  <c r="N259"/>
  <c r="K259"/>
  <c r="M259" s="1"/>
  <c r="P223"/>
  <c r="N223"/>
  <c r="N224" s="1"/>
  <c r="K223"/>
  <c r="M223" s="1"/>
  <c r="M224" s="1"/>
  <c r="P946"/>
  <c r="N946"/>
  <c r="K946"/>
  <c r="M946" s="1"/>
  <c r="P935"/>
  <c r="N935"/>
  <c r="K935"/>
  <c r="M935" s="1"/>
  <c r="P931"/>
  <c r="N931"/>
  <c r="K931"/>
  <c r="M931" s="1"/>
  <c r="P923"/>
  <c r="N923"/>
  <c r="K923"/>
  <c r="M923" s="1"/>
  <c r="P918"/>
  <c r="N918"/>
  <c r="K918"/>
  <c r="M918" s="1"/>
  <c r="P914"/>
  <c r="N914"/>
  <c r="K914"/>
  <c r="M914" s="1"/>
  <c r="P904"/>
  <c r="N904"/>
  <c r="K904"/>
  <c r="M904" s="1"/>
  <c r="P898"/>
  <c r="N898"/>
  <c r="K898"/>
  <c r="M898" s="1"/>
  <c r="P881"/>
  <c r="N881"/>
  <c r="K881"/>
  <c r="M881" s="1"/>
  <c r="P848"/>
  <c r="N848"/>
  <c r="K848"/>
  <c r="M848" s="1"/>
  <c r="P843"/>
  <c r="N843"/>
  <c r="K843"/>
  <c r="M843" s="1"/>
  <c r="P832"/>
  <c r="N832"/>
  <c r="K832"/>
  <c r="M832" s="1"/>
  <c r="P803"/>
  <c r="N803"/>
  <c r="K803"/>
  <c r="M803" s="1"/>
  <c r="P794"/>
  <c r="N794"/>
  <c r="K794"/>
  <c r="M794" s="1"/>
  <c r="P745"/>
  <c r="N745"/>
  <c r="K745"/>
  <c r="M745" s="1"/>
  <c r="P724"/>
  <c r="N724"/>
  <c r="K724"/>
  <c r="M724" s="1"/>
  <c r="P716"/>
  <c r="N716"/>
  <c r="K716"/>
  <c r="M716" s="1"/>
  <c r="P709"/>
  <c r="N709"/>
  <c r="K709"/>
  <c r="M709" s="1"/>
  <c r="P692"/>
  <c r="N692"/>
  <c r="K692"/>
  <c r="M692" s="1"/>
  <c r="P676"/>
  <c r="N676"/>
  <c r="K676"/>
  <c r="M676" s="1"/>
  <c r="P585"/>
  <c r="N585"/>
  <c r="K585"/>
  <c r="M585" s="1"/>
  <c r="P427"/>
  <c r="N427"/>
  <c r="K427"/>
  <c r="M427" s="1"/>
  <c r="P352"/>
  <c r="N352"/>
  <c r="K352"/>
  <c r="M352" s="1"/>
  <c r="P326"/>
  <c r="N326"/>
  <c r="K326"/>
  <c r="M326" s="1"/>
  <c r="P231"/>
  <c r="N231"/>
  <c r="K231"/>
  <c r="M231" s="1"/>
  <c r="P118"/>
  <c r="N118"/>
  <c r="K118"/>
  <c r="M118" s="1"/>
  <c r="P87"/>
  <c r="N87"/>
  <c r="K87"/>
  <c r="M87" s="1"/>
  <c r="P22"/>
  <c r="N22"/>
  <c r="K22"/>
  <c r="M22" s="1"/>
  <c r="P911"/>
  <c r="N911"/>
  <c r="K911"/>
  <c r="M911" s="1"/>
  <c r="P790"/>
  <c r="N790"/>
  <c r="K790"/>
  <c r="M790" s="1"/>
  <c r="P778"/>
  <c r="N778"/>
  <c r="K778"/>
  <c r="M778" s="1"/>
  <c r="P704"/>
  <c r="N704"/>
  <c r="K704"/>
  <c r="M704" s="1"/>
  <c r="P634"/>
  <c r="N634"/>
  <c r="K634"/>
  <c r="M634" s="1"/>
  <c r="P573"/>
  <c r="N573"/>
  <c r="K573"/>
  <c r="M573" s="1"/>
  <c r="P524"/>
  <c r="N524"/>
  <c r="K524"/>
  <c r="M524" s="1"/>
  <c r="P437"/>
  <c r="N437"/>
  <c r="K437"/>
  <c r="M437" s="1"/>
  <c r="P372"/>
  <c r="N372"/>
  <c r="K372"/>
  <c r="M372" s="1"/>
  <c r="P258"/>
  <c r="N258"/>
  <c r="K258"/>
  <c r="M258" s="1"/>
  <c r="P117"/>
  <c r="N117"/>
  <c r="K117"/>
  <c r="M117" s="1"/>
  <c r="P65"/>
  <c r="N65"/>
  <c r="K65"/>
  <c r="M65" s="1"/>
  <c r="P945"/>
  <c r="N945"/>
  <c r="K945"/>
  <c r="M945" s="1"/>
  <c r="P934"/>
  <c r="N934"/>
  <c r="K934"/>
  <c r="M934" s="1"/>
  <c r="P930"/>
  <c r="N930"/>
  <c r="K930"/>
  <c r="M930" s="1"/>
  <c r="P922"/>
  <c r="N922"/>
  <c r="K922"/>
  <c r="M922" s="1"/>
  <c r="P917"/>
  <c r="N917"/>
  <c r="K917"/>
  <c r="M917" s="1"/>
  <c r="P897"/>
  <c r="N897"/>
  <c r="K897"/>
  <c r="M897" s="1"/>
  <c r="P885"/>
  <c r="N885"/>
  <c r="K885"/>
  <c r="M885" s="1"/>
  <c r="P880"/>
  <c r="N880"/>
  <c r="K880"/>
  <c r="M880" s="1"/>
  <c r="P847"/>
  <c r="N847"/>
  <c r="K847"/>
  <c r="M847" s="1"/>
  <c r="P842"/>
  <c r="N842"/>
  <c r="K842"/>
  <c r="M842" s="1"/>
  <c r="P831"/>
  <c r="N831"/>
  <c r="K831"/>
  <c r="M831" s="1"/>
  <c r="P818"/>
  <c r="N818"/>
  <c r="K818"/>
  <c r="M818" s="1"/>
  <c r="P807"/>
  <c r="N807"/>
  <c r="K807"/>
  <c r="M807" s="1"/>
  <c r="P802"/>
  <c r="N802"/>
  <c r="K802"/>
  <c r="M802" s="1"/>
  <c r="P786"/>
  <c r="N786"/>
  <c r="K786"/>
  <c r="M786" s="1"/>
  <c r="P781"/>
  <c r="N781"/>
  <c r="K781"/>
  <c r="M781" s="1"/>
  <c r="P763"/>
  <c r="N763"/>
  <c r="K763"/>
  <c r="M763" s="1"/>
  <c r="P760"/>
  <c r="N760"/>
  <c r="K760"/>
  <c r="M760" s="1"/>
  <c r="P744"/>
  <c r="N744"/>
  <c r="K744"/>
  <c r="M744" s="1"/>
  <c r="P742"/>
  <c r="N742"/>
  <c r="K742"/>
  <c r="M742" s="1"/>
  <c r="P739"/>
  <c r="N739"/>
  <c r="K739"/>
  <c r="M739" s="1"/>
  <c r="P736"/>
  <c r="N736"/>
  <c r="K736"/>
  <c r="M736" s="1"/>
  <c r="P733"/>
  <c r="N733"/>
  <c r="K733"/>
  <c r="M733" s="1"/>
  <c r="P728"/>
  <c r="N728"/>
  <c r="K728"/>
  <c r="M728" s="1"/>
  <c r="P723"/>
  <c r="N723"/>
  <c r="K723"/>
  <c r="M723" s="1"/>
  <c r="P720"/>
  <c r="N720"/>
  <c r="K720"/>
  <c r="M720" s="1"/>
  <c r="P715"/>
  <c r="N715"/>
  <c r="K715"/>
  <c r="M715" s="1"/>
  <c r="P708"/>
  <c r="N708"/>
  <c r="K708"/>
  <c r="M708" s="1"/>
  <c r="P698"/>
  <c r="N698"/>
  <c r="K698"/>
  <c r="M698" s="1"/>
  <c r="P690"/>
  <c r="N690"/>
  <c r="K690"/>
  <c r="M690" s="1"/>
  <c r="P680"/>
  <c r="N680"/>
  <c r="K680"/>
  <c r="M680" s="1"/>
  <c r="P460"/>
  <c r="N460"/>
  <c r="K460"/>
  <c r="M460" s="1"/>
  <c r="P445"/>
  <c r="N445"/>
  <c r="K445"/>
  <c r="M445" s="1"/>
  <c r="P351"/>
  <c r="N351"/>
  <c r="K351"/>
  <c r="M351" s="1"/>
  <c r="P342"/>
  <c r="N342"/>
  <c r="K342"/>
  <c r="M342" s="1"/>
  <c r="P325"/>
  <c r="N325"/>
  <c r="K325"/>
  <c r="M325" s="1"/>
  <c r="P229"/>
  <c r="N229"/>
  <c r="K229"/>
  <c r="M229" s="1"/>
  <c r="P211"/>
  <c r="N211"/>
  <c r="N212" s="1"/>
  <c r="K211"/>
  <c r="M211" s="1"/>
  <c r="M212" s="1"/>
  <c r="P200"/>
  <c r="N200"/>
  <c r="K200"/>
  <c r="M200" s="1"/>
  <c r="P26"/>
  <c r="N26"/>
  <c r="K26"/>
  <c r="M26" s="1"/>
  <c r="P910"/>
  <c r="N910"/>
  <c r="K910"/>
  <c r="M910" s="1"/>
  <c r="P894"/>
  <c r="N894"/>
  <c r="K894"/>
  <c r="M894" s="1"/>
  <c r="P789"/>
  <c r="N789"/>
  <c r="K789"/>
  <c r="M789" s="1"/>
  <c r="P777"/>
  <c r="N777"/>
  <c r="K777"/>
  <c r="M777" s="1"/>
  <c r="P758"/>
  <c r="N758"/>
  <c r="K758"/>
  <c r="M758" s="1"/>
  <c r="P703"/>
  <c r="N703"/>
  <c r="K703"/>
  <c r="M703" s="1"/>
  <c r="P633"/>
  <c r="N633"/>
  <c r="K633"/>
  <c r="M633" s="1"/>
  <c r="P497"/>
  <c r="N497"/>
  <c r="K497"/>
  <c r="M497" s="1"/>
  <c r="P458"/>
  <c r="N458"/>
  <c r="K458"/>
  <c r="M458" s="1"/>
  <c r="P436"/>
  <c r="N436"/>
  <c r="K436"/>
  <c r="M436" s="1"/>
  <c r="P407"/>
  <c r="N407"/>
  <c r="K407"/>
  <c r="M407" s="1"/>
  <c r="P371"/>
  <c r="N371"/>
  <c r="K371"/>
  <c r="M371" s="1"/>
  <c r="P257"/>
  <c r="N257"/>
  <c r="K257"/>
  <c r="M257" s="1"/>
  <c r="P199"/>
  <c r="N199"/>
  <c r="K199"/>
  <c r="M199" s="1"/>
  <c r="P64"/>
  <c r="N64"/>
  <c r="K64"/>
  <c r="M64" s="1"/>
  <c r="P944"/>
  <c r="N944"/>
  <c r="K944"/>
  <c r="M944" s="1"/>
  <c r="P926"/>
  <c r="N926"/>
  <c r="N927" s="1"/>
  <c r="K926"/>
  <c r="M926" s="1"/>
  <c r="M927" s="1"/>
  <c r="P921"/>
  <c r="N921"/>
  <c r="K921"/>
  <c r="M921" s="1"/>
  <c r="P890"/>
  <c r="N890"/>
  <c r="K890"/>
  <c r="M890" s="1"/>
  <c r="P884"/>
  <c r="N884"/>
  <c r="K884"/>
  <c r="M884" s="1"/>
  <c r="P879"/>
  <c r="N879"/>
  <c r="K879"/>
  <c r="M879" s="1"/>
  <c r="P846"/>
  <c r="N846"/>
  <c r="K846"/>
  <c r="M846" s="1"/>
  <c r="P830"/>
  <c r="N830"/>
  <c r="K830"/>
  <c r="M830" s="1"/>
  <c r="P817"/>
  <c r="N817"/>
  <c r="N819" s="1"/>
  <c r="K817"/>
  <c r="M817" s="1"/>
  <c r="P806"/>
  <c r="N806"/>
  <c r="N808" s="1"/>
  <c r="K806"/>
  <c r="M806" s="1"/>
  <c r="M808" s="1"/>
  <c r="P801"/>
  <c r="N801"/>
  <c r="K801"/>
  <c r="M801" s="1"/>
  <c r="P793"/>
  <c r="N793"/>
  <c r="K793"/>
  <c r="M793" s="1"/>
  <c r="P785"/>
  <c r="N785"/>
  <c r="K785"/>
  <c r="M785" s="1"/>
  <c r="P780"/>
  <c r="N780"/>
  <c r="K780"/>
  <c r="M780" s="1"/>
  <c r="P767"/>
  <c r="N767"/>
  <c r="N768" s="1"/>
  <c r="K767"/>
  <c r="M767" s="1"/>
  <c r="M768" s="1"/>
  <c r="P762"/>
  <c r="N762"/>
  <c r="K762"/>
  <c r="M762" s="1"/>
  <c r="P759"/>
  <c r="N759"/>
  <c r="K759"/>
  <c r="M759" s="1"/>
  <c r="P741"/>
  <c r="N741"/>
  <c r="K741"/>
  <c r="M741" s="1"/>
  <c r="P738"/>
  <c r="N738"/>
  <c r="K738"/>
  <c r="M738" s="1"/>
  <c r="P735"/>
  <c r="N735"/>
  <c r="K735"/>
  <c r="M735" s="1"/>
  <c r="P732"/>
  <c r="N732"/>
  <c r="K732"/>
  <c r="M732" s="1"/>
  <c r="P727"/>
  <c r="N727"/>
  <c r="K727"/>
  <c r="M727" s="1"/>
  <c r="P722"/>
  <c r="N722"/>
  <c r="K722"/>
  <c r="M722" s="1"/>
  <c r="P719"/>
  <c r="N719"/>
  <c r="K719"/>
  <c r="M719" s="1"/>
  <c r="P707"/>
  <c r="N707"/>
  <c r="K707"/>
  <c r="M707" s="1"/>
  <c r="P697"/>
  <c r="N697"/>
  <c r="N699" s="1"/>
  <c r="K697"/>
  <c r="M697" s="1"/>
  <c r="M699" s="1"/>
  <c r="P689"/>
  <c r="N689"/>
  <c r="N691" s="1"/>
  <c r="K689"/>
  <c r="M689" s="1"/>
  <c r="M691" s="1"/>
  <c r="P679"/>
  <c r="N679"/>
  <c r="N681" s="1"/>
  <c r="K679"/>
  <c r="M679" s="1"/>
  <c r="M681" s="1"/>
  <c r="P659"/>
  <c r="N659"/>
  <c r="N660" s="1"/>
  <c r="K659"/>
  <c r="M659" s="1"/>
  <c r="M660" s="1"/>
  <c r="P584"/>
  <c r="N584"/>
  <c r="N586" s="1"/>
  <c r="K584"/>
  <c r="M584" s="1"/>
  <c r="M586" s="1"/>
  <c r="P576"/>
  <c r="N576"/>
  <c r="N577" s="1"/>
  <c r="K576"/>
  <c r="M576" s="1"/>
  <c r="M577" s="1"/>
  <c r="P459"/>
  <c r="N459"/>
  <c r="K459"/>
  <c r="M459" s="1"/>
  <c r="P444"/>
  <c r="N444"/>
  <c r="K444"/>
  <c r="M444" s="1"/>
  <c r="P442"/>
  <c r="N442"/>
  <c r="N443" s="1"/>
  <c r="K442"/>
  <c r="M442" s="1"/>
  <c r="M443" s="1"/>
  <c r="P430"/>
  <c r="N430"/>
  <c r="N431" s="1"/>
  <c r="K430"/>
  <c r="M430" s="1"/>
  <c r="M431" s="1"/>
  <c r="P357"/>
  <c r="N357"/>
  <c r="N358" s="1"/>
  <c r="K357"/>
  <c r="M357" s="1"/>
  <c r="M358" s="1"/>
  <c r="P350"/>
  <c r="N350"/>
  <c r="K350"/>
  <c r="M350" s="1"/>
  <c r="P344"/>
  <c r="N344"/>
  <c r="N345" s="1"/>
  <c r="K344"/>
  <c r="M344" s="1"/>
  <c r="M345" s="1"/>
  <c r="P341"/>
  <c r="N341"/>
  <c r="K341"/>
  <c r="M341" s="1"/>
  <c r="P337"/>
  <c r="N337"/>
  <c r="N338" s="1"/>
  <c r="K337"/>
  <c r="M337" s="1"/>
  <c r="M338" s="1"/>
  <c r="P324"/>
  <c r="N324"/>
  <c r="K324"/>
  <c r="M324" s="1"/>
  <c r="P322"/>
  <c r="N322"/>
  <c r="N323" s="1"/>
  <c r="K322"/>
  <c r="M322" s="1"/>
  <c r="M323" s="1"/>
  <c r="P318"/>
  <c r="N318"/>
  <c r="N319" s="1"/>
  <c r="K318"/>
  <c r="M318" s="1"/>
  <c r="M319" s="1"/>
  <c r="P246"/>
  <c r="N246"/>
  <c r="N247" s="1"/>
  <c r="K246"/>
  <c r="M246" s="1"/>
  <c r="M247" s="1"/>
  <c r="P242"/>
  <c r="N242"/>
  <c r="N243" s="1"/>
  <c r="K242"/>
  <c r="M242" s="1"/>
  <c r="M243" s="1"/>
  <c r="P228"/>
  <c r="N228"/>
  <c r="N230" s="1"/>
  <c r="K228"/>
  <c r="M228" s="1"/>
  <c r="M230" s="1"/>
  <c r="P104"/>
  <c r="N104"/>
  <c r="K104"/>
  <c r="M104" s="1"/>
  <c r="P83"/>
  <c r="N83"/>
  <c r="N84" s="1"/>
  <c r="K83"/>
  <c r="M83" s="1"/>
  <c r="M84" s="1"/>
  <c r="P25"/>
  <c r="N25"/>
  <c r="N27" s="1"/>
  <c r="K25"/>
  <c r="M25" s="1"/>
  <c r="M27" s="1"/>
  <c r="P181"/>
  <c r="N181"/>
  <c r="N182" s="1"/>
  <c r="K181"/>
  <c r="M181" s="1"/>
  <c r="M182" s="1"/>
  <c r="P909"/>
  <c r="N909"/>
  <c r="K909"/>
  <c r="M909" s="1"/>
  <c r="P893"/>
  <c r="N893"/>
  <c r="K893"/>
  <c r="M893" s="1"/>
  <c r="P888"/>
  <c r="N888"/>
  <c r="N889" s="1"/>
  <c r="K888"/>
  <c r="M888" s="1"/>
  <c r="M889" s="1"/>
  <c r="P788"/>
  <c r="N788"/>
  <c r="K788"/>
  <c r="M788" s="1"/>
  <c r="P776"/>
  <c r="N776"/>
  <c r="K776"/>
  <c r="M776" s="1"/>
  <c r="P772"/>
  <c r="N772"/>
  <c r="K772"/>
  <c r="M772" s="1"/>
  <c r="P757"/>
  <c r="N757"/>
  <c r="K757"/>
  <c r="M757" s="1"/>
  <c r="P712"/>
  <c r="N712"/>
  <c r="K712"/>
  <c r="M712" s="1"/>
  <c r="P702"/>
  <c r="N702"/>
  <c r="K702"/>
  <c r="M702" s="1"/>
  <c r="P671"/>
  <c r="N671"/>
  <c r="N672" s="1"/>
  <c r="K671"/>
  <c r="M671" s="1"/>
  <c r="M672" s="1"/>
  <c r="P669"/>
  <c r="N669"/>
  <c r="N670" s="1"/>
  <c r="K669"/>
  <c r="M669" s="1"/>
  <c r="M670" s="1"/>
  <c r="P667"/>
  <c r="N667"/>
  <c r="N668" s="1"/>
  <c r="K667"/>
  <c r="M667" s="1"/>
  <c r="M668" s="1"/>
  <c r="P665"/>
  <c r="N665"/>
  <c r="N666" s="1"/>
  <c r="K665"/>
  <c r="M665" s="1"/>
  <c r="M666" s="1"/>
  <c r="P663"/>
  <c r="N663"/>
  <c r="N664" s="1"/>
  <c r="K663"/>
  <c r="M663" s="1"/>
  <c r="M664" s="1"/>
  <c r="P657"/>
  <c r="N657"/>
  <c r="N658" s="1"/>
  <c r="K657"/>
  <c r="M657" s="1"/>
  <c r="M658" s="1"/>
  <c r="P653"/>
  <c r="N653"/>
  <c r="N654" s="1"/>
  <c r="K653"/>
  <c r="M653" s="1"/>
  <c r="M654" s="1"/>
  <c r="P651"/>
  <c r="N651"/>
  <c r="N652" s="1"/>
  <c r="K651"/>
  <c r="M651" s="1"/>
  <c r="M652" s="1"/>
  <c r="P649"/>
  <c r="N649"/>
  <c r="N650" s="1"/>
  <c r="K649"/>
  <c r="M649" s="1"/>
  <c r="M650" s="1"/>
  <c r="P647"/>
  <c r="N647"/>
  <c r="N648" s="1"/>
  <c r="K647"/>
  <c r="M647" s="1"/>
  <c r="M648" s="1"/>
  <c r="P639"/>
  <c r="N639"/>
  <c r="N640" s="1"/>
  <c r="K639"/>
  <c r="M639" s="1"/>
  <c r="M640" s="1"/>
  <c r="P632"/>
  <c r="N632"/>
  <c r="K632"/>
  <c r="M632" s="1"/>
  <c r="P630"/>
  <c r="N630"/>
  <c r="N631" s="1"/>
  <c r="K630"/>
  <c r="M630" s="1"/>
  <c r="M631" s="1"/>
  <c r="P592"/>
  <c r="N592"/>
  <c r="N593" s="1"/>
  <c r="K592"/>
  <c r="M592" s="1"/>
  <c r="M593" s="1"/>
  <c r="P590"/>
  <c r="N590"/>
  <c r="N591" s="1"/>
  <c r="K590"/>
  <c r="M590" s="1"/>
  <c r="M591" s="1"/>
  <c r="P580"/>
  <c r="N580"/>
  <c r="N581" s="1"/>
  <c r="K580"/>
  <c r="M580" s="1"/>
  <c r="M581" s="1"/>
  <c r="P578"/>
  <c r="N578"/>
  <c r="N579" s="1"/>
  <c r="K578"/>
  <c r="M578" s="1"/>
  <c r="M579" s="1"/>
  <c r="P572"/>
  <c r="N572"/>
  <c r="K572"/>
  <c r="M572" s="1"/>
  <c r="P570"/>
  <c r="N570"/>
  <c r="N571" s="1"/>
  <c r="K570"/>
  <c r="M570" s="1"/>
  <c r="M571" s="1"/>
  <c r="P568"/>
  <c r="N568"/>
  <c r="N569" s="1"/>
  <c r="K568"/>
  <c r="M568" s="1"/>
  <c r="M569" s="1"/>
  <c r="P566"/>
  <c r="N566"/>
  <c r="N567" s="1"/>
  <c r="K566"/>
  <c r="M566" s="1"/>
  <c r="M567" s="1"/>
  <c r="P564"/>
  <c r="N564"/>
  <c r="N565" s="1"/>
  <c r="K564"/>
  <c r="M564" s="1"/>
  <c r="M565" s="1"/>
  <c r="P562"/>
  <c r="N562"/>
  <c r="N563" s="1"/>
  <c r="K562"/>
  <c r="M562" s="1"/>
  <c r="M563" s="1"/>
  <c r="P556"/>
  <c r="N556"/>
  <c r="N557" s="1"/>
  <c r="K556"/>
  <c r="M556" s="1"/>
  <c r="M557" s="1"/>
  <c r="P539"/>
  <c r="N539"/>
  <c r="N540" s="1"/>
  <c r="K539"/>
  <c r="M539" s="1"/>
  <c r="M540" s="1"/>
  <c r="P537"/>
  <c r="N537"/>
  <c r="N538" s="1"/>
  <c r="K537"/>
  <c r="M537" s="1"/>
  <c r="M538" s="1"/>
  <c r="P533"/>
  <c r="N533"/>
  <c r="N534" s="1"/>
  <c r="K533"/>
  <c r="M533" s="1"/>
  <c r="M534" s="1"/>
  <c r="P531"/>
  <c r="N531"/>
  <c r="N532" s="1"/>
  <c r="K531"/>
  <c r="M531" s="1"/>
  <c r="M532" s="1"/>
  <c r="P522"/>
  <c r="N522"/>
  <c r="N523" s="1"/>
  <c r="K522"/>
  <c r="M522" s="1"/>
  <c r="M523" s="1"/>
  <c r="P511"/>
  <c r="N511"/>
  <c r="N512" s="1"/>
  <c r="K511"/>
  <c r="M511" s="1"/>
  <c r="M512" s="1"/>
  <c r="P509"/>
  <c r="N509"/>
  <c r="N510" s="1"/>
  <c r="K509"/>
  <c r="M509" s="1"/>
  <c r="M510" s="1"/>
  <c r="P505"/>
  <c r="N505"/>
  <c r="N506" s="1"/>
  <c r="K505"/>
  <c r="M505" s="1"/>
  <c r="M506" s="1"/>
  <c r="P501"/>
  <c r="N501"/>
  <c r="N502" s="1"/>
  <c r="K501"/>
  <c r="M501" s="1"/>
  <c r="M502" s="1"/>
  <c r="P496"/>
  <c r="N496"/>
  <c r="N498" s="1"/>
  <c r="K496"/>
  <c r="M496" s="1"/>
  <c r="M498" s="1"/>
  <c r="P494"/>
  <c r="N494"/>
  <c r="N495" s="1"/>
  <c r="K494"/>
  <c r="M494" s="1"/>
  <c r="M495" s="1"/>
  <c r="P492"/>
  <c r="N492"/>
  <c r="N493" s="1"/>
  <c r="K492"/>
  <c r="M492" s="1"/>
  <c r="M493" s="1"/>
  <c r="P490"/>
  <c r="N490"/>
  <c r="N491" s="1"/>
  <c r="K490"/>
  <c r="M490" s="1"/>
  <c r="M491" s="1"/>
  <c r="P470"/>
  <c r="N470"/>
  <c r="N471" s="1"/>
  <c r="K470"/>
  <c r="M470" s="1"/>
  <c r="M471" s="1"/>
  <c r="P457"/>
  <c r="N457"/>
  <c r="K457"/>
  <c r="M457" s="1"/>
  <c r="P455"/>
  <c r="N455"/>
  <c r="N456" s="1"/>
  <c r="K455"/>
  <c r="M455" s="1"/>
  <c r="M456" s="1"/>
  <c r="P453"/>
  <c r="N453"/>
  <c r="N454" s="1"/>
  <c r="K453"/>
  <c r="M453" s="1"/>
  <c r="M454" s="1"/>
  <c r="P440"/>
  <c r="N440"/>
  <c r="N441" s="1"/>
  <c r="K440"/>
  <c r="M440" s="1"/>
  <c r="M441" s="1"/>
  <c r="P435"/>
  <c r="N435"/>
  <c r="K435"/>
  <c r="M435" s="1"/>
  <c r="P425"/>
  <c r="N425"/>
  <c r="N426" s="1"/>
  <c r="K425"/>
  <c r="M425" s="1"/>
  <c r="M426" s="1"/>
  <c r="P421"/>
  <c r="N421"/>
  <c r="N422" s="1"/>
  <c r="K421"/>
  <c r="M421" s="1"/>
  <c r="M422" s="1"/>
  <c r="P419"/>
  <c r="N419"/>
  <c r="N420" s="1"/>
  <c r="K419"/>
  <c r="M419" s="1"/>
  <c r="M420" s="1"/>
  <c r="P415"/>
  <c r="N415"/>
  <c r="N416" s="1"/>
  <c r="K415"/>
  <c r="M415" s="1"/>
  <c r="M416" s="1"/>
  <c r="P413"/>
  <c r="N413"/>
  <c r="N414" s="1"/>
  <c r="K413"/>
  <c r="M413" s="1"/>
  <c r="M414" s="1"/>
  <c r="P411"/>
  <c r="N411"/>
  <c r="N412" s="1"/>
  <c r="K411"/>
  <c r="M411" s="1"/>
  <c r="M412" s="1"/>
  <c r="P409"/>
  <c r="N409"/>
  <c r="N410" s="1"/>
  <c r="K409"/>
  <c r="M409" s="1"/>
  <c r="M410" s="1"/>
  <c r="P406"/>
  <c r="N406"/>
  <c r="K406"/>
  <c r="M406" s="1"/>
  <c r="P404"/>
  <c r="N404"/>
  <c r="N405" s="1"/>
  <c r="K404"/>
  <c r="M404" s="1"/>
  <c r="M405" s="1"/>
  <c r="P388"/>
  <c r="N388"/>
  <c r="N389" s="1"/>
  <c r="K388"/>
  <c r="M388" s="1"/>
  <c r="M389" s="1"/>
  <c r="P377"/>
  <c r="N377"/>
  <c r="N378" s="1"/>
  <c r="K377"/>
  <c r="M377" s="1"/>
  <c r="M378" s="1"/>
  <c r="P375"/>
  <c r="N375"/>
  <c r="N376" s="1"/>
  <c r="K375"/>
  <c r="M375" s="1"/>
  <c r="M376" s="1"/>
  <c r="P370"/>
  <c r="N370"/>
  <c r="K370"/>
  <c r="M370" s="1"/>
  <c r="P368"/>
  <c r="N368"/>
  <c r="N369" s="1"/>
  <c r="K368"/>
  <c r="M368" s="1"/>
  <c r="M369" s="1"/>
  <c r="P363"/>
  <c r="N363"/>
  <c r="N364" s="1"/>
  <c r="K363"/>
  <c r="M363" s="1"/>
  <c r="M364" s="1"/>
  <c r="P355"/>
  <c r="N355"/>
  <c r="N356" s="1"/>
  <c r="K355"/>
  <c r="M355" s="1"/>
  <c r="M356" s="1"/>
  <c r="P348"/>
  <c r="N348"/>
  <c r="N349" s="1"/>
  <c r="K348"/>
  <c r="M348" s="1"/>
  <c r="M349" s="1"/>
  <c r="P346"/>
  <c r="N346"/>
  <c r="N347" s="1"/>
  <c r="K346"/>
  <c r="M346" s="1"/>
  <c r="M347" s="1"/>
  <c r="P339"/>
  <c r="N339"/>
  <c r="N340" s="1"/>
  <c r="K339"/>
  <c r="M339" s="1"/>
  <c r="M340" s="1"/>
  <c r="P335"/>
  <c r="N335"/>
  <c r="N336" s="1"/>
  <c r="K335"/>
  <c r="M335" s="1"/>
  <c r="M336" s="1"/>
  <c r="P333"/>
  <c r="N333"/>
  <c r="N334" s="1"/>
  <c r="K333"/>
  <c r="M333" s="1"/>
  <c r="M334" s="1"/>
  <c r="P329"/>
  <c r="N329"/>
  <c r="N330" s="1"/>
  <c r="K329"/>
  <c r="M329" s="1"/>
  <c r="M330" s="1"/>
  <c r="P314"/>
  <c r="N314"/>
  <c r="N315" s="1"/>
  <c r="K314"/>
  <c r="M314" s="1"/>
  <c r="M315" s="1"/>
  <c r="P308"/>
  <c r="N308"/>
  <c r="N309" s="1"/>
  <c r="K308"/>
  <c r="M308" s="1"/>
  <c r="M309" s="1"/>
  <c r="P272"/>
  <c r="N272"/>
  <c r="N273" s="1"/>
  <c r="K272"/>
  <c r="M272" s="1"/>
  <c r="M273" s="1"/>
  <c r="P263"/>
  <c r="N263"/>
  <c r="N264" s="1"/>
  <c r="K263"/>
  <c r="M263" s="1"/>
  <c r="M264" s="1"/>
  <c r="P261"/>
  <c r="N261"/>
  <c r="N262" s="1"/>
  <c r="K261"/>
  <c r="M261" s="1"/>
  <c r="M262" s="1"/>
  <c r="P256"/>
  <c r="N256"/>
  <c r="K256"/>
  <c r="M256" s="1"/>
  <c r="P250"/>
  <c r="N250"/>
  <c r="N251" s="1"/>
  <c r="K250"/>
  <c r="M250" s="1"/>
  <c r="M251" s="1"/>
  <c r="P248"/>
  <c r="N248"/>
  <c r="N249" s="1"/>
  <c r="K248"/>
  <c r="M248" s="1"/>
  <c r="M249" s="1"/>
  <c r="P244"/>
  <c r="N244"/>
  <c r="N245" s="1"/>
  <c r="K244"/>
  <c r="M244" s="1"/>
  <c r="M245" s="1"/>
  <c r="P240"/>
  <c r="N240"/>
  <c r="N241" s="1"/>
  <c r="K240"/>
  <c r="M240" s="1"/>
  <c r="M241" s="1"/>
  <c r="P238"/>
  <c r="N238"/>
  <c r="N239" s="1"/>
  <c r="K238"/>
  <c r="M238" s="1"/>
  <c r="M239" s="1"/>
  <c r="P236"/>
  <c r="N236"/>
  <c r="N237" s="1"/>
  <c r="K236"/>
  <c r="M236" s="1"/>
  <c r="M237" s="1"/>
  <c r="P234"/>
  <c r="N234"/>
  <c r="N235" s="1"/>
  <c r="K234"/>
  <c r="M234" s="1"/>
  <c r="M235" s="1"/>
  <c r="P221"/>
  <c r="N221"/>
  <c r="N222" s="1"/>
  <c r="K221"/>
  <c r="M221" s="1"/>
  <c r="M222" s="1"/>
  <c r="P219"/>
  <c r="N219"/>
  <c r="N220" s="1"/>
  <c r="K219"/>
  <c r="M219" s="1"/>
  <c r="M220" s="1"/>
  <c r="P217"/>
  <c r="N217"/>
  <c r="N218" s="1"/>
  <c r="K217"/>
  <c r="M217" s="1"/>
  <c r="M218" s="1"/>
  <c r="P215"/>
  <c r="N215"/>
  <c r="N216" s="1"/>
  <c r="K215"/>
  <c r="M215" s="1"/>
  <c r="M216" s="1"/>
  <c r="P213"/>
  <c r="N213"/>
  <c r="N214" s="1"/>
  <c r="K213"/>
  <c r="M213" s="1"/>
  <c r="M214" s="1"/>
  <c r="P198"/>
  <c r="N198"/>
  <c r="K198"/>
  <c r="M198" s="1"/>
  <c r="P196"/>
  <c r="N196"/>
  <c r="N197" s="1"/>
  <c r="K196"/>
  <c r="M196" s="1"/>
  <c r="M197" s="1"/>
  <c r="P192"/>
  <c r="N192"/>
  <c r="N193" s="1"/>
  <c r="K192"/>
  <c r="M192" s="1"/>
  <c r="M193" s="1"/>
  <c r="P190"/>
  <c r="N190"/>
  <c r="N191" s="1"/>
  <c r="K190"/>
  <c r="M190" s="1"/>
  <c r="M191" s="1"/>
  <c r="P188"/>
  <c r="N188"/>
  <c r="N189" s="1"/>
  <c r="K188"/>
  <c r="M188" s="1"/>
  <c r="M189" s="1"/>
  <c r="P186"/>
  <c r="N186"/>
  <c r="N187" s="1"/>
  <c r="K186"/>
  <c r="M186" s="1"/>
  <c r="M187" s="1"/>
  <c r="P184"/>
  <c r="N184"/>
  <c r="K184"/>
  <c r="M184" s="1"/>
  <c r="P183"/>
  <c r="N183"/>
  <c r="K183"/>
  <c r="M183" s="1"/>
  <c r="P177"/>
  <c r="N177"/>
  <c r="N178" s="1"/>
  <c r="K177"/>
  <c r="M177" s="1"/>
  <c r="M178" s="1"/>
  <c r="P147"/>
  <c r="N147"/>
  <c r="N148" s="1"/>
  <c r="K147"/>
  <c r="M147" s="1"/>
  <c r="M148" s="1"/>
  <c r="P116"/>
  <c r="N116"/>
  <c r="K116"/>
  <c r="M116" s="1"/>
  <c r="P114"/>
  <c r="N114"/>
  <c r="N115" s="1"/>
  <c r="K114"/>
  <c r="M114" s="1"/>
  <c r="M115" s="1"/>
  <c r="P108"/>
  <c r="N108"/>
  <c r="N109" s="1"/>
  <c r="K108"/>
  <c r="M108" s="1"/>
  <c r="M109" s="1"/>
  <c r="P106"/>
  <c r="N106"/>
  <c r="N107" s="1"/>
  <c r="K106"/>
  <c r="M106" s="1"/>
  <c r="M107" s="1"/>
  <c r="P103"/>
  <c r="N103"/>
  <c r="K103"/>
  <c r="M103" s="1"/>
  <c r="P99"/>
  <c r="N99"/>
  <c r="N100" s="1"/>
  <c r="K99"/>
  <c r="M99" s="1"/>
  <c r="M100" s="1"/>
  <c r="P97"/>
  <c r="N97"/>
  <c r="N98" s="1"/>
  <c r="K97"/>
  <c r="M97" s="1"/>
  <c r="M98" s="1"/>
  <c r="P95"/>
  <c r="N95"/>
  <c r="N96" s="1"/>
  <c r="K95"/>
  <c r="M95" s="1"/>
  <c r="M96" s="1"/>
  <c r="P85"/>
  <c r="N85"/>
  <c r="N86" s="1"/>
  <c r="K85"/>
  <c r="M85" s="1"/>
  <c r="M86" s="1"/>
  <c r="P79"/>
  <c r="N79"/>
  <c r="N80" s="1"/>
  <c r="K79"/>
  <c r="M79" s="1"/>
  <c r="M80" s="1"/>
  <c r="P77"/>
  <c r="N77"/>
  <c r="N78" s="1"/>
  <c r="K77"/>
  <c r="M77" s="1"/>
  <c r="M78" s="1"/>
  <c r="P75"/>
  <c r="N75"/>
  <c r="N76" s="1"/>
  <c r="K75"/>
  <c r="M75" s="1"/>
  <c r="M76" s="1"/>
  <c r="P73"/>
  <c r="N73"/>
  <c r="N74" s="1"/>
  <c r="K73"/>
  <c r="M73" s="1"/>
  <c r="M74" s="1"/>
  <c r="P71"/>
  <c r="N71"/>
  <c r="N72" s="1"/>
  <c r="K71"/>
  <c r="M71" s="1"/>
  <c r="M72" s="1"/>
  <c r="P69"/>
  <c r="N69"/>
  <c r="N70" s="1"/>
  <c r="K69"/>
  <c r="M69" s="1"/>
  <c r="M70" s="1"/>
  <c r="P67"/>
  <c r="N67"/>
  <c r="N68" s="1"/>
  <c r="K67"/>
  <c r="M67" s="1"/>
  <c r="M68" s="1"/>
  <c r="P63"/>
  <c r="N63"/>
  <c r="K63"/>
  <c r="M63" s="1"/>
  <c r="P59"/>
  <c r="N59"/>
  <c r="N60" s="1"/>
  <c r="K59"/>
  <c r="M59" s="1"/>
  <c r="M60" s="1"/>
  <c r="P28"/>
  <c r="N28"/>
  <c r="N29" s="1"/>
  <c r="K28"/>
  <c r="M28" s="1"/>
  <c r="M29" s="1"/>
  <c r="P17"/>
  <c r="N17"/>
  <c r="N18" s="1"/>
  <c r="K17"/>
  <c r="M17" s="1"/>
  <c r="M18" s="1"/>
  <c r="P15"/>
  <c r="N15"/>
  <c r="N16" s="1"/>
  <c r="K15"/>
  <c r="M15" s="1"/>
  <c r="M16" s="1"/>
  <c r="P11"/>
  <c r="N11"/>
  <c r="N12" s="1"/>
  <c r="K11"/>
  <c r="M11" s="1"/>
  <c r="M12" s="1"/>
  <c r="P9"/>
  <c r="N9"/>
  <c r="N10" s="1"/>
  <c r="K9"/>
  <c r="M9" s="1"/>
  <c r="M10" s="1"/>
  <c r="P7"/>
  <c r="N7"/>
  <c r="N8" s="1"/>
  <c r="K7"/>
  <c r="M7" s="1"/>
  <c r="M8" s="1"/>
  <c r="P5"/>
  <c r="N5"/>
  <c r="N6" s="1"/>
  <c r="K5"/>
  <c r="M5" s="1"/>
  <c r="M6" s="1"/>
  <c r="K974"/>
  <c r="J974"/>
  <c r="K969"/>
  <c r="J969"/>
  <c r="P152"/>
  <c r="N152"/>
  <c r="K152"/>
  <c r="M152" s="1"/>
  <c r="P151"/>
  <c r="N151"/>
  <c r="K151"/>
  <c r="M151" s="1"/>
  <c r="P150"/>
  <c r="N150"/>
  <c r="K150"/>
  <c r="M150" s="1"/>
  <c r="P149"/>
  <c r="N149"/>
  <c r="K149"/>
  <c r="M149" s="1"/>
  <c r="K973"/>
  <c r="J973"/>
  <c r="K972"/>
  <c r="J972"/>
  <c r="K968"/>
  <c r="J968"/>
  <c r="K967"/>
  <c r="J967"/>
  <c r="P628"/>
  <c r="N628"/>
  <c r="K628"/>
  <c r="M628" s="1"/>
  <c r="P623"/>
  <c r="N623"/>
  <c r="K623"/>
  <c r="M623" s="1"/>
  <c r="P618"/>
  <c r="N618"/>
  <c r="K618"/>
  <c r="M618" s="1"/>
  <c r="P615"/>
  <c r="N615"/>
  <c r="K615"/>
  <c r="M615" s="1"/>
  <c r="P610"/>
  <c r="N610"/>
  <c r="K610"/>
  <c r="M610" s="1"/>
  <c r="P605"/>
  <c r="N605"/>
  <c r="K605"/>
  <c r="M605" s="1"/>
  <c r="P554"/>
  <c r="N554"/>
  <c r="K554"/>
  <c r="M554" s="1"/>
  <c r="P549"/>
  <c r="N549"/>
  <c r="K549"/>
  <c r="M549" s="1"/>
  <c r="P544"/>
  <c r="N544"/>
  <c r="K544"/>
  <c r="M544" s="1"/>
  <c r="P488"/>
  <c r="N488"/>
  <c r="K488"/>
  <c r="M488" s="1"/>
  <c r="P483"/>
  <c r="N483"/>
  <c r="K483"/>
  <c r="M483" s="1"/>
  <c r="P472"/>
  <c r="N472"/>
  <c r="N473" s="1"/>
  <c r="K472"/>
  <c r="M472" s="1"/>
  <c r="M473" s="1"/>
  <c r="P398"/>
  <c r="N398"/>
  <c r="K398"/>
  <c r="M398" s="1"/>
  <c r="P393"/>
  <c r="N393"/>
  <c r="K393"/>
  <c r="M393" s="1"/>
  <c r="P386"/>
  <c r="N386"/>
  <c r="K386"/>
  <c r="M386" s="1"/>
  <c r="P381"/>
  <c r="N381"/>
  <c r="K381"/>
  <c r="M381" s="1"/>
  <c r="P301"/>
  <c r="N301"/>
  <c r="K301"/>
  <c r="M301" s="1"/>
  <c r="P296"/>
  <c r="N296"/>
  <c r="K296"/>
  <c r="M296" s="1"/>
  <c r="P291"/>
  <c r="N291"/>
  <c r="K291"/>
  <c r="M291" s="1"/>
  <c r="P286"/>
  <c r="N286"/>
  <c r="K286"/>
  <c r="M286" s="1"/>
  <c r="P281"/>
  <c r="N281"/>
  <c r="K281"/>
  <c r="M281" s="1"/>
  <c r="P171"/>
  <c r="N171"/>
  <c r="K171"/>
  <c r="M171" s="1"/>
  <c r="P166"/>
  <c r="N166"/>
  <c r="K166"/>
  <c r="M166" s="1"/>
  <c r="P161"/>
  <c r="N161"/>
  <c r="K161"/>
  <c r="M161" s="1"/>
  <c r="P156"/>
  <c r="N156"/>
  <c r="K156"/>
  <c r="M156" s="1"/>
  <c r="P141"/>
  <c r="N141"/>
  <c r="K141"/>
  <c r="M141" s="1"/>
  <c r="P136"/>
  <c r="N136"/>
  <c r="K136"/>
  <c r="M136" s="1"/>
  <c r="P131"/>
  <c r="N131"/>
  <c r="K131"/>
  <c r="M131" s="1"/>
  <c r="P126"/>
  <c r="N126"/>
  <c r="K126"/>
  <c r="M126" s="1"/>
  <c r="P122"/>
  <c r="N122"/>
  <c r="K122"/>
  <c r="M122" s="1"/>
  <c r="P55"/>
  <c r="N55"/>
  <c r="K55"/>
  <c r="M55" s="1"/>
  <c r="P50"/>
  <c r="N50"/>
  <c r="K50"/>
  <c r="M50" s="1"/>
  <c r="P43"/>
  <c r="N43"/>
  <c r="K43"/>
  <c r="M43" s="1"/>
  <c r="P36"/>
  <c r="N36"/>
  <c r="K36"/>
  <c r="M36" s="1"/>
  <c r="P627"/>
  <c r="N627"/>
  <c r="K627"/>
  <c r="M627" s="1"/>
  <c r="P622"/>
  <c r="N622"/>
  <c r="K622"/>
  <c r="M622" s="1"/>
  <c r="P614"/>
  <c r="N614"/>
  <c r="K614"/>
  <c r="M614" s="1"/>
  <c r="P609"/>
  <c r="N609"/>
  <c r="K609"/>
  <c r="M609" s="1"/>
  <c r="P604"/>
  <c r="N604"/>
  <c r="K604"/>
  <c r="M604" s="1"/>
  <c r="P553"/>
  <c r="N553"/>
  <c r="K553"/>
  <c r="M553" s="1"/>
  <c r="P548"/>
  <c r="N548"/>
  <c r="K548"/>
  <c r="M548" s="1"/>
  <c r="P543"/>
  <c r="N543"/>
  <c r="K543"/>
  <c r="M543" s="1"/>
  <c r="P487"/>
  <c r="N487"/>
  <c r="K487"/>
  <c r="M487" s="1"/>
  <c r="P482"/>
  <c r="N482"/>
  <c r="K482"/>
  <c r="M482" s="1"/>
  <c r="P397"/>
  <c r="N397"/>
  <c r="K397"/>
  <c r="M397" s="1"/>
  <c r="P392"/>
  <c r="N392"/>
  <c r="K392"/>
  <c r="M392" s="1"/>
  <c r="P385"/>
  <c r="N385"/>
  <c r="K385"/>
  <c r="M385" s="1"/>
  <c r="P380"/>
  <c r="N380"/>
  <c r="K380"/>
  <c r="M380" s="1"/>
  <c r="P300"/>
  <c r="N300"/>
  <c r="K300"/>
  <c r="M300" s="1"/>
  <c r="P295"/>
  <c r="N295"/>
  <c r="K295"/>
  <c r="M295" s="1"/>
  <c r="P290"/>
  <c r="N290"/>
  <c r="K290"/>
  <c r="M290" s="1"/>
  <c r="P285"/>
  <c r="N285"/>
  <c r="K285"/>
  <c r="M285" s="1"/>
  <c r="P280"/>
  <c r="N280"/>
  <c r="K280"/>
  <c r="M280" s="1"/>
  <c r="P170"/>
  <c r="N170"/>
  <c r="K170"/>
  <c r="M170" s="1"/>
  <c r="P165"/>
  <c r="N165"/>
  <c r="K165"/>
  <c r="M165" s="1"/>
  <c r="P160"/>
  <c r="N160"/>
  <c r="K160"/>
  <c r="M160" s="1"/>
  <c r="P155"/>
  <c r="N155"/>
  <c r="K155"/>
  <c r="M155" s="1"/>
  <c r="P140"/>
  <c r="N140"/>
  <c r="K140"/>
  <c r="M140" s="1"/>
  <c r="P135"/>
  <c r="N135"/>
  <c r="K135"/>
  <c r="M135" s="1"/>
  <c r="P130"/>
  <c r="N130"/>
  <c r="K130"/>
  <c r="M130" s="1"/>
  <c r="P125"/>
  <c r="N125"/>
  <c r="K125"/>
  <c r="M125" s="1"/>
  <c r="P121"/>
  <c r="N121"/>
  <c r="K121"/>
  <c r="M121" s="1"/>
  <c r="P54"/>
  <c r="N54"/>
  <c r="K54"/>
  <c r="M54" s="1"/>
  <c r="P49"/>
  <c r="N49"/>
  <c r="K49"/>
  <c r="M49" s="1"/>
  <c r="P42"/>
  <c r="N42"/>
  <c r="K42"/>
  <c r="M42" s="1"/>
  <c r="P35"/>
  <c r="N35"/>
  <c r="K35"/>
  <c r="M35" s="1"/>
  <c r="P626"/>
  <c r="N626"/>
  <c r="K626"/>
  <c r="M626" s="1"/>
  <c r="P621"/>
  <c r="N621"/>
  <c r="K621"/>
  <c r="M621" s="1"/>
  <c r="P613"/>
  <c r="N613"/>
  <c r="K613"/>
  <c r="M613" s="1"/>
  <c r="P608"/>
  <c r="N608"/>
  <c r="K608"/>
  <c r="M608" s="1"/>
  <c r="P552"/>
  <c r="N552"/>
  <c r="K552"/>
  <c r="M552" s="1"/>
  <c r="P547"/>
  <c r="N547"/>
  <c r="K547"/>
  <c r="M547" s="1"/>
  <c r="P542"/>
  <c r="N542"/>
  <c r="K542"/>
  <c r="M542" s="1"/>
  <c r="P486"/>
  <c r="N486"/>
  <c r="K486"/>
  <c r="M486" s="1"/>
  <c r="P481"/>
  <c r="N481"/>
  <c r="K481"/>
  <c r="M481" s="1"/>
  <c r="P396"/>
  <c r="N396"/>
  <c r="K396"/>
  <c r="M396" s="1"/>
  <c r="P391"/>
  <c r="N391"/>
  <c r="K391"/>
  <c r="M391" s="1"/>
  <c r="P384"/>
  <c r="N384"/>
  <c r="K384"/>
  <c r="M384" s="1"/>
  <c r="P299"/>
  <c r="N299"/>
  <c r="K299"/>
  <c r="M299" s="1"/>
  <c r="P294"/>
  <c r="N294"/>
  <c r="K294"/>
  <c r="M294" s="1"/>
  <c r="P289"/>
  <c r="N289"/>
  <c r="K289"/>
  <c r="M289" s="1"/>
  <c r="P284"/>
  <c r="N284"/>
  <c r="K284"/>
  <c r="M284" s="1"/>
  <c r="P279"/>
  <c r="N279"/>
  <c r="K279"/>
  <c r="M279" s="1"/>
  <c r="P169"/>
  <c r="N169"/>
  <c r="K169"/>
  <c r="M169" s="1"/>
  <c r="P164"/>
  <c r="N164"/>
  <c r="K164"/>
  <c r="M164" s="1"/>
  <c r="P159"/>
  <c r="N159"/>
  <c r="K159"/>
  <c r="M159" s="1"/>
  <c r="P139"/>
  <c r="N139"/>
  <c r="K139"/>
  <c r="M139" s="1"/>
  <c r="P134"/>
  <c r="N134"/>
  <c r="K134"/>
  <c r="M134" s="1"/>
  <c r="P129"/>
  <c r="N129"/>
  <c r="K129"/>
  <c r="M129" s="1"/>
  <c r="P120"/>
  <c r="N120"/>
  <c r="N123" s="1"/>
  <c r="K120"/>
  <c r="M120" s="1"/>
  <c r="M123" s="1"/>
  <c r="P53"/>
  <c r="N53"/>
  <c r="K53"/>
  <c r="M53" s="1"/>
  <c r="P48"/>
  <c r="N48"/>
  <c r="K48"/>
  <c r="M48" s="1"/>
  <c r="P41"/>
  <c r="N41"/>
  <c r="K41"/>
  <c r="M41" s="1"/>
  <c r="P34"/>
  <c r="N34"/>
  <c r="K34"/>
  <c r="M34" s="1"/>
  <c r="P31"/>
  <c r="N31"/>
  <c r="K31"/>
  <c r="M31" s="1"/>
  <c r="P625"/>
  <c r="N625"/>
  <c r="K625"/>
  <c r="M625" s="1"/>
  <c r="P620"/>
  <c r="N620"/>
  <c r="K620"/>
  <c r="M620" s="1"/>
  <c r="P617"/>
  <c r="N617"/>
  <c r="K617"/>
  <c r="M617" s="1"/>
  <c r="P612"/>
  <c r="N612"/>
  <c r="K612"/>
  <c r="M612" s="1"/>
  <c r="P607"/>
  <c r="N607"/>
  <c r="K607"/>
  <c r="M607" s="1"/>
  <c r="P603"/>
  <c r="N603"/>
  <c r="K603"/>
  <c r="M603" s="1"/>
  <c r="P601"/>
  <c r="N601"/>
  <c r="N602" s="1"/>
  <c r="K601"/>
  <c r="M601" s="1"/>
  <c r="M602" s="1"/>
  <c r="P551"/>
  <c r="N551"/>
  <c r="K551"/>
  <c r="M551" s="1"/>
  <c r="P546"/>
  <c r="N546"/>
  <c r="K546"/>
  <c r="M546" s="1"/>
  <c r="P541"/>
  <c r="N541"/>
  <c r="K541"/>
  <c r="M541" s="1"/>
  <c r="P485"/>
  <c r="N485"/>
  <c r="K485"/>
  <c r="M485" s="1"/>
  <c r="P480"/>
  <c r="N480"/>
  <c r="K480"/>
  <c r="M480" s="1"/>
  <c r="P478"/>
  <c r="N478"/>
  <c r="N479" s="1"/>
  <c r="K478"/>
  <c r="M478" s="1"/>
  <c r="M479" s="1"/>
  <c r="P476"/>
  <c r="N476"/>
  <c r="N477" s="1"/>
  <c r="K476"/>
  <c r="M476" s="1"/>
  <c r="M477" s="1"/>
  <c r="P474"/>
  <c r="N474"/>
  <c r="N475" s="1"/>
  <c r="K474"/>
  <c r="M474" s="1"/>
  <c r="M475" s="1"/>
  <c r="P395"/>
  <c r="N395"/>
  <c r="K395"/>
  <c r="M395" s="1"/>
  <c r="P390"/>
  <c r="N390"/>
  <c r="K390"/>
  <c r="M390" s="1"/>
  <c r="P383"/>
  <c r="N383"/>
  <c r="K383"/>
  <c r="M383" s="1"/>
  <c r="P379"/>
  <c r="N379"/>
  <c r="K379"/>
  <c r="M379" s="1"/>
  <c r="P298"/>
  <c r="N298"/>
  <c r="K298"/>
  <c r="M298" s="1"/>
  <c r="P293"/>
  <c r="N293"/>
  <c r="K293"/>
  <c r="M293" s="1"/>
  <c r="P288"/>
  <c r="N288"/>
  <c r="K288"/>
  <c r="M288" s="1"/>
  <c r="P283"/>
  <c r="N283"/>
  <c r="K283"/>
  <c r="M283" s="1"/>
  <c r="P278"/>
  <c r="N278"/>
  <c r="K278"/>
  <c r="M278" s="1"/>
  <c r="P173"/>
  <c r="N173"/>
  <c r="N174" s="1"/>
  <c r="K173"/>
  <c r="M173" s="1"/>
  <c r="M174" s="1"/>
  <c r="P168"/>
  <c r="N168"/>
  <c r="K168"/>
  <c r="M168" s="1"/>
  <c r="P163"/>
  <c r="N163"/>
  <c r="K163"/>
  <c r="M163" s="1"/>
  <c r="P158"/>
  <c r="N158"/>
  <c r="K158"/>
  <c r="M158" s="1"/>
  <c r="P154"/>
  <c r="N154"/>
  <c r="K154"/>
  <c r="M154" s="1"/>
  <c r="P145"/>
  <c r="N145"/>
  <c r="N146" s="1"/>
  <c r="K145"/>
  <c r="M145" s="1"/>
  <c r="M146" s="1"/>
  <c r="P143"/>
  <c r="N143"/>
  <c r="N144" s="1"/>
  <c r="K143"/>
  <c r="M143" s="1"/>
  <c r="M144" s="1"/>
  <c r="P138"/>
  <c r="N138"/>
  <c r="K138"/>
  <c r="M138" s="1"/>
  <c r="P133"/>
  <c r="N133"/>
  <c r="K133"/>
  <c r="M133" s="1"/>
  <c r="P128"/>
  <c r="N128"/>
  <c r="K128"/>
  <c r="M128" s="1"/>
  <c r="P124"/>
  <c r="N124"/>
  <c r="K124"/>
  <c r="M124" s="1"/>
  <c r="P57"/>
  <c r="N57"/>
  <c r="N58" s="1"/>
  <c r="K57"/>
  <c r="M57" s="1"/>
  <c r="M58" s="1"/>
  <c r="P52"/>
  <c r="N52"/>
  <c r="K52"/>
  <c r="M52" s="1"/>
  <c r="P47"/>
  <c r="N47"/>
  <c r="K47"/>
  <c r="M47" s="1"/>
  <c r="P45"/>
  <c r="N45"/>
  <c r="N46" s="1"/>
  <c r="K45"/>
  <c r="M45" s="1"/>
  <c r="M46" s="1"/>
  <c r="P40"/>
  <c r="N40"/>
  <c r="K40"/>
  <c r="M40" s="1"/>
  <c r="P38"/>
  <c r="N38"/>
  <c r="N39" s="1"/>
  <c r="K38"/>
  <c r="M38" s="1"/>
  <c r="M39" s="1"/>
  <c r="P33"/>
  <c r="N33"/>
  <c r="K33"/>
  <c r="M33" s="1"/>
  <c r="P30"/>
  <c r="N30"/>
  <c r="K30"/>
  <c r="M30" s="1"/>
  <c r="N975" l="1"/>
  <c r="M975"/>
  <c r="M515"/>
  <c r="M819"/>
  <c r="N827"/>
  <c r="M227"/>
  <c r="M37"/>
  <c r="N157"/>
  <c r="M545"/>
  <c r="N550"/>
  <c r="N446"/>
  <c r="M920"/>
  <c r="N24"/>
  <c r="N367"/>
  <c r="M862"/>
  <c r="M92"/>
  <c r="M56"/>
  <c r="N142"/>
  <c r="M66"/>
  <c r="N775"/>
  <c r="M734"/>
  <c r="M787"/>
  <c r="M887"/>
  <c r="N892"/>
  <c r="N747"/>
  <c r="N694"/>
  <c r="M208"/>
  <c r="N227"/>
  <c r="M878"/>
  <c r="M771"/>
  <c r="M292"/>
  <c r="N297"/>
  <c r="M387"/>
  <c r="N394"/>
  <c r="M606"/>
  <c r="N611"/>
  <c r="N105"/>
  <c r="M260"/>
  <c r="M408"/>
  <c r="M714"/>
  <c r="N761"/>
  <c r="M792"/>
  <c r="N328"/>
  <c r="N711"/>
  <c r="M233"/>
  <c r="N805"/>
  <c r="N519"/>
  <c r="N962"/>
  <c r="M137"/>
  <c r="N721"/>
  <c r="N737"/>
  <c r="M678"/>
  <c r="N800"/>
  <c r="N903"/>
  <c r="M32"/>
  <c r="N37"/>
  <c r="M489"/>
  <c r="N545"/>
  <c r="M619"/>
  <c r="M201"/>
  <c r="M343"/>
  <c r="M845"/>
  <c r="N920"/>
  <c r="M937"/>
  <c r="M916"/>
  <c r="M21"/>
  <c r="N862"/>
  <c r="N51"/>
  <c r="M127"/>
  <c r="M167"/>
  <c r="M913"/>
  <c r="M277"/>
  <c r="N875"/>
  <c r="M44"/>
  <c r="N127"/>
  <c r="M142"/>
  <c r="N382"/>
  <c r="M775"/>
  <c r="N913"/>
  <c r="M721"/>
  <c r="M737"/>
  <c r="N740"/>
  <c r="N850"/>
  <c r="M892"/>
  <c r="M747"/>
  <c r="M694"/>
  <c r="M800"/>
  <c r="N271"/>
  <c r="M903"/>
  <c r="N132"/>
  <c r="N172"/>
  <c r="N44"/>
  <c r="M157"/>
  <c r="N162"/>
  <c r="N282"/>
  <c r="M297"/>
  <c r="N302"/>
  <c r="M394"/>
  <c r="N399"/>
  <c r="N484"/>
  <c r="M550"/>
  <c r="N555"/>
  <c r="M611"/>
  <c r="N616"/>
  <c r="M629"/>
  <c r="M162"/>
  <c r="M153"/>
  <c r="N153"/>
  <c r="M105"/>
  <c r="M119"/>
  <c r="M185"/>
  <c r="M575"/>
  <c r="M761"/>
  <c r="N896"/>
  <c r="M328"/>
  <c r="M354"/>
  <c r="M446"/>
  <c r="M711"/>
  <c r="N764"/>
  <c r="N796"/>
  <c r="N834"/>
  <c r="M948"/>
  <c r="N718"/>
  <c r="N933"/>
  <c r="N526"/>
  <c r="M706"/>
  <c r="M24"/>
  <c r="N89"/>
  <c r="M900"/>
  <c r="N906"/>
  <c r="M89"/>
  <c r="M429"/>
  <c r="N916"/>
  <c r="N92"/>
  <c r="M367"/>
  <c r="M519"/>
  <c r="M686"/>
  <c r="M841"/>
  <c r="N854"/>
  <c r="M204"/>
  <c r="N589"/>
  <c r="M754"/>
  <c r="N867"/>
  <c r="N859"/>
  <c r="N469"/>
  <c r="M596"/>
  <c r="M872"/>
  <c r="N450"/>
  <c r="N277"/>
  <c r="M51"/>
  <c r="M132"/>
  <c r="N629"/>
  <c r="N66"/>
  <c r="N787"/>
  <c r="N726"/>
  <c r="N208"/>
  <c r="N686"/>
  <c r="N841"/>
  <c r="M469"/>
  <c r="N408"/>
  <c r="N56"/>
  <c r="N137"/>
  <c r="M172"/>
  <c r="M624"/>
  <c r="N119"/>
  <c r="N32"/>
  <c r="N167"/>
  <c r="N201"/>
  <c r="M526"/>
  <c r="N21"/>
  <c r="M854"/>
  <c r="M461"/>
  <c r="N575"/>
  <c r="N354"/>
  <c r="N734"/>
  <c r="N887"/>
  <c r="N948"/>
  <c r="M307"/>
  <c r="N754"/>
  <c r="M875"/>
  <c r="M287"/>
  <c r="N292"/>
  <c r="M382"/>
  <c r="N387"/>
  <c r="N606"/>
  <c r="N624"/>
  <c r="N185"/>
  <c r="N260"/>
  <c r="M374"/>
  <c r="N439"/>
  <c r="N461"/>
  <c r="M636"/>
  <c r="N714"/>
  <c r="M779"/>
  <c r="N792"/>
  <c r="M726"/>
  <c r="N729"/>
  <c r="M740"/>
  <c r="N743"/>
  <c r="N782"/>
  <c r="M805"/>
  <c r="M850"/>
  <c r="N883"/>
  <c r="M925"/>
  <c r="N233"/>
  <c r="N204"/>
  <c r="N307"/>
  <c r="M827"/>
  <c r="M859"/>
  <c r="M271"/>
  <c r="M962"/>
  <c r="M439"/>
  <c r="M729"/>
  <c r="M743"/>
  <c r="M782"/>
  <c r="M883"/>
  <c r="N678"/>
  <c r="N878"/>
  <c r="N771"/>
  <c r="M282"/>
  <c r="N287"/>
  <c r="M302"/>
  <c r="M399"/>
  <c r="M484"/>
  <c r="N489"/>
  <c r="M555"/>
  <c r="M616"/>
  <c r="N619"/>
  <c r="N374"/>
  <c r="N636"/>
  <c r="N706"/>
  <c r="N779"/>
  <c r="M896"/>
  <c r="N343"/>
  <c r="M764"/>
  <c r="M796"/>
  <c r="M834"/>
  <c r="N925"/>
  <c r="M718"/>
  <c r="N845"/>
  <c r="N900"/>
  <c r="M933"/>
  <c r="N937"/>
  <c r="N429"/>
  <c r="M906"/>
  <c r="M589"/>
  <c r="N596"/>
  <c r="M867"/>
  <c r="N872"/>
  <c r="M450"/>
  <c r="J977"/>
  <c r="M973"/>
  <c r="M974"/>
  <c r="M970"/>
  <c r="M967"/>
  <c r="M977" s="1"/>
  <c r="M972"/>
  <c r="M969"/>
  <c r="M968"/>
  <c r="N972"/>
  <c r="N970"/>
  <c r="N968"/>
  <c r="N967"/>
  <c r="N977" s="1"/>
  <c r="N973"/>
  <c r="N969"/>
  <c r="N974"/>
  <c r="I34" i="21" l="1"/>
  <c r="I112" i="20"/>
  <c r="J112"/>
  <c r="H112"/>
  <c r="I110"/>
  <c r="J110"/>
  <c r="H110"/>
  <c r="I72"/>
  <c r="J72"/>
  <c r="H72"/>
  <c r="I32" i="21"/>
  <c r="I29"/>
  <c r="I18"/>
  <c r="I11"/>
  <c r="I7"/>
  <c r="J205" i="1" l="1"/>
  <c r="J931" i="13"/>
  <c r="J704" i="1"/>
  <c r="J213"/>
  <c r="H51" i="20"/>
  <c r="I51" s="1"/>
  <c r="H48"/>
  <c r="I48" s="1"/>
  <c r="J48" s="1"/>
  <c r="H47"/>
  <c r="H46"/>
  <c r="I46" s="1"/>
  <c r="H45"/>
  <c r="I45" s="1"/>
  <c r="J45" s="1"/>
  <c r="H44"/>
  <c r="I44" s="1"/>
  <c r="J44" s="1"/>
  <c r="H43"/>
  <c r="H42"/>
  <c r="I42" s="1"/>
  <c r="H41"/>
  <c r="I41" s="1"/>
  <c r="J41" s="1"/>
  <c r="H40"/>
  <c r="I40" s="1"/>
  <c r="J40" s="1"/>
  <c r="H39"/>
  <c r="H38"/>
  <c r="I38" s="1"/>
  <c r="H37"/>
  <c r="I37" s="1"/>
  <c r="J37" s="1"/>
  <c r="H36"/>
  <c r="I36" s="1"/>
  <c r="J36" s="1"/>
  <c r="H35"/>
  <c r="H34"/>
  <c r="I34" s="1"/>
  <c r="H33"/>
  <c r="I33" s="1"/>
  <c r="J33" s="1"/>
  <c r="H32"/>
  <c r="I32" s="1"/>
  <c r="J32" s="1"/>
  <c r="H31"/>
  <c r="H30"/>
  <c r="I30" s="1"/>
  <c r="H29"/>
  <c r="I29" s="1"/>
  <c r="J29" s="1"/>
  <c r="H28"/>
  <c r="I28" s="1"/>
  <c r="J28" s="1"/>
  <c r="H27"/>
  <c r="H26"/>
  <c r="I26" s="1"/>
  <c r="H25"/>
  <c r="I25" s="1"/>
  <c r="J25" s="1"/>
  <c r="H24"/>
  <c r="I24" s="1"/>
  <c r="J24" s="1"/>
  <c r="H23"/>
  <c r="H22"/>
  <c r="I22" s="1"/>
  <c r="H21"/>
  <c r="I21" s="1"/>
  <c r="J21" s="1"/>
  <c r="H20"/>
  <c r="I20" s="1"/>
  <c r="J20" s="1"/>
  <c r="H19"/>
  <c r="H18"/>
  <c r="I18" s="1"/>
  <c r="H17"/>
  <c r="I17" s="1"/>
  <c r="J17" s="1"/>
  <c r="H16"/>
  <c r="I16" s="1"/>
  <c r="J16" s="1"/>
  <c r="H15"/>
  <c r="H14"/>
  <c r="I14" s="1"/>
  <c r="H13"/>
  <c r="I13" s="1"/>
  <c r="J13" s="1"/>
  <c r="H12"/>
  <c r="I12" s="1"/>
  <c r="J12" s="1"/>
  <c r="H11"/>
  <c r="H10"/>
  <c r="I10" s="1"/>
  <c r="H9"/>
  <c r="I9" s="1"/>
  <c r="J9" s="1"/>
  <c r="H8"/>
  <c r="I8" s="1"/>
  <c r="J8" s="1"/>
  <c r="H7"/>
  <c r="H6"/>
  <c r="H49" l="1"/>
  <c r="H53" s="1"/>
  <c r="I53" s="1"/>
  <c r="I15"/>
  <c r="J15" s="1"/>
  <c r="I23"/>
  <c r="J23" s="1"/>
  <c r="I27"/>
  <c r="J27" s="1"/>
  <c r="I35"/>
  <c r="J35" s="1"/>
  <c r="I39"/>
  <c r="J39" s="1"/>
  <c r="I43"/>
  <c r="J43" s="1"/>
  <c r="I47"/>
  <c r="J47" s="1"/>
  <c r="J10"/>
  <c r="J14"/>
  <c r="J18"/>
  <c r="J22"/>
  <c r="J26"/>
  <c r="J30"/>
  <c r="J34"/>
  <c r="J38"/>
  <c r="J42"/>
  <c r="J46"/>
  <c r="J51"/>
  <c r="I7"/>
  <c r="J7" s="1"/>
  <c r="I11"/>
  <c r="J11" s="1"/>
  <c r="I19"/>
  <c r="J19" s="1"/>
  <c r="I31"/>
  <c r="J31" s="1"/>
  <c r="I6"/>
  <c r="P6" i="1"/>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214"/>
  <c r="P215"/>
  <c r="P216"/>
  <c r="P217"/>
  <c r="P218"/>
  <c r="P219"/>
  <c r="P220"/>
  <c r="P221"/>
  <c r="P222"/>
  <c r="P223"/>
  <c r="P224"/>
  <c r="P225"/>
  <c r="P226"/>
  <c r="P227"/>
  <c r="P228"/>
  <c r="P229"/>
  <c r="P230"/>
  <c r="P231"/>
  <c r="P232"/>
  <c r="P233"/>
  <c r="P234"/>
  <c r="P235"/>
  <c r="P236"/>
  <c r="P237"/>
  <c r="P238"/>
  <c r="P239"/>
  <c r="P240"/>
  <c r="P241"/>
  <c r="P242"/>
  <c r="P243"/>
  <c r="P244"/>
  <c r="P245"/>
  <c r="P246"/>
  <c r="P247"/>
  <c r="P248"/>
  <c r="P249"/>
  <c r="P250"/>
  <c r="P251"/>
  <c r="P252"/>
  <c r="P253"/>
  <c r="P254"/>
  <c r="P255"/>
  <c r="P256"/>
  <c r="P257"/>
  <c r="P258"/>
  <c r="P259"/>
  <c r="P260"/>
  <c r="P261"/>
  <c r="P262"/>
  <c r="P263"/>
  <c r="P264"/>
  <c r="P265"/>
  <c r="P266"/>
  <c r="P267"/>
  <c r="P268"/>
  <c r="P269"/>
  <c r="P270"/>
  <c r="P271"/>
  <c r="P272"/>
  <c r="P273"/>
  <c r="P274"/>
  <c r="P275"/>
  <c r="P276"/>
  <c r="P277"/>
  <c r="P278"/>
  <c r="P279"/>
  <c r="P280"/>
  <c r="P281"/>
  <c r="P282"/>
  <c r="P283"/>
  <c r="P284"/>
  <c r="P285"/>
  <c r="P286"/>
  <c r="P287"/>
  <c r="P288"/>
  <c r="P289"/>
  <c r="P290"/>
  <c r="P291"/>
  <c r="P292"/>
  <c r="P293"/>
  <c r="P294"/>
  <c r="P295"/>
  <c r="P296"/>
  <c r="P297"/>
  <c r="P298"/>
  <c r="P299"/>
  <c r="P300"/>
  <c r="P301"/>
  <c r="P302"/>
  <c r="P303"/>
  <c r="P304"/>
  <c r="P305"/>
  <c r="P306"/>
  <c r="P307"/>
  <c r="P308"/>
  <c r="P309"/>
  <c r="P310"/>
  <c r="P311"/>
  <c r="P312"/>
  <c r="P313"/>
  <c r="P314"/>
  <c r="P315"/>
  <c r="P316"/>
  <c r="P317"/>
  <c r="P318"/>
  <c r="P319"/>
  <c r="P320"/>
  <c r="P321"/>
  <c r="P322"/>
  <c r="P323"/>
  <c r="P324"/>
  <c r="P325"/>
  <c r="P326"/>
  <c r="P327"/>
  <c r="P328"/>
  <c r="P329"/>
  <c r="P330"/>
  <c r="P331"/>
  <c r="P332"/>
  <c r="P333"/>
  <c r="P334"/>
  <c r="P335"/>
  <c r="P336"/>
  <c r="P337"/>
  <c r="P338"/>
  <c r="P339"/>
  <c r="P340"/>
  <c r="P341"/>
  <c r="P342"/>
  <c r="P343"/>
  <c r="P344"/>
  <c r="P345"/>
  <c r="P346"/>
  <c r="P347"/>
  <c r="P348"/>
  <c r="P349"/>
  <c r="P350"/>
  <c r="P351"/>
  <c r="P352"/>
  <c r="P353"/>
  <c r="P354"/>
  <c r="P355"/>
  <c r="P356"/>
  <c r="P357"/>
  <c r="P358"/>
  <c r="P359"/>
  <c r="P360"/>
  <c r="P361"/>
  <c r="P362"/>
  <c r="P363"/>
  <c r="P364"/>
  <c r="P365"/>
  <c r="P366"/>
  <c r="P367"/>
  <c r="P368"/>
  <c r="P369"/>
  <c r="P370"/>
  <c r="P371"/>
  <c r="P372"/>
  <c r="P373"/>
  <c r="P374"/>
  <c r="P375"/>
  <c r="P376"/>
  <c r="P377"/>
  <c r="P378"/>
  <c r="P379"/>
  <c r="P380"/>
  <c r="P381"/>
  <c r="P382"/>
  <c r="P383"/>
  <c r="P384"/>
  <c r="P385"/>
  <c r="P386"/>
  <c r="P387"/>
  <c r="P388"/>
  <c r="P389"/>
  <c r="P390"/>
  <c r="P391"/>
  <c r="P392"/>
  <c r="P393"/>
  <c r="P394"/>
  <c r="P395"/>
  <c r="P396"/>
  <c r="P397"/>
  <c r="P398"/>
  <c r="P399"/>
  <c r="P400"/>
  <c r="P401"/>
  <c r="P402"/>
  <c r="P403"/>
  <c r="P404"/>
  <c r="P405"/>
  <c r="P406"/>
  <c r="P407"/>
  <c r="P408"/>
  <c r="P409"/>
  <c r="P410"/>
  <c r="P411"/>
  <c r="P412"/>
  <c r="P413"/>
  <c r="P414"/>
  <c r="P415"/>
  <c r="P416"/>
  <c r="P417"/>
  <c r="P418"/>
  <c r="P419"/>
  <c r="P420"/>
  <c r="P421"/>
  <c r="P422"/>
  <c r="P423"/>
  <c r="P424"/>
  <c r="P425"/>
  <c r="P426"/>
  <c r="P427"/>
  <c r="P428"/>
  <c r="P429"/>
  <c r="P430"/>
  <c r="P431"/>
  <c r="P432"/>
  <c r="P433"/>
  <c r="P434"/>
  <c r="P435"/>
  <c r="P436"/>
  <c r="P437"/>
  <c r="P438"/>
  <c r="P439"/>
  <c r="P440"/>
  <c r="P441"/>
  <c r="P442"/>
  <c r="P443"/>
  <c r="P444"/>
  <c r="P445"/>
  <c r="P446"/>
  <c r="P447"/>
  <c r="P448"/>
  <c r="P449"/>
  <c r="P450"/>
  <c r="P451"/>
  <c r="P452"/>
  <c r="P453"/>
  <c r="P454"/>
  <c r="P455"/>
  <c r="P456"/>
  <c r="P457"/>
  <c r="P458"/>
  <c r="P459"/>
  <c r="P460"/>
  <c r="P461"/>
  <c r="P462"/>
  <c r="P463"/>
  <c r="P464"/>
  <c r="P465"/>
  <c r="P466"/>
  <c r="P467"/>
  <c r="P468"/>
  <c r="P469"/>
  <c r="P470"/>
  <c r="P471"/>
  <c r="P472"/>
  <c r="P473"/>
  <c r="P474"/>
  <c r="P475"/>
  <c r="P476"/>
  <c r="P477"/>
  <c r="P478"/>
  <c r="P479"/>
  <c r="P480"/>
  <c r="P481"/>
  <c r="P482"/>
  <c r="P483"/>
  <c r="P484"/>
  <c r="P485"/>
  <c r="P486"/>
  <c r="P487"/>
  <c r="P488"/>
  <c r="P489"/>
  <c r="P490"/>
  <c r="P491"/>
  <c r="P492"/>
  <c r="P493"/>
  <c r="P494"/>
  <c r="P495"/>
  <c r="P496"/>
  <c r="P497"/>
  <c r="P498"/>
  <c r="P499"/>
  <c r="P500"/>
  <c r="P501"/>
  <c r="P502"/>
  <c r="P503"/>
  <c r="P504"/>
  <c r="P505"/>
  <c r="P506"/>
  <c r="P507"/>
  <c r="P508"/>
  <c r="P509"/>
  <c r="P510"/>
  <c r="P511"/>
  <c r="P512"/>
  <c r="P513"/>
  <c r="P514"/>
  <c r="P515"/>
  <c r="P516"/>
  <c r="P517"/>
  <c r="P518"/>
  <c r="P519"/>
  <c r="P520"/>
  <c r="P521"/>
  <c r="P522"/>
  <c r="P523"/>
  <c r="P524"/>
  <c r="P525"/>
  <c r="P526"/>
  <c r="P527"/>
  <c r="P528"/>
  <c r="P529"/>
  <c r="P530"/>
  <c r="P531"/>
  <c r="P532"/>
  <c r="P533"/>
  <c r="P534"/>
  <c r="P535"/>
  <c r="P536"/>
  <c r="P537"/>
  <c r="P538"/>
  <c r="P539"/>
  <c r="P540"/>
  <c r="P541"/>
  <c r="P705"/>
  <c r="P706"/>
  <c r="P707"/>
  <c r="P708"/>
  <c r="P709"/>
  <c r="P710"/>
  <c r="P711"/>
  <c r="P712"/>
  <c r="P713"/>
  <c r="P714"/>
  <c r="P715"/>
  <c r="P716"/>
  <c r="P717"/>
  <c r="P718"/>
  <c r="P719"/>
  <c r="P720"/>
  <c r="P721"/>
  <c r="P722"/>
  <c r="P723"/>
  <c r="P724"/>
  <c r="P725"/>
  <c r="P726"/>
  <c r="P727"/>
  <c r="P728"/>
  <c r="P729"/>
  <c r="P730"/>
  <c r="P731"/>
  <c r="P732"/>
  <c r="P733"/>
  <c r="P734"/>
  <c r="P735"/>
  <c r="P736"/>
  <c r="P737"/>
  <c r="P738"/>
  <c r="P739"/>
  <c r="P740"/>
  <c r="P741"/>
  <c r="P742"/>
  <c r="P743"/>
  <c r="P744"/>
  <c r="P745"/>
  <c r="P746"/>
  <c r="P747"/>
  <c r="P748"/>
  <c r="P749"/>
  <c r="P750"/>
  <c r="P751"/>
  <c r="P752"/>
  <c r="P753"/>
  <c r="P754"/>
  <c r="P755"/>
  <c r="P756"/>
  <c r="P757"/>
  <c r="P758"/>
  <c r="P759"/>
  <c r="P760"/>
  <c r="P761"/>
  <c r="P762"/>
  <c r="P763"/>
  <c r="P764"/>
  <c r="P765"/>
  <c r="P766"/>
  <c r="P767"/>
  <c r="P768"/>
  <c r="P769"/>
  <c r="P770"/>
  <c r="P771"/>
  <c r="P772"/>
  <c r="P773"/>
  <c r="P774"/>
  <c r="P775"/>
  <c r="P776"/>
  <c r="P777"/>
  <c r="P778"/>
  <c r="P779"/>
  <c r="P780"/>
  <c r="P781"/>
  <c r="P782"/>
  <c r="P783"/>
  <c r="P784"/>
  <c r="P785"/>
  <c r="P786"/>
  <c r="P787"/>
  <c r="P788"/>
  <c r="P789"/>
  <c r="P790"/>
  <c r="P791"/>
  <c r="P792"/>
  <c r="P793"/>
  <c r="P794"/>
  <c r="P795"/>
  <c r="P796"/>
  <c r="P797"/>
  <c r="P798"/>
  <c r="P799"/>
  <c r="P800"/>
  <c r="P801"/>
  <c r="P802"/>
  <c r="P803"/>
  <c r="P804"/>
  <c r="P805"/>
  <c r="P806"/>
  <c r="P807"/>
  <c r="P808"/>
  <c r="P809"/>
  <c r="P810"/>
  <c r="P811"/>
  <c r="P812"/>
  <c r="P813"/>
  <c r="P814"/>
  <c r="P815"/>
  <c r="P816"/>
  <c r="P817"/>
  <c r="P818"/>
  <c r="P819"/>
  <c r="P820"/>
  <c r="P821"/>
  <c r="P822"/>
  <c r="P823"/>
  <c r="P824"/>
  <c r="P825"/>
  <c r="P826"/>
  <c r="P827"/>
  <c r="P828"/>
  <c r="P829"/>
  <c r="P830"/>
  <c r="P831"/>
  <c r="P832"/>
  <c r="P833"/>
  <c r="P834"/>
  <c r="P835"/>
  <c r="P5"/>
  <c r="G386" i="17"/>
  <c r="I49" i="20" l="1"/>
  <c r="J6"/>
  <c r="J49" s="1"/>
  <c r="J53" s="1"/>
  <c r="K596" i="14"/>
  <c r="M596" s="1"/>
  <c r="K597"/>
  <c r="M597" s="1"/>
  <c r="K598"/>
  <c r="K599"/>
  <c r="M599" s="1"/>
  <c r="K600"/>
  <c r="M600" s="1"/>
  <c r="K601"/>
  <c r="M601" s="1"/>
  <c r="K602"/>
  <c r="M602" s="1"/>
  <c r="K603"/>
  <c r="M603" s="1"/>
  <c r="K604"/>
  <c r="M604" s="1"/>
  <c r="K605"/>
  <c r="M605" s="1"/>
  <c r="K606"/>
  <c r="M606" s="1"/>
  <c r="K607"/>
  <c r="M607" s="1"/>
  <c r="K608"/>
  <c r="M608" s="1"/>
  <c r="K609"/>
  <c r="M609" s="1"/>
  <c r="K610"/>
  <c r="M610" s="1"/>
  <c r="K611"/>
  <c r="M611" s="1"/>
  <c r="K612"/>
  <c r="M612" s="1"/>
  <c r="K613"/>
  <c r="M613" s="1"/>
  <c r="K614"/>
  <c r="M614" s="1"/>
  <c r="K615"/>
  <c r="M615" s="1"/>
  <c r="K616"/>
  <c r="M616" s="1"/>
  <c r="K617"/>
  <c r="M617" s="1"/>
  <c r="K618"/>
  <c r="M618" s="1"/>
  <c r="K619"/>
  <c r="M619" s="1"/>
  <c r="K620"/>
  <c r="M620" s="1"/>
  <c r="K621"/>
  <c r="M621" s="1"/>
  <c r="K622"/>
  <c r="M622" s="1"/>
  <c r="K623"/>
  <c r="M623" s="1"/>
  <c r="K624"/>
  <c r="M624" s="1"/>
  <c r="K625"/>
  <c r="M625" s="1"/>
  <c r="M598"/>
  <c r="J627" l="1"/>
  <c r="N625"/>
  <c r="N618"/>
  <c r="N611"/>
  <c r="N604"/>
  <c r="N624"/>
  <c r="N617"/>
  <c r="N610"/>
  <c r="N603"/>
  <c r="N602"/>
  <c r="N623"/>
  <c r="N616"/>
  <c r="N609"/>
  <c r="N601"/>
  <c r="N600"/>
  <c r="N622"/>
  <c r="N615"/>
  <c r="N608"/>
  <c r="N599"/>
  <c r="N621"/>
  <c r="N614"/>
  <c r="N607"/>
  <c r="N598"/>
  <c r="N620"/>
  <c r="N613"/>
  <c r="N606"/>
  <c r="N597"/>
  <c r="N619"/>
  <c r="N612"/>
  <c r="N605"/>
  <c r="N596"/>
  <c r="K11" i="1" l="1"/>
  <c r="M11" s="1"/>
  <c r="K52"/>
  <c r="M52" s="1"/>
  <c r="K80"/>
  <c r="M80" s="1"/>
  <c r="K112"/>
  <c r="M112" s="1"/>
  <c r="K14"/>
  <c r="M14" s="1"/>
  <c r="K54"/>
  <c r="M54" s="1"/>
  <c r="K83"/>
  <c r="M83" s="1"/>
  <c r="K115"/>
  <c r="M115" s="1"/>
  <c r="K15"/>
  <c r="M15" s="1"/>
  <c r="K55"/>
  <c r="M55" s="1"/>
  <c r="K84"/>
  <c r="M84" s="1"/>
  <c r="K116"/>
  <c r="M116" s="1"/>
  <c r="K20"/>
  <c r="M20" s="1"/>
  <c r="K57"/>
  <c r="M57" s="1"/>
  <c r="K87"/>
  <c r="M87" s="1"/>
  <c r="K119"/>
  <c r="M119" s="1"/>
  <c r="K23"/>
  <c r="M23" s="1"/>
  <c r="K30"/>
  <c r="M30" s="1"/>
  <c r="K65"/>
  <c r="M65" s="1"/>
  <c r="K96"/>
  <c r="M96" s="1"/>
  <c r="K128"/>
  <c r="M128" s="1"/>
  <c r="K34"/>
  <c r="M34" s="1"/>
  <c r="K38"/>
  <c r="M38" s="1"/>
  <c r="K70"/>
  <c r="M70" s="1"/>
  <c r="K101"/>
  <c r="M101" s="1"/>
  <c r="K134"/>
  <c r="M134" s="1"/>
  <c r="K46"/>
  <c r="M46" s="1"/>
  <c r="K75"/>
  <c r="M75" s="1"/>
  <c r="K107"/>
  <c r="M107" s="1"/>
  <c r="K141"/>
  <c r="M141" s="1"/>
  <c r="N141"/>
  <c r="N107"/>
  <c r="N75"/>
  <c r="N46"/>
  <c r="N134"/>
  <c r="N101"/>
  <c r="N70"/>
  <c r="N38"/>
  <c r="N34"/>
  <c r="N128"/>
  <c r="N96"/>
  <c r="N65"/>
  <c r="N30"/>
  <c r="N23"/>
  <c r="N119"/>
  <c r="N87"/>
  <c r="N57"/>
  <c r="N20"/>
  <c r="N116"/>
  <c r="N84"/>
  <c r="N55"/>
  <c r="N15"/>
  <c r="N115"/>
  <c r="N83"/>
  <c r="N54"/>
  <c r="N14"/>
  <c r="N112"/>
  <c r="N80"/>
  <c r="N52"/>
  <c r="N11"/>
  <c r="M71" i="4"/>
  <c r="L71"/>
  <c r="M70"/>
  <c r="L70"/>
  <c r="M69"/>
  <c r="L69"/>
  <c r="M68"/>
  <c r="L68"/>
  <c r="M67"/>
  <c r="L67"/>
  <c r="M66"/>
  <c r="L66"/>
  <c r="R300" i="13" l="1"/>
  <c r="F31" i="16"/>
  <c r="E31"/>
  <c r="D31"/>
  <c r="C31"/>
  <c r="F30"/>
  <c r="F32" s="1"/>
  <c r="E30"/>
  <c r="E32" s="1"/>
  <c r="D30"/>
  <c r="D32" s="1"/>
  <c r="C30"/>
  <c r="C32" s="1"/>
  <c r="D27"/>
  <c r="C27"/>
  <c r="E26"/>
  <c r="E27" s="1"/>
  <c r="D26"/>
  <c r="C26"/>
  <c r="E16"/>
  <c r="E21" s="1"/>
  <c r="C46" s="1"/>
  <c r="C48" s="1"/>
  <c r="D16"/>
  <c r="D21" s="1"/>
  <c r="C36" s="1"/>
  <c r="C38" s="1"/>
  <c r="C16"/>
  <c r="C21" s="1"/>
  <c r="F15"/>
  <c r="F16" s="1"/>
  <c r="C52" l="1"/>
  <c r="C50"/>
  <c r="E33"/>
  <c r="C39" s="1"/>
  <c r="F33"/>
  <c r="C49" s="1"/>
  <c r="C33"/>
  <c r="C40"/>
  <c r="C42"/>
  <c r="D33"/>
  <c r="C9" i="15" l="1"/>
  <c r="C7"/>
  <c r="U9" i="13"/>
  <c r="R4"/>
  <c r="P4"/>
  <c r="P8" s="1"/>
  <c r="K6"/>
  <c r="K7" s="1"/>
  <c r="K8" s="1"/>
  <c r="K9" s="1"/>
  <c r="K10" s="1"/>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K40" s="1"/>
  <c r="K41" s="1"/>
  <c r="K42" s="1"/>
  <c r="K43" s="1"/>
  <c r="K44" s="1"/>
  <c r="K45" s="1"/>
  <c r="K46" s="1"/>
  <c r="K47" s="1"/>
  <c r="K48" s="1"/>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K78" s="1"/>
  <c r="K79" s="1"/>
  <c r="K80" s="1"/>
  <c r="K81" s="1"/>
  <c r="K82" s="1"/>
  <c r="K83" s="1"/>
  <c r="K84" s="1"/>
  <c r="K85" s="1"/>
  <c r="K86" s="1"/>
  <c r="K87" s="1"/>
  <c r="K88" s="1"/>
  <c r="K89" s="1"/>
  <c r="K90" s="1"/>
  <c r="K91" s="1"/>
  <c r="K92" s="1"/>
  <c r="K93" s="1"/>
  <c r="K94" s="1"/>
  <c r="K95" s="1"/>
  <c r="K96" s="1"/>
  <c r="K97" s="1"/>
  <c r="K98" s="1"/>
  <c r="K99" s="1"/>
  <c r="K100" s="1"/>
  <c r="K101" s="1"/>
  <c r="K102" s="1"/>
  <c r="K103" s="1"/>
  <c r="K104" s="1"/>
  <c r="K105" s="1"/>
  <c r="K106" s="1"/>
  <c r="K107" s="1"/>
  <c r="K108" s="1"/>
  <c r="K109" s="1"/>
  <c r="K110" s="1"/>
  <c r="K111" s="1"/>
  <c r="K112" s="1"/>
  <c r="K113" s="1"/>
  <c r="K114" s="1"/>
  <c r="K115" s="1"/>
  <c r="K116" s="1"/>
  <c r="K117" s="1"/>
  <c r="K118" s="1"/>
  <c r="K119" s="1"/>
  <c r="K120" s="1"/>
  <c r="K121" s="1"/>
  <c r="K122" s="1"/>
  <c r="K123" s="1"/>
  <c r="K124" s="1"/>
  <c r="K125" s="1"/>
  <c r="K126" s="1"/>
  <c r="K127" s="1"/>
  <c r="K128" s="1"/>
  <c r="K129" s="1"/>
  <c r="K130" s="1"/>
  <c r="K131" s="1"/>
  <c r="K132" s="1"/>
  <c r="K133" s="1"/>
  <c r="K134" s="1"/>
  <c r="K135" s="1"/>
  <c r="K136" s="1"/>
  <c r="K137" s="1"/>
  <c r="K138" s="1"/>
  <c r="K139" s="1"/>
  <c r="K140" s="1"/>
  <c r="K141" s="1"/>
  <c r="K142" s="1"/>
  <c r="K143" s="1"/>
  <c r="K144" s="1"/>
  <c r="K145" s="1"/>
  <c r="K146" s="1"/>
  <c r="K147" s="1"/>
  <c r="K148" s="1"/>
  <c r="K149" s="1"/>
  <c r="K150" s="1"/>
  <c r="K151" s="1"/>
  <c r="K152" s="1"/>
  <c r="K153" s="1"/>
  <c r="K154" s="1"/>
  <c r="K155" s="1"/>
  <c r="K156" s="1"/>
  <c r="K157" s="1"/>
  <c r="K158" s="1"/>
  <c r="K159" s="1"/>
  <c r="K160" s="1"/>
  <c r="K161" s="1"/>
  <c r="K162" s="1"/>
  <c r="K163" s="1"/>
  <c r="K164" s="1"/>
  <c r="K165" s="1"/>
  <c r="K166" s="1"/>
  <c r="K167" s="1"/>
  <c r="K168" s="1"/>
  <c r="K169" s="1"/>
  <c r="K170" s="1"/>
  <c r="K171" s="1"/>
  <c r="K172" s="1"/>
  <c r="K173" s="1"/>
  <c r="K174" s="1"/>
  <c r="K175" s="1"/>
  <c r="K176" s="1"/>
  <c r="K177" s="1"/>
  <c r="K178" s="1"/>
  <c r="K179" s="1"/>
  <c r="K180" s="1"/>
  <c r="K181" s="1"/>
  <c r="K182" s="1"/>
  <c r="K183" s="1"/>
  <c r="K184" s="1"/>
  <c r="K185" s="1"/>
  <c r="K186" s="1"/>
  <c r="K187" s="1"/>
  <c r="K188" s="1"/>
  <c r="K189" s="1"/>
  <c r="K190" s="1"/>
  <c r="K191" s="1"/>
  <c r="K192" s="1"/>
  <c r="K193" s="1"/>
  <c r="K194" s="1"/>
  <c r="K195" s="1"/>
  <c r="K196" s="1"/>
  <c r="K197" s="1"/>
  <c r="K198" s="1"/>
  <c r="K199" s="1"/>
  <c r="K200" s="1"/>
  <c r="K201" s="1"/>
  <c r="K202" s="1"/>
  <c r="K203" s="1"/>
  <c r="K204" s="1"/>
  <c r="K205" s="1"/>
  <c r="K206" s="1"/>
  <c r="K207" s="1"/>
  <c r="K208" s="1"/>
  <c r="K209" s="1"/>
  <c r="K210" s="1"/>
  <c r="K211" s="1"/>
  <c r="K212" s="1"/>
  <c r="K213" s="1"/>
  <c r="K214" s="1"/>
  <c r="K215" s="1"/>
  <c r="K216" s="1"/>
  <c r="K217" s="1"/>
  <c r="K218" s="1"/>
  <c r="K219" s="1"/>
  <c r="K220" s="1"/>
  <c r="K221" s="1"/>
  <c r="K222" s="1"/>
  <c r="K223" s="1"/>
  <c r="K224" s="1"/>
  <c r="K225" s="1"/>
  <c r="K226" s="1"/>
  <c r="K227" s="1"/>
  <c r="K228" s="1"/>
  <c r="K229" s="1"/>
  <c r="K230" s="1"/>
  <c r="K231" s="1"/>
  <c r="K232" s="1"/>
  <c r="K233" s="1"/>
  <c r="K234" s="1"/>
  <c r="K235" s="1"/>
  <c r="K236" s="1"/>
  <c r="K237" s="1"/>
  <c r="K238" s="1"/>
  <c r="K239" s="1"/>
  <c r="K240" s="1"/>
  <c r="K241" s="1"/>
  <c r="K242" s="1"/>
  <c r="K243" s="1"/>
  <c r="K244" s="1"/>
  <c r="K245" s="1"/>
  <c r="K246" s="1"/>
  <c r="K247" s="1"/>
  <c r="K248" s="1"/>
  <c r="K249" s="1"/>
  <c r="K250" s="1"/>
  <c r="K251" s="1"/>
  <c r="K252" s="1"/>
  <c r="K253" s="1"/>
  <c r="K254" s="1"/>
  <c r="K255" s="1"/>
  <c r="K256" s="1"/>
  <c r="K257" s="1"/>
  <c r="K258" s="1"/>
  <c r="K259" s="1"/>
  <c r="K260" s="1"/>
  <c r="K261" s="1"/>
  <c r="K262" s="1"/>
  <c r="K263" s="1"/>
  <c r="K264" s="1"/>
  <c r="K265" s="1"/>
  <c r="K266" s="1"/>
  <c r="K267" s="1"/>
  <c r="K268" s="1"/>
  <c r="K269" s="1"/>
  <c r="K270" s="1"/>
  <c r="K271" s="1"/>
  <c r="K272" s="1"/>
  <c r="K273" s="1"/>
  <c r="K274" s="1"/>
  <c r="K275" s="1"/>
  <c r="K276" s="1"/>
  <c r="K277" s="1"/>
  <c r="K278" s="1"/>
  <c r="K279" s="1"/>
  <c r="K280" s="1"/>
  <c r="K281" s="1"/>
  <c r="K282" s="1"/>
  <c r="K283" s="1"/>
  <c r="K284" s="1"/>
  <c r="K285" s="1"/>
  <c r="K286" s="1"/>
  <c r="K287" s="1"/>
  <c r="K288" s="1"/>
  <c r="K289" s="1"/>
  <c r="K290" s="1"/>
  <c r="K291" s="1"/>
  <c r="J924"/>
  <c r="J930" s="1"/>
  <c r="C6" i="15" s="1"/>
  <c r="N593" i="14"/>
  <c r="K593"/>
  <c r="M593" s="1"/>
  <c r="N479"/>
  <c r="K479"/>
  <c r="M479" s="1"/>
  <c r="N391"/>
  <c r="K391"/>
  <c r="M391" s="1"/>
  <c r="N363"/>
  <c r="K363"/>
  <c r="M363" s="1"/>
  <c r="N260"/>
  <c r="K260"/>
  <c r="M260" s="1"/>
  <c r="N244"/>
  <c r="K244"/>
  <c r="M244" s="1"/>
  <c r="N212"/>
  <c r="K212"/>
  <c r="M212" s="1"/>
  <c r="N176"/>
  <c r="K176"/>
  <c r="M176" s="1"/>
  <c r="N127"/>
  <c r="K127"/>
  <c r="M127" s="1"/>
  <c r="N542"/>
  <c r="K542"/>
  <c r="M542" s="1"/>
  <c r="N91"/>
  <c r="K91"/>
  <c r="M91" s="1"/>
  <c r="N40"/>
  <c r="K40"/>
  <c r="M40" s="1"/>
  <c r="N225"/>
  <c r="K225"/>
  <c r="M225" s="1"/>
  <c r="N224"/>
  <c r="K224"/>
  <c r="M224" s="1"/>
  <c r="N221"/>
  <c r="K221"/>
  <c r="M221" s="1"/>
  <c r="N195"/>
  <c r="K195"/>
  <c r="M195" s="1"/>
  <c r="N107"/>
  <c r="K107"/>
  <c r="M107" s="1"/>
  <c r="N96"/>
  <c r="K96"/>
  <c r="M96" s="1"/>
  <c r="N60"/>
  <c r="K60"/>
  <c r="M60" s="1"/>
  <c r="N514"/>
  <c r="K514"/>
  <c r="M514" s="1"/>
  <c r="N574"/>
  <c r="K574"/>
  <c r="M574" s="1"/>
  <c r="N568"/>
  <c r="K568"/>
  <c r="M568" s="1"/>
  <c r="N567"/>
  <c r="K567"/>
  <c r="M567" s="1"/>
  <c r="N566"/>
  <c r="K566"/>
  <c r="M566" s="1"/>
  <c r="N565"/>
  <c r="K565"/>
  <c r="M565" s="1"/>
  <c r="N558"/>
  <c r="K558"/>
  <c r="M558" s="1"/>
  <c r="N557"/>
  <c r="K557"/>
  <c r="M557" s="1"/>
  <c r="N556"/>
  <c r="K556"/>
  <c r="M556" s="1"/>
  <c r="N554"/>
  <c r="K554"/>
  <c r="M554" s="1"/>
  <c r="N546"/>
  <c r="K546"/>
  <c r="M546" s="1"/>
  <c r="N545"/>
  <c r="K545"/>
  <c r="M545" s="1"/>
  <c r="N516"/>
  <c r="K516"/>
  <c r="M516" s="1"/>
  <c r="N498"/>
  <c r="K498"/>
  <c r="M498" s="1"/>
  <c r="N494"/>
  <c r="K494"/>
  <c r="M494" s="1"/>
  <c r="N581"/>
  <c r="K581"/>
  <c r="M581" s="1"/>
  <c r="N564"/>
  <c r="K564"/>
  <c r="M564" s="1"/>
  <c r="N563"/>
  <c r="K563"/>
  <c r="M563" s="1"/>
  <c r="N560"/>
  <c r="K560"/>
  <c r="M560" s="1"/>
  <c r="N555"/>
  <c r="K555"/>
  <c r="M555" s="1"/>
  <c r="N535"/>
  <c r="K535"/>
  <c r="M535" s="1"/>
  <c r="N533"/>
  <c r="K533"/>
  <c r="M533" s="1"/>
  <c r="N532"/>
  <c r="K532"/>
  <c r="M532" s="1"/>
  <c r="N520"/>
  <c r="K520"/>
  <c r="M520" s="1"/>
  <c r="N515"/>
  <c r="K515"/>
  <c r="M515" s="1"/>
  <c r="N505"/>
  <c r="K505"/>
  <c r="M505" s="1"/>
  <c r="N499"/>
  <c r="K499"/>
  <c r="M499" s="1"/>
  <c r="N493"/>
  <c r="K493"/>
  <c r="M493" s="1"/>
  <c r="N485"/>
  <c r="K485"/>
  <c r="M485" s="1"/>
  <c r="N427"/>
  <c r="K427"/>
  <c r="M427" s="1"/>
  <c r="N470"/>
  <c r="K470"/>
  <c r="M470" s="1"/>
  <c r="N467"/>
  <c r="K467"/>
  <c r="M467" s="1"/>
  <c r="N466"/>
  <c r="K466"/>
  <c r="M466" s="1"/>
  <c r="N465"/>
  <c r="K465"/>
  <c r="M465" s="1"/>
  <c r="N464"/>
  <c r="K464"/>
  <c r="M464" s="1"/>
  <c r="N457"/>
  <c r="K457"/>
  <c r="M457" s="1"/>
  <c r="N456"/>
  <c r="K456"/>
  <c r="M456" s="1"/>
  <c r="N455"/>
  <c r="K455"/>
  <c r="M455" s="1"/>
  <c r="N449"/>
  <c r="K449"/>
  <c r="M449" s="1"/>
  <c r="N428"/>
  <c r="K428"/>
  <c r="M428" s="1"/>
  <c r="N410"/>
  <c r="K410"/>
  <c r="M410" s="1"/>
  <c r="N407"/>
  <c r="K407"/>
  <c r="M407" s="1"/>
  <c r="N463"/>
  <c r="K463"/>
  <c r="M463" s="1"/>
  <c r="N462"/>
  <c r="K462"/>
  <c r="M462" s="1"/>
  <c r="N459"/>
  <c r="K459"/>
  <c r="M459" s="1"/>
  <c r="N453"/>
  <c r="K453"/>
  <c r="M453" s="1"/>
  <c r="N442"/>
  <c r="K442"/>
  <c r="M442" s="1"/>
  <c r="N418"/>
  <c r="K418"/>
  <c r="M418" s="1"/>
  <c r="N412"/>
  <c r="K412"/>
  <c r="M412" s="1"/>
  <c r="N411"/>
  <c r="K411"/>
  <c r="M411" s="1"/>
  <c r="N326"/>
  <c r="K326"/>
  <c r="M326" s="1"/>
  <c r="N380"/>
  <c r="K380"/>
  <c r="M380" s="1"/>
  <c r="N379"/>
  <c r="K379"/>
  <c r="M379" s="1"/>
  <c r="N359"/>
  <c r="K359"/>
  <c r="M359" s="1"/>
  <c r="N345"/>
  <c r="K345"/>
  <c r="M345" s="1"/>
  <c r="N338"/>
  <c r="K338"/>
  <c r="M338" s="1"/>
  <c r="N337"/>
  <c r="K337"/>
  <c r="M337" s="1"/>
  <c r="N334"/>
  <c r="K334"/>
  <c r="M334" s="1"/>
  <c r="N329"/>
  <c r="K329"/>
  <c r="M329" s="1"/>
  <c r="N323"/>
  <c r="K323"/>
  <c r="M323" s="1"/>
  <c r="N308"/>
  <c r="K308"/>
  <c r="M308" s="1"/>
  <c r="N378"/>
  <c r="K378"/>
  <c r="M378" s="1"/>
  <c r="N377"/>
  <c r="K377"/>
  <c r="M377" s="1"/>
  <c r="N374"/>
  <c r="K374"/>
  <c r="M374" s="1"/>
  <c r="N372"/>
  <c r="K372"/>
  <c r="M372" s="1"/>
  <c r="N368"/>
  <c r="K368"/>
  <c r="M368" s="1"/>
  <c r="N344"/>
  <c r="K344"/>
  <c r="M344" s="1"/>
  <c r="N333"/>
  <c r="K333"/>
  <c r="M333" s="1"/>
  <c r="N318"/>
  <c r="K318"/>
  <c r="M318" s="1"/>
  <c r="N314"/>
  <c r="K314"/>
  <c r="M314" s="1"/>
  <c r="N291"/>
  <c r="K291"/>
  <c r="M291" s="1"/>
  <c r="N274"/>
  <c r="K274"/>
  <c r="M274" s="1"/>
  <c r="N242"/>
  <c r="K242"/>
  <c r="M242" s="1"/>
  <c r="N281"/>
  <c r="K281"/>
  <c r="M281" s="1"/>
  <c r="N280"/>
  <c r="K280"/>
  <c r="M280" s="1"/>
  <c r="N255"/>
  <c r="K255"/>
  <c r="M255" s="1"/>
  <c r="N238"/>
  <c r="K238"/>
  <c r="M238" s="1"/>
  <c r="N211"/>
  <c r="K211"/>
  <c r="M211" s="1"/>
  <c r="N208"/>
  <c r="K208"/>
  <c r="M208" s="1"/>
  <c r="N185"/>
  <c r="K185"/>
  <c r="M185" s="1"/>
  <c r="N181"/>
  <c r="K181"/>
  <c r="M181" s="1"/>
  <c r="N164"/>
  <c r="K164"/>
  <c r="M164" s="1"/>
  <c r="N163"/>
  <c r="K163"/>
  <c r="M163" s="1"/>
  <c r="N153"/>
  <c r="K153"/>
  <c r="M153" s="1"/>
  <c r="N128"/>
  <c r="K128"/>
  <c r="M128" s="1"/>
  <c r="N97"/>
  <c r="K97"/>
  <c r="M97" s="1"/>
  <c r="N80"/>
  <c r="K80"/>
  <c r="M80" s="1"/>
  <c r="N72"/>
  <c r="K72"/>
  <c r="M72" s="1"/>
  <c r="N279"/>
  <c r="K279"/>
  <c r="M279" s="1"/>
  <c r="N278"/>
  <c r="K278"/>
  <c r="M278" s="1"/>
  <c r="N277"/>
  <c r="K277"/>
  <c r="M277" s="1"/>
  <c r="N275"/>
  <c r="K275"/>
  <c r="M275" s="1"/>
  <c r="N272"/>
  <c r="K272"/>
  <c r="M272" s="1"/>
  <c r="N271"/>
  <c r="K271"/>
  <c r="M271" s="1"/>
  <c r="N267"/>
  <c r="K267"/>
  <c r="M267" s="1"/>
  <c r="N240"/>
  <c r="K240"/>
  <c r="M240" s="1"/>
  <c r="N237"/>
  <c r="K237"/>
  <c r="M237" s="1"/>
  <c r="N223"/>
  <c r="K223"/>
  <c r="M223" s="1"/>
  <c r="N206"/>
  <c r="K206"/>
  <c r="M206" s="1"/>
  <c r="N196"/>
  <c r="K196"/>
  <c r="M196" s="1"/>
  <c r="N189"/>
  <c r="K189"/>
  <c r="M189" s="1"/>
  <c r="N186"/>
  <c r="K186"/>
  <c r="M186" s="1"/>
  <c r="N183"/>
  <c r="K183"/>
  <c r="M183" s="1"/>
  <c r="N182"/>
  <c r="K182"/>
  <c r="M182" s="1"/>
  <c r="N180"/>
  <c r="K180"/>
  <c r="M180" s="1"/>
  <c r="N174"/>
  <c r="K174"/>
  <c r="M174" s="1"/>
  <c r="N158"/>
  <c r="K158"/>
  <c r="M158" s="1"/>
  <c r="N150"/>
  <c r="K150"/>
  <c r="M150" s="1"/>
  <c r="N147"/>
  <c r="K147"/>
  <c r="M147" s="1"/>
  <c r="N140"/>
  <c r="K140"/>
  <c r="M140" s="1"/>
  <c r="N139"/>
  <c r="K139"/>
  <c r="M139" s="1"/>
  <c r="N130"/>
  <c r="K130"/>
  <c r="M130" s="1"/>
  <c r="N115"/>
  <c r="K115"/>
  <c r="M115" s="1"/>
  <c r="N111"/>
  <c r="K111"/>
  <c r="M111" s="1"/>
  <c r="N109"/>
  <c r="K109"/>
  <c r="M109" s="1"/>
  <c r="N106"/>
  <c r="K106"/>
  <c r="M106" s="1"/>
  <c r="N104"/>
  <c r="K104"/>
  <c r="M104" s="1"/>
  <c r="N92"/>
  <c r="K92"/>
  <c r="M92" s="1"/>
  <c r="N74"/>
  <c r="K74"/>
  <c r="M74" s="1"/>
  <c r="N73"/>
  <c r="K73"/>
  <c r="M73" s="1"/>
  <c r="N71"/>
  <c r="K71"/>
  <c r="M71" s="1"/>
  <c r="N68"/>
  <c r="K68"/>
  <c r="M68" s="1"/>
  <c r="N58"/>
  <c r="K58"/>
  <c r="M58" s="1"/>
  <c r="N46"/>
  <c r="K46"/>
  <c r="M46" s="1"/>
  <c r="N45"/>
  <c r="K45"/>
  <c r="M45" s="1"/>
  <c r="N36"/>
  <c r="K36"/>
  <c r="M36" s="1"/>
  <c r="N35"/>
  <c r="K35"/>
  <c r="M35" s="1"/>
  <c r="N32"/>
  <c r="K32"/>
  <c r="M32" s="1"/>
  <c r="N23"/>
  <c r="K23"/>
  <c r="M23" s="1"/>
  <c r="N12"/>
  <c r="K12"/>
  <c r="M12" s="1"/>
  <c r="N9"/>
  <c r="K9"/>
  <c r="M9" s="1"/>
  <c r="N595"/>
  <c r="K595"/>
  <c r="M595" s="1"/>
  <c r="N594"/>
  <c r="K594"/>
  <c r="M594" s="1"/>
  <c r="N592"/>
  <c r="K592"/>
  <c r="M592" s="1"/>
  <c r="N591"/>
  <c r="K591"/>
  <c r="M591" s="1"/>
  <c r="N590"/>
  <c r="K590"/>
  <c r="M590" s="1"/>
  <c r="N589"/>
  <c r="K589"/>
  <c r="M589" s="1"/>
  <c r="N588"/>
  <c r="K588"/>
  <c r="M588" s="1"/>
  <c r="N587"/>
  <c r="K587"/>
  <c r="M587" s="1"/>
  <c r="N586"/>
  <c r="K586"/>
  <c r="M586" s="1"/>
  <c r="N585"/>
  <c r="K585"/>
  <c r="M585" s="1"/>
  <c r="N584"/>
  <c r="K584"/>
  <c r="M584" s="1"/>
  <c r="N583"/>
  <c r="K583"/>
  <c r="M583" s="1"/>
  <c r="N582"/>
  <c r="K582"/>
  <c r="M582" s="1"/>
  <c r="N580"/>
  <c r="K580"/>
  <c r="M580" s="1"/>
  <c r="N579"/>
  <c r="K579"/>
  <c r="M579" s="1"/>
  <c r="N578"/>
  <c r="K578"/>
  <c r="M578" s="1"/>
  <c r="N575"/>
  <c r="K575"/>
  <c r="M575" s="1"/>
  <c r="N573"/>
  <c r="K573"/>
  <c r="M573" s="1"/>
  <c r="N571"/>
  <c r="K571"/>
  <c r="M571" s="1"/>
  <c r="N570"/>
  <c r="K570"/>
  <c r="M570" s="1"/>
  <c r="N569"/>
  <c r="K569"/>
  <c r="M569" s="1"/>
  <c r="N562"/>
  <c r="K562"/>
  <c r="M562" s="1"/>
  <c r="N561"/>
  <c r="K561"/>
  <c r="M561" s="1"/>
  <c r="N559"/>
  <c r="K559"/>
  <c r="M559" s="1"/>
  <c r="N553"/>
  <c r="K553"/>
  <c r="M553" s="1"/>
  <c r="N552"/>
  <c r="K552"/>
  <c r="M552" s="1"/>
  <c r="N550"/>
  <c r="K550"/>
  <c r="M550" s="1"/>
  <c r="N549"/>
  <c r="K549"/>
  <c r="M549" s="1"/>
  <c r="N547"/>
  <c r="K547"/>
  <c r="M547" s="1"/>
  <c r="N544"/>
  <c r="K544"/>
  <c r="M544" s="1"/>
  <c r="N543"/>
  <c r="K543"/>
  <c r="M543" s="1"/>
  <c r="N541"/>
  <c r="K541"/>
  <c r="M541" s="1"/>
  <c r="N540"/>
  <c r="K540"/>
  <c r="M540" s="1"/>
  <c r="N538"/>
  <c r="K538"/>
  <c r="M538" s="1"/>
  <c r="N536"/>
  <c r="K536"/>
  <c r="M536" s="1"/>
  <c r="N534"/>
  <c r="K534"/>
  <c r="M534" s="1"/>
  <c r="N512"/>
  <c r="K512"/>
  <c r="M512" s="1"/>
  <c r="N507"/>
  <c r="K507"/>
  <c r="M507" s="1"/>
  <c r="N506"/>
  <c r="K506"/>
  <c r="M506" s="1"/>
  <c r="N496"/>
  <c r="K496"/>
  <c r="M496" s="1"/>
  <c r="N484"/>
  <c r="K484"/>
  <c r="M484" s="1"/>
  <c r="N480"/>
  <c r="K480"/>
  <c r="M480" s="1"/>
  <c r="N577"/>
  <c r="K577"/>
  <c r="M577" s="1"/>
  <c r="N576"/>
  <c r="K576"/>
  <c r="M576" s="1"/>
  <c r="N572"/>
  <c r="K572"/>
  <c r="M572" s="1"/>
  <c r="N551"/>
  <c r="K551"/>
  <c r="M551" s="1"/>
  <c r="N548"/>
  <c r="K548"/>
  <c r="M548" s="1"/>
  <c r="N539"/>
  <c r="K539"/>
  <c r="M539" s="1"/>
  <c r="N537"/>
  <c r="K537"/>
  <c r="M537" s="1"/>
  <c r="N531"/>
  <c r="K531"/>
  <c r="M531" s="1"/>
  <c r="N525"/>
  <c r="K525"/>
  <c r="M525" s="1"/>
  <c r="N524"/>
  <c r="K524"/>
  <c r="M524" s="1"/>
  <c r="N521"/>
  <c r="K521"/>
  <c r="M521" s="1"/>
  <c r="N513"/>
  <c r="K513"/>
  <c r="M513" s="1"/>
  <c r="N508"/>
  <c r="K508"/>
  <c r="M508" s="1"/>
  <c r="N497"/>
  <c r="K497"/>
  <c r="M497" s="1"/>
  <c r="N495"/>
  <c r="K495"/>
  <c r="M495" s="1"/>
  <c r="N478"/>
  <c r="K478"/>
  <c r="M478" s="1"/>
  <c r="N477"/>
  <c r="K477"/>
  <c r="M477" s="1"/>
  <c r="N476"/>
  <c r="K476"/>
  <c r="M476" s="1"/>
  <c r="N475"/>
  <c r="K475"/>
  <c r="M475" s="1"/>
  <c r="N474"/>
  <c r="K474"/>
  <c r="M474" s="1"/>
  <c r="N473"/>
  <c r="K473"/>
  <c r="M473" s="1"/>
  <c r="N471"/>
  <c r="K471"/>
  <c r="M471" s="1"/>
  <c r="N469"/>
  <c r="K469"/>
  <c r="M469" s="1"/>
  <c r="N468"/>
  <c r="K468"/>
  <c r="M468" s="1"/>
  <c r="N461"/>
  <c r="K461"/>
  <c r="M461" s="1"/>
  <c r="N460"/>
  <c r="K460"/>
  <c r="M460" s="1"/>
  <c r="N458"/>
  <c r="K458"/>
  <c r="M458" s="1"/>
  <c r="N454"/>
  <c r="K454"/>
  <c r="M454" s="1"/>
  <c r="N452"/>
  <c r="K452"/>
  <c r="M452" s="1"/>
  <c r="N448"/>
  <c r="K448"/>
  <c r="M448" s="1"/>
  <c r="N447"/>
  <c r="K447"/>
  <c r="M447" s="1"/>
  <c r="N446"/>
  <c r="K446"/>
  <c r="M446" s="1"/>
  <c r="N445"/>
  <c r="K445"/>
  <c r="M445" s="1"/>
  <c r="N443"/>
  <c r="K443"/>
  <c r="M443" s="1"/>
  <c r="N441"/>
  <c r="K441"/>
  <c r="M441" s="1"/>
  <c r="N435"/>
  <c r="K435"/>
  <c r="M435" s="1"/>
  <c r="N425"/>
  <c r="K425"/>
  <c r="M425" s="1"/>
  <c r="N420"/>
  <c r="K420"/>
  <c r="M420" s="1"/>
  <c r="N419"/>
  <c r="K419"/>
  <c r="M419" s="1"/>
  <c r="N408"/>
  <c r="K408"/>
  <c r="M408" s="1"/>
  <c r="N399"/>
  <c r="K399"/>
  <c r="M399" s="1"/>
  <c r="N397"/>
  <c r="K397"/>
  <c r="M397" s="1"/>
  <c r="N392"/>
  <c r="K392"/>
  <c r="M392" s="1"/>
  <c r="N472"/>
  <c r="K472"/>
  <c r="M472" s="1"/>
  <c r="N451"/>
  <c r="K451"/>
  <c r="M451" s="1"/>
  <c r="N450"/>
  <c r="K450"/>
  <c r="M450" s="1"/>
  <c r="N444"/>
  <c r="K444"/>
  <c r="M444" s="1"/>
  <c r="N440"/>
  <c r="K440"/>
  <c r="M440" s="1"/>
  <c r="N434"/>
  <c r="K434"/>
  <c r="M434" s="1"/>
  <c r="N431"/>
  <c r="K431"/>
  <c r="M431" s="1"/>
  <c r="N426"/>
  <c r="K426"/>
  <c r="M426" s="1"/>
  <c r="N421"/>
  <c r="K421"/>
  <c r="M421" s="1"/>
  <c r="N409"/>
  <c r="K409"/>
  <c r="M409" s="1"/>
  <c r="N398"/>
  <c r="K398"/>
  <c r="M398" s="1"/>
  <c r="N396"/>
  <c r="K396"/>
  <c r="M396" s="1"/>
  <c r="N390"/>
  <c r="K390"/>
  <c r="M390" s="1"/>
  <c r="N389"/>
  <c r="K389"/>
  <c r="M389" s="1"/>
  <c r="N388"/>
  <c r="K388"/>
  <c r="M388" s="1"/>
  <c r="N387"/>
  <c r="K387"/>
  <c r="M387" s="1"/>
  <c r="N386"/>
  <c r="K386"/>
  <c r="M386" s="1"/>
  <c r="N384"/>
  <c r="K384"/>
  <c r="M384" s="1"/>
  <c r="N382"/>
  <c r="K382"/>
  <c r="M382" s="1"/>
  <c r="N381"/>
  <c r="K381"/>
  <c r="M381" s="1"/>
  <c r="N376"/>
  <c r="K376"/>
  <c r="M376" s="1"/>
  <c r="N375"/>
  <c r="K375"/>
  <c r="M375" s="1"/>
  <c r="N373"/>
  <c r="K373"/>
  <c r="M373" s="1"/>
  <c r="N371"/>
  <c r="K371"/>
  <c r="M371" s="1"/>
  <c r="N370"/>
  <c r="K370"/>
  <c r="M370" s="1"/>
  <c r="N369"/>
  <c r="K369"/>
  <c r="M369" s="1"/>
  <c r="N366"/>
  <c r="K366"/>
  <c r="M366" s="1"/>
  <c r="N365"/>
  <c r="K365"/>
  <c r="M365" s="1"/>
  <c r="N362"/>
  <c r="K362"/>
  <c r="M362" s="1"/>
  <c r="N361"/>
  <c r="K361"/>
  <c r="M361" s="1"/>
  <c r="N358"/>
  <c r="K358"/>
  <c r="M358" s="1"/>
  <c r="N357"/>
  <c r="K357"/>
  <c r="M357" s="1"/>
  <c r="N356"/>
  <c r="K356"/>
  <c r="M356" s="1"/>
  <c r="N355"/>
  <c r="K355"/>
  <c r="M355" s="1"/>
  <c r="N354"/>
  <c r="K354"/>
  <c r="M354" s="1"/>
  <c r="N353"/>
  <c r="K353"/>
  <c r="M353" s="1"/>
  <c r="N352"/>
  <c r="K352"/>
  <c r="M352" s="1"/>
  <c r="N351"/>
  <c r="K351"/>
  <c r="M351" s="1"/>
  <c r="N350"/>
  <c r="K350"/>
  <c r="M350" s="1"/>
  <c r="N349"/>
  <c r="K349"/>
  <c r="M349" s="1"/>
  <c r="N347"/>
  <c r="K347"/>
  <c r="M347" s="1"/>
  <c r="N346"/>
  <c r="K346"/>
  <c r="M346" s="1"/>
  <c r="N343"/>
  <c r="K343"/>
  <c r="M343" s="1"/>
  <c r="N328"/>
  <c r="K328"/>
  <c r="M328" s="1"/>
  <c r="N325"/>
  <c r="K325"/>
  <c r="M325" s="1"/>
  <c r="N317"/>
  <c r="K317"/>
  <c r="M317" s="1"/>
  <c r="N316"/>
  <c r="K316"/>
  <c r="M316" s="1"/>
  <c r="N315"/>
  <c r="K315"/>
  <c r="M315" s="1"/>
  <c r="N306"/>
  <c r="K306"/>
  <c r="M306" s="1"/>
  <c r="N305"/>
  <c r="K305"/>
  <c r="M305" s="1"/>
  <c r="N304"/>
  <c r="K304"/>
  <c r="M304" s="1"/>
  <c r="N292"/>
  <c r="K292"/>
  <c r="M292" s="1"/>
  <c r="N385"/>
  <c r="K385"/>
  <c r="M385" s="1"/>
  <c r="N383"/>
  <c r="K383"/>
  <c r="M383" s="1"/>
  <c r="N367"/>
  <c r="K367"/>
  <c r="M367" s="1"/>
  <c r="N364"/>
  <c r="K364"/>
  <c r="M364" s="1"/>
  <c r="N360"/>
  <c r="K360"/>
  <c r="M360" s="1"/>
  <c r="N348"/>
  <c r="K348"/>
  <c r="M348" s="1"/>
  <c r="N342"/>
  <c r="K342"/>
  <c r="M342" s="1"/>
  <c r="N332"/>
  <c r="K332"/>
  <c r="M332" s="1"/>
  <c r="N327"/>
  <c r="K327"/>
  <c r="M327" s="1"/>
  <c r="N324"/>
  <c r="K324"/>
  <c r="M324" s="1"/>
  <c r="N322"/>
  <c r="K322"/>
  <c r="M322" s="1"/>
  <c r="N319"/>
  <c r="K319"/>
  <c r="M319" s="1"/>
  <c r="N307"/>
  <c r="K307"/>
  <c r="M307" s="1"/>
  <c r="N303"/>
  <c r="K303"/>
  <c r="M303" s="1"/>
  <c r="N297"/>
  <c r="K297"/>
  <c r="M297" s="1"/>
  <c r="N290"/>
  <c r="K290"/>
  <c r="M290" s="1"/>
  <c r="N289"/>
  <c r="K289"/>
  <c r="M289" s="1"/>
  <c r="N288"/>
  <c r="K288"/>
  <c r="M288" s="1"/>
  <c r="N285"/>
  <c r="K285"/>
  <c r="M285" s="1"/>
  <c r="N283"/>
  <c r="K283"/>
  <c r="M283" s="1"/>
  <c r="N282"/>
  <c r="K282"/>
  <c r="M282" s="1"/>
  <c r="N276"/>
  <c r="K276"/>
  <c r="M276" s="1"/>
  <c r="N273"/>
  <c r="K273"/>
  <c r="M273" s="1"/>
  <c r="N270"/>
  <c r="K270"/>
  <c r="M270" s="1"/>
  <c r="N269"/>
  <c r="K269"/>
  <c r="M269" s="1"/>
  <c r="N268"/>
  <c r="K268"/>
  <c r="M268" s="1"/>
  <c r="N266"/>
  <c r="K266"/>
  <c r="M266" s="1"/>
  <c r="N264"/>
  <c r="K264"/>
  <c r="M264" s="1"/>
  <c r="N263"/>
  <c r="K263"/>
  <c r="M263" s="1"/>
  <c r="N259"/>
  <c r="K259"/>
  <c r="M259" s="1"/>
  <c r="N258"/>
  <c r="K258"/>
  <c r="M258" s="1"/>
  <c r="N257"/>
  <c r="K257"/>
  <c r="M257" s="1"/>
  <c r="N254"/>
  <c r="K254"/>
  <c r="M254" s="1"/>
  <c r="N253"/>
  <c r="K253"/>
  <c r="M253" s="1"/>
  <c r="N252"/>
  <c r="K252"/>
  <c r="M252" s="1"/>
  <c r="N251"/>
  <c r="K251"/>
  <c r="M251" s="1"/>
  <c r="N250"/>
  <c r="K250"/>
  <c r="M250" s="1"/>
  <c r="N249"/>
  <c r="K249"/>
  <c r="M249" s="1"/>
  <c r="N248"/>
  <c r="K248"/>
  <c r="M248" s="1"/>
  <c r="N246"/>
  <c r="K246"/>
  <c r="M246" s="1"/>
  <c r="N243"/>
  <c r="K243"/>
  <c r="M243" s="1"/>
  <c r="N241"/>
  <c r="K241"/>
  <c r="M241" s="1"/>
  <c r="N239"/>
  <c r="K239"/>
  <c r="M239" s="1"/>
  <c r="N231"/>
  <c r="K231"/>
  <c r="M231" s="1"/>
  <c r="N207"/>
  <c r="K207"/>
  <c r="M207" s="1"/>
  <c r="N203"/>
  <c r="K203"/>
  <c r="M203" s="1"/>
  <c r="N162"/>
  <c r="K162"/>
  <c r="M162" s="1"/>
  <c r="N157"/>
  <c r="K157"/>
  <c r="M157" s="1"/>
  <c r="N156"/>
  <c r="K156"/>
  <c r="M156" s="1"/>
  <c r="N152"/>
  <c r="K152"/>
  <c r="M152" s="1"/>
  <c r="N126"/>
  <c r="K126"/>
  <c r="M126" s="1"/>
  <c r="N124"/>
  <c r="K124"/>
  <c r="M124" s="1"/>
  <c r="N121"/>
  <c r="K121"/>
  <c r="M121" s="1"/>
  <c r="N120"/>
  <c r="K120"/>
  <c r="M120" s="1"/>
  <c r="N118"/>
  <c r="K118"/>
  <c r="M118" s="1"/>
  <c r="N113"/>
  <c r="K113"/>
  <c r="M113" s="1"/>
  <c r="N112"/>
  <c r="K112"/>
  <c r="M112" s="1"/>
  <c r="N110"/>
  <c r="K110"/>
  <c r="M110" s="1"/>
  <c r="N88"/>
  <c r="K88"/>
  <c r="M88" s="1"/>
  <c r="N86"/>
  <c r="K86"/>
  <c r="M86" s="1"/>
  <c r="N81"/>
  <c r="K81"/>
  <c r="M81" s="1"/>
  <c r="N42"/>
  <c r="K42"/>
  <c r="M42" s="1"/>
  <c r="N33"/>
  <c r="K33"/>
  <c r="M33" s="1"/>
  <c r="N13"/>
  <c r="K13"/>
  <c r="M13" s="1"/>
  <c r="N61"/>
  <c r="K61"/>
  <c r="M61" s="1"/>
  <c r="N287"/>
  <c r="K287"/>
  <c r="M287" s="1"/>
  <c r="N286"/>
  <c r="K286"/>
  <c r="M286" s="1"/>
  <c r="N284"/>
  <c r="K284"/>
  <c r="M284" s="1"/>
  <c r="N265"/>
  <c r="K265"/>
  <c r="M265" s="1"/>
  <c r="N262"/>
  <c r="K262"/>
  <c r="M262" s="1"/>
  <c r="N261"/>
  <c r="K261"/>
  <c r="M261" s="1"/>
  <c r="N256"/>
  <c r="K256"/>
  <c r="M256" s="1"/>
  <c r="N247"/>
  <c r="K247"/>
  <c r="M247" s="1"/>
  <c r="N245"/>
  <c r="K245"/>
  <c r="M245" s="1"/>
  <c r="N236"/>
  <c r="K236"/>
  <c r="M236" s="1"/>
  <c r="N235"/>
  <c r="K235"/>
  <c r="M235" s="1"/>
  <c r="N234"/>
  <c r="K234"/>
  <c r="M234" s="1"/>
  <c r="N233"/>
  <c r="K233"/>
  <c r="M233" s="1"/>
  <c r="N232"/>
  <c r="K232"/>
  <c r="M232" s="1"/>
  <c r="N230"/>
  <c r="K230"/>
  <c r="M230" s="1"/>
  <c r="N229"/>
  <c r="K229"/>
  <c r="M229" s="1"/>
  <c r="N228"/>
  <c r="K228"/>
  <c r="M228" s="1"/>
  <c r="N227"/>
  <c r="K227"/>
  <c r="M227" s="1"/>
  <c r="N226"/>
  <c r="K226"/>
  <c r="M226" s="1"/>
  <c r="N222"/>
  <c r="K222"/>
  <c r="M222" s="1"/>
  <c r="N220"/>
  <c r="K220"/>
  <c r="M220" s="1"/>
  <c r="N219"/>
  <c r="K219"/>
  <c r="M219" s="1"/>
  <c r="N210"/>
  <c r="K210"/>
  <c r="M210" s="1"/>
  <c r="N209"/>
  <c r="K209"/>
  <c r="M209" s="1"/>
  <c r="N205"/>
  <c r="K205"/>
  <c r="M205" s="1"/>
  <c r="N204"/>
  <c r="K204"/>
  <c r="M204" s="1"/>
  <c r="N202"/>
  <c r="K202"/>
  <c r="M202" s="1"/>
  <c r="N201"/>
  <c r="K201"/>
  <c r="M201" s="1"/>
  <c r="N200"/>
  <c r="K200"/>
  <c r="M200" s="1"/>
  <c r="N199"/>
  <c r="K199"/>
  <c r="M199" s="1"/>
  <c r="N198"/>
  <c r="K198"/>
  <c r="M198" s="1"/>
  <c r="N197"/>
  <c r="K197"/>
  <c r="M197" s="1"/>
  <c r="N194"/>
  <c r="K194"/>
  <c r="M194" s="1"/>
  <c r="N191"/>
  <c r="K191"/>
  <c r="M191" s="1"/>
  <c r="N190"/>
  <c r="K190"/>
  <c r="M190" s="1"/>
  <c r="N188"/>
  <c r="K188"/>
  <c r="M188" s="1"/>
  <c r="N187"/>
  <c r="K187"/>
  <c r="M187" s="1"/>
  <c r="N184"/>
  <c r="K184"/>
  <c r="M184" s="1"/>
  <c r="N179"/>
  <c r="K179"/>
  <c r="M179" s="1"/>
  <c r="N178"/>
  <c r="K178"/>
  <c r="M178" s="1"/>
  <c r="N177"/>
  <c r="K177"/>
  <c r="M177" s="1"/>
  <c r="N175"/>
  <c r="K175"/>
  <c r="M175" s="1"/>
  <c r="N173"/>
  <c r="K173"/>
  <c r="M173" s="1"/>
  <c r="N172"/>
  <c r="K172"/>
  <c r="M172" s="1"/>
  <c r="N171"/>
  <c r="K171"/>
  <c r="M171" s="1"/>
  <c r="N170"/>
  <c r="K170"/>
  <c r="M170" s="1"/>
  <c r="N165"/>
  <c r="K165"/>
  <c r="M165" s="1"/>
  <c r="N161"/>
  <c r="K161"/>
  <c r="M161" s="1"/>
  <c r="N160"/>
  <c r="K160"/>
  <c r="M160" s="1"/>
  <c r="N159"/>
  <c r="K159"/>
  <c r="M159" s="1"/>
  <c r="N155"/>
  <c r="K155"/>
  <c r="M155" s="1"/>
  <c r="N154"/>
  <c r="K154"/>
  <c r="M154" s="1"/>
  <c r="N151"/>
  <c r="K151"/>
  <c r="M151" s="1"/>
  <c r="N149"/>
  <c r="K149"/>
  <c r="M149" s="1"/>
  <c r="N148"/>
  <c r="K148"/>
  <c r="M148" s="1"/>
  <c r="N146"/>
  <c r="K146"/>
  <c r="M146" s="1"/>
  <c r="N145"/>
  <c r="K145"/>
  <c r="M145" s="1"/>
  <c r="N144"/>
  <c r="K144"/>
  <c r="M144" s="1"/>
  <c r="N143"/>
  <c r="K143"/>
  <c r="M143" s="1"/>
  <c r="N142"/>
  <c r="K142"/>
  <c r="M142" s="1"/>
  <c r="N141"/>
  <c r="K141"/>
  <c r="M141" s="1"/>
  <c r="N136"/>
  <c r="K136"/>
  <c r="M136" s="1"/>
  <c r="N134"/>
  <c r="K134"/>
  <c r="M134" s="1"/>
  <c r="N133"/>
  <c r="K133"/>
  <c r="M133" s="1"/>
  <c r="N132"/>
  <c r="K132"/>
  <c r="M132" s="1"/>
  <c r="N131"/>
  <c r="K131"/>
  <c r="M131" s="1"/>
  <c r="N129"/>
  <c r="K129"/>
  <c r="M129" s="1"/>
  <c r="N125"/>
  <c r="K125"/>
  <c r="M125" s="1"/>
  <c r="N123"/>
  <c r="K123"/>
  <c r="M123" s="1"/>
  <c r="N122"/>
  <c r="K122"/>
  <c r="M122" s="1"/>
  <c r="N119"/>
  <c r="K119"/>
  <c r="M119" s="1"/>
  <c r="N117"/>
  <c r="K117"/>
  <c r="M117" s="1"/>
  <c r="N116"/>
  <c r="K116"/>
  <c r="M116" s="1"/>
  <c r="N114"/>
  <c r="K114"/>
  <c r="M114" s="1"/>
  <c r="N108"/>
  <c r="K108"/>
  <c r="M108" s="1"/>
  <c r="N105"/>
  <c r="K105"/>
  <c r="M105" s="1"/>
  <c r="N98"/>
  <c r="K98"/>
  <c r="M98" s="1"/>
  <c r="N95"/>
  <c r="K95"/>
  <c r="M95" s="1"/>
  <c r="N94"/>
  <c r="K94"/>
  <c r="M94" s="1"/>
  <c r="N93"/>
  <c r="K93"/>
  <c r="M93" s="1"/>
  <c r="N90"/>
  <c r="K90"/>
  <c r="M90" s="1"/>
  <c r="N89"/>
  <c r="K89"/>
  <c r="M89" s="1"/>
  <c r="N87"/>
  <c r="K87"/>
  <c r="M87" s="1"/>
  <c r="N85"/>
  <c r="K85"/>
  <c r="M85" s="1"/>
  <c r="N84"/>
  <c r="K84"/>
  <c r="M84" s="1"/>
  <c r="N83"/>
  <c r="K83"/>
  <c r="M83" s="1"/>
  <c r="N82"/>
  <c r="K82"/>
  <c r="M82" s="1"/>
  <c r="N79"/>
  <c r="K79"/>
  <c r="M79" s="1"/>
  <c r="N78"/>
  <c r="K78"/>
  <c r="M78" s="1"/>
  <c r="N77"/>
  <c r="K77"/>
  <c r="M77" s="1"/>
  <c r="N76"/>
  <c r="K76"/>
  <c r="M76" s="1"/>
  <c r="N75"/>
  <c r="K75"/>
  <c r="M75" s="1"/>
  <c r="N70"/>
  <c r="K70"/>
  <c r="M70" s="1"/>
  <c r="N69"/>
  <c r="K69"/>
  <c r="M69" s="1"/>
  <c r="N67"/>
  <c r="K67"/>
  <c r="M67" s="1"/>
  <c r="N66"/>
  <c r="K66"/>
  <c r="M66" s="1"/>
  <c r="N65"/>
  <c r="K65"/>
  <c r="M65" s="1"/>
  <c r="N64"/>
  <c r="K64"/>
  <c r="M64" s="1"/>
  <c r="N63"/>
  <c r="K63"/>
  <c r="M63" s="1"/>
  <c r="N62"/>
  <c r="K62"/>
  <c r="M62" s="1"/>
  <c r="N59"/>
  <c r="K59"/>
  <c r="M59" s="1"/>
  <c r="N53"/>
  <c r="K53"/>
  <c r="M53" s="1"/>
  <c r="N48"/>
  <c r="K48"/>
  <c r="M48" s="1"/>
  <c r="N47"/>
  <c r="K47"/>
  <c r="M47" s="1"/>
  <c r="N44"/>
  <c r="K44"/>
  <c r="M44" s="1"/>
  <c r="N43"/>
  <c r="K43"/>
  <c r="M43" s="1"/>
  <c r="N41"/>
  <c r="K41"/>
  <c r="M41" s="1"/>
  <c r="N39"/>
  <c r="K39"/>
  <c r="M39" s="1"/>
  <c r="N38"/>
  <c r="K38"/>
  <c r="M38" s="1"/>
  <c r="N37"/>
  <c r="K37"/>
  <c r="M37" s="1"/>
  <c r="N34"/>
  <c r="K34"/>
  <c r="M34" s="1"/>
  <c r="N31"/>
  <c r="K31"/>
  <c r="M31" s="1"/>
  <c r="N30"/>
  <c r="K30"/>
  <c r="M30" s="1"/>
  <c r="N29"/>
  <c r="K29"/>
  <c r="M29" s="1"/>
  <c r="N28"/>
  <c r="K28"/>
  <c r="M28" s="1"/>
  <c r="N27"/>
  <c r="K27"/>
  <c r="M27" s="1"/>
  <c r="N26"/>
  <c r="K26"/>
  <c r="M26" s="1"/>
  <c r="N25"/>
  <c r="K25"/>
  <c r="M25" s="1"/>
  <c r="N24"/>
  <c r="K24"/>
  <c r="M24" s="1"/>
  <c r="N22"/>
  <c r="K22"/>
  <c r="M22" s="1"/>
  <c r="N14"/>
  <c r="K14"/>
  <c r="M14" s="1"/>
  <c r="N11"/>
  <c r="K11"/>
  <c r="M11" s="1"/>
  <c r="N10"/>
  <c r="K10"/>
  <c r="M10" s="1"/>
  <c r="N8"/>
  <c r="K8"/>
  <c r="M8" s="1"/>
  <c r="N7"/>
  <c r="K7"/>
  <c r="M7" s="1"/>
  <c r="N6"/>
  <c r="K6"/>
  <c r="M6" s="1"/>
  <c r="N5"/>
  <c r="K5"/>
  <c r="M5" s="1"/>
  <c r="N489"/>
  <c r="K489"/>
  <c r="M489" s="1"/>
  <c r="N403"/>
  <c r="K403"/>
  <c r="M403" s="1"/>
  <c r="N300"/>
  <c r="K300"/>
  <c r="M300" s="1"/>
  <c r="N54"/>
  <c r="K54"/>
  <c r="M54" s="1"/>
  <c r="N530"/>
  <c r="K530"/>
  <c r="M530" s="1"/>
  <c r="N529"/>
  <c r="K529"/>
  <c r="M529" s="1"/>
  <c r="N528"/>
  <c r="K528"/>
  <c r="M528" s="1"/>
  <c r="N527"/>
  <c r="K527"/>
  <c r="M527" s="1"/>
  <c r="N526"/>
  <c r="K526"/>
  <c r="M526" s="1"/>
  <c r="N523"/>
  <c r="K523"/>
  <c r="M523" s="1"/>
  <c r="N522"/>
  <c r="K522"/>
  <c r="M522" s="1"/>
  <c r="N519"/>
  <c r="K519"/>
  <c r="M519" s="1"/>
  <c r="N518"/>
  <c r="K518"/>
  <c r="M518" s="1"/>
  <c r="N517"/>
  <c r="K517"/>
  <c r="M517" s="1"/>
  <c r="N511"/>
  <c r="K511"/>
  <c r="M511" s="1"/>
  <c r="N510"/>
  <c r="K510"/>
  <c r="M510" s="1"/>
  <c r="N509"/>
  <c r="K509"/>
  <c r="M509" s="1"/>
  <c r="N504"/>
  <c r="K504"/>
  <c r="M504" s="1"/>
  <c r="N503"/>
  <c r="K503"/>
  <c r="M503" s="1"/>
  <c r="N502"/>
  <c r="K502"/>
  <c r="M502" s="1"/>
  <c r="N501"/>
  <c r="K501"/>
  <c r="M501" s="1"/>
  <c r="N500"/>
  <c r="K500"/>
  <c r="M500" s="1"/>
  <c r="N492"/>
  <c r="K492"/>
  <c r="M492" s="1"/>
  <c r="N491"/>
  <c r="K491"/>
  <c r="M491" s="1"/>
  <c r="N490"/>
  <c r="K490"/>
  <c r="M490" s="1"/>
  <c r="N488"/>
  <c r="K488"/>
  <c r="M488" s="1"/>
  <c r="N487"/>
  <c r="K487"/>
  <c r="M487" s="1"/>
  <c r="N486"/>
  <c r="K486"/>
  <c r="M486" s="1"/>
  <c r="N483"/>
  <c r="K483"/>
  <c r="M483" s="1"/>
  <c r="N482"/>
  <c r="K482"/>
  <c r="M482" s="1"/>
  <c r="N481"/>
  <c r="K481"/>
  <c r="M481" s="1"/>
  <c r="N439"/>
  <c r="K439"/>
  <c r="M439" s="1"/>
  <c r="N438"/>
  <c r="K438"/>
  <c r="M438" s="1"/>
  <c r="N437"/>
  <c r="K437"/>
  <c r="M437" s="1"/>
  <c r="N436"/>
  <c r="K436"/>
  <c r="M436" s="1"/>
  <c r="N433"/>
  <c r="K433"/>
  <c r="M433" s="1"/>
  <c r="N432"/>
  <c r="K432"/>
  <c r="M432" s="1"/>
  <c r="N430"/>
  <c r="K430"/>
  <c r="M430" s="1"/>
  <c r="N429"/>
  <c r="K429"/>
  <c r="M429" s="1"/>
  <c r="N424"/>
  <c r="K424"/>
  <c r="M424" s="1"/>
  <c r="N423"/>
  <c r="K423"/>
  <c r="M423" s="1"/>
  <c r="N422"/>
  <c r="K422"/>
  <c r="M422" s="1"/>
  <c r="N417"/>
  <c r="K417"/>
  <c r="M417" s="1"/>
  <c r="N416"/>
  <c r="K416"/>
  <c r="M416" s="1"/>
  <c r="N415"/>
  <c r="K415"/>
  <c r="M415" s="1"/>
  <c r="N414"/>
  <c r="K414"/>
  <c r="M414" s="1"/>
  <c r="N413"/>
  <c r="K413"/>
  <c r="M413" s="1"/>
  <c r="N406"/>
  <c r="K406"/>
  <c r="M406" s="1"/>
  <c r="N405"/>
  <c r="K405"/>
  <c r="M405" s="1"/>
  <c r="N404"/>
  <c r="K404"/>
  <c r="M404" s="1"/>
  <c r="N402"/>
  <c r="K402"/>
  <c r="M402" s="1"/>
  <c r="N401"/>
  <c r="K401"/>
  <c r="M401" s="1"/>
  <c r="N400"/>
  <c r="K400"/>
  <c r="M400" s="1"/>
  <c r="N395"/>
  <c r="K395"/>
  <c r="M395" s="1"/>
  <c r="N394"/>
  <c r="K394"/>
  <c r="M394" s="1"/>
  <c r="N393"/>
  <c r="K393"/>
  <c r="M393" s="1"/>
  <c r="N341"/>
  <c r="K341"/>
  <c r="M341" s="1"/>
  <c r="N340"/>
  <c r="K340"/>
  <c r="M340" s="1"/>
  <c r="N339"/>
  <c r="K339"/>
  <c r="M339" s="1"/>
  <c r="N336"/>
  <c r="K336"/>
  <c r="M336" s="1"/>
  <c r="N335"/>
  <c r="K335"/>
  <c r="M335" s="1"/>
  <c r="N331"/>
  <c r="K331"/>
  <c r="M331" s="1"/>
  <c r="N330"/>
  <c r="K330"/>
  <c r="M330" s="1"/>
  <c r="N321"/>
  <c r="K321"/>
  <c r="M321" s="1"/>
  <c r="N320"/>
  <c r="K320"/>
  <c r="M320" s="1"/>
  <c r="N313"/>
  <c r="K313"/>
  <c r="M313" s="1"/>
  <c r="N312"/>
  <c r="K312"/>
  <c r="M312" s="1"/>
  <c r="N311"/>
  <c r="K311"/>
  <c r="M311" s="1"/>
  <c r="N310"/>
  <c r="K310"/>
  <c r="M310" s="1"/>
  <c r="N309"/>
  <c r="K309"/>
  <c r="M309" s="1"/>
  <c r="N302"/>
  <c r="K302"/>
  <c r="M302" s="1"/>
  <c r="N301"/>
  <c r="K301"/>
  <c r="M301" s="1"/>
  <c r="N299"/>
  <c r="K299"/>
  <c r="M299" s="1"/>
  <c r="N298"/>
  <c r="K298"/>
  <c r="M298" s="1"/>
  <c r="N296"/>
  <c r="K296"/>
  <c r="M296" s="1"/>
  <c r="N295"/>
  <c r="K295"/>
  <c r="M295" s="1"/>
  <c r="N294"/>
  <c r="K294"/>
  <c r="M294" s="1"/>
  <c r="N293"/>
  <c r="K293"/>
  <c r="M293" s="1"/>
  <c r="N218"/>
  <c r="K218"/>
  <c r="M218" s="1"/>
  <c r="N217"/>
  <c r="K217"/>
  <c r="M217" s="1"/>
  <c r="N216"/>
  <c r="K216"/>
  <c r="M216" s="1"/>
  <c r="N215"/>
  <c r="K215"/>
  <c r="M215" s="1"/>
  <c r="N214"/>
  <c r="K214"/>
  <c r="M214" s="1"/>
  <c r="N213"/>
  <c r="K213"/>
  <c r="M213" s="1"/>
  <c r="N193"/>
  <c r="K193"/>
  <c r="M193" s="1"/>
  <c r="N192"/>
  <c r="K192"/>
  <c r="M192" s="1"/>
  <c r="N169"/>
  <c r="K169"/>
  <c r="M169" s="1"/>
  <c r="N168"/>
  <c r="K168"/>
  <c r="M168" s="1"/>
  <c r="N167"/>
  <c r="K167"/>
  <c r="M167" s="1"/>
  <c r="N166"/>
  <c r="K166"/>
  <c r="M166" s="1"/>
  <c r="N138"/>
  <c r="K138"/>
  <c r="M138" s="1"/>
  <c r="N137"/>
  <c r="K137"/>
  <c r="M137" s="1"/>
  <c r="N135"/>
  <c r="K135"/>
  <c r="M135" s="1"/>
  <c r="N103"/>
  <c r="K103"/>
  <c r="M103" s="1"/>
  <c r="N102"/>
  <c r="K102"/>
  <c r="M102" s="1"/>
  <c r="N101"/>
  <c r="K101"/>
  <c r="M101" s="1"/>
  <c r="N100"/>
  <c r="K100"/>
  <c r="M100" s="1"/>
  <c r="N99"/>
  <c r="K99"/>
  <c r="M99" s="1"/>
  <c r="N57"/>
  <c r="K57"/>
  <c r="M57" s="1"/>
  <c r="N56"/>
  <c r="K56"/>
  <c r="M56" s="1"/>
  <c r="N55"/>
  <c r="K55"/>
  <c r="M55" s="1"/>
  <c r="N52"/>
  <c r="K52"/>
  <c r="M52" s="1"/>
  <c r="N51"/>
  <c r="K51"/>
  <c r="M51" s="1"/>
  <c r="N50"/>
  <c r="K50"/>
  <c r="M50" s="1"/>
  <c r="N49"/>
  <c r="K49"/>
  <c r="M49" s="1"/>
  <c r="N21"/>
  <c r="K21"/>
  <c r="M21" s="1"/>
  <c r="N20"/>
  <c r="K20"/>
  <c r="M20" s="1"/>
  <c r="N19"/>
  <c r="K19"/>
  <c r="M19" s="1"/>
  <c r="N18"/>
  <c r="K18"/>
  <c r="M18" s="1"/>
  <c r="N17"/>
  <c r="K17"/>
  <c r="M17" s="1"/>
  <c r="N16"/>
  <c r="K16"/>
  <c r="M16" s="1"/>
  <c r="N15"/>
  <c r="K15"/>
  <c r="M15" s="1"/>
  <c r="D9" i="12"/>
  <c r="R6" i="6"/>
  <c r="R7"/>
  <c r="R8"/>
  <c r="R9"/>
  <c r="R10"/>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208"/>
  <c r="R209"/>
  <c r="R210"/>
  <c r="R211"/>
  <c r="R212"/>
  <c r="R213"/>
  <c r="R214"/>
  <c r="R215"/>
  <c r="R216"/>
  <c r="R217"/>
  <c r="R218"/>
  <c r="R219"/>
  <c r="R220"/>
  <c r="R221"/>
  <c r="R222"/>
  <c r="R223"/>
  <c r="R224"/>
  <c r="R225"/>
  <c r="R226"/>
  <c r="R227"/>
  <c r="R228"/>
  <c r="R229"/>
  <c r="R230"/>
  <c r="R231"/>
  <c r="R232"/>
  <c r="R233"/>
  <c r="R234"/>
  <c r="R235"/>
  <c r="R236"/>
  <c r="R237"/>
  <c r="R238"/>
  <c r="R239"/>
  <c r="R240"/>
  <c r="R241"/>
  <c r="R242"/>
  <c r="R243"/>
  <c r="R244"/>
  <c r="R245"/>
  <c r="R246"/>
  <c r="R247"/>
  <c r="R248"/>
  <c r="R249"/>
  <c r="R250"/>
  <c r="R251"/>
  <c r="R252"/>
  <c r="R253"/>
  <c r="R254"/>
  <c r="R255"/>
  <c r="R256"/>
  <c r="R257"/>
  <c r="R258"/>
  <c r="R259"/>
  <c r="R260"/>
  <c r="R261"/>
  <c r="R262"/>
  <c r="R263"/>
  <c r="R264"/>
  <c r="R265"/>
  <c r="R266"/>
  <c r="R267"/>
  <c r="R268"/>
  <c r="R269"/>
  <c r="R270"/>
  <c r="R271"/>
  <c r="R272"/>
  <c r="R273"/>
  <c r="R274"/>
  <c r="R275"/>
  <c r="R276"/>
  <c r="R277"/>
  <c r="R278"/>
  <c r="R279"/>
  <c r="R280"/>
  <c r="R281"/>
  <c r="R282"/>
  <c r="R283"/>
  <c r="R284"/>
  <c r="R285"/>
  <c r="R286"/>
  <c r="R287"/>
  <c r="R288"/>
  <c r="R289"/>
  <c r="R290"/>
  <c r="R291"/>
  <c r="R292"/>
  <c r="R293"/>
  <c r="R294"/>
  <c r="R295"/>
  <c r="R296"/>
  <c r="R297"/>
  <c r="R298"/>
  <c r="R299"/>
  <c r="R300"/>
  <c r="R301"/>
  <c r="R302"/>
  <c r="R303"/>
  <c r="R304"/>
  <c r="R305"/>
  <c r="R306"/>
  <c r="R307"/>
  <c r="R308"/>
  <c r="R309"/>
  <c r="R310"/>
  <c r="R311"/>
  <c r="R312"/>
  <c r="R313"/>
  <c r="R314"/>
  <c r="R315"/>
  <c r="R316"/>
  <c r="R317"/>
  <c r="R318"/>
  <c r="R319"/>
  <c r="R320"/>
  <c r="R321"/>
  <c r="R322"/>
  <c r="R323"/>
  <c r="R324"/>
  <c r="R325"/>
  <c r="R326"/>
  <c r="R327"/>
  <c r="R328"/>
  <c r="R329"/>
  <c r="R330"/>
  <c r="R331"/>
  <c r="R332"/>
  <c r="R333"/>
  <c r="R334"/>
  <c r="R335"/>
  <c r="R336"/>
  <c r="R337"/>
  <c r="R338"/>
  <c r="R339"/>
  <c r="R340"/>
  <c r="R341"/>
  <c r="R342"/>
  <c r="R343"/>
  <c r="R344"/>
  <c r="R345"/>
  <c r="R346"/>
  <c r="R347"/>
  <c r="R348"/>
  <c r="R349"/>
  <c r="R350"/>
  <c r="R351"/>
  <c r="R352"/>
  <c r="R353"/>
  <c r="R354"/>
  <c r="R355"/>
  <c r="R356"/>
  <c r="R357"/>
  <c r="R358"/>
  <c r="R359"/>
  <c r="R360"/>
  <c r="R361"/>
  <c r="R362"/>
  <c r="R363"/>
  <c r="R364"/>
  <c r="R365"/>
  <c r="R366"/>
  <c r="R367"/>
  <c r="R368"/>
  <c r="R369"/>
  <c r="R370"/>
  <c r="R371"/>
  <c r="R372"/>
  <c r="R373"/>
  <c r="R374"/>
  <c r="R375"/>
  <c r="R376"/>
  <c r="R377"/>
  <c r="R378"/>
  <c r="R379"/>
  <c r="R380"/>
  <c r="R381"/>
  <c r="R382"/>
  <c r="R383"/>
  <c r="R384"/>
  <c r="R385"/>
  <c r="R386"/>
  <c r="R387"/>
  <c r="R388"/>
  <c r="R389"/>
  <c r="R390"/>
  <c r="R391"/>
  <c r="R392"/>
  <c r="R393"/>
  <c r="R394"/>
  <c r="R395"/>
  <c r="R396"/>
  <c r="R397"/>
  <c r="R398"/>
  <c r="R399"/>
  <c r="R400"/>
  <c r="R401"/>
  <c r="R402"/>
  <c r="R403"/>
  <c r="R404"/>
  <c r="R405"/>
  <c r="R406"/>
  <c r="R407"/>
  <c r="R408"/>
  <c r="R409"/>
  <c r="R410"/>
  <c r="R411"/>
  <c r="R412"/>
  <c r="R413"/>
  <c r="R414"/>
  <c r="R415"/>
  <c r="R416"/>
  <c r="R417"/>
  <c r="R418"/>
  <c r="R419"/>
  <c r="R420"/>
  <c r="R421"/>
  <c r="R422"/>
  <c r="R423"/>
  <c r="R424"/>
  <c r="R425"/>
  <c r="R426"/>
  <c r="R427"/>
  <c r="R428"/>
  <c r="R429"/>
  <c r="R430"/>
  <c r="R431"/>
  <c r="R432"/>
  <c r="R433"/>
  <c r="R434"/>
  <c r="R435"/>
  <c r="R436"/>
  <c r="R437"/>
  <c r="R438"/>
  <c r="R439"/>
  <c r="R440"/>
  <c r="R441"/>
  <c r="R442"/>
  <c r="R443"/>
  <c r="R444"/>
  <c r="R445"/>
  <c r="R446"/>
  <c r="R447"/>
  <c r="R448"/>
  <c r="R449"/>
  <c r="R450"/>
  <c r="R451"/>
  <c r="R452"/>
  <c r="R453"/>
  <c r="R454"/>
  <c r="R455"/>
  <c r="R456"/>
  <c r="R457"/>
  <c r="R458"/>
  <c r="R459"/>
  <c r="R460"/>
  <c r="R461"/>
  <c r="R462"/>
  <c r="R463"/>
  <c r="R464"/>
  <c r="R465"/>
  <c r="R466"/>
  <c r="R467"/>
  <c r="R468"/>
  <c r="R469"/>
  <c r="R470"/>
  <c r="R471"/>
  <c r="R472"/>
  <c r="R473"/>
  <c r="R474"/>
  <c r="R475"/>
  <c r="R476"/>
  <c r="R477"/>
  <c r="R478"/>
  <c r="R479"/>
  <c r="R480"/>
  <c r="R481"/>
  <c r="R482"/>
  <c r="R483"/>
  <c r="R484"/>
  <c r="R485"/>
  <c r="R486"/>
  <c r="R487"/>
  <c r="R488"/>
  <c r="R489"/>
  <c r="R490"/>
  <c r="R491"/>
  <c r="R492"/>
  <c r="R493"/>
  <c r="R494"/>
  <c r="R495"/>
  <c r="R496"/>
  <c r="R497"/>
  <c r="R498"/>
  <c r="R499"/>
  <c r="R500"/>
  <c r="R501"/>
  <c r="R502"/>
  <c r="R503"/>
  <c r="R504"/>
  <c r="R505"/>
  <c r="R506"/>
  <c r="R507"/>
  <c r="R508"/>
  <c r="R509"/>
  <c r="R510"/>
  <c r="R511"/>
  <c r="R512"/>
  <c r="R513"/>
  <c r="R514"/>
  <c r="R515"/>
  <c r="R516"/>
  <c r="R517"/>
  <c r="R518"/>
  <c r="R519"/>
  <c r="R520"/>
  <c r="R521"/>
  <c r="R522"/>
  <c r="R523"/>
  <c r="R524"/>
  <c r="R525"/>
  <c r="R526"/>
  <c r="R527"/>
  <c r="R528"/>
  <c r="R529"/>
  <c r="R530"/>
  <c r="R531"/>
  <c r="R532"/>
  <c r="R533"/>
  <c r="R534"/>
  <c r="R535"/>
  <c r="R536"/>
  <c r="R537"/>
  <c r="R538"/>
  <c r="R539"/>
  <c r="R540"/>
  <c r="R541"/>
  <c r="R542"/>
  <c r="R543"/>
  <c r="R544"/>
  <c r="R545"/>
  <c r="R546"/>
  <c r="R547"/>
  <c r="R548"/>
  <c r="R549"/>
  <c r="R550"/>
  <c r="R551"/>
  <c r="R552"/>
  <c r="R553"/>
  <c r="R554"/>
  <c r="R555"/>
  <c r="R556"/>
  <c r="R557"/>
  <c r="R558"/>
  <c r="R559"/>
  <c r="R560"/>
  <c r="R561"/>
  <c r="R562"/>
  <c r="R563"/>
  <c r="R564"/>
  <c r="R565"/>
  <c r="R566"/>
  <c r="R567"/>
  <c r="R568"/>
  <c r="R569"/>
  <c r="R570"/>
  <c r="R571"/>
  <c r="R572"/>
  <c r="R573"/>
  <c r="R574"/>
  <c r="R575"/>
  <c r="R576"/>
  <c r="R577"/>
  <c r="R578"/>
  <c r="R579"/>
  <c r="R580"/>
  <c r="R581"/>
  <c r="R582"/>
  <c r="R583"/>
  <c r="R584"/>
  <c r="R585"/>
  <c r="R586"/>
  <c r="R587"/>
  <c r="R588"/>
  <c r="R589"/>
  <c r="R590"/>
  <c r="R591"/>
  <c r="R592"/>
  <c r="R593"/>
  <c r="R594"/>
  <c r="R595"/>
  <c r="R596"/>
  <c r="R597"/>
  <c r="R598"/>
  <c r="R599"/>
  <c r="R600"/>
  <c r="R601"/>
  <c r="R602"/>
  <c r="R603"/>
  <c r="R604"/>
  <c r="R605"/>
  <c r="R606"/>
  <c r="R607"/>
  <c r="R608"/>
  <c r="R609"/>
  <c r="R610"/>
  <c r="R611"/>
  <c r="R612"/>
  <c r="R613"/>
  <c r="R614"/>
  <c r="R615"/>
  <c r="R616"/>
  <c r="R617"/>
  <c r="R618"/>
  <c r="R619"/>
  <c r="R620"/>
  <c r="R621"/>
  <c r="R622"/>
  <c r="R623"/>
  <c r="R624"/>
  <c r="R625"/>
  <c r="R626"/>
  <c r="R627"/>
  <c r="R628"/>
  <c r="R629"/>
  <c r="R630"/>
  <c r="R631"/>
  <c r="R632"/>
  <c r="R633"/>
  <c r="R634"/>
  <c r="R635"/>
  <c r="R636"/>
  <c r="R637"/>
  <c r="R638"/>
  <c r="R639"/>
  <c r="R640"/>
  <c r="R641"/>
  <c r="R642"/>
  <c r="R643"/>
  <c r="R644"/>
  <c r="R645"/>
  <c r="R646"/>
  <c r="R647"/>
  <c r="R648"/>
  <c r="R649"/>
  <c r="R650"/>
  <c r="R651"/>
  <c r="R652"/>
  <c r="R653"/>
  <c r="R654"/>
  <c r="R655"/>
  <c r="R656"/>
  <c r="R657"/>
  <c r="R658"/>
  <c r="R659"/>
  <c r="R660"/>
  <c r="R661"/>
  <c r="R662"/>
  <c r="R663"/>
  <c r="R664"/>
  <c r="R665"/>
  <c r="R666"/>
  <c r="R667"/>
  <c r="R668"/>
  <c r="R669"/>
  <c r="R670"/>
  <c r="R671"/>
  <c r="R672"/>
  <c r="R673"/>
  <c r="R674"/>
  <c r="R675"/>
  <c r="R676"/>
  <c r="R677"/>
  <c r="R678"/>
  <c r="R679"/>
  <c r="R680"/>
  <c r="R681"/>
  <c r="R682"/>
  <c r="R683"/>
  <c r="R684"/>
  <c r="R685"/>
  <c r="R686"/>
  <c r="R687"/>
  <c r="R688"/>
  <c r="R689"/>
  <c r="R690"/>
  <c r="R691"/>
  <c r="R692"/>
  <c r="R693"/>
  <c r="R694"/>
  <c r="R695"/>
  <c r="R696"/>
  <c r="R697"/>
  <c r="R698"/>
  <c r="R699"/>
  <c r="R700"/>
  <c r="R701"/>
  <c r="R702"/>
  <c r="R703"/>
  <c r="R704"/>
  <c r="R705"/>
  <c r="R706"/>
  <c r="R707"/>
  <c r="R708"/>
  <c r="R709"/>
  <c r="R710"/>
  <c r="R711"/>
  <c r="R712"/>
  <c r="R713"/>
  <c r="R714"/>
  <c r="R715"/>
  <c r="R716"/>
  <c r="R717"/>
  <c r="R718"/>
  <c r="R719"/>
  <c r="R720"/>
  <c r="R721"/>
  <c r="R722"/>
  <c r="R723"/>
  <c r="R724"/>
  <c r="R725"/>
  <c r="R726"/>
  <c r="R727"/>
  <c r="R728"/>
  <c r="R729"/>
  <c r="R730"/>
  <c r="R731"/>
  <c r="R732"/>
  <c r="R733"/>
  <c r="R734"/>
  <c r="R735"/>
  <c r="R736"/>
  <c r="R737"/>
  <c r="R738"/>
  <c r="R739"/>
  <c r="R740"/>
  <c r="R741"/>
  <c r="R742"/>
  <c r="R743"/>
  <c r="R744"/>
  <c r="R745"/>
  <c r="R746"/>
  <c r="R747"/>
  <c r="R748"/>
  <c r="R749"/>
  <c r="R750"/>
  <c r="R751"/>
  <c r="R752"/>
  <c r="R753"/>
  <c r="R754"/>
  <c r="R755"/>
  <c r="R756"/>
  <c r="R757"/>
  <c r="R758"/>
  <c r="R759"/>
  <c r="R760"/>
  <c r="R761"/>
  <c r="R762"/>
  <c r="R763"/>
  <c r="R764"/>
  <c r="R765"/>
  <c r="R766"/>
  <c r="R767"/>
  <c r="R768"/>
  <c r="R769"/>
  <c r="R770"/>
  <c r="R771"/>
  <c r="R772"/>
  <c r="R773"/>
  <c r="R774"/>
  <c r="R775"/>
  <c r="R776"/>
  <c r="R777"/>
  <c r="R778"/>
  <c r="R779"/>
  <c r="R780"/>
  <c r="R781"/>
  <c r="R782"/>
  <c r="R783"/>
  <c r="R784"/>
  <c r="R785"/>
  <c r="R786"/>
  <c r="R787"/>
  <c r="R788"/>
  <c r="R789"/>
  <c r="R790"/>
  <c r="R791"/>
  <c r="R792"/>
  <c r="R793"/>
  <c r="R794"/>
  <c r="R795"/>
  <c r="R796"/>
  <c r="R797"/>
  <c r="R798"/>
  <c r="R799"/>
  <c r="R800"/>
  <c r="R801"/>
  <c r="R802"/>
  <c r="R803"/>
  <c r="R804"/>
  <c r="R805"/>
  <c r="R806"/>
  <c r="R807"/>
  <c r="R808"/>
  <c r="R809"/>
  <c r="R810"/>
  <c r="R811"/>
  <c r="R812"/>
  <c r="R813"/>
  <c r="R814"/>
  <c r="R815"/>
  <c r="R816"/>
  <c r="R817"/>
  <c r="R818"/>
  <c r="R819"/>
  <c r="R820"/>
  <c r="R821"/>
  <c r="R822"/>
  <c r="R823"/>
  <c r="R824"/>
  <c r="R825"/>
  <c r="R826"/>
  <c r="R827"/>
  <c r="R828"/>
  <c r="R829"/>
  <c r="R830"/>
  <c r="R831"/>
  <c r="R832"/>
  <c r="R833"/>
  <c r="R834"/>
  <c r="R835"/>
  <c r="R836"/>
  <c r="R837"/>
  <c r="R838"/>
  <c r="R839"/>
  <c r="R840"/>
  <c r="R841"/>
  <c r="R842"/>
  <c r="R843"/>
  <c r="R844"/>
  <c r="R845"/>
  <c r="R846"/>
  <c r="R847"/>
  <c r="R848"/>
  <c r="R849"/>
  <c r="R850"/>
  <c r="R851"/>
  <c r="R852"/>
  <c r="R853"/>
  <c r="R854"/>
  <c r="R855"/>
  <c r="R856"/>
  <c r="R857"/>
  <c r="R858"/>
  <c r="R859"/>
  <c r="R860"/>
  <c r="R861"/>
  <c r="R862"/>
  <c r="R863"/>
  <c r="R864"/>
  <c r="R865"/>
  <c r="R866"/>
  <c r="R867"/>
  <c r="R868"/>
  <c r="R869"/>
  <c r="R870"/>
  <c r="R871"/>
  <c r="R872"/>
  <c r="R873"/>
  <c r="R874"/>
  <c r="R875"/>
  <c r="R876"/>
  <c r="R877"/>
  <c r="R878"/>
  <c r="R879"/>
  <c r="R880"/>
  <c r="R881"/>
  <c r="R882"/>
  <c r="R883"/>
  <c r="R884"/>
  <c r="R885"/>
  <c r="R886"/>
  <c r="R887"/>
  <c r="R888"/>
  <c r="R889"/>
  <c r="R890"/>
  <c r="R891"/>
  <c r="R892"/>
  <c r="R893"/>
  <c r="R894"/>
  <c r="R895"/>
  <c r="R896"/>
  <c r="R897"/>
  <c r="R898"/>
  <c r="R899"/>
  <c r="R900"/>
  <c r="R901"/>
  <c r="R902"/>
  <c r="R903"/>
  <c r="R904"/>
  <c r="R905"/>
  <c r="R906"/>
  <c r="R907"/>
  <c r="R908"/>
  <c r="R909"/>
  <c r="R910"/>
  <c r="R911"/>
  <c r="R912"/>
  <c r="R913"/>
  <c r="R914"/>
  <c r="R915"/>
  <c r="R916"/>
  <c r="R917"/>
  <c r="R918"/>
  <c r="R919"/>
  <c r="R920"/>
  <c r="R921"/>
  <c r="R922"/>
  <c r="R923"/>
  <c r="R924"/>
  <c r="R925"/>
  <c r="R926"/>
  <c r="R927"/>
  <c r="R928"/>
  <c r="R929"/>
  <c r="R930"/>
  <c r="R931"/>
  <c r="R932"/>
  <c r="R933"/>
  <c r="R934"/>
  <c r="R935"/>
  <c r="R936"/>
  <c r="R937"/>
  <c r="R938"/>
  <c r="R939"/>
  <c r="R940"/>
  <c r="R941"/>
  <c r="R942"/>
  <c r="R943"/>
  <c r="R944"/>
  <c r="R945"/>
  <c r="R946"/>
  <c r="R947"/>
  <c r="R948"/>
  <c r="R949"/>
  <c r="R950"/>
  <c r="R951"/>
  <c r="R952"/>
  <c r="R953"/>
  <c r="R954"/>
  <c r="R955"/>
  <c r="R956"/>
  <c r="R957"/>
  <c r="R958"/>
  <c r="R959"/>
  <c r="R960"/>
  <c r="R961"/>
  <c r="R962"/>
  <c r="R963"/>
  <c r="R964"/>
  <c r="R965"/>
  <c r="R966"/>
  <c r="R967"/>
  <c r="R968"/>
  <c r="R969"/>
  <c r="R970"/>
  <c r="R971"/>
  <c r="R972"/>
  <c r="R973"/>
  <c r="R974"/>
  <c r="R975"/>
  <c r="R976"/>
  <c r="R977"/>
  <c r="R978"/>
  <c r="R979"/>
  <c r="R980"/>
  <c r="R981"/>
  <c r="R982"/>
  <c r="R983"/>
  <c r="R984"/>
  <c r="R985"/>
  <c r="R986"/>
  <c r="R987"/>
  <c r="R988"/>
  <c r="R989"/>
  <c r="R990"/>
  <c r="R991"/>
  <c r="R992"/>
  <c r="R993"/>
  <c r="R994"/>
  <c r="R995"/>
  <c r="R996"/>
  <c r="R997"/>
  <c r="R998"/>
  <c r="R999"/>
  <c r="R1000"/>
  <c r="R1001"/>
  <c r="R1002"/>
  <c r="R1003"/>
  <c r="R1004"/>
  <c r="R1005"/>
  <c r="R1006"/>
  <c r="R1007"/>
  <c r="R1008"/>
  <c r="R1009"/>
  <c r="R1010"/>
  <c r="R1011"/>
  <c r="R1012"/>
  <c r="R1013"/>
  <c r="R1014"/>
  <c r="R1015"/>
  <c r="R1016"/>
  <c r="R1017"/>
  <c r="R1018"/>
  <c r="R1019"/>
  <c r="R1020"/>
  <c r="R1021"/>
  <c r="R1022"/>
  <c r="R1023"/>
  <c r="R1024"/>
  <c r="R1025"/>
  <c r="R1026"/>
  <c r="R1027"/>
  <c r="R1028"/>
  <c r="R1029"/>
  <c r="R1030"/>
  <c r="R1031"/>
  <c r="R1032"/>
  <c r="R1033"/>
  <c r="R1034"/>
  <c r="R1035"/>
  <c r="R1036"/>
  <c r="R1037"/>
  <c r="R1038"/>
  <c r="R1039"/>
  <c r="R1040"/>
  <c r="R1041"/>
  <c r="R1042"/>
  <c r="R1043"/>
  <c r="R1044"/>
  <c r="R1045"/>
  <c r="R1046"/>
  <c r="R1047"/>
  <c r="R1048"/>
  <c r="R1049"/>
  <c r="R1050"/>
  <c r="R1051"/>
  <c r="R1052"/>
  <c r="R1053"/>
  <c r="R1054"/>
  <c r="R1055"/>
  <c r="R1056"/>
  <c r="R1057"/>
  <c r="R1058"/>
  <c r="R1059"/>
  <c r="R1060"/>
  <c r="R1061"/>
  <c r="R1062"/>
  <c r="R1063"/>
  <c r="R1064"/>
  <c r="R1065"/>
  <c r="R1066"/>
  <c r="R1067"/>
  <c r="R1068"/>
  <c r="R1069"/>
  <c r="R1070"/>
  <c r="R1071"/>
  <c r="R1072"/>
  <c r="R1073"/>
  <c r="R1074"/>
  <c r="R1075"/>
  <c r="R1076"/>
  <c r="R1077"/>
  <c r="R1078"/>
  <c r="R1079"/>
  <c r="R1080"/>
  <c r="R1081"/>
  <c r="R1082"/>
  <c r="R1083"/>
  <c r="R1084"/>
  <c r="R1085"/>
  <c r="R1086"/>
  <c r="R1087"/>
  <c r="R1088"/>
  <c r="R1089"/>
  <c r="R1090"/>
  <c r="R1091"/>
  <c r="R1092"/>
  <c r="R1093"/>
  <c r="R1094"/>
  <c r="R1095"/>
  <c r="R1096"/>
  <c r="R1097"/>
  <c r="R1098"/>
  <c r="R1099"/>
  <c r="R1100"/>
  <c r="R1101"/>
  <c r="R1102"/>
  <c r="R1103"/>
  <c r="R1104"/>
  <c r="R1105"/>
  <c r="R1106"/>
  <c r="R1107"/>
  <c r="R1108"/>
  <c r="R1109"/>
  <c r="R1110"/>
  <c r="R1111"/>
  <c r="R1112"/>
  <c r="R1113"/>
  <c r="R1114"/>
  <c r="R1115"/>
  <c r="R1116"/>
  <c r="R1117"/>
  <c r="R1118"/>
  <c r="R1119"/>
  <c r="R1120"/>
  <c r="R1121"/>
  <c r="R1122"/>
  <c r="R1123"/>
  <c r="R1124"/>
  <c r="R1125"/>
  <c r="R1126"/>
  <c r="R1127"/>
  <c r="R1128"/>
  <c r="R1129"/>
  <c r="R1130"/>
  <c r="R1131"/>
  <c r="R1132"/>
  <c r="R1133"/>
  <c r="R1134"/>
  <c r="R1135"/>
  <c r="R1136"/>
  <c r="R1137"/>
  <c r="R1138"/>
  <c r="R1139"/>
  <c r="R1140"/>
  <c r="R1141"/>
  <c r="R1142"/>
  <c r="R1143"/>
  <c r="R1144"/>
  <c r="R1145"/>
  <c r="R1146"/>
  <c r="R1147"/>
  <c r="R1148"/>
  <c r="R1149"/>
  <c r="R1150"/>
  <c r="R1151"/>
  <c r="R1152"/>
  <c r="R1153"/>
  <c r="R1154"/>
  <c r="R1155"/>
  <c r="R1156"/>
  <c r="R1157"/>
  <c r="R1158"/>
  <c r="R1159"/>
  <c r="R1160"/>
  <c r="R1161"/>
  <c r="R1162"/>
  <c r="R1163"/>
  <c r="R1164"/>
  <c r="R1165"/>
  <c r="R1166"/>
  <c r="R1167"/>
  <c r="R1168"/>
  <c r="R1169"/>
  <c r="R1170"/>
  <c r="R1171"/>
  <c r="R1172"/>
  <c r="R1173"/>
  <c r="R1174"/>
  <c r="R1175"/>
  <c r="R1176"/>
  <c r="R1177"/>
  <c r="R1178"/>
  <c r="R1179"/>
  <c r="R1180"/>
  <c r="R1181"/>
  <c r="R1182"/>
  <c r="R1183"/>
  <c r="R1184"/>
  <c r="R1185"/>
  <c r="R1186"/>
  <c r="R1187"/>
  <c r="R1188"/>
  <c r="R1189"/>
  <c r="R1190"/>
  <c r="R1191"/>
  <c r="R1192"/>
  <c r="R1193"/>
  <c r="R1194"/>
  <c r="R1195"/>
  <c r="R1196"/>
  <c r="R1197"/>
  <c r="R1198"/>
  <c r="R1199"/>
  <c r="R1200"/>
  <c r="R1201"/>
  <c r="R1202"/>
  <c r="R1203"/>
  <c r="R1204"/>
  <c r="R1205"/>
  <c r="R1206"/>
  <c r="R1207"/>
  <c r="R1208"/>
  <c r="R1209"/>
  <c r="R1210"/>
  <c r="R1211"/>
  <c r="R1212"/>
  <c r="R1213"/>
  <c r="R1214"/>
  <c r="R1215"/>
  <c r="R1216"/>
  <c r="R1217"/>
  <c r="R1218"/>
  <c r="R1219"/>
  <c r="R1220"/>
  <c r="R1221"/>
  <c r="R1222"/>
  <c r="R1223"/>
  <c r="R1224"/>
  <c r="R1225"/>
  <c r="R1226"/>
  <c r="R1227"/>
  <c r="R1228"/>
  <c r="R1229"/>
  <c r="R1230"/>
  <c r="R1231"/>
  <c r="R1232"/>
  <c r="R1233"/>
  <c r="R1234"/>
  <c r="R1235"/>
  <c r="R1236"/>
  <c r="R1237"/>
  <c r="R1238"/>
  <c r="R1239"/>
  <c r="R1240"/>
  <c r="R1241"/>
  <c r="R1242"/>
  <c r="R1243"/>
  <c r="R1244"/>
  <c r="R1245"/>
  <c r="R1246"/>
  <c r="R1247"/>
  <c r="R1248"/>
  <c r="R1249"/>
  <c r="R1250"/>
  <c r="R1251"/>
  <c r="R1252"/>
  <c r="R1253"/>
  <c r="R1254"/>
  <c r="R1255"/>
  <c r="R1256"/>
  <c r="R1257"/>
  <c r="R1258"/>
  <c r="R1259"/>
  <c r="R1260"/>
  <c r="R1261"/>
  <c r="R1262"/>
  <c r="R1263"/>
  <c r="R1264"/>
  <c r="R1265"/>
  <c r="R1266"/>
  <c r="R1267"/>
  <c r="R1268"/>
  <c r="R1269"/>
  <c r="R1270"/>
  <c r="R1271"/>
  <c r="R1272"/>
  <c r="R1273"/>
  <c r="R1274"/>
  <c r="R1275"/>
  <c r="R1276"/>
  <c r="R1277"/>
  <c r="R1278"/>
  <c r="R1279"/>
  <c r="R1280"/>
  <c r="R1281"/>
  <c r="R1282"/>
  <c r="R1283"/>
  <c r="R1284"/>
  <c r="R1285"/>
  <c r="R1286"/>
  <c r="R1287"/>
  <c r="R1288"/>
  <c r="R1289"/>
  <c r="R1290"/>
  <c r="R1291"/>
  <c r="R1292"/>
  <c r="R1293"/>
  <c r="R1294"/>
  <c r="R1295"/>
  <c r="R1296"/>
  <c r="R1297"/>
  <c r="R1298"/>
  <c r="R1299"/>
  <c r="R1300"/>
  <c r="R1301"/>
  <c r="R1302"/>
  <c r="R1303"/>
  <c r="R1304"/>
  <c r="R1305"/>
  <c r="R1306"/>
  <c r="R1307"/>
  <c r="R1308"/>
  <c r="R1309"/>
  <c r="R1310"/>
  <c r="R1311"/>
  <c r="R1312"/>
  <c r="R1313"/>
  <c r="R1314"/>
  <c r="R1315"/>
  <c r="R1316"/>
  <c r="R1317"/>
  <c r="R1318"/>
  <c r="R1319"/>
  <c r="R1320"/>
  <c r="R1321"/>
  <c r="R1322"/>
  <c r="R1323"/>
  <c r="R1324"/>
  <c r="R1325"/>
  <c r="R1326"/>
  <c r="R1327"/>
  <c r="R1328"/>
  <c r="R1329"/>
  <c r="R1330"/>
  <c r="R1331"/>
  <c r="R1332"/>
  <c r="R1333"/>
  <c r="R1334"/>
  <c r="R1335"/>
  <c r="R1336"/>
  <c r="R1337"/>
  <c r="R1338"/>
  <c r="R1339"/>
  <c r="R1340"/>
  <c r="R1341"/>
  <c r="R1342"/>
  <c r="R1343"/>
  <c r="R1344"/>
  <c r="R1345"/>
  <c r="R1346"/>
  <c r="R1347"/>
  <c r="R1348"/>
  <c r="R1349"/>
  <c r="R1350"/>
  <c r="R1351"/>
  <c r="R1352"/>
  <c r="R1353"/>
  <c r="R1354"/>
  <c r="R1355"/>
  <c r="R1356"/>
  <c r="R1357"/>
  <c r="R1358"/>
  <c r="R1359"/>
  <c r="R1360"/>
  <c r="R1361"/>
  <c r="R1362"/>
  <c r="R1363"/>
  <c r="R1364"/>
  <c r="R1365"/>
  <c r="R1366"/>
  <c r="R1367"/>
  <c r="R5"/>
  <c r="P4"/>
  <c r="W20"/>
  <c r="W18"/>
  <c r="W17"/>
  <c r="R771" i="13" l="1"/>
  <c r="R775"/>
  <c r="R779"/>
  <c r="R783"/>
  <c r="R787"/>
  <c r="R791"/>
  <c r="R795"/>
  <c r="R799"/>
  <c r="R803"/>
  <c r="R807"/>
  <c r="R811"/>
  <c r="R815"/>
  <c r="R819"/>
  <c r="R823"/>
  <c r="R827"/>
  <c r="R831"/>
  <c r="R835"/>
  <c r="R839"/>
  <c r="R843"/>
  <c r="R847"/>
  <c r="R851"/>
  <c r="R855"/>
  <c r="R859"/>
  <c r="R863"/>
  <c r="R867"/>
  <c r="R871"/>
  <c r="R875"/>
  <c r="R879"/>
  <c r="R883"/>
  <c r="R887"/>
  <c r="R891"/>
  <c r="R895"/>
  <c r="R899"/>
  <c r="R903"/>
  <c r="R907"/>
  <c r="R911"/>
  <c r="R915"/>
  <c r="R919"/>
  <c r="R774"/>
  <c r="R778"/>
  <c r="R782"/>
  <c r="R786"/>
  <c r="R790"/>
  <c r="R794"/>
  <c r="R798"/>
  <c r="R802"/>
  <c r="R806"/>
  <c r="R810"/>
  <c r="R814"/>
  <c r="R818"/>
  <c r="R822"/>
  <c r="R826"/>
  <c r="R830"/>
  <c r="R834"/>
  <c r="R838"/>
  <c r="R842"/>
  <c r="R846"/>
  <c r="R850"/>
  <c r="R854"/>
  <c r="R858"/>
  <c r="R862"/>
  <c r="R866"/>
  <c r="R870"/>
  <c r="R874"/>
  <c r="R878"/>
  <c r="R882"/>
  <c r="R886"/>
  <c r="R890"/>
  <c r="R894"/>
  <c r="R898"/>
  <c r="R902"/>
  <c r="R906"/>
  <c r="R910"/>
  <c r="R914"/>
  <c r="R918"/>
  <c r="R922"/>
  <c r="R772"/>
  <c r="R780"/>
  <c r="R784"/>
  <c r="R788"/>
  <c r="R792"/>
  <c r="R796"/>
  <c r="R800"/>
  <c r="R804"/>
  <c r="R808"/>
  <c r="R773"/>
  <c r="R785"/>
  <c r="R801"/>
  <c r="R813"/>
  <c r="R821"/>
  <c r="R829"/>
  <c r="R837"/>
  <c r="R845"/>
  <c r="R853"/>
  <c r="R861"/>
  <c r="R869"/>
  <c r="R877"/>
  <c r="R885"/>
  <c r="R893"/>
  <c r="R901"/>
  <c r="R909"/>
  <c r="R917"/>
  <c r="R777"/>
  <c r="R793"/>
  <c r="R809"/>
  <c r="R817"/>
  <c r="R825"/>
  <c r="R833"/>
  <c r="R841"/>
  <c r="R849"/>
  <c r="R857"/>
  <c r="R865"/>
  <c r="R873"/>
  <c r="R881"/>
  <c r="R889"/>
  <c r="R897"/>
  <c r="R905"/>
  <c r="R913"/>
  <c r="R921"/>
  <c r="R781"/>
  <c r="R797"/>
  <c r="R812"/>
  <c r="R820"/>
  <c r="R828"/>
  <c r="R836"/>
  <c r="R844"/>
  <c r="R852"/>
  <c r="R860"/>
  <c r="R868"/>
  <c r="R876"/>
  <c r="R884"/>
  <c r="R892"/>
  <c r="R900"/>
  <c r="R908"/>
  <c r="R916"/>
  <c r="R776"/>
  <c r="R805"/>
  <c r="R816"/>
  <c r="R824"/>
  <c r="R832"/>
  <c r="R840"/>
  <c r="R848"/>
  <c r="R856"/>
  <c r="R864"/>
  <c r="R872"/>
  <c r="R880"/>
  <c r="R888"/>
  <c r="R896"/>
  <c r="R904"/>
  <c r="R789"/>
  <c r="R920"/>
  <c r="R912"/>
  <c r="R629"/>
  <c r="R633"/>
  <c r="R637"/>
  <c r="R641"/>
  <c r="R645"/>
  <c r="R649"/>
  <c r="R653"/>
  <c r="R657"/>
  <c r="R661"/>
  <c r="R665"/>
  <c r="R669"/>
  <c r="R673"/>
  <c r="R677"/>
  <c r="R681"/>
  <c r="R685"/>
  <c r="R689"/>
  <c r="R693"/>
  <c r="R697"/>
  <c r="R701"/>
  <c r="R705"/>
  <c r="R709"/>
  <c r="R713"/>
  <c r="R717"/>
  <c r="R721"/>
  <c r="R725"/>
  <c r="R729"/>
  <c r="R733"/>
  <c r="R740"/>
  <c r="R744"/>
  <c r="R748"/>
  <c r="R752"/>
  <c r="R756"/>
  <c r="R760"/>
  <c r="R764"/>
  <c r="R768"/>
  <c r="R630"/>
  <c r="R634"/>
  <c r="R638"/>
  <c r="R642"/>
  <c r="R646"/>
  <c r="R650"/>
  <c r="R654"/>
  <c r="R658"/>
  <c r="R662"/>
  <c r="R666"/>
  <c r="R670"/>
  <c r="R674"/>
  <c r="R678"/>
  <c r="R682"/>
  <c r="R686"/>
  <c r="R690"/>
  <c r="R694"/>
  <c r="R698"/>
  <c r="R702"/>
  <c r="R706"/>
  <c r="R710"/>
  <c r="R714"/>
  <c r="R718"/>
  <c r="R722"/>
  <c r="R726"/>
  <c r="R730"/>
  <c r="R734"/>
  <c r="R737"/>
  <c r="R741"/>
  <c r="R745"/>
  <c r="R749"/>
  <c r="R753"/>
  <c r="R757"/>
  <c r="R761"/>
  <c r="R765"/>
  <c r="R769"/>
  <c r="R631"/>
  <c r="R632"/>
  <c r="R640"/>
  <c r="R648"/>
  <c r="R656"/>
  <c r="R664"/>
  <c r="R672"/>
  <c r="R680"/>
  <c r="R688"/>
  <c r="R696"/>
  <c r="R704"/>
  <c r="R712"/>
  <c r="R720"/>
  <c r="R728"/>
  <c r="R736"/>
  <c r="R743"/>
  <c r="R751"/>
  <c r="R759"/>
  <c r="R767"/>
  <c r="R635"/>
  <c r="R643"/>
  <c r="R651"/>
  <c r="R659"/>
  <c r="R667"/>
  <c r="R675"/>
  <c r="R683"/>
  <c r="R691"/>
  <c r="R699"/>
  <c r="R707"/>
  <c r="R715"/>
  <c r="R723"/>
  <c r="R731"/>
  <c r="R738"/>
  <c r="R746"/>
  <c r="R754"/>
  <c r="R762"/>
  <c r="R770"/>
  <c r="R636"/>
  <c r="R644"/>
  <c r="R652"/>
  <c r="R660"/>
  <c r="R647"/>
  <c r="R671"/>
  <c r="R687"/>
  <c r="R703"/>
  <c r="R719"/>
  <c r="R735"/>
  <c r="R750"/>
  <c r="R766"/>
  <c r="R655"/>
  <c r="R676"/>
  <c r="R692"/>
  <c r="R708"/>
  <c r="R724"/>
  <c r="R739"/>
  <c r="R755"/>
  <c r="R663"/>
  <c r="R679"/>
  <c r="R695"/>
  <c r="R711"/>
  <c r="R727"/>
  <c r="R742"/>
  <c r="R758"/>
  <c r="R628"/>
  <c r="R639"/>
  <c r="R668"/>
  <c r="R684"/>
  <c r="R700"/>
  <c r="R716"/>
  <c r="R732"/>
  <c r="R747"/>
  <c r="R763"/>
  <c r="R307"/>
  <c r="R323"/>
  <c r="R339"/>
  <c r="R355"/>
  <c r="R371"/>
  <c r="R316"/>
  <c r="R332"/>
  <c r="R348"/>
  <c r="R364"/>
  <c r="R380"/>
  <c r="R396"/>
  <c r="R412"/>
  <c r="R428"/>
  <c r="R444"/>
  <c r="R460"/>
  <c r="R476"/>
  <c r="R492"/>
  <c r="R326"/>
  <c r="R358"/>
  <c r="R385"/>
  <c r="R406"/>
  <c r="R427"/>
  <c r="R449"/>
  <c r="R470"/>
  <c r="R491"/>
  <c r="R508"/>
  <c r="R524"/>
  <c r="R540"/>
  <c r="R556"/>
  <c r="R572"/>
  <c r="R588"/>
  <c r="R604"/>
  <c r="R620"/>
  <c r="R321"/>
  <c r="R353"/>
  <c r="R381"/>
  <c r="R402"/>
  <c r="R423"/>
  <c r="R445"/>
  <c r="R466"/>
  <c r="R487"/>
  <c r="R505"/>
  <c r="R521"/>
  <c r="R537"/>
  <c r="R553"/>
  <c r="R569"/>
  <c r="R585"/>
  <c r="R601"/>
  <c r="R617"/>
  <c r="R325"/>
  <c r="R383"/>
  <c r="R426"/>
  <c r="R469"/>
  <c r="R507"/>
  <c r="R539"/>
  <c r="R571"/>
  <c r="R603"/>
  <c r="R314"/>
  <c r="R377"/>
  <c r="R419"/>
  <c r="R462"/>
  <c r="R502"/>
  <c r="R534"/>
  <c r="R566"/>
  <c r="R598"/>
  <c r="R317"/>
  <c r="R378"/>
  <c r="R421"/>
  <c r="R463"/>
  <c r="R503"/>
  <c r="R535"/>
  <c r="R567"/>
  <c r="R599"/>
  <c r="R306"/>
  <c r="R370"/>
  <c r="R414"/>
  <c r="R457"/>
  <c r="R498"/>
  <c r="R530"/>
  <c r="R562"/>
  <c r="R594"/>
  <c r="R626"/>
  <c r="R311"/>
  <c r="R327"/>
  <c r="R343"/>
  <c r="R359"/>
  <c r="R304"/>
  <c r="R320"/>
  <c r="R336"/>
  <c r="R352"/>
  <c r="R368"/>
  <c r="R384"/>
  <c r="R400"/>
  <c r="R416"/>
  <c r="R432"/>
  <c r="R448"/>
  <c r="R464"/>
  <c r="R480"/>
  <c r="R302"/>
  <c r="R334"/>
  <c r="R366"/>
  <c r="R390"/>
  <c r="R411"/>
  <c r="R433"/>
  <c r="R454"/>
  <c r="R475"/>
  <c r="R496"/>
  <c r="R512"/>
  <c r="R528"/>
  <c r="R544"/>
  <c r="R560"/>
  <c r="R576"/>
  <c r="R592"/>
  <c r="R608"/>
  <c r="R624"/>
  <c r="R329"/>
  <c r="R361"/>
  <c r="R386"/>
  <c r="R407"/>
  <c r="R429"/>
  <c r="R450"/>
  <c r="R471"/>
  <c r="R493"/>
  <c r="R509"/>
  <c r="R525"/>
  <c r="R541"/>
  <c r="R557"/>
  <c r="R573"/>
  <c r="R589"/>
  <c r="R605"/>
  <c r="R621"/>
  <c r="R341"/>
  <c r="R394"/>
  <c r="R437"/>
  <c r="R479"/>
  <c r="R515"/>
  <c r="R547"/>
  <c r="R579"/>
  <c r="R611"/>
  <c r="R330"/>
  <c r="R387"/>
  <c r="R430"/>
  <c r="R473"/>
  <c r="R510"/>
  <c r="R542"/>
  <c r="R574"/>
  <c r="R606"/>
  <c r="R333"/>
  <c r="R389"/>
  <c r="R431"/>
  <c r="R474"/>
  <c r="R511"/>
  <c r="R543"/>
  <c r="R575"/>
  <c r="R607"/>
  <c r="R322"/>
  <c r="R382"/>
  <c r="R425"/>
  <c r="R467"/>
  <c r="R506"/>
  <c r="R538"/>
  <c r="R570"/>
  <c r="R602"/>
  <c r="R315"/>
  <c r="R331"/>
  <c r="R347"/>
  <c r="R363"/>
  <c r="R308"/>
  <c r="R324"/>
  <c r="R340"/>
  <c r="R356"/>
  <c r="R372"/>
  <c r="R388"/>
  <c r="R404"/>
  <c r="R420"/>
  <c r="R436"/>
  <c r="R452"/>
  <c r="R468"/>
  <c r="R484"/>
  <c r="R310"/>
  <c r="R342"/>
  <c r="R374"/>
  <c r="R395"/>
  <c r="R417"/>
  <c r="R438"/>
  <c r="R459"/>
  <c r="R481"/>
  <c r="R500"/>
  <c r="R516"/>
  <c r="R532"/>
  <c r="R548"/>
  <c r="R564"/>
  <c r="R580"/>
  <c r="R596"/>
  <c r="R612"/>
  <c r="R305"/>
  <c r="R337"/>
  <c r="R369"/>
  <c r="R391"/>
  <c r="R413"/>
  <c r="R434"/>
  <c r="R455"/>
  <c r="R477"/>
  <c r="R497"/>
  <c r="R513"/>
  <c r="R529"/>
  <c r="R545"/>
  <c r="R561"/>
  <c r="R577"/>
  <c r="R593"/>
  <c r="R609"/>
  <c r="R625"/>
  <c r="R357"/>
  <c r="R405"/>
  <c r="R447"/>
  <c r="R490"/>
  <c r="R523"/>
  <c r="R555"/>
  <c r="R587"/>
  <c r="R619"/>
  <c r="R346"/>
  <c r="R398"/>
  <c r="R441"/>
  <c r="R483"/>
  <c r="R518"/>
  <c r="R550"/>
  <c r="R582"/>
  <c r="R614"/>
  <c r="R349"/>
  <c r="R399"/>
  <c r="R442"/>
  <c r="R485"/>
  <c r="R519"/>
  <c r="R551"/>
  <c r="R583"/>
  <c r="R615"/>
  <c r="R338"/>
  <c r="R393"/>
  <c r="R435"/>
  <c r="R478"/>
  <c r="R514"/>
  <c r="R546"/>
  <c r="R578"/>
  <c r="R610"/>
  <c r="R303"/>
  <c r="R319"/>
  <c r="R335"/>
  <c r="R351"/>
  <c r="R367"/>
  <c r="R312"/>
  <c r="R328"/>
  <c r="R344"/>
  <c r="R360"/>
  <c r="R376"/>
  <c r="R392"/>
  <c r="R408"/>
  <c r="R424"/>
  <c r="R440"/>
  <c r="R456"/>
  <c r="R472"/>
  <c r="R488"/>
  <c r="R318"/>
  <c r="R350"/>
  <c r="R379"/>
  <c r="R401"/>
  <c r="R422"/>
  <c r="R443"/>
  <c r="R465"/>
  <c r="R486"/>
  <c r="R504"/>
  <c r="R520"/>
  <c r="R536"/>
  <c r="R552"/>
  <c r="R568"/>
  <c r="R584"/>
  <c r="R600"/>
  <c r="R616"/>
  <c r="R313"/>
  <c r="R345"/>
  <c r="R375"/>
  <c r="R397"/>
  <c r="R418"/>
  <c r="R439"/>
  <c r="R461"/>
  <c r="R482"/>
  <c r="R501"/>
  <c r="R517"/>
  <c r="R533"/>
  <c r="R549"/>
  <c r="R565"/>
  <c r="R581"/>
  <c r="R597"/>
  <c r="R613"/>
  <c r="R309"/>
  <c r="R373"/>
  <c r="R415"/>
  <c r="R458"/>
  <c r="R499"/>
  <c r="R531"/>
  <c r="R563"/>
  <c r="R595"/>
  <c r="R301"/>
  <c r="R362"/>
  <c r="R409"/>
  <c r="R451"/>
  <c r="R494"/>
  <c r="R526"/>
  <c r="R558"/>
  <c r="R590"/>
  <c r="R622"/>
  <c r="R365"/>
  <c r="R410"/>
  <c r="R453"/>
  <c r="R495"/>
  <c r="R527"/>
  <c r="R559"/>
  <c r="R591"/>
  <c r="R623"/>
  <c r="R354"/>
  <c r="R403"/>
  <c r="R446"/>
  <c r="R489"/>
  <c r="R522"/>
  <c r="R554"/>
  <c r="R586"/>
  <c r="R618"/>
  <c r="P189"/>
  <c r="P282"/>
  <c r="P19"/>
  <c r="P117"/>
  <c r="P254"/>
  <c r="P265"/>
  <c r="P234"/>
  <c r="P157"/>
  <c r="P61"/>
  <c r="P286"/>
  <c r="P261"/>
  <c r="P218"/>
  <c r="P125"/>
  <c r="P51"/>
  <c r="P275"/>
  <c r="P239"/>
  <c r="P181"/>
  <c r="P93"/>
  <c r="R19"/>
  <c r="R290"/>
  <c r="R263"/>
  <c r="R231"/>
  <c r="R199"/>
  <c r="R167"/>
  <c r="R135"/>
  <c r="R103"/>
  <c r="R71"/>
  <c r="R39"/>
  <c r="R7"/>
  <c r="P271"/>
  <c r="P250"/>
  <c r="P213"/>
  <c r="P149"/>
  <c r="P85"/>
  <c r="R287"/>
  <c r="R259"/>
  <c r="R227"/>
  <c r="R195"/>
  <c r="R163"/>
  <c r="R131"/>
  <c r="R99"/>
  <c r="R67"/>
  <c r="R35"/>
  <c r="R279"/>
  <c r="R247"/>
  <c r="R215"/>
  <c r="R183"/>
  <c r="R151"/>
  <c r="R119"/>
  <c r="R87"/>
  <c r="R55"/>
  <c r="R23"/>
  <c r="R15"/>
  <c r="R275"/>
  <c r="R243"/>
  <c r="R211"/>
  <c r="R179"/>
  <c r="R147"/>
  <c r="R115"/>
  <c r="R83"/>
  <c r="R51"/>
  <c r="P291"/>
  <c r="P293"/>
  <c r="P295"/>
  <c r="P297"/>
  <c r="P299"/>
  <c r="P292"/>
  <c r="P294"/>
  <c r="P296"/>
  <c r="P298"/>
  <c r="P9"/>
  <c r="P13"/>
  <c r="P17"/>
  <c r="P21"/>
  <c r="P25"/>
  <c r="P29"/>
  <c r="P33"/>
  <c r="P37"/>
  <c r="P41"/>
  <c r="P45"/>
  <c r="P49"/>
  <c r="P53"/>
  <c r="P57"/>
  <c r="P7"/>
  <c r="P12"/>
  <c r="P18"/>
  <c r="P23"/>
  <c r="P28"/>
  <c r="P34"/>
  <c r="P39"/>
  <c r="P44"/>
  <c r="P50"/>
  <c r="P55"/>
  <c r="P60"/>
  <c r="P64"/>
  <c r="P68"/>
  <c r="P72"/>
  <c r="P76"/>
  <c r="P80"/>
  <c r="P84"/>
  <c r="P88"/>
  <c r="P92"/>
  <c r="P96"/>
  <c r="P100"/>
  <c r="P104"/>
  <c r="P108"/>
  <c r="P112"/>
  <c r="P116"/>
  <c r="P120"/>
  <c r="P124"/>
  <c r="P128"/>
  <c r="P132"/>
  <c r="P136"/>
  <c r="P140"/>
  <c r="P144"/>
  <c r="P148"/>
  <c r="P152"/>
  <c r="P156"/>
  <c r="P160"/>
  <c r="P164"/>
  <c r="P168"/>
  <c r="P172"/>
  <c r="P176"/>
  <c r="P180"/>
  <c r="P184"/>
  <c r="P188"/>
  <c r="P192"/>
  <c r="P196"/>
  <c r="P200"/>
  <c r="P204"/>
  <c r="P208"/>
  <c r="P212"/>
  <c r="P216"/>
  <c r="P220"/>
  <c r="P224"/>
  <c r="P228"/>
  <c r="P232"/>
  <c r="P236"/>
  <c r="P240"/>
  <c r="P244"/>
  <c r="P248"/>
  <c r="P252"/>
  <c r="P256"/>
  <c r="P260"/>
  <c r="P264"/>
  <c r="P268"/>
  <c r="P272"/>
  <c r="P276"/>
  <c r="P280"/>
  <c r="P284"/>
  <c r="P288"/>
  <c r="P10"/>
  <c r="P15"/>
  <c r="P20"/>
  <c r="P26"/>
  <c r="P31"/>
  <c r="P36"/>
  <c r="P42"/>
  <c r="P47"/>
  <c r="P52"/>
  <c r="P58"/>
  <c r="P62"/>
  <c r="P66"/>
  <c r="P70"/>
  <c r="P74"/>
  <c r="P78"/>
  <c r="P82"/>
  <c r="P86"/>
  <c r="P90"/>
  <c r="P94"/>
  <c r="P98"/>
  <c r="P102"/>
  <c r="P106"/>
  <c r="P110"/>
  <c r="P114"/>
  <c r="P118"/>
  <c r="P122"/>
  <c r="P126"/>
  <c r="P130"/>
  <c r="P134"/>
  <c r="P138"/>
  <c r="P142"/>
  <c r="P146"/>
  <c r="P150"/>
  <c r="P154"/>
  <c r="P158"/>
  <c r="P162"/>
  <c r="P166"/>
  <c r="P170"/>
  <c r="P174"/>
  <c r="P178"/>
  <c r="P182"/>
  <c r="P186"/>
  <c r="P190"/>
  <c r="P194"/>
  <c r="P198"/>
  <c r="P202"/>
  <c r="P206"/>
  <c r="P210"/>
  <c r="P11"/>
  <c r="P22"/>
  <c r="P32"/>
  <c r="P43"/>
  <c r="P54"/>
  <c r="P63"/>
  <c r="P71"/>
  <c r="P79"/>
  <c r="P87"/>
  <c r="P95"/>
  <c r="P103"/>
  <c r="P111"/>
  <c r="P119"/>
  <c r="P127"/>
  <c r="P135"/>
  <c r="P143"/>
  <c r="P151"/>
  <c r="P159"/>
  <c r="P167"/>
  <c r="P175"/>
  <c r="P183"/>
  <c r="P191"/>
  <c r="P199"/>
  <c r="P207"/>
  <c r="P214"/>
  <c r="P219"/>
  <c r="P225"/>
  <c r="P230"/>
  <c r="P235"/>
  <c r="P241"/>
  <c r="P246"/>
  <c r="P251"/>
  <c r="P257"/>
  <c r="P262"/>
  <c r="P267"/>
  <c r="P273"/>
  <c r="P278"/>
  <c r="P283"/>
  <c r="P289"/>
  <c r="P131"/>
  <c r="P222"/>
  <c r="P243"/>
  <c r="P14"/>
  <c r="P24"/>
  <c r="P35"/>
  <c r="P46"/>
  <c r="P56"/>
  <c r="P65"/>
  <c r="P73"/>
  <c r="P81"/>
  <c r="P89"/>
  <c r="P97"/>
  <c r="P105"/>
  <c r="P113"/>
  <c r="P121"/>
  <c r="P129"/>
  <c r="P137"/>
  <c r="P145"/>
  <c r="P153"/>
  <c r="P161"/>
  <c r="P169"/>
  <c r="P177"/>
  <c r="P185"/>
  <c r="P193"/>
  <c r="P201"/>
  <c r="P209"/>
  <c r="P215"/>
  <c r="P221"/>
  <c r="P226"/>
  <c r="P231"/>
  <c r="P237"/>
  <c r="P242"/>
  <c r="P247"/>
  <c r="P253"/>
  <c r="P258"/>
  <c r="P263"/>
  <c r="P269"/>
  <c r="P274"/>
  <c r="P279"/>
  <c r="P285"/>
  <c r="P290"/>
  <c r="P6"/>
  <c r="P16"/>
  <c r="P27"/>
  <c r="P38"/>
  <c r="P48"/>
  <c r="P59"/>
  <c r="P67"/>
  <c r="P75"/>
  <c r="P83"/>
  <c r="P91"/>
  <c r="P99"/>
  <c r="P107"/>
  <c r="P115"/>
  <c r="P123"/>
  <c r="P139"/>
  <c r="P147"/>
  <c r="P155"/>
  <c r="P163"/>
  <c r="P171"/>
  <c r="P179"/>
  <c r="P187"/>
  <c r="P195"/>
  <c r="P203"/>
  <c r="P211"/>
  <c r="P217"/>
  <c r="P227"/>
  <c r="P233"/>
  <c r="P238"/>
  <c r="P281"/>
  <c r="P270"/>
  <c r="P259"/>
  <c r="P249"/>
  <c r="P229"/>
  <c r="P205"/>
  <c r="P173"/>
  <c r="P141"/>
  <c r="P109"/>
  <c r="P77"/>
  <c r="P40"/>
  <c r="P287"/>
  <c r="P277"/>
  <c r="P266"/>
  <c r="P255"/>
  <c r="P245"/>
  <c r="P223"/>
  <c r="P197"/>
  <c r="P165"/>
  <c r="P133"/>
  <c r="P101"/>
  <c r="P69"/>
  <c r="P30"/>
  <c r="R284"/>
  <c r="R271"/>
  <c r="R255"/>
  <c r="R239"/>
  <c r="R223"/>
  <c r="R207"/>
  <c r="R191"/>
  <c r="R175"/>
  <c r="R159"/>
  <c r="R143"/>
  <c r="R127"/>
  <c r="R111"/>
  <c r="R95"/>
  <c r="R79"/>
  <c r="R63"/>
  <c r="R47"/>
  <c r="R31"/>
  <c r="R278"/>
  <c r="R8"/>
  <c r="R16"/>
  <c r="R24"/>
  <c r="R32"/>
  <c r="R40"/>
  <c r="R48"/>
  <c r="R56"/>
  <c r="R64"/>
  <c r="R72"/>
  <c r="R80"/>
  <c r="R88"/>
  <c r="R96"/>
  <c r="R104"/>
  <c r="R112"/>
  <c r="R120"/>
  <c r="R128"/>
  <c r="R136"/>
  <c r="R144"/>
  <c r="R152"/>
  <c r="R160"/>
  <c r="R168"/>
  <c r="R176"/>
  <c r="R184"/>
  <c r="R192"/>
  <c r="R200"/>
  <c r="R208"/>
  <c r="R216"/>
  <c r="R224"/>
  <c r="R232"/>
  <c r="R240"/>
  <c r="R248"/>
  <c r="R256"/>
  <c r="R264"/>
  <c r="R272"/>
  <c r="R280"/>
  <c r="R286"/>
  <c r="R5"/>
  <c r="R12"/>
  <c r="R20"/>
  <c r="R28"/>
  <c r="R36"/>
  <c r="R44"/>
  <c r="R52"/>
  <c r="R60"/>
  <c r="R68"/>
  <c r="R76"/>
  <c r="R84"/>
  <c r="R92"/>
  <c r="R100"/>
  <c r="R108"/>
  <c r="R116"/>
  <c r="R124"/>
  <c r="R132"/>
  <c r="R140"/>
  <c r="R148"/>
  <c r="R156"/>
  <c r="R164"/>
  <c r="R172"/>
  <c r="R180"/>
  <c r="R188"/>
  <c r="R196"/>
  <c r="R204"/>
  <c r="R212"/>
  <c r="R220"/>
  <c r="R228"/>
  <c r="R236"/>
  <c r="R244"/>
  <c r="R252"/>
  <c r="R260"/>
  <c r="R268"/>
  <c r="R276"/>
  <c r="R283"/>
  <c r="R288"/>
  <c r="R282"/>
  <c r="R267"/>
  <c r="R251"/>
  <c r="R235"/>
  <c r="R219"/>
  <c r="R203"/>
  <c r="R187"/>
  <c r="R171"/>
  <c r="R155"/>
  <c r="R139"/>
  <c r="R123"/>
  <c r="R107"/>
  <c r="R91"/>
  <c r="R75"/>
  <c r="R59"/>
  <c r="R43"/>
  <c r="R27"/>
  <c r="R11"/>
  <c r="R6"/>
  <c r="R274"/>
  <c r="R270"/>
  <c r="R266"/>
  <c r="R262"/>
  <c r="R258"/>
  <c r="R254"/>
  <c r="R250"/>
  <c r="R246"/>
  <c r="R242"/>
  <c r="R238"/>
  <c r="R234"/>
  <c r="R230"/>
  <c r="R226"/>
  <c r="R222"/>
  <c r="R218"/>
  <c r="R214"/>
  <c r="R210"/>
  <c r="R206"/>
  <c r="R202"/>
  <c r="R198"/>
  <c r="R194"/>
  <c r="R190"/>
  <c r="R186"/>
  <c r="R182"/>
  <c r="R178"/>
  <c r="R174"/>
  <c r="R170"/>
  <c r="R166"/>
  <c r="R162"/>
  <c r="R158"/>
  <c r="R154"/>
  <c r="R150"/>
  <c r="R146"/>
  <c r="R142"/>
  <c r="R138"/>
  <c r="R134"/>
  <c r="R130"/>
  <c r="R126"/>
  <c r="R122"/>
  <c r="R118"/>
  <c r="R114"/>
  <c r="R110"/>
  <c r="R106"/>
  <c r="R102"/>
  <c r="R98"/>
  <c r="R94"/>
  <c r="R90"/>
  <c r="R86"/>
  <c r="R82"/>
  <c r="R78"/>
  <c r="R74"/>
  <c r="R70"/>
  <c r="R66"/>
  <c r="R62"/>
  <c r="R58"/>
  <c r="R54"/>
  <c r="R50"/>
  <c r="R46"/>
  <c r="R42"/>
  <c r="R38"/>
  <c r="R34"/>
  <c r="R30"/>
  <c r="R26"/>
  <c r="R22"/>
  <c r="R18"/>
  <c r="R14"/>
  <c r="R10"/>
  <c r="R292"/>
  <c r="R294"/>
  <c r="R296"/>
  <c r="R298"/>
  <c r="R291"/>
  <c r="R293"/>
  <c r="R295"/>
  <c r="R297"/>
  <c r="R299"/>
  <c r="R289"/>
  <c r="R285"/>
  <c r="R281"/>
  <c r="R277"/>
  <c r="R273"/>
  <c r="R269"/>
  <c r="R265"/>
  <c r="R261"/>
  <c r="R257"/>
  <c r="R253"/>
  <c r="R249"/>
  <c r="R245"/>
  <c r="R241"/>
  <c r="R237"/>
  <c r="R233"/>
  <c r="R229"/>
  <c r="R225"/>
  <c r="R221"/>
  <c r="R217"/>
  <c r="R213"/>
  <c r="R209"/>
  <c r="R205"/>
  <c r="R201"/>
  <c r="R197"/>
  <c r="R193"/>
  <c r="R189"/>
  <c r="R185"/>
  <c r="R181"/>
  <c r="R177"/>
  <c r="R173"/>
  <c r="R169"/>
  <c r="R165"/>
  <c r="R161"/>
  <c r="R157"/>
  <c r="R153"/>
  <c r="R149"/>
  <c r="R145"/>
  <c r="R141"/>
  <c r="R137"/>
  <c r="R133"/>
  <c r="R129"/>
  <c r="R125"/>
  <c r="R121"/>
  <c r="R117"/>
  <c r="R113"/>
  <c r="R109"/>
  <c r="R105"/>
  <c r="R101"/>
  <c r="R97"/>
  <c r="R93"/>
  <c r="R89"/>
  <c r="R85"/>
  <c r="R81"/>
  <c r="R77"/>
  <c r="R73"/>
  <c r="R69"/>
  <c r="R65"/>
  <c r="R61"/>
  <c r="R57"/>
  <c r="R53"/>
  <c r="R49"/>
  <c r="R45"/>
  <c r="R41"/>
  <c r="R37"/>
  <c r="R33"/>
  <c r="R29"/>
  <c r="R25"/>
  <c r="R21"/>
  <c r="R17"/>
  <c r="R13"/>
  <c r="R9"/>
  <c r="N627" i="14"/>
  <c r="M627"/>
  <c r="K292" i="13"/>
  <c r="L291"/>
  <c r="N291" s="1"/>
  <c r="R924" l="1"/>
  <c r="C10" i="12" s="1"/>
  <c r="K293" i="13"/>
  <c r="L292"/>
  <c r="N292" s="1"/>
  <c r="B15" i="10"/>
  <c r="B12"/>
  <c r="B14"/>
  <c r="B11"/>
  <c r="K6" i="1"/>
  <c r="K7"/>
  <c r="K8"/>
  <c r="K9"/>
  <c r="K10"/>
  <c r="K12"/>
  <c r="K13"/>
  <c r="K16"/>
  <c r="K17"/>
  <c r="K18"/>
  <c r="K19"/>
  <c r="K21"/>
  <c r="K22"/>
  <c r="K24"/>
  <c r="K25"/>
  <c r="K26"/>
  <c r="K27"/>
  <c r="K28"/>
  <c r="K29"/>
  <c r="K31"/>
  <c r="K32"/>
  <c r="K33"/>
  <c r="K35"/>
  <c r="K36"/>
  <c r="K37"/>
  <c r="K39"/>
  <c r="K40"/>
  <c r="K41"/>
  <c r="K42"/>
  <c r="K43"/>
  <c r="K44"/>
  <c r="K45"/>
  <c r="K47"/>
  <c r="K48"/>
  <c r="K49"/>
  <c r="K50"/>
  <c r="K51"/>
  <c r="K53"/>
  <c r="K56"/>
  <c r="K58"/>
  <c r="K59"/>
  <c r="K60"/>
  <c r="K61"/>
  <c r="K62"/>
  <c r="K63"/>
  <c r="K64"/>
  <c r="K66"/>
  <c r="K67"/>
  <c r="K68"/>
  <c r="K69"/>
  <c r="K71"/>
  <c r="K72"/>
  <c r="K73"/>
  <c r="K74"/>
  <c r="K76"/>
  <c r="K77"/>
  <c r="K78"/>
  <c r="K79"/>
  <c r="K81"/>
  <c r="K82"/>
  <c r="K85"/>
  <c r="K86"/>
  <c r="K88"/>
  <c r="K89"/>
  <c r="K90"/>
  <c r="K91"/>
  <c r="K92"/>
  <c r="K93"/>
  <c r="K94"/>
  <c r="K95"/>
  <c r="K97"/>
  <c r="K98"/>
  <c r="K99"/>
  <c r="K100"/>
  <c r="K102"/>
  <c r="K103"/>
  <c r="K104"/>
  <c r="K105"/>
  <c r="K106"/>
  <c r="K108"/>
  <c r="K109"/>
  <c r="K110"/>
  <c r="K111"/>
  <c r="K113"/>
  <c r="K114"/>
  <c r="K117"/>
  <c r="K118"/>
  <c r="K120"/>
  <c r="K121"/>
  <c r="K122"/>
  <c r="K123"/>
  <c r="K124"/>
  <c r="K125"/>
  <c r="K126"/>
  <c r="K127"/>
  <c r="K129"/>
  <c r="K130"/>
  <c r="K131"/>
  <c r="K132"/>
  <c r="K133"/>
  <c r="K135"/>
  <c r="K136"/>
  <c r="K137"/>
  <c r="K138"/>
  <c r="K139"/>
  <c r="K140"/>
  <c r="K142"/>
  <c r="K206"/>
  <c r="K207"/>
  <c r="K208"/>
  <c r="K209"/>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705"/>
  <c r="K706"/>
  <c r="K707"/>
  <c r="K708"/>
  <c r="K709"/>
  <c r="K710"/>
  <c r="K711"/>
  <c r="K712"/>
  <c r="K713"/>
  <c r="K714"/>
  <c r="K715"/>
  <c r="K716"/>
  <c r="K717"/>
  <c r="K718"/>
  <c r="K719"/>
  <c r="K720"/>
  <c r="K721"/>
  <c r="K722"/>
  <c r="K723"/>
  <c r="K724"/>
  <c r="K725"/>
  <c r="K726"/>
  <c r="K727"/>
  <c r="K728"/>
  <c r="K729"/>
  <c r="K730"/>
  <c r="K731"/>
  <c r="K732"/>
  <c r="K733"/>
  <c r="K734"/>
  <c r="K735"/>
  <c r="K736"/>
  <c r="K737"/>
  <c r="K738"/>
  <c r="K739"/>
  <c r="K740"/>
  <c r="K741"/>
  <c r="K742"/>
  <c r="K743"/>
  <c r="K744"/>
  <c r="K745"/>
  <c r="K746"/>
  <c r="K747"/>
  <c r="K748"/>
  <c r="K749"/>
  <c r="K750"/>
  <c r="K751"/>
  <c r="K752"/>
  <c r="K753"/>
  <c r="K754"/>
  <c r="K755"/>
  <c r="K756"/>
  <c r="K757"/>
  <c r="K758"/>
  <c r="K759"/>
  <c r="K760"/>
  <c r="K761"/>
  <c r="K762"/>
  <c r="K763"/>
  <c r="K764"/>
  <c r="K765"/>
  <c r="K766"/>
  <c r="K767"/>
  <c r="K768"/>
  <c r="K769"/>
  <c r="K770"/>
  <c r="K771"/>
  <c r="K772"/>
  <c r="K773"/>
  <c r="K774"/>
  <c r="K775"/>
  <c r="K776"/>
  <c r="K777"/>
  <c r="K778"/>
  <c r="K779"/>
  <c r="K780"/>
  <c r="K781"/>
  <c r="K782"/>
  <c r="K783"/>
  <c r="K784"/>
  <c r="K785"/>
  <c r="K786"/>
  <c r="K787"/>
  <c r="K788"/>
  <c r="K789"/>
  <c r="K790"/>
  <c r="K791"/>
  <c r="K792"/>
  <c r="K793"/>
  <c r="K794"/>
  <c r="K795"/>
  <c r="K796"/>
  <c r="K797"/>
  <c r="K798"/>
  <c r="K799"/>
  <c r="K800"/>
  <c r="K801"/>
  <c r="K802"/>
  <c r="K803"/>
  <c r="K804"/>
  <c r="K805"/>
  <c r="K806"/>
  <c r="K807"/>
  <c r="K808"/>
  <c r="K809"/>
  <c r="K810"/>
  <c r="K811"/>
  <c r="K812"/>
  <c r="K813"/>
  <c r="K814"/>
  <c r="K815"/>
  <c r="K816"/>
  <c r="K817"/>
  <c r="K818"/>
  <c r="K819"/>
  <c r="K820"/>
  <c r="K821"/>
  <c r="K822"/>
  <c r="K823"/>
  <c r="K824"/>
  <c r="K825"/>
  <c r="K826"/>
  <c r="K827"/>
  <c r="K828"/>
  <c r="K829"/>
  <c r="K830"/>
  <c r="K831"/>
  <c r="K832"/>
  <c r="K833"/>
  <c r="K834"/>
  <c r="K835"/>
  <c r="K902"/>
  <c r="K903"/>
  <c r="K904"/>
  <c r="K905"/>
  <c r="K906"/>
  <c r="K907"/>
  <c r="K908"/>
  <c r="K909"/>
  <c r="K910"/>
  <c r="K911"/>
  <c r="K919"/>
  <c r="K920"/>
  <c r="K921"/>
  <c r="K922"/>
  <c r="K923"/>
  <c r="K924"/>
  <c r="K925"/>
  <c r="K926"/>
  <c r="K927"/>
  <c r="K5"/>
  <c r="L228" i="13"/>
  <c r="N228" s="1"/>
  <c r="L227"/>
  <c r="N227" s="1"/>
  <c r="L153"/>
  <c r="N153" s="1"/>
  <c r="L152"/>
  <c r="N152" s="1"/>
  <c r="L151"/>
  <c r="N151" s="1"/>
  <c r="L150"/>
  <c r="N150" s="1"/>
  <c r="L149"/>
  <c r="N149" s="1"/>
  <c r="L148"/>
  <c r="N148" s="1"/>
  <c r="L147"/>
  <c r="N147" s="1"/>
  <c r="L146"/>
  <c r="N146" s="1"/>
  <c r="L145"/>
  <c r="N145" s="1"/>
  <c r="L144"/>
  <c r="N144" s="1"/>
  <c r="L143"/>
  <c r="N143" s="1"/>
  <c r="L142"/>
  <c r="N142" s="1"/>
  <c r="L141"/>
  <c r="N141" s="1"/>
  <c r="L140"/>
  <c r="N140" s="1"/>
  <c r="L139"/>
  <c r="N139" s="1"/>
  <c r="L138"/>
  <c r="N138" s="1"/>
  <c r="L137"/>
  <c r="N137" s="1"/>
  <c r="L136"/>
  <c r="N136" s="1"/>
  <c r="L135"/>
  <c r="N135" s="1"/>
  <c r="L134"/>
  <c r="N134" s="1"/>
  <c r="L133"/>
  <c r="N133" s="1"/>
  <c r="L132"/>
  <c r="N132" s="1"/>
  <c r="L131"/>
  <c r="N131" s="1"/>
  <c r="L130"/>
  <c r="N130" s="1"/>
  <c r="L129"/>
  <c r="N129" s="1"/>
  <c r="L128"/>
  <c r="N128" s="1"/>
  <c r="L127"/>
  <c r="N127" s="1"/>
  <c r="L126"/>
  <c r="N126" s="1"/>
  <c r="L125"/>
  <c r="N125" s="1"/>
  <c r="L124"/>
  <c r="N124" s="1"/>
  <c r="L123"/>
  <c r="N123" s="1"/>
  <c r="L122"/>
  <c r="N122" s="1"/>
  <c r="L121"/>
  <c r="N121" s="1"/>
  <c r="L120"/>
  <c r="N120" s="1"/>
  <c r="L119"/>
  <c r="N119" s="1"/>
  <c r="L118"/>
  <c r="N118" s="1"/>
  <c r="L117"/>
  <c r="N117" s="1"/>
  <c r="L116"/>
  <c r="N116" s="1"/>
  <c r="L115"/>
  <c r="N115" s="1"/>
  <c r="L114"/>
  <c r="N114" s="1"/>
  <c r="L113"/>
  <c r="N113" s="1"/>
  <c r="L112"/>
  <c r="N112" s="1"/>
  <c r="L111"/>
  <c r="N111" s="1"/>
  <c r="L110"/>
  <c r="N110" s="1"/>
  <c r="L109"/>
  <c r="N109" s="1"/>
  <c r="L108"/>
  <c r="N108" s="1"/>
  <c r="L107"/>
  <c r="N107" s="1"/>
  <c r="L106"/>
  <c r="N106" s="1"/>
  <c r="L105"/>
  <c r="N105" s="1"/>
  <c r="L104"/>
  <c r="N104" s="1"/>
  <c r="L103"/>
  <c r="N103" s="1"/>
  <c r="L102"/>
  <c r="N102" s="1"/>
  <c r="L101"/>
  <c r="N101" s="1"/>
  <c r="L100"/>
  <c r="N100" s="1"/>
  <c r="L99"/>
  <c r="N99" s="1"/>
  <c r="L98"/>
  <c r="N98" s="1"/>
  <c r="L97"/>
  <c r="N97" s="1"/>
  <c r="L96"/>
  <c r="N96" s="1"/>
  <c r="L95"/>
  <c r="N95" s="1"/>
  <c r="L94"/>
  <c r="N94" s="1"/>
  <c r="L93"/>
  <c r="N93" s="1"/>
  <c r="L92"/>
  <c r="N92" s="1"/>
  <c r="L91"/>
  <c r="N91" s="1"/>
  <c r="L90"/>
  <c r="N90" s="1"/>
  <c r="L89"/>
  <c r="L88"/>
  <c r="N88" s="1"/>
  <c r="L87"/>
  <c r="N87" s="1"/>
  <c r="L86"/>
  <c r="N86" s="1"/>
  <c r="L85"/>
  <c r="N85" s="1"/>
  <c r="L84"/>
  <c r="N84" s="1"/>
  <c r="L83"/>
  <c r="N83" s="1"/>
  <c r="L82"/>
  <c r="N82" s="1"/>
  <c r="L81"/>
  <c r="N81" s="1"/>
  <c r="L80"/>
  <c r="N80" s="1"/>
  <c r="L79"/>
  <c r="N79" s="1"/>
  <c r="L78"/>
  <c r="N78" s="1"/>
  <c r="L77"/>
  <c r="N77" s="1"/>
  <c r="L76"/>
  <c r="N76" s="1"/>
  <c r="L75"/>
  <c r="N75" s="1"/>
  <c r="L74"/>
  <c r="N74" s="1"/>
  <c r="L73"/>
  <c r="L72"/>
  <c r="N72" s="1"/>
  <c r="L71"/>
  <c r="N71" s="1"/>
  <c r="L70"/>
  <c r="N70" s="1"/>
  <c r="L69"/>
  <c r="N69" s="1"/>
  <c r="L68"/>
  <c r="N68" s="1"/>
  <c r="L67"/>
  <c r="N67" s="1"/>
  <c r="L66"/>
  <c r="N66" s="1"/>
  <c r="L65"/>
  <c r="N65" s="1"/>
  <c r="L64"/>
  <c r="N64" s="1"/>
  <c r="L63"/>
  <c r="L62"/>
  <c r="N62" s="1"/>
  <c r="L61"/>
  <c r="N61" s="1"/>
  <c r="L60"/>
  <c r="N60" s="1"/>
  <c r="L59"/>
  <c r="N59" s="1"/>
  <c r="L58"/>
  <c r="N58" s="1"/>
  <c r="L57"/>
  <c r="N57" s="1"/>
  <c r="L56"/>
  <c r="N56" s="1"/>
  <c r="L55"/>
  <c r="N55" s="1"/>
  <c r="L54"/>
  <c r="N54" s="1"/>
  <c r="L53"/>
  <c r="N53" s="1"/>
  <c r="L52"/>
  <c r="N52" s="1"/>
  <c r="L51"/>
  <c r="N51" s="1"/>
  <c r="L50"/>
  <c r="N50" s="1"/>
  <c r="L49"/>
  <c r="N49" s="1"/>
  <c r="L48"/>
  <c r="N48" s="1"/>
  <c r="L47"/>
  <c r="N47" s="1"/>
  <c r="L46"/>
  <c r="N46" s="1"/>
  <c r="L45"/>
  <c r="N45" s="1"/>
  <c r="L44"/>
  <c r="N44" s="1"/>
  <c r="L43"/>
  <c r="N43" s="1"/>
  <c r="L42"/>
  <c r="N42" s="1"/>
  <c r="L41"/>
  <c r="N41" s="1"/>
  <c r="L40"/>
  <c r="N40" s="1"/>
  <c r="L39"/>
  <c r="N39" s="1"/>
  <c r="L38"/>
  <c r="L37"/>
  <c r="N37" s="1"/>
  <c r="L36"/>
  <c r="N36" s="1"/>
  <c r="L35"/>
  <c r="N35" s="1"/>
  <c r="L34"/>
  <c r="N34" s="1"/>
  <c r="L33"/>
  <c r="N33" s="1"/>
  <c r="L32"/>
  <c r="N32" s="1"/>
  <c r="L31"/>
  <c r="L30"/>
  <c r="N30" s="1"/>
  <c r="L29"/>
  <c r="N29" s="1"/>
  <c r="L28"/>
  <c r="N28" s="1"/>
  <c r="L27"/>
  <c r="N27" s="1"/>
  <c r="L26"/>
  <c r="N26" s="1"/>
  <c r="L25"/>
  <c r="N25" s="1"/>
  <c r="L24"/>
  <c r="N24" s="1"/>
  <c r="L23"/>
  <c r="N23" s="1"/>
  <c r="L22"/>
  <c r="N22" s="1"/>
  <c r="L21"/>
  <c r="N21" s="1"/>
  <c r="L20"/>
  <c r="N20" s="1"/>
  <c r="L19"/>
  <c r="N19" s="1"/>
  <c r="L18"/>
  <c r="N18" s="1"/>
  <c r="L17"/>
  <c r="N17" s="1"/>
  <c r="L16"/>
  <c r="N16" s="1"/>
  <c r="L15"/>
  <c r="N15" s="1"/>
  <c r="L14"/>
  <c r="N14" s="1"/>
  <c r="L13"/>
  <c r="N13" s="1"/>
  <c r="L12"/>
  <c r="N12" s="1"/>
  <c r="L11"/>
  <c r="N11" s="1"/>
  <c r="L10"/>
  <c r="N10" s="1"/>
  <c r="L9"/>
  <c r="N9" s="1"/>
  <c r="U8"/>
  <c r="L8"/>
  <c r="N8" s="1"/>
  <c r="U7"/>
  <c r="L7"/>
  <c r="N7" s="1"/>
  <c r="L6"/>
  <c r="N6" s="1"/>
  <c r="P5"/>
  <c r="P924" s="1"/>
  <c r="C9" i="12" s="1"/>
  <c r="L5" i="13"/>
  <c r="N5" s="1"/>
  <c r="F19" i="11"/>
  <c r="C19"/>
  <c r="J19" s="1"/>
  <c r="F17"/>
  <c r="C17"/>
  <c r="F15"/>
  <c r="C15"/>
  <c r="J15" s="1"/>
  <c r="F13"/>
  <c r="C13"/>
  <c r="L19" i="9"/>
  <c r="D11" i="7"/>
  <c r="K6" i="6"/>
  <c r="K7" s="1"/>
  <c r="T9"/>
  <c r="P1367"/>
  <c r="P1366"/>
  <c r="P1365"/>
  <c r="P1364"/>
  <c r="P1363"/>
  <c r="P1362"/>
  <c r="P1361"/>
  <c r="P1360"/>
  <c r="P1359"/>
  <c r="P1358"/>
  <c r="P1357"/>
  <c r="P1356"/>
  <c r="P1355"/>
  <c r="P1354"/>
  <c r="P1353"/>
  <c r="P1352"/>
  <c r="P1351"/>
  <c r="P1350"/>
  <c r="P1349"/>
  <c r="P1348"/>
  <c r="P1347"/>
  <c r="P1346"/>
  <c r="P1345"/>
  <c r="P1344"/>
  <c r="P1343"/>
  <c r="P1342"/>
  <c r="P1341"/>
  <c r="P1340"/>
  <c r="P1339"/>
  <c r="P1338"/>
  <c r="P1337"/>
  <c r="P1336"/>
  <c r="P1335"/>
  <c r="P1334"/>
  <c r="P1333"/>
  <c r="P1332"/>
  <c r="P1331"/>
  <c r="P1330"/>
  <c r="P1329"/>
  <c r="P1328"/>
  <c r="P1327"/>
  <c r="P1326"/>
  <c r="P1325"/>
  <c r="P1324"/>
  <c r="P1323"/>
  <c r="P1322"/>
  <c r="P1321"/>
  <c r="P1320"/>
  <c r="P1319"/>
  <c r="P1318"/>
  <c r="P1317"/>
  <c r="P1316"/>
  <c r="P1315"/>
  <c r="P1314"/>
  <c r="P1313"/>
  <c r="P1312"/>
  <c r="P1311"/>
  <c r="P1310"/>
  <c r="P1309"/>
  <c r="P1308"/>
  <c r="P1307"/>
  <c r="P1306"/>
  <c r="P1305"/>
  <c r="P1304"/>
  <c r="P1303"/>
  <c r="P1302"/>
  <c r="P1301"/>
  <c r="P1300"/>
  <c r="P1299"/>
  <c r="P1298"/>
  <c r="P1297"/>
  <c r="P1296"/>
  <c r="P1295"/>
  <c r="P1294"/>
  <c r="P1293"/>
  <c r="P1292"/>
  <c r="P1291"/>
  <c r="P1290"/>
  <c r="P1289"/>
  <c r="P1288"/>
  <c r="P1287"/>
  <c r="P1286"/>
  <c r="P1285"/>
  <c r="P1284"/>
  <c r="P1283"/>
  <c r="P1282"/>
  <c r="P1281"/>
  <c r="P1280"/>
  <c r="P1279"/>
  <c r="P1278"/>
  <c r="P1277"/>
  <c r="P1276"/>
  <c r="P1275"/>
  <c r="P1274"/>
  <c r="P1273"/>
  <c r="P1272"/>
  <c r="P1271"/>
  <c r="P1270"/>
  <c r="P1269"/>
  <c r="P1268"/>
  <c r="P1267"/>
  <c r="P1266"/>
  <c r="P1265"/>
  <c r="P1264"/>
  <c r="P1263"/>
  <c r="P1262"/>
  <c r="P1261"/>
  <c r="P1260"/>
  <c r="P1259"/>
  <c r="P1258"/>
  <c r="P1257"/>
  <c r="P1256"/>
  <c r="P1255"/>
  <c r="P1254"/>
  <c r="P1253"/>
  <c r="P1252"/>
  <c r="P1251"/>
  <c r="P1250"/>
  <c r="P1249"/>
  <c r="P1248"/>
  <c r="P1247"/>
  <c r="P1246"/>
  <c r="P1245"/>
  <c r="P1244"/>
  <c r="P1243"/>
  <c r="P1242"/>
  <c r="P1241"/>
  <c r="P1240"/>
  <c r="P1239"/>
  <c r="P1238"/>
  <c r="P1237"/>
  <c r="P1236"/>
  <c r="P1235"/>
  <c r="P1234"/>
  <c r="P1233"/>
  <c r="P1232"/>
  <c r="P1231"/>
  <c r="P1230"/>
  <c r="P1229"/>
  <c r="P1228"/>
  <c r="P1227"/>
  <c r="P1226"/>
  <c r="P1225"/>
  <c r="P1224"/>
  <c r="P1223"/>
  <c r="P1222"/>
  <c r="P1221"/>
  <c r="P1220"/>
  <c r="P1219"/>
  <c r="P1218"/>
  <c r="P1217"/>
  <c r="P1216"/>
  <c r="P1215"/>
  <c r="P1214"/>
  <c r="P1213"/>
  <c r="P1212"/>
  <c r="P1211"/>
  <c r="P1210"/>
  <c r="P1209"/>
  <c r="P1208"/>
  <c r="P1207"/>
  <c r="P1206"/>
  <c r="P1205"/>
  <c r="P1204"/>
  <c r="P1203"/>
  <c r="P1202"/>
  <c r="P1201"/>
  <c r="P1200"/>
  <c r="P1199"/>
  <c r="P1198"/>
  <c r="P1197"/>
  <c r="P1196"/>
  <c r="P1195"/>
  <c r="P1194"/>
  <c r="P1193"/>
  <c r="P1192"/>
  <c r="P1191"/>
  <c r="P1190"/>
  <c r="P1189"/>
  <c r="P1188"/>
  <c r="P1187"/>
  <c r="P1186"/>
  <c r="P1185"/>
  <c r="P1184"/>
  <c r="P1183"/>
  <c r="P1182"/>
  <c r="P1181"/>
  <c r="P1180"/>
  <c r="P1179"/>
  <c r="P1178"/>
  <c r="P1177"/>
  <c r="P1176"/>
  <c r="P1175"/>
  <c r="P1174"/>
  <c r="P1173"/>
  <c r="P1172"/>
  <c r="P1171"/>
  <c r="P1170"/>
  <c r="P1169"/>
  <c r="P1168"/>
  <c r="P1167"/>
  <c r="P1166"/>
  <c r="P1165"/>
  <c r="P1164"/>
  <c r="P1163"/>
  <c r="P1162"/>
  <c r="P1161"/>
  <c r="P1160"/>
  <c r="P1159"/>
  <c r="P1158"/>
  <c r="P1157"/>
  <c r="P1156"/>
  <c r="P1155"/>
  <c r="P1154"/>
  <c r="P1153"/>
  <c r="P1152"/>
  <c r="P1151"/>
  <c r="P1150"/>
  <c r="P1149"/>
  <c r="P1148"/>
  <c r="P1147"/>
  <c r="P1146"/>
  <c r="P1145"/>
  <c r="P1144"/>
  <c r="P1143"/>
  <c r="P1142"/>
  <c r="P1141"/>
  <c r="P1140"/>
  <c r="P1139"/>
  <c r="P1138"/>
  <c r="P1137"/>
  <c r="P1136"/>
  <c r="P1135"/>
  <c r="P1134"/>
  <c r="P1133"/>
  <c r="P1132"/>
  <c r="P1131"/>
  <c r="P1130"/>
  <c r="P1129"/>
  <c r="P1128"/>
  <c r="P1127"/>
  <c r="P1126"/>
  <c r="P1125"/>
  <c r="P1124"/>
  <c r="P1123"/>
  <c r="P1122"/>
  <c r="P1121"/>
  <c r="P1120"/>
  <c r="P1119"/>
  <c r="P1118"/>
  <c r="P1117"/>
  <c r="P1116"/>
  <c r="P1115"/>
  <c r="P1114"/>
  <c r="P1113"/>
  <c r="P1112"/>
  <c r="P1111"/>
  <c r="P1110"/>
  <c r="P1109"/>
  <c r="P1108"/>
  <c r="P1107"/>
  <c r="P1106"/>
  <c r="P1105"/>
  <c r="P1104"/>
  <c r="P1103"/>
  <c r="P1102"/>
  <c r="P1101"/>
  <c r="P1100"/>
  <c r="P1099"/>
  <c r="P1098"/>
  <c r="P1097"/>
  <c r="P1096"/>
  <c r="P1095"/>
  <c r="P1094"/>
  <c r="P1093"/>
  <c r="P1092"/>
  <c r="P1091"/>
  <c r="P1090"/>
  <c r="P1089"/>
  <c r="P1088"/>
  <c r="P1087"/>
  <c r="P1086"/>
  <c r="P1085"/>
  <c r="P1084"/>
  <c r="P1083"/>
  <c r="P1082"/>
  <c r="P1081"/>
  <c r="P1080"/>
  <c r="P1079"/>
  <c r="P1078"/>
  <c r="P1077"/>
  <c r="P1076"/>
  <c r="P1075"/>
  <c r="P1074"/>
  <c r="P1073"/>
  <c r="P1072"/>
  <c r="P1071"/>
  <c r="P1070"/>
  <c r="P1069"/>
  <c r="P1068"/>
  <c r="P1067"/>
  <c r="P1066"/>
  <c r="P1065"/>
  <c r="P1064"/>
  <c r="P1063"/>
  <c r="P1062"/>
  <c r="P1061"/>
  <c r="P1060"/>
  <c r="P1059"/>
  <c r="P1058"/>
  <c r="P1057"/>
  <c r="P1056"/>
  <c r="P1055"/>
  <c r="P1054"/>
  <c r="P1053"/>
  <c r="P1052"/>
  <c r="P1051"/>
  <c r="P1050"/>
  <c r="P1049"/>
  <c r="P1048"/>
  <c r="P1047"/>
  <c r="P1046"/>
  <c r="P1045"/>
  <c r="P1044"/>
  <c r="P1043"/>
  <c r="P1042"/>
  <c r="P1041"/>
  <c r="P1040"/>
  <c r="P1039"/>
  <c r="P1038"/>
  <c r="P1037"/>
  <c r="P1036"/>
  <c r="P1035"/>
  <c r="P1034"/>
  <c r="P1033"/>
  <c r="P1032"/>
  <c r="P1031"/>
  <c r="P1030"/>
  <c r="P1029"/>
  <c r="P1028"/>
  <c r="P1027"/>
  <c r="P1026"/>
  <c r="P1025"/>
  <c r="P1024"/>
  <c r="P1023"/>
  <c r="P1022"/>
  <c r="P1021"/>
  <c r="P1020"/>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J859"/>
  <c r="J858"/>
  <c r="P857"/>
  <c r="P856"/>
  <c r="P855"/>
  <c r="P854"/>
  <c r="P853"/>
  <c r="P852"/>
  <c r="P851"/>
  <c r="P850"/>
  <c r="P849"/>
  <c r="P848"/>
  <c r="P847"/>
  <c r="P846"/>
  <c r="P845"/>
  <c r="P844"/>
  <c r="P843"/>
  <c r="P842"/>
  <c r="P841"/>
  <c r="P840"/>
  <c r="P839"/>
  <c r="P838"/>
  <c r="P837"/>
  <c r="P836"/>
  <c r="P835"/>
  <c r="P834"/>
  <c r="P833"/>
  <c r="P832"/>
  <c r="P831"/>
  <c r="T830"/>
  <c r="P830"/>
  <c r="T829"/>
  <c r="P829"/>
  <c r="T828"/>
  <c r="P828"/>
  <c r="T827"/>
  <c r="P827"/>
  <c r="T826"/>
  <c r="P826"/>
  <c r="T825"/>
  <c r="P825"/>
  <c r="T824"/>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J95"/>
  <c r="J94"/>
  <c r="P93"/>
  <c r="J92"/>
  <c r="P91"/>
  <c r="P90"/>
  <c r="J89"/>
  <c r="P88"/>
  <c r="P87"/>
  <c r="P86"/>
  <c r="J85"/>
  <c r="P84"/>
  <c r="P83"/>
  <c r="P82"/>
  <c r="P81"/>
  <c r="J80"/>
  <c r="J79"/>
  <c r="P79" s="1"/>
  <c r="P78"/>
  <c r="P77"/>
  <c r="P76"/>
  <c r="P75"/>
  <c r="P74"/>
  <c r="J73"/>
  <c r="P72"/>
  <c r="J71"/>
  <c r="P70"/>
  <c r="P69"/>
  <c r="P68"/>
  <c r="P67"/>
  <c r="J66"/>
  <c r="J65"/>
  <c r="P64"/>
  <c r="J63"/>
  <c r="P62"/>
  <c r="P61"/>
  <c r="J60"/>
  <c r="P59"/>
  <c r="P58"/>
  <c r="P57"/>
  <c r="J56"/>
  <c r="P55"/>
  <c r="P54"/>
  <c r="P53"/>
  <c r="P52"/>
  <c r="P51"/>
  <c r="P50"/>
  <c r="P49"/>
  <c r="P48"/>
  <c r="P47"/>
  <c r="P46"/>
  <c r="P45"/>
  <c r="P44"/>
  <c r="P43"/>
  <c r="P42"/>
  <c r="P41"/>
  <c r="P40"/>
  <c r="J39"/>
  <c r="J38"/>
  <c r="J37"/>
  <c r="P37" s="1"/>
  <c r="P36"/>
  <c r="P35"/>
  <c r="P34"/>
  <c r="P33"/>
  <c r="P32"/>
  <c r="J31"/>
  <c r="J1369" s="1"/>
  <c r="J30"/>
  <c r="J29"/>
  <c r="P28"/>
  <c r="P27"/>
  <c r="P26"/>
  <c r="P25"/>
  <c r="P24"/>
  <c r="P23"/>
  <c r="P22"/>
  <c r="P21"/>
  <c r="P20"/>
  <c r="P19"/>
  <c r="P18"/>
  <c r="P17"/>
  <c r="J16"/>
  <c r="P15"/>
  <c r="J14"/>
  <c r="J13"/>
  <c r="P12"/>
  <c r="P11"/>
  <c r="P10"/>
  <c r="P9"/>
  <c r="T8"/>
  <c r="P8"/>
  <c r="T7"/>
  <c r="P7"/>
  <c r="P6"/>
  <c r="L6"/>
  <c r="N6" s="1"/>
  <c r="P5"/>
  <c r="L5"/>
  <c r="N5" s="1"/>
  <c r="I157" i="4"/>
  <c r="M65"/>
  <c r="L65"/>
  <c r="M64"/>
  <c r="L64"/>
  <c r="M63"/>
  <c r="L63"/>
  <c r="M62"/>
  <c r="L62"/>
  <c r="M61"/>
  <c r="L61"/>
  <c r="M60"/>
  <c r="L60"/>
  <c r="M59"/>
  <c r="L59"/>
  <c r="M58"/>
  <c r="L58"/>
  <c r="M57"/>
  <c r="L57"/>
  <c r="M56"/>
  <c r="L56"/>
  <c r="M55"/>
  <c r="L55"/>
  <c r="M54"/>
  <c r="L54"/>
  <c r="M53"/>
  <c r="L53"/>
  <c r="M52"/>
  <c r="L52"/>
  <c r="M51"/>
  <c r="L51"/>
  <c r="M50"/>
  <c r="L50"/>
  <c r="M49"/>
  <c r="L49"/>
  <c r="M48"/>
  <c r="L48"/>
  <c r="M47"/>
  <c r="L47"/>
  <c r="M46"/>
  <c r="L46"/>
  <c r="M45"/>
  <c r="L45"/>
  <c r="M44"/>
  <c r="L44"/>
  <c r="M43"/>
  <c r="L43"/>
  <c r="M42"/>
  <c r="L42"/>
  <c r="M41"/>
  <c r="L41"/>
  <c r="M40"/>
  <c r="L40"/>
  <c r="M39"/>
  <c r="L39"/>
  <c r="M38"/>
  <c r="L38"/>
  <c r="M37"/>
  <c r="L37"/>
  <c r="M36"/>
  <c r="L36"/>
  <c r="M35"/>
  <c r="L35"/>
  <c r="M34"/>
  <c r="L34"/>
  <c r="M33"/>
  <c r="L33"/>
  <c r="M32"/>
  <c r="L32"/>
  <c r="M31"/>
  <c r="L31"/>
  <c r="M30"/>
  <c r="L30"/>
  <c r="M29"/>
  <c r="L29"/>
  <c r="M28"/>
  <c r="L28"/>
  <c r="M27"/>
  <c r="L27"/>
  <c r="M26"/>
  <c r="L26"/>
  <c r="M25"/>
  <c r="L25"/>
  <c r="M24"/>
  <c r="L24"/>
  <c r="M23"/>
  <c r="L23"/>
  <c r="M22"/>
  <c r="L22"/>
  <c r="M21"/>
  <c r="L21"/>
  <c r="M20"/>
  <c r="L20"/>
  <c r="M19"/>
  <c r="L19"/>
  <c r="M18"/>
  <c r="L18"/>
  <c r="M17"/>
  <c r="L17"/>
  <c r="M16"/>
  <c r="L16"/>
  <c r="M15"/>
  <c r="L15"/>
  <c r="M14"/>
  <c r="L14"/>
  <c r="M13"/>
  <c r="L13"/>
  <c r="M12"/>
  <c r="L12"/>
  <c r="M11"/>
  <c r="L11"/>
  <c r="M10"/>
  <c r="L10"/>
  <c r="M9"/>
  <c r="L9"/>
  <c r="M8"/>
  <c r="L8"/>
  <c r="M7"/>
  <c r="L7"/>
  <c r="M6"/>
  <c r="L6"/>
  <c r="M5"/>
  <c r="M157" s="1"/>
  <c r="E18" i="10" s="1"/>
  <c r="L5" i="4"/>
  <c r="C11" i="12" l="1"/>
  <c r="C18" i="10"/>
  <c r="C19" s="1"/>
  <c r="J934" i="1"/>
  <c r="C11" i="15"/>
  <c r="B13" i="10"/>
  <c r="B19" s="1"/>
  <c r="E9" i="9" s="1"/>
  <c r="K294" i="13"/>
  <c r="L293"/>
  <c r="N293" s="1"/>
  <c r="C21" i="11"/>
  <c r="J13"/>
  <c r="J17"/>
  <c r="N38" i="13"/>
  <c r="N31"/>
  <c r="N73"/>
  <c r="L155"/>
  <c r="N155" s="1"/>
  <c r="N63"/>
  <c r="N89"/>
  <c r="L154"/>
  <c r="N154" s="1"/>
  <c r="L229"/>
  <c r="N229" s="1"/>
  <c r="P16" i="6"/>
  <c r="P56"/>
  <c r="P60"/>
  <c r="P95"/>
  <c r="P858"/>
  <c r="P14"/>
  <c r="P30"/>
  <c r="P38"/>
  <c r="P66"/>
  <c r="P85"/>
  <c r="P89"/>
  <c r="P13"/>
  <c r="P1369" s="1"/>
  <c r="P29"/>
  <c r="P65"/>
  <c r="P73"/>
  <c r="P80"/>
  <c r="P92"/>
  <c r="P859"/>
  <c r="P31"/>
  <c r="P39"/>
  <c r="P63"/>
  <c r="P71"/>
  <c r="P94"/>
  <c r="K8"/>
  <c r="L7"/>
  <c r="N7" s="1"/>
  <c r="C15" i="15" l="1"/>
  <c r="E20" i="9" s="1"/>
  <c r="K295" i="13"/>
  <c r="L294"/>
  <c r="N294" s="1"/>
  <c r="J21" i="11"/>
  <c r="L156" i="13"/>
  <c r="N156" s="1"/>
  <c r="L230"/>
  <c r="N230" s="1"/>
  <c r="R1369" i="6"/>
  <c r="K9"/>
  <c r="L8"/>
  <c r="N8" s="1"/>
  <c r="K296" i="13" l="1"/>
  <c r="L295"/>
  <c r="N295" s="1"/>
  <c r="Q1373" i="6"/>
  <c r="D10" i="12"/>
  <c r="D11" s="1"/>
  <c r="L231" i="13"/>
  <c r="N231" s="1"/>
  <c r="L157"/>
  <c r="N157" s="1"/>
  <c r="K10" i="6"/>
  <c r="L9"/>
  <c r="N9" s="1"/>
  <c r="K297" i="13" l="1"/>
  <c r="L296"/>
  <c r="N296" s="1"/>
  <c r="L158"/>
  <c r="N158" s="1"/>
  <c r="L232"/>
  <c r="N232" s="1"/>
  <c r="K11" i="6"/>
  <c r="L10"/>
  <c r="N10" s="1"/>
  <c r="K298" i="13" l="1"/>
  <c r="L297"/>
  <c r="N297" s="1"/>
  <c r="L233"/>
  <c r="N233" s="1"/>
  <c r="L159"/>
  <c r="N159" s="1"/>
  <c r="K12" i="6"/>
  <c r="L11"/>
  <c r="N11" s="1"/>
  <c r="K299" i="13" l="1"/>
  <c r="L299" s="1"/>
  <c r="N299" s="1"/>
  <c r="L298"/>
  <c r="N298" s="1"/>
  <c r="L160"/>
  <c r="N160" s="1"/>
  <c r="L234"/>
  <c r="N234" s="1"/>
  <c r="K13" i="6"/>
  <c r="L12"/>
  <c r="N12" s="1"/>
  <c r="L161" i="13" l="1"/>
  <c r="N161" s="1"/>
  <c r="L235"/>
  <c r="N235" s="1"/>
  <c r="K14" i="6"/>
  <c r="L13"/>
  <c r="N13" s="1"/>
  <c r="L236" i="13" l="1"/>
  <c r="N236" s="1"/>
  <c r="L162"/>
  <c r="N162" s="1"/>
  <c r="L14" i="6"/>
  <c r="N14" s="1"/>
  <c r="K15"/>
  <c r="L163" i="13" l="1"/>
  <c r="N163" s="1"/>
  <c r="L237"/>
  <c r="N237" s="1"/>
  <c r="K16" i="6"/>
  <c r="L15"/>
  <c r="N15" s="1"/>
  <c r="L164" i="13" l="1"/>
  <c r="N164" s="1"/>
  <c r="L238"/>
  <c r="N238" s="1"/>
  <c r="K17" i="6"/>
  <c r="L16"/>
  <c r="N16" s="1"/>
  <c r="L165" i="13" l="1"/>
  <c r="N165" s="1"/>
  <c r="L239"/>
  <c r="N239" s="1"/>
  <c r="K18" i="6"/>
  <c r="L17"/>
  <c r="N17" s="1"/>
  <c r="L240" i="13" l="1"/>
  <c r="N240" s="1"/>
  <c r="L166"/>
  <c r="N166" s="1"/>
  <c r="K19" i="6"/>
  <c r="L18"/>
  <c r="N18" s="1"/>
  <c r="L167" i="13" l="1"/>
  <c r="N167" s="1"/>
  <c r="L241"/>
  <c r="N241" s="1"/>
  <c r="K20" i="6"/>
  <c r="L19"/>
  <c r="N19" s="1"/>
  <c r="L168" i="13" l="1"/>
  <c r="N168" s="1"/>
  <c r="L242"/>
  <c r="N242" s="1"/>
  <c r="L20" i="6"/>
  <c r="N20" s="1"/>
  <c r="K21"/>
  <c r="L243" i="13" l="1"/>
  <c r="N243" s="1"/>
  <c r="L169"/>
  <c r="N169" s="1"/>
  <c r="K22" i="6"/>
  <c r="L21"/>
  <c r="N21" s="1"/>
  <c r="L244" i="13" l="1"/>
  <c r="N244" s="1"/>
  <c r="L170"/>
  <c r="N170" s="1"/>
  <c r="K23" i="6"/>
  <c r="L22"/>
  <c r="N22" s="1"/>
  <c r="L171" i="13" l="1"/>
  <c r="N171" s="1"/>
  <c r="L245"/>
  <c r="N245" s="1"/>
  <c r="K24" i="6"/>
  <c r="L23"/>
  <c r="N23" s="1"/>
  <c r="L172" i="13" l="1"/>
  <c r="N172" s="1"/>
  <c r="L246"/>
  <c r="N246" s="1"/>
  <c r="K25" i="6"/>
  <c r="L24"/>
  <c r="N24" s="1"/>
  <c r="L247" i="13" l="1"/>
  <c r="N247" s="1"/>
  <c r="L173"/>
  <c r="N173" s="1"/>
  <c r="K26" i="6"/>
  <c r="L25"/>
  <c r="N25" s="1"/>
  <c r="L174" i="13" l="1"/>
  <c r="N174" s="1"/>
  <c r="L248"/>
  <c r="N248" s="1"/>
  <c r="K27" i="6"/>
  <c r="L26"/>
  <c r="N26" s="1"/>
  <c r="L249" i="13" l="1"/>
  <c r="N249" s="1"/>
  <c r="L175"/>
  <c r="N175" s="1"/>
  <c r="K28" i="6"/>
  <c r="L27"/>
  <c r="N27" s="1"/>
  <c r="L176" i="13" l="1"/>
  <c r="N176" s="1"/>
  <c r="L250"/>
  <c r="N250" s="1"/>
  <c r="K29" i="6"/>
  <c r="L28"/>
  <c r="N28" s="1"/>
  <c r="L251" i="13" l="1"/>
  <c r="N251" s="1"/>
  <c r="L177"/>
  <c r="N177" s="1"/>
  <c r="K30" i="6"/>
  <c r="L29"/>
  <c r="N29" s="1"/>
  <c r="L178" i="13" l="1"/>
  <c r="N178" s="1"/>
  <c r="L252"/>
  <c r="N252" s="1"/>
  <c r="K31" i="6"/>
  <c r="L30"/>
  <c r="N30" s="1"/>
  <c r="L253" i="13" l="1"/>
  <c r="N253" s="1"/>
  <c r="L179"/>
  <c r="N179" s="1"/>
  <c r="K32" i="6"/>
  <c r="L31"/>
  <c r="N31" s="1"/>
  <c r="L180" i="13" l="1"/>
  <c r="N180" s="1"/>
  <c r="L254"/>
  <c r="N254" s="1"/>
  <c r="L32" i="6"/>
  <c r="N32" s="1"/>
  <c r="K33"/>
  <c r="L255" i="13" l="1"/>
  <c r="N255" s="1"/>
  <c r="L181"/>
  <c r="N181" s="1"/>
  <c r="L33" i="6"/>
  <c r="N33" s="1"/>
  <c r="K34"/>
  <c r="L182" i="13" l="1"/>
  <c r="N182" s="1"/>
  <c r="L256"/>
  <c r="N256" s="1"/>
  <c r="K35" i="6"/>
  <c r="L34"/>
  <c r="N34" s="1"/>
  <c r="L257" i="13" l="1"/>
  <c r="N257" s="1"/>
  <c r="L183"/>
  <c r="N183" s="1"/>
  <c r="K36" i="6"/>
  <c r="L35"/>
  <c r="N35" s="1"/>
  <c r="L184" i="13" l="1"/>
  <c r="N184" s="1"/>
  <c r="L258"/>
  <c r="N258" s="1"/>
  <c r="L36" i="6"/>
  <c r="N36" s="1"/>
  <c r="K37"/>
  <c r="L259" i="13" l="1"/>
  <c r="N259" s="1"/>
  <c r="L185"/>
  <c r="N185" s="1"/>
  <c r="K38" i="6"/>
  <c r="L37"/>
  <c r="N37" s="1"/>
  <c r="L186" i="13" l="1"/>
  <c r="N186" s="1"/>
  <c r="L260"/>
  <c r="N260" s="1"/>
  <c r="K39" i="6"/>
  <c r="L38"/>
  <c r="N38" s="1"/>
  <c r="L187" i="13" l="1"/>
  <c r="N187" s="1"/>
  <c r="L261"/>
  <c r="N261" s="1"/>
  <c r="K40" i="6"/>
  <c r="L39"/>
  <c r="N39" s="1"/>
  <c r="L188" i="13" l="1"/>
  <c r="N188" s="1"/>
  <c r="L262"/>
  <c r="N262" s="1"/>
  <c r="K41" i="6"/>
  <c r="L40"/>
  <c r="N40" s="1"/>
  <c r="L263" i="13" l="1"/>
  <c r="N263" s="1"/>
  <c r="L189"/>
  <c r="N189" s="1"/>
  <c r="K42" i="6"/>
  <c r="L41"/>
  <c r="N41" s="1"/>
  <c r="L190" i="13" l="1"/>
  <c r="N190" s="1"/>
  <c r="L264"/>
  <c r="N264" s="1"/>
  <c r="K43" i="6"/>
  <c r="L42"/>
  <c r="N42" s="1"/>
  <c r="L191" i="13" l="1"/>
  <c r="N191" s="1"/>
  <c r="L265"/>
  <c r="N265" s="1"/>
  <c r="K44" i="6"/>
  <c r="L43"/>
  <c r="N43" s="1"/>
  <c r="L192" i="13" l="1"/>
  <c r="N192" s="1"/>
  <c r="L266"/>
  <c r="N266" s="1"/>
  <c r="K45" i="6"/>
  <c r="L44"/>
  <c r="N44" s="1"/>
  <c r="L267" i="13" l="1"/>
  <c r="N267" s="1"/>
  <c r="L193"/>
  <c r="N193" s="1"/>
  <c r="K46" i="6"/>
  <c r="L45"/>
  <c r="N45" s="1"/>
  <c r="L194" i="13" l="1"/>
  <c r="N194" s="1"/>
  <c r="L268"/>
  <c r="N268" s="1"/>
  <c r="K47" i="6"/>
  <c r="L46"/>
  <c r="N46" s="1"/>
  <c r="L195" i="13" l="1"/>
  <c r="N195" s="1"/>
  <c r="L269"/>
  <c r="N269" s="1"/>
  <c r="K48" i="6"/>
  <c r="L47"/>
  <c r="N47" s="1"/>
  <c r="L196" i="13" l="1"/>
  <c r="N196" s="1"/>
  <c r="L270"/>
  <c r="N270" s="1"/>
  <c r="L48" i="6"/>
  <c r="N48" s="1"/>
  <c r="K49"/>
  <c r="L271" i="13" l="1"/>
  <c r="N271" s="1"/>
  <c r="L197"/>
  <c r="N197" s="1"/>
  <c r="K50" i="6"/>
  <c r="L49"/>
  <c r="N49" s="1"/>
  <c r="L198" i="13" l="1"/>
  <c r="N198" s="1"/>
  <c r="L272"/>
  <c r="N272" s="1"/>
  <c r="K51" i="6"/>
  <c r="L50"/>
  <c r="N50" s="1"/>
  <c r="L199" i="13" l="1"/>
  <c r="N199" s="1"/>
  <c r="L273"/>
  <c r="N273" s="1"/>
  <c r="K52" i="6"/>
  <c r="L51"/>
  <c r="N51" s="1"/>
  <c r="L200" i="13" l="1"/>
  <c r="N200" s="1"/>
  <c r="L274"/>
  <c r="N274" s="1"/>
  <c r="K53" i="6"/>
  <c r="L52"/>
  <c r="N52" s="1"/>
  <c r="L275" i="13" l="1"/>
  <c r="N275" s="1"/>
  <c r="L201"/>
  <c r="N201" s="1"/>
  <c r="K54" i="6"/>
  <c r="L53"/>
  <c r="N53" s="1"/>
  <c r="L202" i="13" l="1"/>
  <c r="N202" s="1"/>
  <c r="L276"/>
  <c r="N276" s="1"/>
  <c r="K55" i="6"/>
  <c r="L54"/>
  <c r="N54" s="1"/>
  <c r="L203" i="13" l="1"/>
  <c r="N203" s="1"/>
  <c r="L277"/>
  <c r="N277" s="1"/>
  <c r="K56" i="6"/>
  <c r="L55"/>
  <c r="N55" s="1"/>
  <c r="L204" i="13" l="1"/>
  <c r="N204" s="1"/>
  <c r="L278"/>
  <c r="N278" s="1"/>
  <c r="K57" i="6"/>
  <c r="L56"/>
  <c r="N56" s="1"/>
  <c r="L279" i="13" l="1"/>
  <c r="N279" s="1"/>
  <c r="L205"/>
  <c r="N205" s="1"/>
  <c r="L57" i="6"/>
  <c r="N57" s="1"/>
  <c r="K58"/>
  <c r="L206" i="13" l="1"/>
  <c r="N206" s="1"/>
  <c r="L280"/>
  <c r="N280" s="1"/>
  <c r="K59" i="6"/>
  <c r="L58"/>
  <c r="N58" s="1"/>
  <c r="L207" i="13" l="1"/>
  <c r="N207" s="1"/>
  <c r="L281"/>
  <c r="N281" s="1"/>
  <c r="K60" i="6"/>
  <c r="L59"/>
  <c r="N59" s="1"/>
  <c r="L208" i="13" l="1"/>
  <c r="N208" s="1"/>
  <c r="L282"/>
  <c r="N282" s="1"/>
  <c r="K61" i="6"/>
  <c r="L60"/>
  <c r="N60" s="1"/>
  <c r="L283" i="13" l="1"/>
  <c r="N283" s="1"/>
  <c r="L209"/>
  <c r="N209" s="1"/>
  <c r="K62" i="6"/>
  <c r="L61"/>
  <c r="N61" s="1"/>
  <c r="L210" i="13" l="1"/>
  <c r="N210" s="1"/>
  <c r="L284"/>
  <c r="N284" s="1"/>
  <c r="L62" i="6"/>
  <c r="N62" s="1"/>
  <c r="K63"/>
  <c r="L211" i="13" l="1"/>
  <c r="N211" s="1"/>
  <c r="L285"/>
  <c r="N285" s="1"/>
  <c r="K64" i="6"/>
  <c r="L63"/>
  <c r="N63" s="1"/>
  <c r="L212" i="13" l="1"/>
  <c r="N212" s="1"/>
  <c r="L286"/>
  <c r="N286" s="1"/>
  <c r="L64" i="6"/>
  <c r="N64" s="1"/>
  <c r="K65"/>
  <c r="L287" i="13" l="1"/>
  <c r="N287" s="1"/>
  <c r="L213"/>
  <c r="N213" s="1"/>
  <c r="K66" i="6"/>
  <c r="L65"/>
  <c r="N65" s="1"/>
  <c r="L214" i="13" l="1"/>
  <c r="N214" s="1"/>
  <c r="L288"/>
  <c r="N288" s="1"/>
  <c r="K67" i="6"/>
  <c r="L66"/>
  <c r="N66" s="1"/>
  <c r="L215" i="13" l="1"/>
  <c r="N215" s="1"/>
  <c r="L289"/>
  <c r="N289" s="1"/>
  <c r="K68" i="6"/>
  <c r="L67"/>
  <c r="N67" s="1"/>
  <c r="L216" i="13" l="1"/>
  <c r="N216" s="1"/>
  <c r="L290"/>
  <c r="N290" s="1"/>
  <c r="L68" i="6"/>
  <c r="N68" s="1"/>
  <c r="K69"/>
  <c r="K302" i="13" l="1"/>
  <c r="L301"/>
  <c r="N301" s="1"/>
  <c r="L217"/>
  <c r="N217" s="1"/>
  <c r="L504"/>
  <c r="N504" s="1"/>
  <c r="K505"/>
  <c r="K70" i="6"/>
  <c r="L69"/>
  <c r="N69" s="1"/>
  <c r="K506" i="13" l="1"/>
  <c r="L505"/>
  <c r="N505" s="1"/>
  <c r="L218"/>
  <c r="N218" s="1"/>
  <c r="K303"/>
  <c r="L302"/>
  <c r="N302" s="1"/>
  <c r="K71" i="6"/>
  <c r="L70"/>
  <c r="N70" s="1"/>
  <c r="L219" i="13" l="1"/>
  <c r="N219" s="1"/>
  <c r="K304"/>
  <c r="L303"/>
  <c r="N303" s="1"/>
  <c r="L506"/>
  <c r="N506" s="1"/>
  <c r="K507"/>
  <c r="K72" i="6"/>
  <c r="L71"/>
  <c r="N71" s="1"/>
  <c r="K508" i="13" l="1"/>
  <c r="L507"/>
  <c r="N507" s="1"/>
  <c r="L220"/>
  <c r="N220" s="1"/>
  <c r="L304"/>
  <c r="N304" s="1"/>
  <c r="K305"/>
  <c r="K73" i="6"/>
  <c r="L72"/>
  <c r="N72" s="1"/>
  <c r="K306" i="13" l="1"/>
  <c r="L305"/>
  <c r="N305" s="1"/>
  <c r="L221"/>
  <c r="N221" s="1"/>
  <c r="L508"/>
  <c r="N508" s="1"/>
  <c r="K509"/>
  <c r="K74" i="6"/>
  <c r="L73"/>
  <c r="N73" s="1"/>
  <c r="L222" i="13" l="1"/>
  <c r="N222" s="1"/>
  <c r="K510"/>
  <c r="L509"/>
  <c r="N509" s="1"/>
  <c r="K307"/>
  <c r="L306"/>
  <c r="N306" s="1"/>
  <c r="K75" i="6"/>
  <c r="L74"/>
  <c r="N74" s="1"/>
  <c r="K308" i="13" l="1"/>
  <c r="L307"/>
  <c r="N307" s="1"/>
  <c r="L510"/>
  <c r="N510" s="1"/>
  <c r="K511"/>
  <c r="L223"/>
  <c r="N223" s="1"/>
  <c r="K76" i="6"/>
  <c r="L75"/>
  <c r="N75" s="1"/>
  <c r="K512" i="13" l="1"/>
  <c r="L511"/>
  <c r="N511" s="1"/>
  <c r="L224"/>
  <c r="N224" s="1"/>
  <c r="L308"/>
  <c r="N308" s="1"/>
  <c r="K309"/>
  <c r="L76" i="6"/>
  <c r="N76" s="1"/>
  <c r="K77"/>
  <c r="K310" i="13" l="1"/>
  <c r="L309"/>
  <c r="N309" s="1"/>
  <c r="L225"/>
  <c r="N225" s="1"/>
  <c r="L226"/>
  <c r="N226" s="1"/>
  <c r="L512"/>
  <c r="N512" s="1"/>
  <c r="K513"/>
  <c r="K78" i="6"/>
  <c r="L77"/>
  <c r="N77" s="1"/>
  <c r="K514" i="13" l="1"/>
  <c r="L513"/>
  <c r="N513" s="1"/>
  <c r="K311"/>
  <c r="L310"/>
  <c r="N310" s="1"/>
  <c r="K79" i="6"/>
  <c r="L78"/>
  <c r="N78" s="1"/>
  <c r="K312" i="13" l="1"/>
  <c r="L311"/>
  <c r="N311" s="1"/>
  <c r="L514"/>
  <c r="N514" s="1"/>
  <c r="K515"/>
  <c r="K80" i="6"/>
  <c r="L79"/>
  <c r="N79" s="1"/>
  <c r="K516" i="13" l="1"/>
  <c r="L515"/>
  <c r="N515" s="1"/>
  <c r="L312"/>
  <c r="N312" s="1"/>
  <c r="K313"/>
  <c r="K81" i="6"/>
  <c r="L80"/>
  <c r="N80" s="1"/>
  <c r="K314" i="13" l="1"/>
  <c r="L313"/>
  <c r="N313" s="1"/>
  <c r="L516"/>
  <c r="N516" s="1"/>
  <c r="K517"/>
  <c r="K82" i="6"/>
  <c r="L81"/>
  <c r="N81" s="1"/>
  <c r="K518" i="13" l="1"/>
  <c r="L517"/>
  <c r="N517" s="1"/>
  <c r="K315"/>
  <c r="L314"/>
  <c r="N314" s="1"/>
  <c r="K83" i="6"/>
  <c r="L82"/>
  <c r="N82" s="1"/>
  <c r="K316" i="13" l="1"/>
  <c r="L315"/>
  <c r="N315" s="1"/>
  <c r="L518"/>
  <c r="N518" s="1"/>
  <c r="K519"/>
  <c r="K84" i="6"/>
  <c r="L83"/>
  <c r="N83" s="1"/>
  <c r="K520" i="13" l="1"/>
  <c r="L519"/>
  <c r="N519" s="1"/>
  <c r="L316"/>
  <c r="N316" s="1"/>
  <c r="K317"/>
  <c r="K85" i="6"/>
  <c r="L84"/>
  <c r="N84" s="1"/>
  <c r="L520" i="13" l="1"/>
  <c r="N520" s="1"/>
  <c r="K521"/>
  <c r="K318"/>
  <c r="L317"/>
  <c r="N317" s="1"/>
  <c r="L85" i="6"/>
  <c r="N85" s="1"/>
  <c r="K86"/>
  <c r="K319" i="13" l="1"/>
  <c r="L318"/>
  <c r="N318" s="1"/>
  <c r="K522"/>
  <c r="L521"/>
  <c r="N521" s="1"/>
  <c r="K87" i="6"/>
  <c r="L86"/>
  <c r="N86" s="1"/>
  <c r="K320" i="13" l="1"/>
  <c r="L319"/>
  <c r="N319" s="1"/>
  <c r="L522"/>
  <c r="N522" s="1"/>
  <c r="K523"/>
  <c r="K88" i="6"/>
  <c r="L87"/>
  <c r="N87" s="1"/>
  <c r="L320" i="13" l="1"/>
  <c r="N320" s="1"/>
  <c r="K321"/>
  <c r="K524"/>
  <c r="L523"/>
  <c r="N523" s="1"/>
  <c r="K89" i="6"/>
  <c r="L88"/>
  <c r="N88" s="1"/>
  <c r="K322" i="13" l="1"/>
  <c r="L321"/>
  <c r="N321" s="1"/>
  <c r="L524"/>
  <c r="N524" s="1"/>
  <c r="K525"/>
  <c r="L89" i="6"/>
  <c r="N89" s="1"/>
  <c r="K90"/>
  <c r="K526" i="13" l="1"/>
  <c r="L525"/>
  <c r="N525" s="1"/>
  <c r="K323"/>
  <c r="L322"/>
  <c r="N322" s="1"/>
  <c r="L90" i="6"/>
  <c r="N90" s="1"/>
  <c r="K91"/>
  <c r="K324" i="13" l="1"/>
  <c r="L323"/>
  <c r="N323" s="1"/>
  <c r="L526"/>
  <c r="N526" s="1"/>
  <c r="K527"/>
  <c r="K92" i="6"/>
  <c r="L91"/>
  <c r="N91" s="1"/>
  <c r="K528" i="13" l="1"/>
  <c r="L527"/>
  <c r="N527" s="1"/>
  <c r="L324"/>
  <c r="N324" s="1"/>
  <c r="K325"/>
  <c r="K93" i="6"/>
  <c r="L92"/>
  <c r="N92" s="1"/>
  <c r="K326" i="13" l="1"/>
  <c r="L325"/>
  <c r="N325" s="1"/>
  <c r="L528"/>
  <c r="N528" s="1"/>
  <c r="K529"/>
  <c r="K94" i="6"/>
  <c r="L93"/>
  <c r="N93" s="1"/>
  <c r="K530" i="13" l="1"/>
  <c r="L529"/>
  <c r="N529" s="1"/>
  <c r="K327"/>
  <c r="L326"/>
  <c r="N326" s="1"/>
  <c r="K95" i="6"/>
  <c r="L94"/>
  <c r="N94" s="1"/>
  <c r="K328" i="13" l="1"/>
  <c r="L327"/>
  <c r="N327" s="1"/>
  <c r="L530"/>
  <c r="N530" s="1"/>
  <c r="K531"/>
  <c r="K96" i="6"/>
  <c r="L95"/>
  <c r="N95" s="1"/>
  <c r="K532" i="13" l="1"/>
  <c r="L531"/>
  <c r="N531" s="1"/>
  <c r="L328"/>
  <c r="N328" s="1"/>
  <c r="K329"/>
  <c r="K97" i="6"/>
  <c r="L96"/>
  <c r="N96" s="1"/>
  <c r="K330" i="13" l="1"/>
  <c r="L329"/>
  <c r="N329" s="1"/>
  <c r="L532"/>
  <c r="N532" s="1"/>
  <c r="K533"/>
  <c r="L97" i="6"/>
  <c r="N97" s="1"/>
  <c r="K98"/>
  <c r="K331" i="13" l="1"/>
  <c r="L330"/>
  <c r="N330" s="1"/>
  <c r="K534"/>
  <c r="L533"/>
  <c r="N533" s="1"/>
  <c r="K99" i="6"/>
  <c r="L98"/>
  <c r="N98" s="1"/>
  <c r="L534" i="13" l="1"/>
  <c r="N534" s="1"/>
  <c r="K535"/>
  <c r="K332"/>
  <c r="L331"/>
  <c r="N331" s="1"/>
  <c r="K100" i="6"/>
  <c r="L99"/>
  <c r="N99" s="1"/>
  <c r="K536" i="13" l="1"/>
  <c r="L535"/>
  <c r="N535" s="1"/>
  <c r="L332"/>
  <c r="N332" s="1"/>
  <c r="K333"/>
  <c r="K101" i="6"/>
  <c r="L100"/>
  <c r="N100" s="1"/>
  <c r="K334" i="13" l="1"/>
  <c r="L333"/>
  <c r="N333" s="1"/>
  <c r="L536"/>
  <c r="N536" s="1"/>
  <c r="K537"/>
  <c r="K102" i="6"/>
  <c r="L101"/>
  <c r="N101" s="1"/>
  <c r="K538" i="13" l="1"/>
  <c r="L537"/>
  <c r="N537" s="1"/>
  <c r="K335"/>
  <c r="L334"/>
  <c r="N334" s="1"/>
  <c r="K103" i="6"/>
  <c r="L102"/>
  <c r="N102" s="1"/>
  <c r="K336" i="13" l="1"/>
  <c r="L335"/>
  <c r="N335" s="1"/>
  <c r="L538"/>
  <c r="N538" s="1"/>
  <c r="K539"/>
  <c r="K104" i="6"/>
  <c r="L103"/>
  <c r="N103" s="1"/>
  <c r="K540" i="13" l="1"/>
  <c r="L539"/>
  <c r="N539" s="1"/>
  <c r="L336"/>
  <c r="N336" s="1"/>
  <c r="K337"/>
  <c r="K105" i="6"/>
  <c r="L104"/>
  <c r="N104" s="1"/>
  <c r="K338" i="13" l="1"/>
  <c r="L337"/>
  <c r="N337" s="1"/>
  <c r="L540"/>
  <c r="N540" s="1"/>
  <c r="K541"/>
  <c r="L105" i="6"/>
  <c r="N105" s="1"/>
  <c r="K106"/>
  <c r="K542" i="13" l="1"/>
  <c r="L541"/>
  <c r="N541" s="1"/>
  <c r="K339"/>
  <c r="L338"/>
  <c r="N338" s="1"/>
  <c r="K107" i="6"/>
  <c r="L106"/>
  <c r="N106" s="1"/>
  <c r="K340" i="13" l="1"/>
  <c r="L339"/>
  <c r="N339" s="1"/>
  <c r="L542"/>
  <c r="N542" s="1"/>
  <c r="K543"/>
  <c r="K108" i="6"/>
  <c r="L107"/>
  <c r="N107" s="1"/>
  <c r="K544" i="13" l="1"/>
  <c r="L543"/>
  <c r="N543" s="1"/>
  <c r="L340"/>
  <c r="N340" s="1"/>
  <c r="K341"/>
  <c r="K109" i="6"/>
  <c r="L108"/>
  <c r="N108" s="1"/>
  <c r="K342" i="13" l="1"/>
  <c r="L341"/>
  <c r="N341" s="1"/>
  <c r="L544"/>
  <c r="N544" s="1"/>
  <c r="K545"/>
  <c r="K110" i="6"/>
  <c r="L109"/>
  <c r="N109" s="1"/>
  <c r="K546" i="13" l="1"/>
  <c r="L545"/>
  <c r="N545" s="1"/>
  <c r="K343"/>
  <c r="L342"/>
  <c r="N342" s="1"/>
  <c r="K111" i="6"/>
  <c r="L110"/>
  <c r="N110" s="1"/>
  <c r="K344" i="13" l="1"/>
  <c r="L343"/>
  <c r="N343" s="1"/>
  <c r="L546"/>
  <c r="N546" s="1"/>
  <c r="K547"/>
  <c r="K112" i="6"/>
  <c r="L111"/>
  <c r="N111" s="1"/>
  <c r="K548" i="13" l="1"/>
  <c r="L547"/>
  <c r="N547" s="1"/>
  <c r="L344"/>
  <c r="N344" s="1"/>
  <c r="K345"/>
  <c r="L112" i="6"/>
  <c r="N112" s="1"/>
  <c r="K113"/>
  <c r="K346" i="13" l="1"/>
  <c r="L345"/>
  <c r="N345" s="1"/>
  <c r="L548"/>
  <c r="N548" s="1"/>
  <c r="K549"/>
  <c r="L113" i="6"/>
  <c r="N113" s="1"/>
  <c r="K114"/>
  <c r="K347" i="13" l="1"/>
  <c r="L346"/>
  <c r="N346" s="1"/>
  <c r="K550"/>
  <c r="L549"/>
  <c r="N549" s="1"/>
  <c r="K115" i="6"/>
  <c r="L114"/>
  <c r="N114" s="1"/>
  <c r="L550" i="13" l="1"/>
  <c r="N550" s="1"/>
  <c r="K551"/>
  <c r="K348"/>
  <c r="L347"/>
  <c r="N347" s="1"/>
  <c r="K116" i="6"/>
  <c r="L115"/>
  <c r="N115" s="1"/>
  <c r="K552" i="13" l="1"/>
  <c r="L551"/>
  <c r="N551" s="1"/>
  <c r="L348"/>
  <c r="N348" s="1"/>
  <c r="K349"/>
  <c r="K117" i="6"/>
  <c r="L116"/>
  <c r="N116" s="1"/>
  <c r="K350" i="13" l="1"/>
  <c r="L349"/>
  <c r="N349" s="1"/>
  <c r="L552"/>
  <c r="N552" s="1"/>
  <c r="K553"/>
  <c r="L117" i="6"/>
  <c r="N117" s="1"/>
  <c r="K118"/>
  <c r="K554" i="13" l="1"/>
  <c r="L553"/>
  <c r="N553" s="1"/>
  <c r="K351"/>
  <c r="L350"/>
  <c r="N350" s="1"/>
  <c r="K119" i="6"/>
  <c r="L118"/>
  <c r="N118" s="1"/>
  <c r="K352" i="13" l="1"/>
  <c r="L351"/>
  <c r="N351" s="1"/>
  <c r="L554"/>
  <c r="N554" s="1"/>
  <c r="K555"/>
  <c r="K120" i="6"/>
  <c r="L119"/>
  <c r="N119" s="1"/>
  <c r="K556" i="13" l="1"/>
  <c r="L555"/>
  <c r="N555" s="1"/>
  <c r="L352"/>
  <c r="N352" s="1"/>
  <c r="K353"/>
  <c r="K121" i="6"/>
  <c r="L120"/>
  <c r="N120" s="1"/>
  <c r="K354" i="13" l="1"/>
  <c r="L353"/>
  <c r="N353" s="1"/>
  <c r="L556"/>
  <c r="N556" s="1"/>
  <c r="K557"/>
  <c r="L121" i="6"/>
  <c r="N121" s="1"/>
  <c r="K122"/>
  <c r="K558" i="13" l="1"/>
  <c r="L557"/>
  <c r="N557" s="1"/>
  <c r="K355"/>
  <c r="L354"/>
  <c r="N354" s="1"/>
  <c r="K123" i="6"/>
  <c r="L122"/>
  <c r="N122" s="1"/>
  <c r="K356" i="13" l="1"/>
  <c r="L355"/>
  <c r="N355" s="1"/>
  <c r="L558"/>
  <c r="N558" s="1"/>
  <c r="K559"/>
  <c r="K124" i="6"/>
  <c r="L123"/>
  <c r="N123" s="1"/>
  <c r="K560" i="13" l="1"/>
  <c r="L559"/>
  <c r="N559" s="1"/>
  <c r="L356"/>
  <c r="N356" s="1"/>
  <c r="K357"/>
  <c r="K125" i="6"/>
  <c r="L124"/>
  <c r="N124" s="1"/>
  <c r="L560" i="13" l="1"/>
  <c r="N560" s="1"/>
  <c r="K561"/>
  <c r="K358"/>
  <c r="L357"/>
  <c r="N357" s="1"/>
  <c r="K126" i="6"/>
  <c r="L125"/>
  <c r="N125" s="1"/>
  <c r="K359" i="13" l="1"/>
  <c r="L358"/>
  <c r="N358" s="1"/>
  <c r="K562"/>
  <c r="L561"/>
  <c r="N561" s="1"/>
  <c r="K127" i="6"/>
  <c r="L126"/>
  <c r="N126" s="1"/>
  <c r="L562" i="13" l="1"/>
  <c r="N562" s="1"/>
  <c r="K563"/>
  <c r="K360"/>
  <c r="L359"/>
  <c r="N359" s="1"/>
  <c r="K128" i="6"/>
  <c r="L127"/>
  <c r="N127" s="1"/>
  <c r="K564" i="13" l="1"/>
  <c r="L563"/>
  <c r="N563" s="1"/>
  <c r="L360"/>
  <c r="N360" s="1"/>
  <c r="K361"/>
  <c r="L128" i="6"/>
  <c r="N128" s="1"/>
  <c r="K129"/>
  <c r="K362" i="13" l="1"/>
  <c r="L361"/>
  <c r="N361" s="1"/>
  <c r="L564"/>
  <c r="N564" s="1"/>
  <c r="K565"/>
  <c r="K130" i="6"/>
  <c r="L129"/>
  <c r="N129" s="1"/>
  <c r="K566" i="13" l="1"/>
  <c r="L565"/>
  <c r="N565" s="1"/>
  <c r="K363"/>
  <c r="L362"/>
  <c r="N362" s="1"/>
  <c r="K131" i="6"/>
  <c r="L130"/>
  <c r="N130" s="1"/>
  <c r="K364" i="13" l="1"/>
  <c r="L363"/>
  <c r="N363" s="1"/>
  <c r="L566"/>
  <c r="N566" s="1"/>
  <c r="K567"/>
  <c r="K132" i="6"/>
  <c r="L131"/>
  <c r="N131" s="1"/>
  <c r="K568" i="13" l="1"/>
  <c r="L567"/>
  <c r="N567" s="1"/>
  <c r="L364"/>
  <c r="N364" s="1"/>
  <c r="K365"/>
  <c r="K133" i="6"/>
  <c r="L132"/>
  <c r="N132" s="1"/>
  <c r="K366" i="13" l="1"/>
  <c r="L365"/>
  <c r="N365" s="1"/>
  <c r="L568"/>
  <c r="N568" s="1"/>
  <c r="K569"/>
  <c r="L133" i="6"/>
  <c r="N133" s="1"/>
  <c r="K134"/>
  <c r="K367" i="13" l="1"/>
  <c r="L366"/>
  <c r="N366" s="1"/>
  <c r="K570"/>
  <c r="L569"/>
  <c r="N569" s="1"/>
  <c r="K135" i="6"/>
  <c r="L134"/>
  <c r="N134" s="1"/>
  <c r="L570" i="13" l="1"/>
  <c r="N570" s="1"/>
  <c r="K571"/>
  <c r="K368"/>
  <c r="L367"/>
  <c r="N367" s="1"/>
  <c r="K136" i="6"/>
  <c r="L135"/>
  <c r="N135" s="1"/>
  <c r="K572" i="13" l="1"/>
  <c r="L571"/>
  <c r="N571" s="1"/>
  <c r="L368"/>
  <c r="N368" s="1"/>
  <c r="K369"/>
  <c r="K137" i="6"/>
  <c r="L136"/>
  <c r="N136" s="1"/>
  <c r="K370" i="13" l="1"/>
  <c r="L369"/>
  <c r="N369" s="1"/>
  <c r="L572"/>
  <c r="N572" s="1"/>
  <c r="K573"/>
  <c r="K138" i="6"/>
  <c r="L137"/>
  <c r="N137" s="1"/>
  <c r="K574" i="13" l="1"/>
  <c r="L573"/>
  <c r="N573" s="1"/>
  <c r="K371"/>
  <c r="L370"/>
  <c r="N370" s="1"/>
  <c r="K139" i="6"/>
  <c r="L138"/>
  <c r="N138" s="1"/>
  <c r="K372" i="13" l="1"/>
  <c r="L371"/>
  <c r="N371" s="1"/>
  <c r="L574"/>
  <c r="N574" s="1"/>
  <c r="K575"/>
  <c r="K140" i="6"/>
  <c r="L139"/>
  <c r="N139" s="1"/>
  <c r="K576" i="13" l="1"/>
  <c r="L575"/>
  <c r="N575" s="1"/>
  <c r="L372"/>
  <c r="N372" s="1"/>
  <c r="K373"/>
  <c r="K141" i="6"/>
  <c r="L140"/>
  <c r="N140" s="1"/>
  <c r="L576" i="13" l="1"/>
  <c r="N576" s="1"/>
  <c r="K577"/>
  <c r="K374"/>
  <c r="L373"/>
  <c r="N373" s="1"/>
  <c r="K142" i="6"/>
  <c r="L141"/>
  <c r="N141" s="1"/>
  <c r="K375" i="13" l="1"/>
  <c r="L374"/>
  <c r="N374" s="1"/>
  <c r="K578"/>
  <c r="L577"/>
  <c r="N577" s="1"/>
  <c r="K143" i="6"/>
  <c r="L142"/>
  <c r="N142" s="1"/>
  <c r="L578" i="13" l="1"/>
  <c r="N578" s="1"/>
  <c r="K579"/>
  <c r="K376"/>
  <c r="L375"/>
  <c r="N375" s="1"/>
  <c r="K144" i="6"/>
  <c r="L143"/>
  <c r="N143" s="1"/>
  <c r="L376" i="13" l="1"/>
  <c r="N376" s="1"/>
  <c r="K377"/>
  <c r="K580"/>
  <c r="L579"/>
  <c r="N579" s="1"/>
  <c r="K145" i="6"/>
  <c r="L144"/>
  <c r="N144" s="1"/>
  <c r="K378" i="13" l="1"/>
  <c r="L377"/>
  <c r="N377" s="1"/>
  <c r="L580"/>
  <c r="N580" s="1"/>
  <c r="K581"/>
  <c r="L145" i="6"/>
  <c r="N145" s="1"/>
  <c r="K146"/>
  <c r="K582" i="13" l="1"/>
  <c r="L581"/>
  <c r="N581" s="1"/>
  <c r="K379"/>
  <c r="L378"/>
  <c r="N378" s="1"/>
  <c r="K147" i="6"/>
  <c r="L146"/>
  <c r="N146" s="1"/>
  <c r="K380" i="13" l="1"/>
  <c r="L379"/>
  <c r="N379" s="1"/>
  <c r="L582"/>
  <c r="N582" s="1"/>
  <c r="K583"/>
  <c r="K148" i="6"/>
  <c r="L147"/>
  <c r="N147" s="1"/>
  <c r="L583" i="13" l="1"/>
  <c r="N583" s="1"/>
  <c r="L380"/>
  <c r="N380" s="1"/>
  <c r="K381"/>
  <c r="L148" i="6"/>
  <c r="N148" s="1"/>
  <c r="K149"/>
  <c r="K382" i="13" l="1"/>
  <c r="L381"/>
  <c r="N381" s="1"/>
  <c r="L149" i="6"/>
  <c r="N149" s="1"/>
  <c r="K150"/>
  <c r="K383" i="13" l="1"/>
  <c r="L382"/>
  <c r="N382" s="1"/>
  <c r="K585"/>
  <c r="L584"/>
  <c r="N584" s="1"/>
  <c r="K151" i="6"/>
  <c r="L150"/>
  <c r="N150" s="1"/>
  <c r="L585" i="13" l="1"/>
  <c r="N585" s="1"/>
  <c r="K586"/>
  <c r="K384"/>
  <c r="L383"/>
  <c r="N383" s="1"/>
  <c r="K152" i="6"/>
  <c r="L151"/>
  <c r="N151" s="1"/>
  <c r="L384" i="13" l="1"/>
  <c r="N384" s="1"/>
  <c r="K385"/>
  <c r="K587"/>
  <c r="L586"/>
  <c r="N586" s="1"/>
  <c r="K153" i="6"/>
  <c r="L152"/>
  <c r="N152" s="1"/>
  <c r="K386" i="13" l="1"/>
  <c r="L385"/>
  <c r="N385" s="1"/>
  <c r="L587"/>
  <c r="N587" s="1"/>
  <c r="K588"/>
  <c r="L153" i="6"/>
  <c r="N153" s="1"/>
  <c r="K154"/>
  <c r="K589" i="13" l="1"/>
  <c r="L588"/>
  <c r="N588" s="1"/>
  <c r="K387"/>
  <c r="L386"/>
  <c r="N386" s="1"/>
  <c r="K155" i="6"/>
  <c r="L154"/>
  <c r="N154" s="1"/>
  <c r="K388" i="13" l="1"/>
  <c r="L387"/>
  <c r="N387" s="1"/>
  <c r="L589"/>
  <c r="N589" s="1"/>
  <c r="K590"/>
  <c r="K156" i="6"/>
  <c r="L155"/>
  <c r="N155" s="1"/>
  <c r="K591" i="13" l="1"/>
  <c r="L590"/>
  <c r="N590" s="1"/>
  <c r="L388"/>
  <c r="N388" s="1"/>
  <c r="K389"/>
  <c r="K157" i="6"/>
  <c r="L156"/>
  <c r="N156" s="1"/>
  <c r="L591" i="13" l="1"/>
  <c r="N591" s="1"/>
  <c r="K592"/>
  <c r="K390"/>
  <c r="L389"/>
  <c r="N389" s="1"/>
  <c r="K158" i="6"/>
  <c r="L157"/>
  <c r="N157" s="1"/>
  <c r="K391" i="13" l="1"/>
  <c r="L390"/>
  <c r="N390" s="1"/>
  <c r="K593"/>
  <c r="L592"/>
  <c r="N592" s="1"/>
  <c r="K159" i="6"/>
  <c r="L158"/>
  <c r="N158" s="1"/>
  <c r="L593" i="13" l="1"/>
  <c r="N593" s="1"/>
  <c r="K594"/>
  <c r="K392"/>
  <c r="L391"/>
  <c r="N391" s="1"/>
  <c r="K160" i="6"/>
  <c r="L159"/>
  <c r="N159" s="1"/>
  <c r="K595" i="13" l="1"/>
  <c r="L594"/>
  <c r="N594" s="1"/>
  <c r="L392"/>
  <c r="N392" s="1"/>
  <c r="K393"/>
  <c r="K161" i="6"/>
  <c r="L160"/>
  <c r="N160" s="1"/>
  <c r="K394" i="13" l="1"/>
  <c r="L393"/>
  <c r="N393" s="1"/>
  <c r="L595"/>
  <c r="N595" s="1"/>
  <c r="K596"/>
  <c r="K162" i="6"/>
  <c r="L161"/>
  <c r="N161" s="1"/>
  <c r="K597" i="13" l="1"/>
  <c r="L596"/>
  <c r="N596" s="1"/>
  <c r="K395"/>
  <c r="L394"/>
  <c r="N394" s="1"/>
  <c r="K163" i="6"/>
  <c r="L162"/>
  <c r="N162" s="1"/>
  <c r="K396" i="13" l="1"/>
  <c r="L395"/>
  <c r="N395" s="1"/>
  <c r="L597"/>
  <c r="N597" s="1"/>
  <c r="K598"/>
  <c r="K164" i="6"/>
  <c r="L163"/>
  <c r="N163" s="1"/>
  <c r="K599" i="13" l="1"/>
  <c r="L598"/>
  <c r="N598" s="1"/>
  <c r="L396"/>
  <c r="N396" s="1"/>
  <c r="K397"/>
  <c r="K165" i="6"/>
  <c r="L164"/>
  <c r="N164" s="1"/>
  <c r="K398" i="13" l="1"/>
  <c r="L397"/>
  <c r="N397" s="1"/>
  <c r="L599"/>
  <c r="N599" s="1"/>
  <c r="K600"/>
  <c r="K166" i="6"/>
  <c r="L165"/>
  <c r="N165" s="1"/>
  <c r="K601" i="13" l="1"/>
  <c r="L600"/>
  <c r="N600" s="1"/>
  <c r="K399"/>
  <c r="L398"/>
  <c r="N398" s="1"/>
  <c r="K167" i="6"/>
  <c r="L166"/>
  <c r="N166" s="1"/>
  <c r="L601" i="13" l="1"/>
  <c r="N601" s="1"/>
  <c r="K602"/>
  <c r="K400"/>
  <c r="L399"/>
  <c r="N399" s="1"/>
  <c r="K168" i="6"/>
  <c r="L167"/>
  <c r="N167" s="1"/>
  <c r="K603" i="13" l="1"/>
  <c r="L602"/>
  <c r="N602" s="1"/>
  <c r="L400"/>
  <c r="N400" s="1"/>
  <c r="K401"/>
  <c r="K402" s="1"/>
  <c r="K169" i="6"/>
  <c r="L168"/>
  <c r="N168" s="1"/>
  <c r="L402" i="13" l="1"/>
  <c r="N402" s="1"/>
  <c r="K403"/>
  <c r="L401"/>
  <c r="N401" s="1"/>
  <c r="L603"/>
  <c r="N603" s="1"/>
  <c r="K604"/>
  <c r="K170" i="6"/>
  <c r="L169"/>
  <c r="N169" s="1"/>
  <c r="K404" i="13" l="1"/>
  <c r="L403"/>
  <c r="N403" s="1"/>
  <c r="K605"/>
  <c r="L604"/>
  <c r="N604" s="1"/>
  <c r="K410"/>
  <c r="L409"/>
  <c r="N409" s="1"/>
  <c r="K171" i="6"/>
  <c r="L170"/>
  <c r="N170" s="1"/>
  <c r="K405" i="13" l="1"/>
  <c r="L404"/>
  <c r="N404" s="1"/>
  <c r="K411"/>
  <c r="L410"/>
  <c r="N410" s="1"/>
  <c r="L605"/>
  <c r="N605" s="1"/>
  <c r="K606"/>
  <c r="K172" i="6"/>
  <c r="L171"/>
  <c r="N171" s="1"/>
  <c r="L405" i="13" l="1"/>
  <c r="N405" s="1"/>
  <c r="K406"/>
  <c r="K607"/>
  <c r="L606"/>
  <c r="N606" s="1"/>
  <c r="L411"/>
  <c r="N411" s="1"/>
  <c r="K412"/>
  <c r="K173" i="6"/>
  <c r="L172"/>
  <c r="N172" s="1"/>
  <c r="L406" i="13" l="1"/>
  <c r="N406" s="1"/>
  <c r="K407"/>
  <c r="K413"/>
  <c r="L412"/>
  <c r="N412" s="1"/>
  <c r="L607"/>
  <c r="N607" s="1"/>
  <c r="K608"/>
  <c r="K174" i="6"/>
  <c r="L173"/>
  <c r="N173" s="1"/>
  <c r="L407" i="13" l="1"/>
  <c r="N407" s="1"/>
  <c r="K408"/>
  <c r="L408" s="1"/>
  <c r="N408" s="1"/>
  <c r="K609"/>
  <c r="L608"/>
  <c r="N608" s="1"/>
  <c r="K414"/>
  <c r="L413"/>
  <c r="N413" s="1"/>
  <c r="K175" i="6"/>
  <c r="L174"/>
  <c r="N174" s="1"/>
  <c r="K415" i="13" l="1"/>
  <c r="L414"/>
  <c r="N414" s="1"/>
  <c r="L609"/>
  <c r="N609" s="1"/>
  <c r="K610"/>
  <c r="K176" i="6"/>
  <c r="L175"/>
  <c r="N175" s="1"/>
  <c r="K611" i="13" l="1"/>
  <c r="L610"/>
  <c r="N610" s="1"/>
  <c r="L415"/>
  <c r="N415" s="1"/>
  <c r="K416"/>
  <c r="K177" i="6"/>
  <c r="L176"/>
  <c r="N176" s="1"/>
  <c r="K417" i="13" l="1"/>
  <c r="L416"/>
  <c r="N416" s="1"/>
  <c r="L611"/>
  <c r="N611" s="1"/>
  <c r="K612"/>
  <c r="K178" i="6"/>
  <c r="L177"/>
  <c r="N177" s="1"/>
  <c r="K613" i="13" l="1"/>
  <c r="L612"/>
  <c r="N612" s="1"/>
  <c r="K418"/>
  <c r="L417"/>
  <c r="N417" s="1"/>
  <c r="K179" i="6"/>
  <c r="L178"/>
  <c r="N178" s="1"/>
  <c r="K419" i="13" l="1"/>
  <c r="L418"/>
  <c r="N418" s="1"/>
  <c r="L613"/>
  <c r="N613" s="1"/>
  <c r="K614"/>
  <c r="K180" i="6"/>
  <c r="L179"/>
  <c r="N179" s="1"/>
  <c r="K615" i="13" l="1"/>
  <c r="L614"/>
  <c r="N614" s="1"/>
  <c r="L419"/>
  <c r="N419" s="1"/>
  <c r="K420"/>
  <c r="K181" i="6"/>
  <c r="L180"/>
  <c r="N180" s="1"/>
  <c r="K421" i="13" l="1"/>
  <c r="L420"/>
  <c r="N420" s="1"/>
  <c r="L615"/>
  <c r="N615" s="1"/>
  <c r="K616"/>
  <c r="K182" i="6"/>
  <c r="L181"/>
  <c r="N181" s="1"/>
  <c r="K617" i="13" l="1"/>
  <c r="L616"/>
  <c r="N616" s="1"/>
  <c r="K422"/>
  <c r="L421"/>
  <c r="N421" s="1"/>
  <c r="K183" i="6"/>
  <c r="L182"/>
  <c r="N182" s="1"/>
  <c r="K423" i="13" l="1"/>
  <c r="L422"/>
  <c r="N422" s="1"/>
  <c r="L617"/>
  <c r="N617" s="1"/>
  <c r="K618"/>
  <c r="K184" i="6"/>
  <c r="L183"/>
  <c r="N183" s="1"/>
  <c r="K619" i="13" l="1"/>
  <c r="K620" s="1"/>
  <c r="L618"/>
  <c r="N618" s="1"/>
  <c r="L423"/>
  <c r="N423" s="1"/>
  <c r="K424"/>
  <c r="K185" i="6"/>
  <c r="L184"/>
  <c r="N184" s="1"/>
  <c r="L620" i="13" l="1"/>
  <c r="N620" s="1"/>
  <c r="K621"/>
  <c r="K425"/>
  <c r="L424"/>
  <c r="N424" s="1"/>
  <c r="L619"/>
  <c r="N619" s="1"/>
  <c r="K186" i="6"/>
  <c r="L185"/>
  <c r="N185" s="1"/>
  <c r="K622" i="13" l="1"/>
  <c r="L621"/>
  <c r="N621" s="1"/>
  <c r="K426"/>
  <c r="L425"/>
  <c r="N425" s="1"/>
  <c r="K187" i="6"/>
  <c r="L186"/>
  <c r="N186" s="1"/>
  <c r="L622" i="13" l="1"/>
  <c r="N622" s="1"/>
  <c r="K623"/>
  <c r="K427"/>
  <c r="L426"/>
  <c r="N426" s="1"/>
  <c r="K188" i="6"/>
  <c r="L187"/>
  <c r="N187" s="1"/>
  <c r="K624" i="13" l="1"/>
  <c r="L623"/>
  <c r="N623" s="1"/>
  <c r="L427"/>
  <c r="N427" s="1"/>
  <c r="K428"/>
  <c r="K189" i="6"/>
  <c r="L188"/>
  <c r="N188" s="1"/>
  <c r="L624" i="13" l="1"/>
  <c r="N624" s="1"/>
  <c r="K625"/>
  <c r="K429"/>
  <c r="L428"/>
  <c r="N428" s="1"/>
  <c r="K190" i="6"/>
  <c r="L189"/>
  <c r="N189" s="1"/>
  <c r="K626" i="13" l="1"/>
  <c r="L626" s="1"/>
  <c r="N626" s="1"/>
  <c r="L625"/>
  <c r="N625" s="1"/>
  <c r="K430"/>
  <c r="L429"/>
  <c r="N429" s="1"/>
  <c r="K191" i="6"/>
  <c r="L190"/>
  <c r="N190" s="1"/>
  <c r="K431" i="13" l="1"/>
  <c r="L430"/>
  <c r="N430" s="1"/>
  <c r="K192" i="6"/>
  <c r="L191"/>
  <c r="N191" s="1"/>
  <c r="L431" i="13" l="1"/>
  <c r="N431" s="1"/>
  <c r="K432"/>
  <c r="K193" i="6"/>
  <c r="L192"/>
  <c r="N192" s="1"/>
  <c r="K433" i="13" l="1"/>
  <c r="L432"/>
  <c r="N432" s="1"/>
  <c r="K194" i="6"/>
  <c r="L193"/>
  <c r="N193" s="1"/>
  <c r="L433" i="13" l="1"/>
  <c r="N433" s="1"/>
  <c r="K434"/>
  <c r="K195" i="6"/>
  <c r="L194"/>
  <c r="N194" s="1"/>
  <c r="K435" i="13" l="1"/>
  <c r="L434"/>
  <c r="N434" s="1"/>
  <c r="K196" i="6"/>
  <c r="L195"/>
  <c r="N195" s="1"/>
  <c r="K436" i="13" l="1"/>
  <c r="L435"/>
  <c r="N435" s="1"/>
  <c r="K197" i="6"/>
  <c r="L196"/>
  <c r="N196" s="1"/>
  <c r="K437" i="13" l="1"/>
  <c r="L436"/>
  <c r="N436" s="1"/>
  <c r="K198" i="6"/>
  <c r="L197"/>
  <c r="N197" s="1"/>
  <c r="K438" i="13" l="1"/>
  <c r="L437"/>
  <c r="N437" s="1"/>
  <c r="K199" i="6"/>
  <c r="L198"/>
  <c r="N198" s="1"/>
  <c r="K439" i="13" l="1"/>
  <c r="L438"/>
  <c r="N438" s="1"/>
  <c r="K200" i="6"/>
  <c r="L199"/>
  <c r="N199" s="1"/>
  <c r="K440" i="13" l="1"/>
  <c r="L439"/>
  <c r="N439" s="1"/>
  <c r="K201" i="6"/>
  <c r="L200"/>
  <c r="N200" s="1"/>
  <c r="K441" i="13" l="1"/>
  <c r="L440"/>
  <c r="N440" s="1"/>
  <c r="K202" i="6"/>
  <c r="L201"/>
  <c r="N201" s="1"/>
  <c r="K442" i="13" l="1"/>
  <c r="L441"/>
  <c r="N441" s="1"/>
  <c r="K203" i="6"/>
  <c r="L202"/>
  <c r="N202" s="1"/>
  <c r="K443" i="13" l="1"/>
  <c r="L442"/>
  <c r="N442" s="1"/>
  <c r="K204" i="6"/>
  <c r="L203"/>
  <c r="N203" s="1"/>
  <c r="K444" i="13" l="1"/>
  <c r="L443"/>
  <c r="N443" s="1"/>
  <c r="K205" i="6"/>
  <c r="L204"/>
  <c r="N204" s="1"/>
  <c r="K445" i="13" l="1"/>
  <c r="L444"/>
  <c r="N444" s="1"/>
  <c r="K206" i="6"/>
  <c r="L205"/>
  <c r="N205" s="1"/>
  <c r="K446" i="13" l="1"/>
  <c r="L445"/>
  <c r="N445" s="1"/>
  <c r="K207" i="6"/>
  <c r="L206"/>
  <c r="N206" s="1"/>
  <c r="K447" i="13" l="1"/>
  <c r="L446"/>
  <c r="N446" s="1"/>
  <c r="K208" i="6"/>
  <c r="L207"/>
  <c r="N207" s="1"/>
  <c r="K448" i="13" l="1"/>
  <c r="L447"/>
  <c r="N447" s="1"/>
  <c r="K209" i="6"/>
  <c r="L208"/>
  <c r="N208" s="1"/>
  <c r="K449" i="13" l="1"/>
  <c r="L448"/>
  <c r="N448" s="1"/>
  <c r="K210" i="6"/>
  <c r="L209"/>
  <c r="N209" s="1"/>
  <c r="K450" i="13" l="1"/>
  <c r="L449"/>
  <c r="N449" s="1"/>
  <c r="K211" i="6"/>
  <c r="L210"/>
  <c r="N210" s="1"/>
  <c r="K451" i="13" l="1"/>
  <c r="L450"/>
  <c r="N450" s="1"/>
  <c r="K212" i="6"/>
  <c r="L211"/>
  <c r="N211" s="1"/>
  <c r="K452" i="13" l="1"/>
  <c r="L451"/>
  <c r="N451" s="1"/>
  <c r="K213" i="6"/>
  <c r="L212"/>
  <c r="N212" s="1"/>
  <c r="K453" i="13" l="1"/>
  <c r="L452"/>
  <c r="N452" s="1"/>
  <c r="K214" i="6"/>
  <c r="L213"/>
  <c r="N213" s="1"/>
  <c r="K454" i="13" l="1"/>
  <c r="L453"/>
  <c r="N453" s="1"/>
  <c r="K215" i="6"/>
  <c r="L214"/>
  <c r="N214" s="1"/>
  <c r="K455" i="13" l="1"/>
  <c r="L454"/>
  <c r="N454" s="1"/>
  <c r="K216" i="6"/>
  <c r="L215"/>
  <c r="N215" s="1"/>
  <c r="K456" i="13" l="1"/>
  <c r="L455"/>
  <c r="N455" s="1"/>
  <c r="K217" i="6"/>
  <c r="L216"/>
  <c r="N216" s="1"/>
  <c r="K457" i="13" l="1"/>
  <c r="L456"/>
  <c r="N456" s="1"/>
  <c r="K218" i="6"/>
  <c r="L217"/>
  <c r="N217" s="1"/>
  <c r="K458" i="13" l="1"/>
  <c r="L457"/>
  <c r="N457" s="1"/>
  <c r="K219" i="6"/>
  <c r="L218"/>
  <c r="N218" s="1"/>
  <c r="K459" i="13" l="1"/>
  <c r="L458"/>
  <c r="N458" s="1"/>
  <c r="K220" i="6"/>
  <c r="L219"/>
  <c r="N219" s="1"/>
  <c r="K460" i="13" l="1"/>
  <c r="L459"/>
  <c r="N459" s="1"/>
  <c r="K221" i="6"/>
  <c r="L220"/>
  <c r="N220" s="1"/>
  <c r="K461" i="13" l="1"/>
  <c r="L460"/>
  <c r="N460" s="1"/>
  <c r="K222" i="6"/>
  <c r="L221"/>
  <c r="N221" s="1"/>
  <c r="K462" i="13" l="1"/>
  <c r="L461"/>
  <c r="N461" s="1"/>
  <c r="K223" i="6"/>
  <c r="L222"/>
  <c r="N222" s="1"/>
  <c r="K463" i="13" l="1"/>
  <c r="L462"/>
  <c r="N462" s="1"/>
  <c r="K224" i="6"/>
  <c r="L223"/>
  <c r="N223" s="1"/>
  <c r="K464" i="13" l="1"/>
  <c r="L463"/>
  <c r="N463" s="1"/>
  <c r="K225" i="6"/>
  <c r="L224"/>
  <c r="N224" s="1"/>
  <c r="K465" i="13" l="1"/>
  <c r="L464"/>
  <c r="N464" s="1"/>
  <c r="K226" i="6"/>
  <c r="L225"/>
  <c r="N225" s="1"/>
  <c r="K466" i="13" l="1"/>
  <c r="L465"/>
  <c r="N465" s="1"/>
  <c r="K227" i="6"/>
  <c r="L226"/>
  <c r="N226" s="1"/>
  <c r="K467" i="13" l="1"/>
  <c r="L466"/>
  <c r="N466" s="1"/>
  <c r="K228" i="6"/>
  <c r="L227"/>
  <c r="N227" s="1"/>
  <c r="K468" i="13" l="1"/>
  <c r="L467"/>
  <c r="N467" s="1"/>
  <c r="K229" i="6"/>
  <c r="L228"/>
  <c r="N228" s="1"/>
  <c r="K469" i="13" l="1"/>
  <c r="L468"/>
  <c r="N468" s="1"/>
  <c r="K230" i="6"/>
  <c r="L229"/>
  <c r="N229" s="1"/>
  <c r="K470" i="13" l="1"/>
  <c r="L469"/>
  <c r="N469" s="1"/>
  <c r="K231" i="6"/>
  <c r="L230"/>
  <c r="N230" s="1"/>
  <c r="K471" i="13" l="1"/>
  <c r="L470"/>
  <c r="N470" s="1"/>
  <c r="K232" i="6"/>
  <c r="L231"/>
  <c r="N231" s="1"/>
  <c r="K472" i="13" l="1"/>
  <c r="L471"/>
  <c r="N471" s="1"/>
  <c r="K233" i="6"/>
  <c r="L232"/>
  <c r="N232" s="1"/>
  <c r="K473" i="13" l="1"/>
  <c r="L472"/>
  <c r="N472" s="1"/>
  <c r="K234" i="6"/>
  <c r="L233"/>
  <c r="N233" s="1"/>
  <c r="K474" i="13" l="1"/>
  <c r="L473"/>
  <c r="N473" s="1"/>
  <c r="K235" i="6"/>
  <c r="L234"/>
  <c r="N234" s="1"/>
  <c r="K475" i="13" l="1"/>
  <c r="L474"/>
  <c r="N474" s="1"/>
  <c r="K236" i="6"/>
  <c r="L235"/>
  <c r="N235" s="1"/>
  <c r="K476" i="13" l="1"/>
  <c r="L475"/>
  <c r="N475" s="1"/>
  <c r="K237" i="6"/>
  <c r="L236"/>
  <c r="N236" s="1"/>
  <c r="K477" i="13" l="1"/>
  <c r="L476"/>
  <c r="N476" s="1"/>
  <c r="K238" i="6"/>
  <c r="L237"/>
  <c r="N237" s="1"/>
  <c r="K478" i="13" l="1"/>
  <c r="L477"/>
  <c r="N477" s="1"/>
  <c r="K239" i="6"/>
  <c r="L238"/>
  <c r="N238" s="1"/>
  <c r="K479" i="13" l="1"/>
  <c r="L478"/>
  <c r="N478" s="1"/>
  <c r="K240" i="6"/>
  <c r="L239"/>
  <c r="N239" s="1"/>
  <c r="K480" i="13" l="1"/>
  <c r="L479"/>
  <c r="N479" s="1"/>
  <c r="K241" i="6"/>
  <c r="L240"/>
  <c r="N240" s="1"/>
  <c r="K481" i="13" l="1"/>
  <c r="L480"/>
  <c r="N480" s="1"/>
  <c r="K242" i="6"/>
  <c r="L241"/>
  <c r="N241" s="1"/>
  <c r="K482" i="13" l="1"/>
  <c r="L481"/>
  <c r="N481" s="1"/>
  <c r="K243" i="6"/>
  <c r="L242"/>
  <c r="N242" s="1"/>
  <c r="K483" i="13" l="1"/>
  <c r="L482"/>
  <c r="N482" s="1"/>
  <c r="K244" i="6"/>
  <c r="L243"/>
  <c r="N243" s="1"/>
  <c r="K484" i="13" l="1"/>
  <c r="L483"/>
  <c r="N483" s="1"/>
  <c r="K245" i="6"/>
  <c r="L244"/>
  <c r="N244" s="1"/>
  <c r="K485" i="13" l="1"/>
  <c r="L484"/>
  <c r="N484" s="1"/>
  <c r="K246" i="6"/>
  <c r="L245"/>
  <c r="N245" s="1"/>
  <c r="K486" i="13" l="1"/>
  <c r="L485"/>
  <c r="N485" s="1"/>
  <c r="K247" i="6"/>
  <c r="L246"/>
  <c r="N246" s="1"/>
  <c r="K487" i="13" l="1"/>
  <c r="L486"/>
  <c r="N486" s="1"/>
  <c r="K248" i="6"/>
  <c r="L247"/>
  <c r="N247" s="1"/>
  <c r="K488" i="13" l="1"/>
  <c r="L487"/>
  <c r="N487" s="1"/>
  <c r="K249" i="6"/>
  <c r="L248"/>
  <c r="N248" s="1"/>
  <c r="K489" i="13" l="1"/>
  <c r="L488"/>
  <c r="N488" s="1"/>
  <c r="K250" i="6"/>
  <c r="L249"/>
  <c r="N249" s="1"/>
  <c r="K490" i="13" l="1"/>
  <c r="L489"/>
  <c r="N489" s="1"/>
  <c r="K251" i="6"/>
  <c r="L250"/>
  <c r="N250" s="1"/>
  <c r="K491" i="13" l="1"/>
  <c r="L490"/>
  <c r="N490" s="1"/>
  <c r="K252" i="6"/>
  <c r="L251"/>
  <c r="N251" s="1"/>
  <c r="K492" i="13" l="1"/>
  <c r="L491"/>
  <c r="N491" s="1"/>
  <c r="K253" i="6"/>
  <c r="L252"/>
  <c r="N252" s="1"/>
  <c r="K493" i="13" l="1"/>
  <c r="L492"/>
  <c r="N492" s="1"/>
  <c r="K254" i="6"/>
  <c r="L253"/>
  <c r="N253" s="1"/>
  <c r="K494" i="13" l="1"/>
  <c r="L493"/>
  <c r="N493" s="1"/>
  <c r="K255" i="6"/>
  <c r="L254"/>
  <c r="N254" s="1"/>
  <c r="K495" i="13" l="1"/>
  <c r="L494"/>
  <c r="N494" s="1"/>
  <c r="K256" i="6"/>
  <c r="L255"/>
  <c r="N255" s="1"/>
  <c r="K496" i="13" l="1"/>
  <c r="L495"/>
  <c r="N495" s="1"/>
  <c r="K257" i="6"/>
  <c r="L256"/>
  <c r="N256" s="1"/>
  <c r="L496" i="13" l="1"/>
  <c r="N496" s="1"/>
  <c r="K497"/>
  <c r="K258" i="6"/>
  <c r="L257"/>
  <c r="N257" s="1"/>
  <c r="K498" i="13" l="1"/>
  <c r="L497"/>
  <c r="N497" s="1"/>
  <c r="K259" i="6"/>
  <c r="L258"/>
  <c r="N258" s="1"/>
  <c r="K499" i="13" l="1"/>
  <c r="L498"/>
  <c r="N498" s="1"/>
  <c r="K260" i="6"/>
  <c r="L259"/>
  <c r="N259" s="1"/>
  <c r="K500" i="13" l="1"/>
  <c r="L499"/>
  <c r="N499" s="1"/>
  <c r="K261" i="6"/>
  <c r="L260"/>
  <c r="N260" s="1"/>
  <c r="K501" i="13" l="1"/>
  <c r="L500"/>
  <c r="N500" s="1"/>
  <c r="K262" i="6"/>
  <c r="L261"/>
  <c r="N261" s="1"/>
  <c r="L501" i="13" l="1"/>
  <c r="N501" s="1"/>
  <c r="K502"/>
  <c r="K263" i="6"/>
  <c r="L262"/>
  <c r="N262" s="1"/>
  <c r="K503" i="13" l="1"/>
  <c r="L503" s="1"/>
  <c r="N503" s="1"/>
  <c r="L502"/>
  <c r="N502" s="1"/>
  <c r="N924" s="1"/>
  <c r="C12" i="12" s="1"/>
  <c r="K264" i="6"/>
  <c r="L263"/>
  <c r="N263" s="1"/>
  <c r="E13" i="9" l="1"/>
  <c r="C14" i="12"/>
  <c r="C16" s="1"/>
  <c r="E12" i="9" s="1"/>
  <c r="K265" i="6"/>
  <c r="L264"/>
  <c r="N264" s="1"/>
  <c r="K266" l="1"/>
  <c r="L265"/>
  <c r="N265" s="1"/>
  <c r="K267" l="1"/>
  <c r="L266"/>
  <c r="N266" s="1"/>
  <c r="K268" l="1"/>
  <c r="L267"/>
  <c r="N267" s="1"/>
  <c r="K269" l="1"/>
  <c r="L268"/>
  <c r="N268" s="1"/>
  <c r="K270" l="1"/>
  <c r="L269"/>
  <c r="N269" s="1"/>
  <c r="K271" l="1"/>
  <c r="L270"/>
  <c r="N270" s="1"/>
  <c r="K272" l="1"/>
  <c r="L271"/>
  <c r="N271" s="1"/>
  <c r="K273" l="1"/>
  <c r="L272"/>
  <c r="N272" s="1"/>
  <c r="K274" l="1"/>
  <c r="L273"/>
  <c r="N273" s="1"/>
  <c r="K275" l="1"/>
  <c r="L274"/>
  <c r="N274" s="1"/>
  <c r="K276" l="1"/>
  <c r="L275"/>
  <c r="N275" s="1"/>
  <c r="K277" l="1"/>
  <c r="L276"/>
  <c r="N276" s="1"/>
  <c r="K278" l="1"/>
  <c r="L277"/>
  <c r="N277" s="1"/>
  <c r="K279" l="1"/>
  <c r="L278"/>
  <c r="N278" s="1"/>
  <c r="K280" l="1"/>
  <c r="L279"/>
  <c r="N279" s="1"/>
  <c r="K281" l="1"/>
  <c r="L280"/>
  <c r="N280" s="1"/>
  <c r="K282" l="1"/>
  <c r="L281"/>
  <c r="N281" s="1"/>
  <c r="K283" l="1"/>
  <c r="L282"/>
  <c r="N282" s="1"/>
  <c r="K284" l="1"/>
  <c r="L283"/>
  <c r="N283" s="1"/>
  <c r="K285" l="1"/>
  <c r="L284"/>
  <c r="N284" s="1"/>
  <c r="K286" l="1"/>
  <c r="L285"/>
  <c r="N285" s="1"/>
  <c r="K287" l="1"/>
  <c r="L286"/>
  <c r="N286" s="1"/>
  <c r="K288" l="1"/>
  <c r="L287"/>
  <c r="N287" s="1"/>
  <c r="K289" l="1"/>
  <c r="L288"/>
  <c r="N288" s="1"/>
  <c r="K290" l="1"/>
  <c r="L289"/>
  <c r="N289" s="1"/>
  <c r="K291" l="1"/>
  <c r="L290"/>
  <c r="N290" s="1"/>
  <c r="K292" l="1"/>
  <c r="L291"/>
  <c r="N291" s="1"/>
  <c r="K293" l="1"/>
  <c r="L292"/>
  <c r="N292" s="1"/>
  <c r="K294" l="1"/>
  <c r="L293"/>
  <c r="N293" s="1"/>
  <c r="K295" l="1"/>
  <c r="L294"/>
  <c r="N294" s="1"/>
  <c r="K296" l="1"/>
  <c r="L295"/>
  <c r="N295" s="1"/>
  <c r="K297" l="1"/>
  <c r="L296"/>
  <c r="N296" s="1"/>
  <c r="K298" l="1"/>
  <c r="L297"/>
  <c r="N297" s="1"/>
  <c r="K299" l="1"/>
  <c r="L298"/>
  <c r="N298" s="1"/>
  <c r="K300" l="1"/>
  <c r="L299"/>
  <c r="N299" s="1"/>
  <c r="K301" l="1"/>
  <c r="L300"/>
  <c r="N300" s="1"/>
  <c r="K302" l="1"/>
  <c r="L301"/>
  <c r="N301" s="1"/>
  <c r="K303" l="1"/>
  <c r="L302"/>
  <c r="N302" s="1"/>
  <c r="K304" l="1"/>
  <c r="L303"/>
  <c r="N303" s="1"/>
  <c r="K305" l="1"/>
  <c r="L304"/>
  <c r="N304" s="1"/>
  <c r="K306" l="1"/>
  <c r="L305"/>
  <c r="N305" s="1"/>
  <c r="K307" l="1"/>
  <c r="L306"/>
  <c r="N306" s="1"/>
  <c r="K308" l="1"/>
  <c r="L307"/>
  <c r="N307" s="1"/>
  <c r="K309" l="1"/>
  <c r="L308"/>
  <c r="N308" s="1"/>
  <c r="K310" l="1"/>
  <c r="L309"/>
  <c r="N309" s="1"/>
  <c r="K311" l="1"/>
  <c r="L310"/>
  <c r="N310" s="1"/>
  <c r="K312" l="1"/>
  <c r="L311"/>
  <c r="N311" s="1"/>
  <c r="K313" l="1"/>
  <c r="L312"/>
  <c r="N312" s="1"/>
  <c r="K314" l="1"/>
  <c r="L313"/>
  <c r="N313" s="1"/>
  <c r="K315" l="1"/>
  <c r="L314"/>
  <c r="N314" s="1"/>
  <c r="K316" l="1"/>
  <c r="L315"/>
  <c r="N315" s="1"/>
  <c r="K317" l="1"/>
  <c r="L316"/>
  <c r="N316" s="1"/>
  <c r="K318" l="1"/>
  <c r="L317"/>
  <c r="N317" s="1"/>
  <c r="K319" l="1"/>
  <c r="L318"/>
  <c r="N318" s="1"/>
  <c r="K320" l="1"/>
  <c r="L319"/>
  <c r="N319" s="1"/>
  <c r="K321" l="1"/>
  <c r="L320"/>
  <c r="N320" s="1"/>
  <c r="K322" l="1"/>
  <c r="L321"/>
  <c r="N321" s="1"/>
  <c r="K323" l="1"/>
  <c r="L322"/>
  <c r="N322" s="1"/>
  <c r="K324" l="1"/>
  <c r="L323"/>
  <c r="N323" s="1"/>
  <c r="K325" l="1"/>
  <c r="L324"/>
  <c r="N324" s="1"/>
  <c r="K326" l="1"/>
  <c r="L325"/>
  <c r="N325" s="1"/>
  <c r="K327" l="1"/>
  <c r="L326"/>
  <c r="N326" s="1"/>
  <c r="K328" l="1"/>
  <c r="L327"/>
  <c r="N327" s="1"/>
  <c r="K329" l="1"/>
  <c r="L328"/>
  <c r="N328" s="1"/>
  <c r="K330" l="1"/>
  <c r="L329"/>
  <c r="N329" s="1"/>
  <c r="K331" l="1"/>
  <c r="L330"/>
  <c r="N330" s="1"/>
  <c r="K332" l="1"/>
  <c r="L331"/>
  <c r="N331" s="1"/>
  <c r="K333" l="1"/>
  <c r="L332"/>
  <c r="N332" s="1"/>
  <c r="K334" l="1"/>
  <c r="L333"/>
  <c r="N333" s="1"/>
  <c r="K335" l="1"/>
  <c r="L334"/>
  <c r="N334" s="1"/>
  <c r="K336" l="1"/>
  <c r="L335"/>
  <c r="N335" s="1"/>
  <c r="K337" l="1"/>
  <c r="L336"/>
  <c r="N336" s="1"/>
  <c r="K338" l="1"/>
  <c r="L337"/>
  <c r="N337" s="1"/>
  <c r="K339" l="1"/>
  <c r="L338"/>
  <c r="N338" s="1"/>
  <c r="K340" l="1"/>
  <c r="L339"/>
  <c r="N339" s="1"/>
  <c r="K341" l="1"/>
  <c r="L340"/>
  <c r="N340" s="1"/>
  <c r="K342" l="1"/>
  <c r="L341"/>
  <c r="N341" s="1"/>
  <c r="K343" l="1"/>
  <c r="L342"/>
  <c r="N342" s="1"/>
  <c r="K344" l="1"/>
  <c r="L343"/>
  <c r="N343" s="1"/>
  <c r="K345" l="1"/>
  <c r="L344"/>
  <c r="N344" s="1"/>
  <c r="K346" l="1"/>
  <c r="L345"/>
  <c r="N345" s="1"/>
  <c r="K347" l="1"/>
  <c r="L346"/>
  <c r="N346" s="1"/>
  <c r="K348" l="1"/>
  <c r="L347"/>
  <c r="N347" s="1"/>
  <c r="K349" l="1"/>
  <c r="L348"/>
  <c r="N348" s="1"/>
  <c r="K350" l="1"/>
  <c r="L349"/>
  <c r="N349" s="1"/>
  <c r="K351" l="1"/>
  <c r="L350"/>
  <c r="N350" s="1"/>
  <c r="K352" l="1"/>
  <c r="L351"/>
  <c r="N351" s="1"/>
  <c r="K353" l="1"/>
  <c r="L352"/>
  <c r="N352" s="1"/>
  <c r="K354" l="1"/>
  <c r="L353"/>
  <c r="N353" s="1"/>
  <c r="K355" l="1"/>
  <c r="L354"/>
  <c r="N354" s="1"/>
  <c r="K356" l="1"/>
  <c r="L355"/>
  <c r="N355" s="1"/>
  <c r="K357" l="1"/>
  <c r="L356"/>
  <c r="N356" s="1"/>
  <c r="K358" l="1"/>
  <c r="L357"/>
  <c r="N357" s="1"/>
  <c r="K359" l="1"/>
  <c r="L358"/>
  <c r="N358" s="1"/>
  <c r="K360" l="1"/>
  <c r="L359"/>
  <c r="N359" s="1"/>
  <c r="K361" l="1"/>
  <c r="L360"/>
  <c r="N360" s="1"/>
  <c r="K362" l="1"/>
  <c r="L361"/>
  <c r="N361" s="1"/>
  <c r="K363" l="1"/>
  <c r="L362"/>
  <c r="N362" s="1"/>
  <c r="K364" l="1"/>
  <c r="L363"/>
  <c r="N363" s="1"/>
  <c r="K365" l="1"/>
  <c r="L364"/>
  <c r="N364" s="1"/>
  <c r="K366" l="1"/>
  <c r="L365"/>
  <c r="N365" s="1"/>
  <c r="K367" l="1"/>
  <c r="L366"/>
  <c r="N366" s="1"/>
  <c r="K368" l="1"/>
  <c r="L367"/>
  <c r="N367" s="1"/>
  <c r="K369" l="1"/>
  <c r="L368"/>
  <c r="N368" s="1"/>
  <c r="K370" l="1"/>
  <c r="L369"/>
  <c r="N369" s="1"/>
  <c r="K371" l="1"/>
  <c r="L370"/>
  <c r="N370" s="1"/>
  <c r="K372" l="1"/>
  <c r="L371"/>
  <c r="N371" s="1"/>
  <c r="K373" l="1"/>
  <c r="L372"/>
  <c r="N372" s="1"/>
  <c r="K374" l="1"/>
  <c r="L373"/>
  <c r="N373" s="1"/>
  <c r="K375" l="1"/>
  <c r="L374"/>
  <c r="N374" s="1"/>
  <c r="K376" l="1"/>
  <c r="L375"/>
  <c r="N375" s="1"/>
  <c r="K377" l="1"/>
  <c r="L376"/>
  <c r="N376" s="1"/>
  <c r="K378" l="1"/>
  <c r="L377"/>
  <c r="N377" s="1"/>
  <c r="K379" l="1"/>
  <c r="L378"/>
  <c r="N378" s="1"/>
  <c r="K380" l="1"/>
  <c r="L379"/>
  <c r="N379" s="1"/>
  <c r="K381" l="1"/>
  <c r="L380"/>
  <c r="N380" s="1"/>
  <c r="K382" l="1"/>
  <c r="L381"/>
  <c r="N381" s="1"/>
  <c r="K383" l="1"/>
  <c r="L382"/>
  <c r="N382" s="1"/>
  <c r="K384" l="1"/>
  <c r="L383"/>
  <c r="N383" s="1"/>
  <c r="K385" l="1"/>
  <c r="L384"/>
  <c r="N384" s="1"/>
  <c r="K386" l="1"/>
  <c r="L385"/>
  <c r="N385" s="1"/>
  <c r="K387" l="1"/>
  <c r="L386"/>
  <c r="N386" s="1"/>
  <c r="K388" l="1"/>
  <c r="L387"/>
  <c r="N387" s="1"/>
  <c r="K389" l="1"/>
  <c r="L388"/>
  <c r="N388" s="1"/>
  <c r="K390" l="1"/>
  <c r="L389"/>
  <c r="N389" s="1"/>
  <c r="K391" l="1"/>
  <c r="L390"/>
  <c r="N390" s="1"/>
  <c r="K392" l="1"/>
  <c r="L391"/>
  <c r="N391" s="1"/>
  <c r="K393" l="1"/>
  <c r="L392"/>
  <c r="N392" s="1"/>
  <c r="K394" l="1"/>
  <c r="L393"/>
  <c r="N393" s="1"/>
  <c r="K395" l="1"/>
  <c r="L394"/>
  <c r="N394" s="1"/>
  <c r="K396" l="1"/>
  <c r="L395"/>
  <c r="N395" s="1"/>
  <c r="K397" l="1"/>
  <c r="L396"/>
  <c r="N396" s="1"/>
  <c r="K398" l="1"/>
  <c r="L397"/>
  <c r="N397" s="1"/>
  <c r="K399" l="1"/>
  <c r="L398"/>
  <c r="N398" s="1"/>
  <c r="K400" l="1"/>
  <c r="L399"/>
  <c r="N399" s="1"/>
  <c r="K401" l="1"/>
  <c r="L400"/>
  <c r="N400" s="1"/>
  <c r="K402" l="1"/>
  <c r="L401"/>
  <c r="N401" s="1"/>
  <c r="K403" l="1"/>
  <c r="L402"/>
  <c r="N402" s="1"/>
  <c r="K404" l="1"/>
  <c r="L403"/>
  <c r="N403" s="1"/>
  <c r="K405" l="1"/>
  <c r="L404"/>
  <c r="N404" s="1"/>
  <c r="K406" l="1"/>
  <c r="L405"/>
  <c r="N405" s="1"/>
  <c r="K407" l="1"/>
  <c r="L406"/>
  <c r="N406" s="1"/>
  <c r="K408" l="1"/>
  <c r="L407"/>
  <c r="N407" s="1"/>
  <c r="K409" l="1"/>
  <c r="L408"/>
  <c r="N408" s="1"/>
  <c r="K410" l="1"/>
  <c r="L409"/>
  <c r="N409" s="1"/>
  <c r="K411" l="1"/>
  <c r="L410"/>
  <c r="N410" s="1"/>
  <c r="K412" l="1"/>
  <c r="L411"/>
  <c r="N411" s="1"/>
  <c r="K413" l="1"/>
  <c r="L412"/>
  <c r="N412" s="1"/>
  <c r="K414" l="1"/>
  <c r="L413"/>
  <c r="N413" s="1"/>
  <c r="K415" l="1"/>
  <c r="L414"/>
  <c r="N414" s="1"/>
  <c r="K416" l="1"/>
  <c r="L415"/>
  <c r="N415" s="1"/>
  <c r="K417" l="1"/>
  <c r="L416"/>
  <c r="N416" s="1"/>
  <c r="L417" l="1"/>
  <c r="N417" s="1"/>
  <c r="K418"/>
  <c r="K419" l="1"/>
  <c r="L418"/>
  <c r="N418" s="1"/>
  <c r="K420" l="1"/>
  <c r="L419"/>
  <c r="N419" s="1"/>
  <c r="K421" l="1"/>
  <c r="L420"/>
  <c r="N420" s="1"/>
  <c r="K422" l="1"/>
  <c r="L421"/>
  <c r="N421" s="1"/>
  <c r="K423" l="1"/>
  <c r="L422"/>
  <c r="N422" s="1"/>
  <c r="K424" l="1"/>
  <c r="L423"/>
  <c r="N423" s="1"/>
  <c r="K425" l="1"/>
  <c r="L424"/>
  <c r="N424" s="1"/>
  <c r="K426" l="1"/>
  <c r="L425"/>
  <c r="N425" s="1"/>
  <c r="K427" l="1"/>
  <c r="L426"/>
  <c r="N426" s="1"/>
  <c r="K428" l="1"/>
  <c r="L427"/>
  <c r="N427" s="1"/>
  <c r="K429" l="1"/>
  <c r="L428"/>
  <c r="N428" s="1"/>
  <c r="K430" l="1"/>
  <c r="L429"/>
  <c r="N429" s="1"/>
  <c r="K431" l="1"/>
  <c r="L430"/>
  <c r="N430" s="1"/>
  <c r="K432" l="1"/>
  <c r="L431"/>
  <c r="N431" s="1"/>
  <c r="K433" l="1"/>
  <c r="L432"/>
  <c r="N432" s="1"/>
  <c r="K434" l="1"/>
  <c r="L433"/>
  <c r="N433" s="1"/>
  <c r="K435" l="1"/>
  <c r="L434"/>
  <c r="N434" s="1"/>
  <c r="K436" l="1"/>
  <c r="L435"/>
  <c r="N435" s="1"/>
  <c r="K437" l="1"/>
  <c r="L436"/>
  <c r="N436" s="1"/>
  <c r="K438" l="1"/>
  <c r="L437"/>
  <c r="N437" s="1"/>
  <c r="K439" l="1"/>
  <c r="L438"/>
  <c r="N438" s="1"/>
  <c r="K440" l="1"/>
  <c r="L439"/>
  <c r="N439" s="1"/>
  <c r="K441" l="1"/>
  <c r="L440"/>
  <c r="N440" s="1"/>
  <c r="K442" l="1"/>
  <c r="L441"/>
  <c r="N441" s="1"/>
  <c r="K443" l="1"/>
  <c r="L442"/>
  <c r="N442" s="1"/>
  <c r="K444" l="1"/>
  <c r="L443"/>
  <c r="N443" s="1"/>
  <c r="K445" l="1"/>
  <c r="L444"/>
  <c r="N444" s="1"/>
  <c r="K446" l="1"/>
  <c r="L445"/>
  <c r="N445" s="1"/>
  <c r="K447" l="1"/>
  <c r="L446"/>
  <c r="N446" s="1"/>
  <c r="K448" l="1"/>
  <c r="L447"/>
  <c r="N447" s="1"/>
  <c r="K449" l="1"/>
  <c r="L448"/>
  <c r="N448" s="1"/>
  <c r="K450" l="1"/>
  <c r="L449"/>
  <c r="N449" s="1"/>
  <c r="K451" l="1"/>
  <c r="L450"/>
  <c r="N450" s="1"/>
  <c r="K452" l="1"/>
  <c r="L451"/>
  <c r="N451" s="1"/>
  <c r="K453" l="1"/>
  <c r="L452"/>
  <c r="N452" s="1"/>
  <c r="K454" l="1"/>
  <c r="L453"/>
  <c r="N453" s="1"/>
  <c r="K455" l="1"/>
  <c r="L454"/>
  <c r="N454" s="1"/>
  <c r="K456" l="1"/>
  <c r="L455"/>
  <c r="N455" s="1"/>
  <c r="K457" l="1"/>
  <c r="L456"/>
  <c r="N456" s="1"/>
  <c r="K458" l="1"/>
  <c r="L457"/>
  <c r="N457" s="1"/>
  <c r="K459" l="1"/>
  <c r="L458"/>
  <c r="N458" s="1"/>
  <c r="K460" l="1"/>
  <c r="L459"/>
  <c r="N459" s="1"/>
  <c r="K461" l="1"/>
  <c r="L460"/>
  <c r="N460" s="1"/>
  <c r="K462" l="1"/>
  <c r="L461"/>
  <c r="N461" s="1"/>
  <c r="K463" l="1"/>
  <c r="L462"/>
  <c r="N462" s="1"/>
  <c r="K464" l="1"/>
  <c r="L463"/>
  <c r="N463" s="1"/>
  <c r="K465" l="1"/>
  <c r="L464"/>
  <c r="N464" s="1"/>
  <c r="K466" l="1"/>
  <c r="L465"/>
  <c r="N465" s="1"/>
  <c r="K467" l="1"/>
  <c r="L466"/>
  <c r="N466" s="1"/>
  <c r="K468" l="1"/>
  <c r="L467"/>
  <c r="N467" s="1"/>
  <c r="K469" l="1"/>
  <c r="L468"/>
  <c r="N468" s="1"/>
  <c r="K470" l="1"/>
  <c r="L469"/>
  <c r="N469" s="1"/>
  <c r="K471" l="1"/>
  <c r="L470"/>
  <c r="N470" s="1"/>
  <c r="K472" l="1"/>
  <c r="L471"/>
  <c r="N471" s="1"/>
  <c r="K473" l="1"/>
  <c r="L472"/>
  <c r="N472" s="1"/>
  <c r="K474" l="1"/>
  <c r="L473"/>
  <c r="N473" s="1"/>
  <c r="K475" l="1"/>
  <c r="L474"/>
  <c r="N474" s="1"/>
  <c r="K476" l="1"/>
  <c r="L475"/>
  <c r="N475" s="1"/>
  <c r="K477" l="1"/>
  <c r="L476"/>
  <c r="N476" s="1"/>
  <c r="K478" l="1"/>
  <c r="L477"/>
  <c r="N477" s="1"/>
  <c r="K479" l="1"/>
  <c r="L478"/>
  <c r="N478" s="1"/>
  <c r="K480" l="1"/>
  <c r="L479"/>
  <c r="N479" s="1"/>
  <c r="K481" l="1"/>
  <c r="L480"/>
  <c r="N480" s="1"/>
  <c r="N927" i="1"/>
  <c r="M927"/>
  <c r="N926"/>
  <c r="M926"/>
  <c r="N925"/>
  <c r="M925"/>
  <c r="N924"/>
  <c r="M924"/>
  <c r="N923"/>
  <c r="M923"/>
  <c r="N835"/>
  <c r="M835"/>
  <c r="N806"/>
  <c r="M806"/>
  <c r="N785"/>
  <c r="M785"/>
  <c r="N523"/>
  <c r="M523"/>
  <c r="N542"/>
  <c r="M542"/>
  <c r="N541"/>
  <c r="M541"/>
  <c r="N540"/>
  <c r="M540"/>
  <c r="N539"/>
  <c r="M539"/>
  <c r="N538"/>
  <c r="M538"/>
  <c r="N537"/>
  <c r="M537"/>
  <c r="N536"/>
  <c r="M536"/>
  <c r="N535"/>
  <c r="M535"/>
  <c r="N534"/>
  <c r="M534"/>
  <c r="N533"/>
  <c r="M533"/>
  <c r="N532"/>
  <c r="M532"/>
  <c r="N531"/>
  <c r="M531"/>
  <c r="N530"/>
  <c r="M530"/>
  <c r="N820"/>
  <c r="M820"/>
  <c r="N529"/>
  <c r="M529"/>
  <c r="N528"/>
  <c r="M528"/>
  <c r="N527"/>
  <c r="M527"/>
  <c r="N500"/>
  <c r="M500"/>
  <c r="N499"/>
  <c r="M499"/>
  <c r="N526"/>
  <c r="M526"/>
  <c r="N834"/>
  <c r="M834"/>
  <c r="N525"/>
  <c r="M525"/>
  <c r="N498"/>
  <c r="M498"/>
  <c r="N524"/>
  <c r="M524"/>
  <c r="N522"/>
  <c r="M522"/>
  <c r="N833"/>
  <c r="M833"/>
  <c r="N832"/>
  <c r="M832"/>
  <c r="N831"/>
  <c r="M831"/>
  <c r="N830"/>
  <c r="M830"/>
  <c r="N819"/>
  <c r="M819"/>
  <c r="N818"/>
  <c r="M818"/>
  <c r="N521"/>
  <c r="M521"/>
  <c r="N520"/>
  <c r="M520"/>
  <c r="N817"/>
  <c r="M817"/>
  <c r="N519"/>
  <c r="M519"/>
  <c r="N829"/>
  <c r="M829"/>
  <c r="N828"/>
  <c r="M828"/>
  <c r="N827"/>
  <c r="M827"/>
  <c r="N816"/>
  <c r="M816"/>
  <c r="N826"/>
  <c r="M826"/>
  <c r="N518"/>
  <c r="M518"/>
  <c r="N517"/>
  <c r="M517"/>
  <c r="N497"/>
  <c r="M497"/>
  <c r="N516"/>
  <c r="M516"/>
  <c r="N515"/>
  <c r="M515"/>
  <c r="N496"/>
  <c r="M496"/>
  <c r="N514"/>
  <c r="M514"/>
  <c r="N825"/>
  <c r="M825"/>
  <c r="N824"/>
  <c r="M824"/>
  <c r="N513"/>
  <c r="M513"/>
  <c r="N512"/>
  <c r="M512"/>
  <c r="N911"/>
  <c r="M911"/>
  <c r="N511"/>
  <c r="M511"/>
  <c r="N510"/>
  <c r="M510"/>
  <c r="N495"/>
  <c r="M495"/>
  <c r="N509"/>
  <c r="M509"/>
  <c r="N494"/>
  <c r="M494"/>
  <c r="N508"/>
  <c r="M508"/>
  <c r="N815"/>
  <c r="M815"/>
  <c r="N507"/>
  <c r="M507"/>
  <c r="N814"/>
  <c r="M814"/>
  <c r="N813"/>
  <c r="M813"/>
  <c r="N493"/>
  <c r="M493"/>
  <c r="N142"/>
  <c r="M142"/>
  <c r="N140"/>
  <c r="M140"/>
  <c r="N139"/>
  <c r="M139"/>
  <c r="N138"/>
  <c r="M138"/>
  <c r="N137"/>
  <c r="M137"/>
  <c r="N492"/>
  <c r="M492"/>
  <c r="N491"/>
  <c r="M491"/>
  <c r="N136"/>
  <c r="M136"/>
  <c r="N135"/>
  <c r="M135"/>
  <c r="N490"/>
  <c r="M490"/>
  <c r="N812"/>
  <c r="M812"/>
  <c r="N133"/>
  <c r="M133"/>
  <c r="N132"/>
  <c r="M132"/>
  <c r="N131"/>
  <c r="M131"/>
  <c r="N823"/>
  <c r="M823"/>
  <c r="N811"/>
  <c r="M811"/>
  <c r="N489"/>
  <c r="M489"/>
  <c r="N506"/>
  <c r="M506"/>
  <c r="N130"/>
  <c r="M130"/>
  <c r="N129"/>
  <c r="M129"/>
  <c r="N127"/>
  <c r="M127"/>
  <c r="N488"/>
  <c r="M488"/>
  <c r="N505"/>
  <c r="M505"/>
  <c r="N504"/>
  <c r="M504"/>
  <c r="N810"/>
  <c r="M810"/>
  <c r="N126"/>
  <c r="M126"/>
  <c r="N125"/>
  <c r="M125"/>
  <c r="N124"/>
  <c r="M124"/>
  <c r="N123"/>
  <c r="M123"/>
  <c r="N122"/>
  <c r="M122"/>
  <c r="N809"/>
  <c r="M809"/>
  <c r="N822"/>
  <c r="M822"/>
  <c r="N487"/>
  <c r="M487"/>
  <c r="N503"/>
  <c r="M503"/>
  <c r="N486"/>
  <c r="M486"/>
  <c r="N821"/>
  <c r="M821"/>
  <c r="N808"/>
  <c r="M808"/>
  <c r="N121"/>
  <c r="M121"/>
  <c r="N120"/>
  <c r="M120"/>
  <c r="N118"/>
  <c r="M118"/>
  <c r="N209"/>
  <c r="M209"/>
  <c r="N117"/>
  <c r="M117"/>
  <c r="N114"/>
  <c r="M114"/>
  <c r="N113"/>
  <c r="M113"/>
  <c r="N807"/>
  <c r="M807"/>
  <c r="N502"/>
  <c r="M502"/>
  <c r="N111"/>
  <c r="M111"/>
  <c r="N110"/>
  <c r="M110"/>
  <c r="N109"/>
  <c r="M109"/>
  <c r="N501"/>
  <c r="M501"/>
  <c r="N485"/>
  <c r="M485"/>
  <c r="N445"/>
  <c r="M445"/>
  <c r="N390"/>
  <c r="M390"/>
  <c r="N484"/>
  <c r="M484"/>
  <c r="N444"/>
  <c r="M444"/>
  <c r="N483"/>
  <c r="M483"/>
  <c r="N443"/>
  <c r="M443"/>
  <c r="N389"/>
  <c r="M389"/>
  <c r="N482"/>
  <c r="M482"/>
  <c r="N442"/>
  <c r="M442"/>
  <c r="N388"/>
  <c r="M388"/>
  <c r="N481"/>
  <c r="M481"/>
  <c r="N441"/>
  <c r="M441"/>
  <c r="N480"/>
  <c r="M480"/>
  <c r="N457"/>
  <c r="M457"/>
  <c r="N405"/>
  <c r="M405"/>
  <c r="N340"/>
  <c r="M340"/>
  <c r="N479"/>
  <c r="M479"/>
  <c r="N805"/>
  <c r="M805"/>
  <c r="N478"/>
  <c r="M478"/>
  <c r="N440"/>
  <c r="M440"/>
  <c r="N404"/>
  <c r="M404"/>
  <c r="N339"/>
  <c r="M339"/>
  <c r="N387"/>
  <c r="M387"/>
  <c r="N338"/>
  <c r="M338"/>
  <c r="N439"/>
  <c r="M439"/>
  <c r="N386"/>
  <c r="M386"/>
  <c r="N477"/>
  <c r="M477"/>
  <c r="N438"/>
  <c r="M438"/>
  <c r="N385"/>
  <c r="M385"/>
  <c r="N804"/>
  <c r="M804"/>
  <c r="N803"/>
  <c r="M803"/>
  <c r="N802"/>
  <c r="M802"/>
  <c r="N784"/>
  <c r="M784"/>
  <c r="N762"/>
  <c r="M762"/>
  <c r="N801"/>
  <c r="M801"/>
  <c r="N783"/>
  <c r="M783"/>
  <c r="N761"/>
  <c r="M761"/>
  <c r="N774"/>
  <c r="M774"/>
  <c r="N747"/>
  <c r="M747"/>
  <c r="N793"/>
  <c r="M793"/>
  <c r="N773"/>
  <c r="M773"/>
  <c r="N746"/>
  <c r="M746"/>
  <c r="N792"/>
  <c r="M792"/>
  <c r="N745"/>
  <c r="M745"/>
  <c r="N476"/>
  <c r="M476"/>
  <c r="N437"/>
  <c r="M437"/>
  <c r="N384"/>
  <c r="M384"/>
  <c r="N475"/>
  <c r="M475"/>
  <c r="N436"/>
  <c r="M436"/>
  <c r="N791"/>
  <c r="M791"/>
  <c r="N772"/>
  <c r="M772"/>
  <c r="N744"/>
  <c r="M744"/>
  <c r="N764"/>
  <c r="M764"/>
  <c r="N474"/>
  <c r="M474"/>
  <c r="N435"/>
  <c r="M435"/>
  <c r="N383"/>
  <c r="M383"/>
  <c r="N743"/>
  <c r="M743"/>
  <c r="N771"/>
  <c r="M771"/>
  <c r="N742"/>
  <c r="M742"/>
  <c r="N800"/>
  <c r="M800"/>
  <c r="N434"/>
  <c r="M434"/>
  <c r="N382"/>
  <c r="M382"/>
  <c r="N799"/>
  <c r="M799"/>
  <c r="N798"/>
  <c r="M798"/>
  <c r="N433"/>
  <c r="M433"/>
  <c r="N381"/>
  <c r="M381"/>
  <c r="N473"/>
  <c r="M473"/>
  <c r="N432"/>
  <c r="M432"/>
  <c r="N380"/>
  <c r="M380"/>
  <c r="N790"/>
  <c r="M790"/>
  <c r="N770"/>
  <c r="M770"/>
  <c r="N741"/>
  <c r="M741"/>
  <c r="N472"/>
  <c r="M472"/>
  <c r="N379"/>
  <c r="M379"/>
  <c r="N456"/>
  <c r="M456"/>
  <c r="N403"/>
  <c r="M403"/>
  <c r="N337"/>
  <c r="M337"/>
  <c r="N431"/>
  <c r="M431"/>
  <c r="N378"/>
  <c r="M378"/>
  <c r="N430"/>
  <c r="M430"/>
  <c r="N377"/>
  <c r="M377"/>
  <c r="N455"/>
  <c r="M455"/>
  <c r="N402"/>
  <c r="M402"/>
  <c r="N336"/>
  <c r="M336"/>
  <c r="N335"/>
  <c r="M335"/>
  <c r="N376"/>
  <c r="M376"/>
  <c r="N429"/>
  <c r="M429"/>
  <c r="N375"/>
  <c r="M375"/>
  <c r="N428"/>
  <c r="M428"/>
  <c r="N401"/>
  <c r="M401"/>
  <c r="N334"/>
  <c r="M334"/>
  <c r="N374"/>
  <c r="M374"/>
  <c r="N797"/>
  <c r="M797"/>
  <c r="N782"/>
  <c r="M782"/>
  <c r="N760"/>
  <c r="M760"/>
  <c r="N471"/>
  <c r="M471"/>
  <c r="N427"/>
  <c r="M427"/>
  <c r="N426"/>
  <c r="M426"/>
  <c r="N373"/>
  <c r="M373"/>
  <c r="N425"/>
  <c r="M425"/>
  <c r="N372"/>
  <c r="M372"/>
  <c r="N424"/>
  <c r="M424"/>
  <c r="N371"/>
  <c r="M371"/>
  <c r="N423"/>
  <c r="M423"/>
  <c r="N370"/>
  <c r="M370"/>
  <c r="N422"/>
  <c r="M422"/>
  <c r="N369"/>
  <c r="M369"/>
  <c r="N470"/>
  <c r="M470"/>
  <c r="N421"/>
  <c r="M421"/>
  <c r="N368"/>
  <c r="M368"/>
  <c r="N420"/>
  <c r="M420"/>
  <c r="N367"/>
  <c r="M367"/>
  <c r="N469"/>
  <c r="M469"/>
  <c r="N419"/>
  <c r="M419"/>
  <c r="N333"/>
  <c r="M333"/>
  <c r="N468"/>
  <c r="M468"/>
  <c r="N418"/>
  <c r="M418"/>
  <c r="N366"/>
  <c r="M366"/>
  <c r="N454"/>
  <c r="M454"/>
  <c r="N400"/>
  <c r="M400"/>
  <c r="N332"/>
  <c r="M332"/>
  <c r="N922"/>
  <c r="M922"/>
  <c r="N417"/>
  <c r="M417"/>
  <c r="N365"/>
  <c r="M365"/>
  <c r="N763"/>
  <c r="M763"/>
  <c r="N467"/>
  <c r="M467"/>
  <c r="N416"/>
  <c r="M416"/>
  <c r="N364"/>
  <c r="M364"/>
  <c r="N781"/>
  <c r="M781"/>
  <c r="N789"/>
  <c r="M789"/>
  <c r="N769"/>
  <c r="M769"/>
  <c r="N740"/>
  <c r="M740"/>
  <c r="N415"/>
  <c r="M415"/>
  <c r="N363"/>
  <c r="M363"/>
  <c r="N466"/>
  <c r="M466"/>
  <c r="N739"/>
  <c r="M739"/>
  <c r="N759"/>
  <c r="M759"/>
  <c r="N331"/>
  <c r="M331"/>
  <c r="N330"/>
  <c r="M330"/>
  <c r="N329"/>
  <c r="M329"/>
  <c r="N328"/>
  <c r="M328"/>
  <c r="N327"/>
  <c r="M327"/>
  <c r="N362"/>
  <c r="M362"/>
  <c r="N326"/>
  <c r="M326"/>
  <c r="N325"/>
  <c r="M325"/>
  <c r="N324"/>
  <c r="M324"/>
  <c r="N323"/>
  <c r="M323"/>
  <c r="N322"/>
  <c r="M322"/>
  <c r="N908"/>
  <c r="M908"/>
  <c r="N907"/>
  <c r="M907"/>
  <c r="N738"/>
  <c r="M738"/>
  <c r="N321"/>
  <c r="M321"/>
  <c r="N906"/>
  <c r="M906"/>
  <c r="N453"/>
  <c r="M453"/>
  <c r="N399"/>
  <c r="M399"/>
  <c r="N320"/>
  <c r="M320"/>
  <c r="N319"/>
  <c r="M319"/>
  <c r="N108"/>
  <c r="M108"/>
  <c r="N76"/>
  <c r="M76"/>
  <c r="N47"/>
  <c r="M47"/>
  <c r="N45"/>
  <c r="M45"/>
  <c r="N106"/>
  <c r="M106"/>
  <c r="N74"/>
  <c r="M74"/>
  <c r="N44"/>
  <c r="M44"/>
  <c r="N105"/>
  <c r="M105"/>
  <c r="N73"/>
  <c r="M73"/>
  <c r="N43"/>
  <c r="M43"/>
  <c r="N104"/>
  <c r="M104"/>
  <c r="N42"/>
  <c r="M42"/>
  <c r="N41"/>
  <c r="M41"/>
  <c r="N921"/>
  <c r="M921"/>
  <c r="N780"/>
  <c r="M780"/>
  <c r="N758"/>
  <c r="M758"/>
  <c r="N318"/>
  <c r="M318"/>
  <c r="N317"/>
  <c r="M317"/>
  <c r="N779"/>
  <c r="M779"/>
  <c r="N757"/>
  <c r="M757"/>
  <c r="N465"/>
  <c r="M465"/>
  <c r="N361"/>
  <c r="M361"/>
  <c r="N737"/>
  <c r="M737"/>
  <c r="N316"/>
  <c r="M316"/>
  <c r="N315"/>
  <c r="M315"/>
  <c r="N360"/>
  <c r="M360"/>
  <c r="N452"/>
  <c r="M452"/>
  <c r="N314"/>
  <c r="M314"/>
  <c r="N313"/>
  <c r="M313"/>
  <c r="N312"/>
  <c r="M312"/>
  <c r="N311"/>
  <c r="M311"/>
  <c r="N310"/>
  <c r="M310"/>
  <c r="N309"/>
  <c r="M309"/>
  <c r="N736"/>
  <c r="M736"/>
  <c r="N905"/>
  <c r="M905"/>
  <c r="N308"/>
  <c r="M308"/>
  <c r="N103"/>
  <c r="M103"/>
  <c r="N72"/>
  <c r="M72"/>
  <c r="N40"/>
  <c r="M40"/>
  <c r="N102"/>
  <c r="M102"/>
  <c r="N71"/>
  <c r="M71"/>
  <c r="N39"/>
  <c r="M39"/>
  <c r="N307"/>
  <c r="M307"/>
  <c r="N306"/>
  <c r="M306"/>
  <c r="N735"/>
  <c r="M735"/>
  <c r="N305"/>
  <c r="M305"/>
  <c r="N304"/>
  <c r="M304"/>
  <c r="N734"/>
  <c r="M734"/>
  <c r="N756"/>
  <c r="M756"/>
  <c r="N451"/>
  <c r="M451"/>
  <c r="N303"/>
  <c r="M303"/>
  <c r="N733"/>
  <c r="M733"/>
  <c r="N778"/>
  <c r="M778"/>
  <c r="N768"/>
  <c r="M768"/>
  <c r="N732"/>
  <c r="M732"/>
  <c r="N755"/>
  <c r="M755"/>
  <c r="N731"/>
  <c r="M731"/>
  <c r="N302"/>
  <c r="M302"/>
  <c r="N301"/>
  <c r="M301"/>
  <c r="N300"/>
  <c r="M300"/>
  <c r="N920"/>
  <c r="M920"/>
  <c r="N299"/>
  <c r="M299"/>
  <c r="N730"/>
  <c r="M730"/>
  <c r="N398"/>
  <c r="M398"/>
  <c r="N298"/>
  <c r="M298"/>
  <c r="N297"/>
  <c r="M297"/>
  <c r="N296"/>
  <c r="M296"/>
  <c r="N295"/>
  <c r="M295"/>
  <c r="N100"/>
  <c r="M100"/>
  <c r="N69"/>
  <c r="M69"/>
  <c r="N37"/>
  <c r="M37"/>
  <c r="N99"/>
  <c r="M99"/>
  <c r="N68"/>
  <c r="M68"/>
  <c r="N36"/>
  <c r="M36"/>
  <c r="N35"/>
  <c r="M35"/>
  <c r="N33"/>
  <c r="M33"/>
  <c r="N294"/>
  <c r="M294"/>
  <c r="N796"/>
  <c r="M796"/>
  <c r="N777"/>
  <c r="M777"/>
  <c r="N754"/>
  <c r="M754"/>
  <c r="N753"/>
  <c r="M753"/>
  <c r="N414"/>
  <c r="M414"/>
  <c r="N397"/>
  <c r="M397"/>
  <c r="N359"/>
  <c r="M359"/>
  <c r="N293"/>
  <c r="M293"/>
  <c r="N292"/>
  <c r="M292"/>
  <c r="N291"/>
  <c r="M291"/>
  <c r="N729"/>
  <c r="M729"/>
  <c r="N413"/>
  <c r="M413"/>
  <c r="N358"/>
  <c r="M358"/>
  <c r="N357"/>
  <c r="M357"/>
  <c r="N290"/>
  <c r="M290"/>
  <c r="N450"/>
  <c r="M450"/>
  <c r="N396"/>
  <c r="M396"/>
  <c r="N289"/>
  <c r="M289"/>
  <c r="N776"/>
  <c r="M776"/>
  <c r="N752"/>
  <c r="M752"/>
  <c r="N356"/>
  <c r="M356"/>
  <c r="N464"/>
  <c r="M464"/>
  <c r="N288"/>
  <c r="M288"/>
  <c r="N728"/>
  <c r="M728"/>
  <c r="N287"/>
  <c r="M287"/>
  <c r="N286"/>
  <c r="M286"/>
  <c r="N727"/>
  <c r="M727"/>
  <c r="N285"/>
  <c r="M285"/>
  <c r="N284"/>
  <c r="M284"/>
  <c r="N283"/>
  <c r="M283"/>
  <c r="N282"/>
  <c r="M282"/>
  <c r="N395"/>
  <c r="M395"/>
  <c r="N281"/>
  <c r="M281"/>
  <c r="N280"/>
  <c r="M280"/>
  <c r="N726"/>
  <c r="M726"/>
  <c r="N725"/>
  <c r="M725"/>
  <c r="N98"/>
  <c r="M98"/>
  <c r="N67"/>
  <c r="M67"/>
  <c r="N32"/>
  <c r="M32"/>
  <c r="N97"/>
  <c r="M97"/>
  <c r="N66"/>
  <c r="M66"/>
  <c r="N31"/>
  <c r="M31"/>
  <c r="N279"/>
  <c r="M279"/>
  <c r="N95"/>
  <c r="M95"/>
  <c r="N29"/>
  <c r="M29"/>
  <c r="N278"/>
  <c r="M278"/>
  <c r="N277"/>
  <c r="M277"/>
  <c r="N449"/>
  <c r="M449"/>
  <c r="N394"/>
  <c r="M394"/>
  <c r="N276"/>
  <c r="M276"/>
  <c r="N275"/>
  <c r="M275"/>
  <c r="N767"/>
  <c r="M767"/>
  <c r="N724"/>
  <c r="M724"/>
  <c r="N274"/>
  <c r="M274"/>
  <c r="N751"/>
  <c r="M751"/>
  <c r="N919"/>
  <c r="M919"/>
  <c r="N355"/>
  <c r="M355"/>
  <c r="N273"/>
  <c r="M273"/>
  <c r="N463"/>
  <c r="M463"/>
  <c r="N412"/>
  <c r="M412"/>
  <c r="N354"/>
  <c r="M354"/>
  <c r="N272"/>
  <c r="M272"/>
  <c r="N271"/>
  <c r="M271"/>
  <c r="N353"/>
  <c r="M353"/>
  <c r="N411"/>
  <c r="M411"/>
  <c r="N352"/>
  <c r="M352"/>
  <c r="N270"/>
  <c r="M270"/>
  <c r="N351"/>
  <c r="M351"/>
  <c r="N269"/>
  <c r="M269"/>
  <c r="N268"/>
  <c r="M268"/>
  <c r="N723"/>
  <c r="M723"/>
  <c r="N267"/>
  <c r="M267"/>
  <c r="N462"/>
  <c r="M462"/>
  <c r="N410"/>
  <c r="M410"/>
  <c r="N350"/>
  <c r="M350"/>
  <c r="N349"/>
  <c r="M349"/>
  <c r="N722"/>
  <c r="M722"/>
  <c r="N348"/>
  <c r="M348"/>
  <c r="N721"/>
  <c r="M721"/>
  <c r="N266"/>
  <c r="M266"/>
  <c r="N904"/>
  <c r="M904"/>
  <c r="N720"/>
  <c r="M720"/>
  <c r="N265"/>
  <c r="M265"/>
  <c r="N788"/>
  <c r="M788"/>
  <c r="N766"/>
  <c r="M766"/>
  <c r="N719"/>
  <c r="M719"/>
  <c r="N94"/>
  <c r="M94"/>
  <c r="N64"/>
  <c r="M64"/>
  <c r="N28"/>
  <c r="M28"/>
  <c r="N93"/>
  <c r="M93"/>
  <c r="N63"/>
  <c r="M63"/>
  <c r="N27"/>
  <c r="M27"/>
  <c r="N92"/>
  <c r="M92"/>
  <c r="N62"/>
  <c r="M62"/>
  <c r="N26"/>
  <c r="M26"/>
  <c r="N91"/>
  <c r="M91"/>
  <c r="N61"/>
  <c r="M61"/>
  <c r="N25"/>
  <c r="M25"/>
  <c r="N90"/>
  <c r="M90"/>
  <c r="N60"/>
  <c r="M60"/>
  <c r="N24"/>
  <c r="M24"/>
  <c r="N787"/>
  <c r="M787"/>
  <c r="N786"/>
  <c r="M786"/>
  <c r="N264"/>
  <c r="M264"/>
  <c r="N795"/>
  <c r="M795"/>
  <c r="N775"/>
  <c r="M775"/>
  <c r="N750"/>
  <c r="M750"/>
  <c r="N903"/>
  <c r="M903"/>
  <c r="N263"/>
  <c r="M263"/>
  <c r="N262"/>
  <c r="M262"/>
  <c r="N448"/>
  <c r="M448"/>
  <c r="N393"/>
  <c r="M393"/>
  <c r="N261"/>
  <c r="M261"/>
  <c r="N718"/>
  <c r="M718"/>
  <c r="N910"/>
  <c r="M910"/>
  <c r="N260"/>
  <c r="M260"/>
  <c r="N259"/>
  <c r="M259"/>
  <c r="N347"/>
  <c r="M347"/>
  <c r="N258"/>
  <c r="M258"/>
  <c r="N346"/>
  <c r="M346"/>
  <c r="N257"/>
  <c r="M257"/>
  <c r="N256"/>
  <c r="M256"/>
  <c r="N255"/>
  <c r="M255"/>
  <c r="N254"/>
  <c r="M254"/>
  <c r="N461"/>
  <c r="M461"/>
  <c r="N409"/>
  <c r="M409"/>
  <c r="N345"/>
  <c r="M345"/>
  <c r="N794"/>
  <c r="M794"/>
  <c r="N749"/>
  <c r="M749"/>
  <c r="N253"/>
  <c r="M253"/>
  <c r="N252"/>
  <c r="M252"/>
  <c r="N251"/>
  <c r="M251"/>
  <c r="N250"/>
  <c r="M250"/>
  <c r="N249"/>
  <c r="M249"/>
  <c r="N408"/>
  <c r="M408"/>
  <c r="N717"/>
  <c r="M717"/>
  <c r="N716"/>
  <c r="M716"/>
  <c r="N748"/>
  <c r="M748"/>
  <c r="N715"/>
  <c r="M715"/>
  <c r="N407"/>
  <c r="M407"/>
  <c r="N392"/>
  <c r="M392"/>
  <c r="N248"/>
  <c r="M248"/>
  <c r="N247"/>
  <c r="M247"/>
  <c r="N714"/>
  <c r="M714"/>
  <c r="N246"/>
  <c r="M246"/>
  <c r="N245"/>
  <c r="M245"/>
  <c r="N244"/>
  <c r="M244"/>
  <c r="N243"/>
  <c r="M243"/>
  <c r="N242"/>
  <c r="M242"/>
  <c r="N241"/>
  <c r="M241"/>
  <c r="N341"/>
  <c r="M341"/>
  <c r="N902"/>
  <c r="M902"/>
  <c r="N240"/>
  <c r="M240"/>
  <c r="N713"/>
  <c r="M713"/>
  <c r="N89"/>
  <c r="M89"/>
  <c r="N59"/>
  <c r="M59"/>
  <c r="N22"/>
  <c r="M22"/>
  <c r="N88"/>
  <c r="M88"/>
  <c r="N58"/>
  <c r="M58"/>
  <c r="N21"/>
  <c r="M21"/>
  <c r="N86"/>
  <c r="M86"/>
  <c r="N19"/>
  <c r="M19"/>
  <c r="N208"/>
  <c r="M208"/>
  <c r="N207"/>
  <c r="M207"/>
  <c r="N206"/>
  <c r="M206"/>
  <c r="N239"/>
  <c r="M239"/>
  <c r="N18"/>
  <c r="M18"/>
  <c r="N17"/>
  <c r="M17"/>
  <c r="N85"/>
  <c r="M85"/>
  <c r="N56"/>
  <c r="M56"/>
  <c r="N16"/>
  <c r="M16"/>
  <c r="N82"/>
  <c r="M82"/>
  <c r="N13"/>
  <c r="M13"/>
  <c r="N81"/>
  <c r="M81"/>
  <c r="N53"/>
  <c r="M53"/>
  <c r="N460"/>
  <c r="M460"/>
  <c r="N447"/>
  <c r="M447"/>
  <c r="N238"/>
  <c r="M238"/>
  <c r="N237"/>
  <c r="M237"/>
  <c r="N712"/>
  <c r="M712"/>
  <c r="N711"/>
  <c r="M711"/>
  <c r="N236"/>
  <c r="M236"/>
  <c r="N235"/>
  <c r="M235"/>
  <c r="N344"/>
  <c r="M344"/>
  <c r="N234"/>
  <c r="M234"/>
  <c r="N909"/>
  <c r="M909"/>
  <c r="N233"/>
  <c r="M233"/>
  <c r="N232"/>
  <c r="M232"/>
  <c r="N231"/>
  <c r="M231"/>
  <c r="N710"/>
  <c r="M710"/>
  <c r="N709"/>
  <c r="M709"/>
  <c r="N459"/>
  <c r="M459"/>
  <c r="N230"/>
  <c r="M230"/>
  <c r="N343"/>
  <c r="M343"/>
  <c r="N708"/>
  <c r="M708"/>
  <c r="N229"/>
  <c r="M229"/>
  <c r="N228"/>
  <c r="M228"/>
  <c r="N227"/>
  <c r="M227"/>
  <c r="N226"/>
  <c r="M226"/>
  <c r="N225"/>
  <c r="M225"/>
  <c r="N224"/>
  <c r="M224"/>
  <c r="N223"/>
  <c r="M223"/>
  <c r="N446"/>
  <c r="M446"/>
  <c r="N391"/>
  <c r="M391"/>
  <c r="N222"/>
  <c r="M222"/>
  <c r="N707"/>
  <c r="M707"/>
  <c r="N221"/>
  <c r="M221"/>
  <c r="N12"/>
  <c r="M12"/>
  <c r="N79"/>
  <c r="M79"/>
  <c r="N51"/>
  <c r="M51"/>
  <c r="N10"/>
  <c r="M10"/>
  <c r="N9"/>
  <c r="M9"/>
  <c r="N78"/>
  <c r="M78"/>
  <c r="N50"/>
  <c r="M50"/>
  <c r="N8"/>
  <c r="M8"/>
  <c r="N7"/>
  <c r="M7"/>
  <c r="N77"/>
  <c r="M77"/>
  <c r="N49"/>
  <c r="M49"/>
  <c r="N6"/>
  <c r="M6"/>
  <c r="N48"/>
  <c r="M48"/>
  <c r="N5"/>
  <c r="M5"/>
  <c r="N220"/>
  <c r="M220"/>
  <c r="N406"/>
  <c r="M406"/>
  <c r="N342"/>
  <c r="M342"/>
  <c r="N458"/>
  <c r="M458"/>
  <c r="N765"/>
  <c r="M765"/>
  <c r="N706"/>
  <c r="M706"/>
  <c r="N219"/>
  <c r="M219"/>
  <c r="N218"/>
  <c r="M218"/>
  <c r="N705"/>
  <c r="M705"/>
  <c r="N217"/>
  <c r="M217"/>
  <c r="N216"/>
  <c r="M216"/>
  <c r="N215"/>
  <c r="M215"/>
  <c r="N214"/>
  <c r="M214"/>
  <c r="D11" i="10" l="1"/>
  <c r="E11"/>
  <c r="I11" s="1"/>
  <c r="D14"/>
  <c r="E14"/>
  <c r="I14" s="1"/>
  <c r="N205" i="1"/>
  <c r="E15" i="10" s="1"/>
  <c r="N213" i="1"/>
  <c r="E13" i="10" s="1"/>
  <c r="I13" s="1"/>
  <c r="N704" i="1"/>
  <c r="E12" i="10" s="1"/>
  <c r="I12" s="1"/>
  <c r="M205" i="1"/>
  <c r="D15" i="10" s="1"/>
  <c r="M213" i="1"/>
  <c r="D13" i="10" s="1"/>
  <c r="M704" i="1"/>
  <c r="K482" i="6"/>
  <c r="L481"/>
  <c r="N481" s="1"/>
  <c r="D12" i="10" l="1"/>
  <c r="M931" i="1"/>
  <c r="D19" i="10"/>
  <c r="E19"/>
  <c r="E19" i="9" s="1"/>
  <c r="I15" i="10"/>
  <c r="K483" i="6"/>
  <c r="L482"/>
  <c r="N482" s="1"/>
  <c r="K484" l="1"/>
  <c r="L483"/>
  <c r="N483" s="1"/>
  <c r="K485" l="1"/>
  <c r="L484"/>
  <c r="N484" s="1"/>
  <c r="K486" l="1"/>
  <c r="L485"/>
  <c r="N485" s="1"/>
  <c r="K487" l="1"/>
  <c r="L486"/>
  <c r="N486" s="1"/>
  <c r="K488" l="1"/>
  <c r="L487"/>
  <c r="N487" s="1"/>
  <c r="K489" l="1"/>
  <c r="L488"/>
  <c r="N488" s="1"/>
  <c r="K490" l="1"/>
  <c r="L489"/>
  <c r="N489" s="1"/>
  <c r="K491" l="1"/>
  <c r="L490"/>
  <c r="N490" s="1"/>
  <c r="K492" l="1"/>
  <c r="L491"/>
  <c r="N491" s="1"/>
  <c r="K493" l="1"/>
  <c r="L492"/>
  <c r="N492" s="1"/>
  <c r="K494" l="1"/>
  <c r="L493"/>
  <c r="N493" s="1"/>
  <c r="K495" l="1"/>
  <c r="L494"/>
  <c r="N494" s="1"/>
  <c r="K496" l="1"/>
  <c r="L495"/>
  <c r="N495" s="1"/>
  <c r="K497" l="1"/>
  <c r="L496"/>
  <c r="N496" s="1"/>
  <c r="K498" l="1"/>
  <c r="L497"/>
  <c r="N497" s="1"/>
  <c r="K499" l="1"/>
  <c r="L498"/>
  <c r="N498" s="1"/>
  <c r="K500" l="1"/>
  <c r="L499"/>
  <c r="N499" s="1"/>
  <c r="K501" l="1"/>
  <c r="L500"/>
  <c r="N500" s="1"/>
  <c r="K502" l="1"/>
  <c r="L501"/>
  <c r="N501" s="1"/>
  <c r="K503" l="1"/>
  <c r="L502"/>
  <c r="N502" s="1"/>
  <c r="K504" l="1"/>
  <c r="L503"/>
  <c r="N503" s="1"/>
  <c r="K505" l="1"/>
  <c r="L504"/>
  <c r="N504" s="1"/>
  <c r="K506" l="1"/>
  <c r="L505"/>
  <c r="N505" s="1"/>
  <c r="K507" l="1"/>
  <c r="L506"/>
  <c r="N506" s="1"/>
  <c r="K508" l="1"/>
  <c r="L507"/>
  <c r="N507" s="1"/>
  <c r="K509" l="1"/>
  <c r="L508"/>
  <c r="N508" s="1"/>
  <c r="K510" l="1"/>
  <c r="L509"/>
  <c r="N509" s="1"/>
  <c r="K511" l="1"/>
  <c r="L510"/>
  <c r="N510" s="1"/>
  <c r="K512" l="1"/>
  <c r="L511"/>
  <c r="N511" s="1"/>
  <c r="K513" l="1"/>
  <c r="L512"/>
  <c r="N512" s="1"/>
  <c r="K514" l="1"/>
  <c r="L513"/>
  <c r="N513" s="1"/>
  <c r="K515" l="1"/>
  <c r="L514"/>
  <c r="N514" s="1"/>
  <c r="K516" l="1"/>
  <c r="L515"/>
  <c r="N515" s="1"/>
  <c r="K517" l="1"/>
  <c r="L516"/>
  <c r="N516" s="1"/>
  <c r="K518" l="1"/>
  <c r="L517"/>
  <c r="N517" s="1"/>
  <c r="K519" l="1"/>
  <c r="L518"/>
  <c r="N518" s="1"/>
  <c r="K520" l="1"/>
  <c r="L519"/>
  <c r="N519" s="1"/>
  <c r="K521" l="1"/>
  <c r="L520"/>
  <c r="N520" s="1"/>
  <c r="K522" l="1"/>
  <c r="L521"/>
  <c r="N521" s="1"/>
  <c r="K523" l="1"/>
  <c r="L522"/>
  <c r="N522" s="1"/>
  <c r="K524" l="1"/>
  <c r="L523"/>
  <c r="N523" s="1"/>
  <c r="K525" l="1"/>
  <c r="L524"/>
  <c r="N524" s="1"/>
  <c r="K526" l="1"/>
  <c r="L525"/>
  <c r="N525" s="1"/>
  <c r="K527" l="1"/>
  <c r="L526"/>
  <c r="N526" s="1"/>
  <c r="K528" l="1"/>
  <c r="L527"/>
  <c r="N527" s="1"/>
  <c r="K529" l="1"/>
  <c r="L528"/>
  <c r="N528" s="1"/>
  <c r="K530" l="1"/>
  <c r="L529"/>
  <c r="N529" s="1"/>
  <c r="K531" l="1"/>
  <c r="L530"/>
  <c r="N530" s="1"/>
  <c r="K532" l="1"/>
  <c r="L531"/>
  <c r="N531" s="1"/>
  <c r="K533" l="1"/>
  <c r="L532"/>
  <c r="N532" s="1"/>
  <c r="K534" l="1"/>
  <c r="L533"/>
  <c r="N533" s="1"/>
  <c r="K535" l="1"/>
  <c r="L534"/>
  <c r="N534" s="1"/>
  <c r="K536" l="1"/>
  <c r="L535"/>
  <c r="N535" s="1"/>
  <c r="K537" l="1"/>
  <c r="L536"/>
  <c r="N536" s="1"/>
  <c r="K538" l="1"/>
  <c r="L537"/>
  <c r="N537" s="1"/>
  <c r="K539" l="1"/>
  <c r="L538"/>
  <c r="N538" s="1"/>
  <c r="K540" l="1"/>
  <c r="L539"/>
  <c r="N539" s="1"/>
  <c r="K541" l="1"/>
  <c r="L540"/>
  <c r="N540" s="1"/>
  <c r="K542" l="1"/>
  <c r="L541"/>
  <c r="N541" s="1"/>
  <c r="K543" l="1"/>
  <c r="L542"/>
  <c r="N542" s="1"/>
  <c r="K544" l="1"/>
  <c r="L543"/>
  <c r="N543" s="1"/>
  <c r="K545" l="1"/>
  <c r="L544"/>
  <c r="N544" s="1"/>
  <c r="K546" l="1"/>
  <c r="L545"/>
  <c r="N545" s="1"/>
  <c r="K547" l="1"/>
  <c r="L546"/>
  <c r="N546" s="1"/>
  <c r="K548" l="1"/>
  <c r="L547"/>
  <c r="N547" s="1"/>
  <c r="K549" l="1"/>
  <c r="L548"/>
  <c r="N548" s="1"/>
  <c r="K550" l="1"/>
  <c r="L549"/>
  <c r="N549" s="1"/>
  <c r="K551" l="1"/>
  <c r="L550"/>
  <c r="N550" s="1"/>
  <c r="K552" l="1"/>
  <c r="L551"/>
  <c r="N551" s="1"/>
  <c r="K553" l="1"/>
  <c r="L552"/>
  <c r="N552" s="1"/>
  <c r="K554" l="1"/>
  <c r="L553"/>
  <c r="N553" s="1"/>
  <c r="K555" l="1"/>
  <c r="L554"/>
  <c r="N554" s="1"/>
  <c r="K556" l="1"/>
  <c r="L555"/>
  <c r="N555" s="1"/>
  <c r="K557" l="1"/>
  <c r="L556"/>
  <c r="N556" s="1"/>
  <c r="K558" l="1"/>
  <c r="L557"/>
  <c r="N557" s="1"/>
  <c r="K559" l="1"/>
  <c r="L558"/>
  <c r="N558" s="1"/>
  <c r="K560" l="1"/>
  <c r="L559"/>
  <c r="N559" s="1"/>
  <c r="K561" l="1"/>
  <c r="L560"/>
  <c r="N560" s="1"/>
  <c r="K562" l="1"/>
  <c r="L561"/>
  <c r="N561" s="1"/>
  <c r="K563" l="1"/>
  <c r="L562"/>
  <c r="N562" s="1"/>
  <c r="K564" l="1"/>
  <c r="L563"/>
  <c r="N563" s="1"/>
  <c r="K565" l="1"/>
  <c r="L564"/>
  <c r="N564" s="1"/>
  <c r="K566" l="1"/>
  <c r="L565"/>
  <c r="N565" s="1"/>
  <c r="K567" l="1"/>
  <c r="L566"/>
  <c r="N566" s="1"/>
  <c r="K568" l="1"/>
  <c r="L567"/>
  <c r="N567" s="1"/>
  <c r="K569" l="1"/>
  <c r="L568"/>
  <c r="N568" s="1"/>
  <c r="K570" l="1"/>
  <c r="L569"/>
  <c r="N569" s="1"/>
  <c r="K571" l="1"/>
  <c r="L570"/>
  <c r="N570" s="1"/>
  <c r="K572" l="1"/>
  <c r="L571"/>
  <c r="N571" s="1"/>
  <c r="K573" l="1"/>
  <c r="L572"/>
  <c r="N572" s="1"/>
  <c r="K574" l="1"/>
  <c r="L573"/>
  <c r="N573" s="1"/>
  <c r="K575" l="1"/>
  <c r="L574"/>
  <c r="N574" s="1"/>
  <c r="K576" l="1"/>
  <c r="L575"/>
  <c r="N575" s="1"/>
  <c r="K577" l="1"/>
  <c r="L576"/>
  <c r="N576" s="1"/>
  <c r="K578" l="1"/>
  <c r="L577"/>
  <c r="N577" s="1"/>
  <c r="K579" l="1"/>
  <c r="L578"/>
  <c r="N578" s="1"/>
  <c r="K580" l="1"/>
  <c r="L579"/>
  <c r="N579" s="1"/>
  <c r="K581" l="1"/>
  <c r="L580"/>
  <c r="N580" s="1"/>
  <c r="K582" l="1"/>
  <c r="L581"/>
  <c r="N581" s="1"/>
  <c r="K583" l="1"/>
  <c r="L582"/>
  <c r="N582" s="1"/>
  <c r="K584" l="1"/>
  <c r="L583"/>
  <c r="N583" s="1"/>
  <c r="K585" l="1"/>
  <c r="L584"/>
  <c r="N584" s="1"/>
  <c r="K586" l="1"/>
  <c r="L585"/>
  <c r="N585" s="1"/>
  <c r="K587" l="1"/>
  <c r="L586"/>
  <c r="N586" s="1"/>
  <c r="K588" l="1"/>
  <c r="L587"/>
  <c r="N587" s="1"/>
  <c r="K589" l="1"/>
  <c r="L588"/>
  <c r="N588" s="1"/>
  <c r="K590" l="1"/>
  <c r="L589"/>
  <c r="N589" s="1"/>
  <c r="K591" l="1"/>
  <c r="L590"/>
  <c r="N590" s="1"/>
  <c r="K592" l="1"/>
  <c r="L591"/>
  <c r="N591" s="1"/>
  <c r="K593" l="1"/>
  <c r="L592"/>
  <c r="N592" s="1"/>
  <c r="K594" l="1"/>
  <c r="L593"/>
  <c r="N593" s="1"/>
  <c r="K595" l="1"/>
  <c r="L594"/>
  <c r="N594" s="1"/>
  <c r="K596" l="1"/>
  <c r="L595"/>
  <c r="N595" s="1"/>
  <c r="K597" l="1"/>
  <c r="L596"/>
  <c r="N596" s="1"/>
  <c r="K598" l="1"/>
  <c r="L597"/>
  <c r="N597" s="1"/>
  <c r="K599" l="1"/>
  <c r="L598"/>
  <c r="N598" s="1"/>
  <c r="K600" l="1"/>
  <c r="L599"/>
  <c r="N599" s="1"/>
  <c r="K601" l="1"/>
  <c r="L600"/>
  <c r="N600" s="1"/>
  <c r="K602" l="1"/>
  <c r="L601"/>
  <c r="N601" s="1"/>
  <c r="K603" l="1"/>
  <c r="L602"/>
  <c r="N602" s="1"/>
  <c r="K604" l="1"/>
  <c r="L603"/>
  <c r="N603" s="1"/>
  <c r="K605" l="1"/>
  <c r="L604"/>
  <c r="N604" s="1"/>
  <c r="K606" l="1"/>
  <c r="L605"/>
  <c r="N605" s="1"/>
  <c r="K607" l="1"/>
  <c r="L606"/>
  <c r="N606" s="1"/>
  <c r="K608" l="1"/>
  <c r="L607"/>
  <c r="N607" s="1"/>
  <c r="K609" l="1"/>
  <c r="L608"/>
  <c r="N608" s="1"/>
  <c r="K610" l="1"/>
  <c r="L609"/>
  <c r="N609" s="1"/>
  <c r="K611" l="1"/>
  <c r="L610"/>
  <c r="N610" s="1"/>
  <c r="K612" l="1"/>
  <c r="L611"/>
  <c r="N611" s="1"/>
  <c r="K613" l="1"/>
  <c r="L612"/>
  <c r="N612" s="1"/>
  <c r="K614" l="1"/>
  <c r="L613"/>
  <c r="N613" s="1"/>
  <c r="K615" l="1"/>
  <c r="L614"/>
  <c r="N614" s="1"/>
  <c r="K616" l="1"/>
  <c r="L615"/>
  <c r="N615" s="1"/>
  <c r="K617" l="1"/>
  <c r="L616"/>
  <c r="N616" s="1"/>
  <c r="K618" l="1"/>
  <c r="L617"/>
  <c r="N617" s="1"/>
  <c r="K619" l="1"/>
  <c r="L618"/>
  <c r="N618" s="1"/>
  <c r="K620" l="1"/>
  <c r="L619"/>
  <c r="N619" s="1"/>
  <c r="K621" l="1"/>
  <c r="L620"/>
  <c r="N620" s="1"/>
  <c r="K622" l="1"/>
  <c r="L621"/>
  <c r="N621" s="1"/>
  <c r="K623" l="1"/>
  <c r="L622"/>
  <c r="N622" s="1"/>
  <c r="L623" l="1"/>
  <c r="N623" s="1"/>
  <c r="K624"/>
  <c r="K625" l="1"/>
  <c r="L624"/>
  <c r="N624" s="1"/>
  <c r="K626" l="1"/>
  <c r="L625"/>
  <c r="N625" s="1"/>
  <c r="K627" l="1"/>
  <c r="L626"/>
  <c r="N626" s="1"/>
  <c r="K628" l="1"/>
  <c r="L627"/>
  <c r="N627" s="1"/>
  <c r="K629" l="1"/>
  <c r="L628"/>
  <c r="N628" s="1"/>
  <c r="K630" l="1"/>
  <c r="L629"/>
  <c r="N629" s="1"/>
  <c r="K631" l="1"/>
  <c r="L630"/>
  <c r="N630" s="1"/>
  <c r="K632" l="1"/>
  <c r="L631"/>
  <c r="N631" s="1"/>
  <c r="K633" l="1"/>
  <c r="L632"/>
  <c r="N632" s="1"/>
  <c r="K634" l="1"/>
  <c r="L633"/>
  <c r="N633" s="1"/>
  <c r="K635" l="1"/>
  <c r="L634"/>
  <c r="N634" s="1"/>
  <c r="K636" l="1"/>
  <c r="L635"/>
  <c r="N635" s="1"/>
  <c r="K637" l="1"/>
  <c r="L636"/>
  <c r="N636" s="1"/>
  <c r="K638" l="1"/>
  <c r="L637"/>
  <c r="N637" s="1"/>
  <c r="K639" l="1"/>
  <c r="L638"/>
  <c r="N638" s="1"/>
  <c r="K640" l="1"/>
  <c r="L639"/>
  <c r="N639" s="1"/>
  <c r="K641" l="1"/>
  <c r="L640"/>
  <c r="N640" s="1"/>
  <c r="K642" l="1"/>
  <c r="L641"/>
  <c r="N641" s="1"/>
  <c r="K643" l="1"/>
  <c r="L642"/>
  <c r="N642" s="1"/>
  <c r="K644" l="1"/>
  <c r="L643"/>
  <c r="N643" s="1"/>
  <c r="K645" l="1"/>
  <c r="L644"/>
  <c r="N644" s="1"/>
  <c r="K646" l="1"/>
  <c r="L645"/>
  <c r="N645" s="1"/>
  <c r="K647" l="1"/>
  <c r="L646"/>
  <c r="N646" s="1"/>
  <c r="K648" l="1"/>
  <c r="L647"/>
  <c r="N647" s="1"/>
  <c r="K649" l="1"/>
  <c r="L648"/>
  <c r="N648" s="1"/>
  <c r="K650" l="1"/>
  <c r="L649"/>
  <c r="N649" s="1"/>
  <c r="K651" l="1"/>
  <c r="L650"/>
  <c r="N650" s="1"/>
  <c r="K652" l="1"/>
  <c r="L651"/>
  <c r="N651" s="1"/>
  <c r="K653" l="1"/>
  <c r="L652"/>
  <c r="N652" s="1"/>
  <c r="K654" l="1"/>
  <c r="L653"/>
  <c r="N653" s="1"/>
  <c r="K655" l="1"/>
  <c r="L654"/>
  <c r="N654" s="1"/>
  <c r="K656" l="1"/>
  <c r="L655"/>
  <c r="N655" s="1"/>
  <c r="K657" l="1"/>
  <c r="L656"/>
  <c r="N656" s="1"/>
  <c r="K658" l="1"/>
  <c r="L657"/>
  <c r="N657" s="1"/>
  <c r="K659" l="1"/>
  <c r="L658"/>
  <c r="N658" s="1"/>
  <c r="K660" l="1"/>
  <c r="L659"/>
  <c r="N659" s="1"/>
  <c r="K661" l="1"/>
  <c r="L660"/>
  <c r="N660" s="1"/>
  <c r="K662" l="1"/>
  <c r="L661"/>
  <c r="N661" s="1"/>
  <c r="K663" l="1"/>
  <c r="L662"/>
  <c r="N662" s="1"/>
  <c r="K664" l="1"/>
  <c r="L663"/>
  <c r="N663" s="1"/>
  <c r="K665" l="1"/>
  <c r="L664"/>
  <c r="N664" s="1"/>
  <c r="K666" l="1"/>
  <c r="L665"/>
  <c r="N665" s="1"/>
  <c r="K667" l="1"/>
  <c r="L666"/>
  <c r="N666" s="1"/>
  <c r="K668" l="1"/>
  <c r="L667"/>
  <c r="N667" s="1"/>
  <c r="K669" l="1"/>
  <c r="L668"/>
  <c r="N668" s="1"/>
  <c r="K670" l="1"/>
  <c r="L669"/>
  <c r="N669" s="1"/>
  <c r="K671" l="1"/>
  <c r="L670"/>
  <c r="N670" s="1"/>
  <c r="K672" l="1"/>
  <c r="L671"/>
  <c r="N671" s="1"/>
  <c r="K673" l="1"/>
  <c r="L672"/>
  <c r="N672" s="1"/>
  <c r="K674" l="1"/>
  <c r="L673"/>
  <c r="N673" s="1"/>
  <c r="K675" l="1"/>
  <c r="L674"/>
  <c r="N674" s="1"/>
  <c r="K676" l="1"/>
  <c r="L675"/>
  <c r="N675" s="1"/>
  <c r="K677" l="1"/>
  <c r="L676"/>
  <c r="N676" s="1"/>
  <c r="K678" l="1"/>
  <c r="L677"/>
  <c r="N677" s="1"/>
  <c r="K679" l="1"/>
  <c r="L678"/>
  <c r="N678" s="1"/>
  <c r="K680" l="1"/>
  <c r="L679"/>
  <c r="N679" s="1"/>
  <c r="K681" l="1"/>
  <c r="L680"/>
  <c r="N680" s="1"/>
  <c r="K682" l="1"/>
  <c r="L681"/>
  <c r="N681" s="1"/>
  <c r="K683" l="1"/>
  <c r="L682"/>
  <c r="N682" s="1"/>
  <c r="K684" l="1"/>
  <c r="L683"/>
  <c r="N683" s="1"/>
  <c r="K685" l="1"/>
  <c r="L684"/>
  <c r="N684" s="1"/>
  <c r="K686" l="1"/>
  <c r="L685"/>
  <c r="N685" s="1"/>
  <c r="K687" l="1"/>
  <c r="L686"/>
  <c r="N686" s="1"/>
  <c r="K688" l="1"/>
  <c r="L687"/>
  <c r="N687" s="1"/>
  <c r="K689" l="1"/>
  <c r="L688"/>
  <c r="N688" s="1"/>
  <c r="K690" l="1"/>
  <c r="L689"/>
  <c r="N689" s="1"/>
  <c r="K691" l="1"/>
  <c r="L690"/>
  <c r="N690" s="1"/>
  <c r="K692" l="1"/>
  <c r="L691"/>
  <c r="N691" s="1"/>
  <c r="K693" l="1"/>
  <c r="L692"/>
  <c r="N692" s="1"/>
  <c r="K694" l="1"/>
  <c r="L693"/>
  <c r="N693" s="1"/>
  <c r="K695" l="1"/>
  <c r="L694"/>
  <c r="N694" s="1"/>
  <c r="K696" l="1"/>
  <c r="L695"/>
  <c r="N695" s="1"/>
  <c r="K697" l="1"/>
  <c r="L696"/>
  <c r="N696" s="1"/>
  <c r="K698" l="1"/>
  <c r="L697"/>
  <c r="N697" s="1"/>
  <c r="K699" l="1"/>
  <c r="L698"/>
  <c r="N698" s="1"/>
  <c r="K700" l="1"/>
  <c r="L699"/>
  <c r="N699" s="1"/>
  <c r="K701" l="1"/>
  <c r="L700"/>
  <c r="N700" s="1"/>
  <c r="K702" l="1"/>
  <c r="L701"/>
  <c r="N701" s="1"/>
  <c r="K703" l="1"/>
  <c r="L702"/>
  <c r="N702" s="1"/>
  <c r="K704" l="1"/>
  <c r="L703"/>
  <c r="N703" s="1"/>
  <c r="K705" l="1"/>
  <c r="L704"/>
  <c r="N704" s="1"/>
  <c r="K706" l="1"/>
  <c r="L705"/>
  <c r="N705" s="1"/>
  <c r="K707" l="1"/>
  <c r="L706"/>
  <c r="N706" s="1"/>
  <c r="K708" l="1"/>
  <c r="L707"/>
  <c r="N707" s="1"/>
  <c r="K709" l="1"/>
  <c r="L708"/>
  <c r="N708" s="1"/>
  <c r="K710" l="1"/>
  <c r="L709"/>
  <c r="N709" s="1"/>
  <c r="K711" l="1"/>
  <c r="L710"/>
  <c r="N710" s="1"/>
  <c r="K712" l="1"/>
  <c r="L711"/>
  <c r="N711" s="1"/>
  <c r="K713" l="1"/>
  <c r="L712"/>
  <c r="N712" s="1"/>
  <c r="K714" l="1"/>
  <c r="L713"/>
  <c r="N713" s="1"/>
  <c r="K715" l="1"/>
  <c r="L714"/>
  <c r="N714" s="1"/>
  <c r="K716" l="1"/>
  <c r="L715"/>
  <c r="N715" s="1"/>
  <c r="K717" l="1"/>
  <c r="L716"/>
  <c r="N716" s="1"/>
  <c r="K718" l="1"/>
  <c r="L717"/>
  <c r="N717" s="1"/>
  <c r="K719" l="1"/>
  <c r="L718"/>
  <c r="N718" s="1"/>
  <c r="K720" l="1"/>
  <c r="L719"/>
  <c r="N719" s="1"/>
  <c r="K721" l="1"/>
  <c r="L720"/>
  <c r="N720" s="1"/>
  <c r="K722" l="1"/>
  <c r="L721"/>
  <c r="N721" s="1"/>
  <c r="K723" l="1"/>
  <c r="L722"/>
  <c r="N722" s="1"/>
  <c r="K724" l="1"/>
  <c r="L723"/>
  <c r="N723" s="1"/>
  <c r="K725" l="1"/>
  <c r="L724"/>
  <c r="N724" s="1"/>
  <c r="K726" l="1"/>
  <c r="L725"/>
  <c r="N725" s="1"/>
  <c r="K727" l="1"/>
  <c r="L726"/>
  <c r="N726" s="1"/>
  <c r="K728" l="1"/>
  <c r="L727"/>
  <c r="N727" s="1"/>
  <c r="K729" l="1"/>
  <c r="L728"/>
  <c r="N728" s="1"/>
  <c r="K730" l="1"/>
  <c r="L729"/>
  <c r="N729" s="1"/>
  <c r="K731" l="1"/>
  <c r="L730"/>
  <c r="N730" s="1"/>
  <c r="K732" l="1"/>
  <c r="L731"/>
  <c r="N731" s="1"/>
  <c r="K733" l="1"/>
  <c r="L732"/>
  <c r="N732" s="1"/>
  <c r="K734" l="1"/>
  <c r="L733"/>
  <c r="N733" s="1"/>
  <c r="K735" l="1"/>
  <c r="L734"/>
  <c r="N734" s="1"/>
  <c r="K736" l="1"/>
  <c r="L735"/>
  <c r="N735" s="1"/>
  <c r="K737" l="1"/>
  <c r="L736"/>
  <c r="N736" s="1"/>
  <c r="K738" l="1"/>
  <c r="L737"/>
  <c r="N737" s="1"/>
  <c r="K739" l="1"/>
  <c r="L738"/>
  <c r="N738" s="1"/>
  <c r="K740" l="1"/>
  <c r="L739"/>
  <c r="N739" s="1"/>
  <c r="K741" l="1"/>
  <c r="L740"/>
  <c r="N740" s="1"/>
  <c r="K742" l="1"/>
  <c r="L741"/>
  <c r="N741" s="1"/>
  <c r="K743" l="1"/>
  <c r="L742"/>
  <c r="N742" s="1"/>
  <c r="K744" l="1"/>
  <c r="L743"/>
  <c r="N743" s="1"/>
  <c r="K745" l="1"/>
  <c r="L744"/>
  <c r="N744" s="1"/>
  <c r="K746" l="1"/>
  <c r="L745"/>
  <c r="N745" s="1"/>
  <c r="K747" l="1"/>
  <c r="L746"/>
  <c r="N746" s="1"/>
  <c r="K748" l="1"/>
  <c r="L747"/>
  <c r="N747" s="1"/>
  <c r="K749" l="1"/>
  <c r="L748"/>
  <c r="N748" s="1"/>
  <c r="K750" l="1"/>
  <c r="L749"/>
  <c r="N749" s="1"/>
  <c r="K751" l="1"/>
  <c r="L750"/>
  <c r="N750" s="1"/>
  <c r="K752" l="1"/>
  <c r="L751"/>
  <c r="N751" s="1"/>
  <c r="K753" l="1"/>
  <c r="L752"/>
  <c r="N752" s="1"/>
  <c r="K754" l="1"/>
  <c r="L753"/>
  <c r="N753" s="1"/>
  <c r="K755" l="1"/>
  <c r="L754"/>
  <c r="N754" s="1"/>
  <c r="K756" l="1"/>
  <c r="L755"/>
  <c r="N755" s="1"/>
  <c r="K757" l="1"/>
  <c r="L756"/>
  <c r="N756" s="1"/>
  <c r="K758" l="1"/>
  <c r="L757"/>
  <c r="N757" s="1"/>
  <c r="K759" l="1"/>
  <c r="L758"/>
  <c r="N758" s="1"/>
  <c r="K760" l="1"/>
  <c r="L759"/>
  <c r="N759" s="1"/>
  <c r="K761" l="1"/>
  <c r="L760"/>
  <c r="N760" s="1"/>
  <c r="K762" l="1"/>
  <c r="L761"/>
  <c r="N761" s="1"/>
  <c r="K763" l="1"/>
  <c r="L762"/>
  <c r="N762" s="1"/>
  <c r="K764" l="1"/>
  <c r="L763"/>
  <c r="N763" s="1"/>
  <c r="K765" l="1"/>
  <c r="L764"/>
  <c r="N764" s="1"/>
  <c r="K766" l="1"/>
  <c r="L765"/>
  <c r="N765" s="1"/>
  <c r="K767" l="1"/>
  <c r="L766"/>
  <c r="N766" s="1"/>
  <c r="K768" l="1"/>
  <c r="L767"/>
  <c r="N767" s="1"/>
  <c r="K769" l="1"/>
  <c r="L768"/>
  <c r="N768" s="1"/>
  <c r="K770" l="1"/>
  <c r="L769"/>
  <c r="N769" s="1"/>
  <c r="K771" l="1"/>
  <c r="L770"/>
  <c r="N770" s="1"/>
  <c r="K772" l="1"/>
  <c r="L771"/>
  <c r="N771" s="1"/>
  <c r="K773" l="1"/>
  <c r="L772"/>
  <c r="N772" s="1"/>
  <c r="K774" l="1"/>
  <c r="L773"/>
  <c r="N773" s="1"/>
  <c r="K775" l="1"/>
  <c r="L774"/>
  <c r="N774" s="1"/>
  <c r="K776" l="1"/>
  <c r="L775"/>
  <c r="N775" s="1"/>
  <c r="K777" l="1"/>
  <c r="L776"/>
  <c r="N776" s="1"/>
  <c r="K778" l="1"/>
  <c r="L777"/>
  <c r="N777" s="1"/>
  <c r="K779" l="1"/>
  <c r="L778"/>
  <c r="N778" s="1"/>
  <c r="K780" l="1"/>
  <c r="L779"/>
  <c r="N779" s="1"/>
  <c r="K781" l="1"/>
  <c r="L780"/>
  <c r="N780" s="1"/>
  <c r="K782" l="1"/>
  <c r="L781"/>
  <c r="N781" s="1"/>
  <c r="K783" l="1"/>
  <c r="L782"/>
  <c r="N782" s="1"/>
  <c r="K784" l="1"/>
  <c r="L783"/>
  <c r="N783" s="1"/>
  <c r="K785" l="1"/>
  <c r="L784"/>
  <c r="N784" s="1"/>
  <c r="K786" l="1"/>
  <c r="L785"/>
  <c r="N785" s="1"/>
  <c r="K787" l="1"/>
  <c r="L786"/>
  <c r="N786" s="1"/>
  <c r="K788" l="1"/>
  <c r="L787"/>
  <c r="N787" s="1"/>
  <c r="K789" l="1"/>
  <c r="L788"/>
  <c r="N788" s="1"/>
  <c r="K790" l="1"/>
  <c r="L789"/>
  <c r="N789" s="1"/>
  <c r="K791" l="1"/>
  <c r="L790"/>
  <c r="N790" s="1"/>
  <c r="K792" l="1"/>
  <c r="L791"/>
  <c r="N791" s="1"/>
  <c r="K793" l="1"/>
  <c r="L792"/>
  <c r="N792" s="1"/>
  <c r="K794" l="1"/>
  <c r="L793"/>
  <c r="N793" s="1"/>
  <c r="K795" l="1"/>
  <c r="L794"/>
  <c r="N794" s="1"/>
  <c r="K796" l="1"/>
  <c r="L795"/>
  <c r="N795" s="1"/>
  <c r="K797" l="1"/>
  <c r="L796"/>
  <c r="N796" s="1"/>
  <c r="K798" l="1"/>
  <c r="L797"/>
  <c r="N797" s="1"/>
  <c r="K799" l="1"/>
  <c r="L798"/>
  <c r="N798" s="1"/>
  <c r="K800" l="1"/>
  <c r="L799"/>
  <c r="N799" s="1"/>
  <c r="K801" l="1"/>
  <c r="L800"/>
  <c r="N800" s="1"/>
  <c r="K802" l="1"/>
  <c r="L801"/>
  <c r="N801" s="1"/>
  <c r="K803" l="1"/>
  <c r="L802"/>
  <c r="N802" s="1"/>
  <c r="K804" l="1"/>
  <c r="L803"/>
  <c r="N803" s="1"/>
  <c r="K805" l="1"/>
  <c r="L804"/>
  <c r="N804" s="1"/>
  <c r="K806" l="1"/>
  <c r="L805"/>
  <c r="N805" s="1"/>
  <c r="K807" l="1"/>
  <c r="L806"/>
  <c r="N806" s="1"/>
  <c r="K808" l="1"/>
  <c r="L807"/>
  <c r="N807" s="1"/>
  <c r="K809" l="1"/>
  <c r="L808"/>
  <c r="N808" s="1"/>
  <c r="K810" l="1"/>
  <c r="L809"/>
  <c r="N809" s="1"/>
  <c r="K811" l="1"/>
  <c r="L810"/>
  <c r="N810" s="1"/>
  <c r="K812" l="1"/>
  <c r="L811"/>
  <c r="N811" s="1"/>
  <c r="K813" l="1"/>
  <c r="L812"/>
  <c r="N812" s="1"/>
  <c r="K814" l="1"/>
  <c r="L813"/>
  <c r="N813" s="1"/>
  <c r="K815" l="1"/>
  <c r="L814"/>
  <c r="N814" s="1"/>
  <c r="K816" l="1"/>
  <c r="L815"/>
  <c r="N815" s="1"/>
  <c r="K817" l="1"/>
  <c r="L816"/>
  <c r="N816" s="1"/>
  <c r="K818" l="1"/>
  <c r="L817"/>
  <c r="N817" s="1"/>
  <c r="K819" l="1"/>
  <c r="L818"/>
  <c r="N818" s="1"/>
  <c r="K820" l="1"/>
  <c r="L819"/>
  <c r="N819" s="1"/>
  <c r="K821" l="1"/>
  <c r="L820"/>
  <c r="N820" s="1"/>
  <c r="K822" l="1"/>
  <c r="L821"/>
  <c r="N821" s="1"/>
  <c r="K823" l="1"/>
  <c r="L822"/>
  <c r="N822" s="1"/>
  <c r="K824" l="1"/>
  <c r="L823"/>
  <c r="N823" s="1"/>
  <c r="K825" l="1"/>
  <c r="L824"/>
  <c r="N824" s="1"/>
  <c r="K826" l="1"/>
  <c r="L825"/>
  <c r="N825" s="1"/>
  <c r="K827" l="1"/>
  <c r="L826"/>
  <c r="N826" s="1"/>
  <c r="K828" l="1"/>
  <c r="L827"/>
  <c r="N827" s="1"/>
  <c r="K829" l="1"/>
  <c r="L828"/>
  <c r="N828" s="1"/>
  <c r="K830" l="1"/>
  <c r="L829"/>
  <c r="N829" s="1"/>
  <c r="K831" l="1"/>
  <c r="L830"/>
  <c r="N830" s="1"/>
  <c r="K832" l="1"/>
  <c r="L831"/>
  <c r="N831" s="1"/>
  <c r="K833" l="1"/>
  <c r="L832"/>
  <c r="N832" s="1"/>
  <c r="K834" l="1"/>
  <c r="L833"/>
  <c r="N833" s="1"/>
  <c r="K835" l="1"/>
  <c r="L834"/>
  <c r="N834" s="1"/>
  <c r="K836" l="1"/>
  <c r="L835"/>
  <c r="N835" s="1"/>
  <c r="K837" l="1"/>
  <c r="L836"/>
  <c r="N836" s="1"/>
  <c r="K838" l="1"/>
  <c r="L837"/>
  <c r="N837" s="1"/>
  <c r="K839" l="1"/>
  <c r="L838"/>
  <c r="N838" s="1"/>
  <c r="K840" l="1"/>
  <c r="L839"/>
  <c r="N839" s="1"/>
  <c r="K841" l="1"/>
  <c r="L840"/>
  <c r="N840" s="1"/>
  <c r="K842" l="1"/>
  <c r="L841"/>
  <c r="N841" s="1"/>
  <c r="K843" l="1"/>
  <c r="L842"/>
  <c r="N842" s="1"/>
  <c r="L843" l="1"/>
  <c r="N843" s="1"/>
  <c r="K844"/>
  <c r="K845" l="1"/>
  <c r="L844"/>
  <c r="N844" s="1"/>
  <c r="K846" l="1"/>
  <c r="L845"/>
  <c r="N845" s="1"/>
  <c r="K847" l="1"/>
  <c r="L846"/>
  <c r="N846" s="1"/>
  <c r="K848" l="1"/>
  <c r="L847"/>
  <c r="N847" s="1"/>
  <c r="K849" l="1"/>
  <c r="L848"/>
  <c r="N848" s="1"/>
  <c r="K850" l="1"/>
  <c r="L849"/>
  <c r="N849" s="1"/>
  <c r="K851" l="1"/>
  <c r="L850"/>
  <c r="N850" s="1"/>
  <c r="K852" l="1"/>
  <c r="L851"/>
  <c r="N851" s="1"/>
  <c r="K853" l="1"/>
  <c r="L852"/>
  <c r="N852" s="1"/>
  <c r="K854" l="1"/>
  <c r="L853"/>
  <c r="N853" s="1"/>
  <c r="K855" l="1"/>
  <c r="L854"/>
  <c r="N854" s="1"/>
  <c r="K856" l="1"/>
  <c r="L855"/>
  <c r="N855" s="1"/>
  <c r="K857" l="1"/>
  <c r="L856"/>
  <c r="N856" s="1"/>
  <c r="K858" l="1"/>
  <c r="L857"/>
  <c r="N857" s="1"/>
  <c r="K859" l="1"/>
  <c r="L858"/>
  <c r="N858" s="1"/>
  <c r="K860" l="1"/>
  <c r="L859"/>
  <c r="N859" s="1"/>
  <c r="K861" l="1"/>
  <c r="L860"/>
  <c r="N860" s="1"/>
  <c r="K862" l="1"/>
  <c r="L861"/>
  <c r="N861" s="1"/>
  <c r="K863" l="1"/>
  <c r="L862"/>
  <c r="N862" s="1"/>
  <c r="K864" l="1"/>
  <c r="L863"/>
  <c r="N863" s="1"/>
  <c r="K865" l="1"/>
  <c r="L864"/>
  <c r="N864" s="1"/>
  <c r="K866" l="1"/>
  <c r="L865"/>
  <c r="N865" s="1"/>
  <c r="K867" l="1"/>
  <c r="L866"/>
  <c r="N866" s="1"/>
  <c r="K868" l="1"/>
  <c r="L867"/>
  <c r="N867" s="1"/>
  <c r="K869" l="1"/>
  <c r="L868"/>
  <c r="N868" s="1"/>
  <c r="K870" l="1"/>
  <c r="L869"/>
  <c r="N869" s="1"/>
  <c r="K871" l="1"/>
  <c r="L870"/>
  <c r="N870" s="1"/>
  <c r="K872" l="1"/>
  <c r="L871"/>
  <c r="N871" s="1"/>
  <c r="K873" l="1"/>
  <c r="L872"/>
  <c r="N872" s="1"/>
  <c r="K874" l="1"/>
  <c r="L873"/>
  <c r="N873" s="1"/>
  <c r="K875" l="1"/>
  <c r="L874"/>
  <c r="N874" s="1"/>
  <c r="K876" l="1"/>
  <c r="L875"/>
  <c r="N875" s="1"/>
  <c r="K877" l="1"/>
  <c r="L876"/>
  <c r="N876" s="1"/>
  <c r="K878" l="1"/>
  <c r="L877"/>
  <c r="N877" s="1"/>
  <c r="K879" l="1"/>
  <c r="L878"/>
  <c r="N878" s="1"/>
  <c r="K880" l="1"/>
  <c r="L879"/>
  <c r="N879" s="1"/>
  <c r="K881" l="1"/>
  <c r="L880"/>
  <c r="N880" s="1"/>
  <c r="K882" l="1"/>
  <c r="L881"/>
  <c r="N881" s="1"/>
  <c r="K883" l="1"/>
  <c r="L882"/>
  <c r="N882" s="1"/>
  <c r="K884" l="1"/>
  <c r="L883"/>
  <c r="N883" s="1"/>
  <c r="K885" l="1"/>
  <c r="L884"/>
  <c r="N884" s="1"/>
  <c r="K886" l="1"/>
  <c r="L885"/>
  <c r="N885" s="1"/>
  <c r="K887" l="1"/>
  <c r="L886"/>
  <c r="N886" s="1"/>
  <c r="K888" l="1"/>
  <c r="L887"/>
  <c r="N887" s="1"/>
  <c r="K889" l="1"/>
  <c r="L888"/>
  <c r="N888" s="1"/>
  <c r="K890" l="1"/>
  <c r="L889"/>
  <c r="N889" s="1"/>
  <c r="K891" l="1"/>
  <c r="L890"/>
  <c r="N890" s="1"/>
  <c r="K892" l="1"/>
  <c r="L891"/>
  <c r="N891" s="1"/>
  <c r="K893" l="1"/>
  <c r="L892"/>
  <c r="N892" s="1"/>
  <c r="K894" l="1"/>
  <c r="L893"/>
  <c r="N893" s="1"/>
  <c r="K895" l="1"/>
  <c r="L894"/>
  <c r="N894" s="1"/>
  <c r="K896" l="1"/>
  <c r="L895"/>
  <c r="N895" s="1"/>
  <c r="K897" l="1"/>
  <c r="L896"/>
  <c r="N896" s="1"/>
  <c r="K898" l="1"/>
  <c r="L897"/>
  <c r="N897" s="1"/>
  <c r="K899" l="1"/>
  <c r="L898"/>
  <c r="N898" s="1"/>
  <c r="K900" l="1"/>
  <c r="L899"/>
  <c r="N899" s="1"/>
  <c r="K901" l="1"/>
  <c r="L900"/>
  <c r="N900" s="1"/>
  <c r="K902" l="1"/>
  <c r="L901"/>
  <c r="N901" s="1"/>
  <c r="K903" l="1"/>
  <c r="L902"/>
  <c r="N902" s="1"/>
  <c r="K904" l="1"/>
  <c r="L903"/>
  <c r="N903" s="1"/>
  <c r="K905" l="1"/>
  <c r="L904"/>
  <c r="N904" s="1"/>
  <c r="K906" l="1"/>
  <c r="L905"/>
  <c r="N905" s="1"/>
  <c r="K907" l="1"/>
  <c r="L906"/>
  <c r="N906" s="1"/>
  <c r="K908" l="1"/>
  <c r="L907"/>
  <c r="N907" s="1"/>
  <c r="K909" l="1"/>
  <c r="L908"/>
  <c r="N908" s="1"/>
  <c r="K910" l="1"/>
  <c r="L909"/>
  <c r="N909" s="1"/>
  <c r="K911" l="1"/>
  <c r="L910"/>
  <c r="N910" s="1"/>
  <c r="K912" l="1"/>
  <c r="L911"/>
  <c r="N911" s="1"/>
  <c r="K913" l="1"/>
  <c r="L912"/>
  <c r="N912" s="1"/>
  <c r="K914" l="1"/>
  <c r="L913"/>
  <c r="N913" s="1"/>
  <c r="K915" l="1"/>
  <c r="L914"/>
  <c r="N914" s="1"/>
  <c r="K916" l="1"/>
  <c r="L915"/>
  <c r="N915" s="1"/>
  <c r="K917" l="1"/>
  <c r="L916"/>
  <c r="N916" s="1"/>
  <c r="K918" l="1"/>
  <c r="L917"/>
  <c r="N917" s="1"/>
  <c r="K919" l="1"/>
  <c r="L918"/>
  <c r="N918" s="1"/>
  <c r="K920" l="1"/>
  <c r="L919"/>
  <c r="N919" s="1"/>
  <c r="K921" l="1"/>
  <c r="L920"/>
  <c r="N920" s="1"/>
  <c r="K922" l="1"/>
  <c r="L921"/>
  <c r="N921" s="1"/>
  <c r="K923" l="1"/>
  <c r="L922"/>
  <c r="N922" s="1"/>
  <c r="K924" l="1"/>
  <c r="L923"/>
  <c r="N923" s="1"/>
  <c r="K925" l="1"/>
  <c r="L924"/>
  <c r="N924" s="1"/>
  <c r="K926" l="1"/>
  <c r="L925"/>
  <c r="N925" s="1"/>
  <c r="K927" l="1"/>
  <c r="L926"/>
  <c r="N926" s="1"/>
  <c r="K928" l="1"/>
  <c r="L927"/>
  <c r="N927" s="1"/>
  <c r="K929" l="1"/>
  <c r="L928"/>
  <c r="N928" s="1"/>
  <c r="K930" l="1"/>
  <c r="L929"/>
  <c r="N929" s="1"/>
  <c r="K931" l="1"/>
  <c r="L930"/>
  <c r="N930" s="1"/>
  <c r="K932" l="1"/>
  <c r="L931"/>
  <c r="N931" s="1"/>
  <c r="K933" l="1"/>
  <c r="L932"/>
  <c r="N932" s="1"/>
  <c r="K934" l="1"/>
  <c r="L933"/>
  <c r="N933" s="1"/>
  <c r="K935" l="1"/>
  <c r="L934"/>
  <c r="N934" s="1"/>
  <c r="K936" l="1"/>
  <c r="L935"/>
  <c r="N935" s="1"/>
  <c r="K937" l="1"/>
  <c r="L936"/>
  <c r="N936" s="1"/>
  <c r="K938" l="1"/>
  <c r="L937"/>
  <c r="N937" s="1"/>
  <c r="K939" l="1"/>
  <c r="L938"/>
  <c r="N938" s="1"/>
  <c r="K940" l="1"/>
  <c r="L939"/>
  <c r="N939" s="1"/>
  <c r="K941" l="1"/>
  <c r="L940"/>
  <c r="N940" s="1"/>
  <c r="K942" l="1"/>
  <c r="L941"/>
  <c r="N941" s="1"/>
  <c r="K943" l="1"/>
  <c r="L942"/>
  <c r="N942" s="1"/>
  <c r="K944" l="1"/>
  <c r="L943"/>
  <c r="N943" s="1"/>
  <c r="K945" l="1"/>
  <c r="L944"/>
  <c r="N944" s="1"/>
  <c r="K946" l="1"/>
  <c r="L945"/>
  <c r="N945" s="1"/>
  <c r="K947" l="1"/>
  <c r="L946"/>
  <c r="N946" s="1"/>
  <c r="K948" l="1"/>
  <c r="L947"/>
  <c r="N947" s="1"/>
  <c r="K949" l="1"/>
  <c r="L948"/>
  <c r="N948" s="1"/>
  <c r="K950" l="1"/>
  <c r="L949"/>
  <c r="N949" s="1"/>
  <c r="K951" l="1"/>
  <c r="L950"/>
  <c r="N950" s="1"/>
  <c r="K952" l="1"/>
  <c r="L951"/>
  <c r="N951" s="1"/>
  <c r="K953" l="1"/>
  <c r="L952"/>
  <c r="N952" s="1"/>
  <c r="K954" l="1"/>
  <c r="L953"/>
  <c r="N953" s="1"/>
  <c r="K955" l="1"/>
  <c r="L954"/>
  <c r="N954" s="1"/>
  <c r="K956" l="1"/>
  <c r="L955"/>
  <c r="N955" s="1"/>
  <c r="K957" l="1"/>
  <c r="L956"/>
  <c r="N956" s="1"/>
  <c r="K958" l="1"/>
  <c r="L957"/>
  <c r="N957" s="1"/>
  <c r="K959" l="1"/>
  <c r="L958"/>
  <c r="N958" s="1"/>
  <c r="K960" l="1"/>
  <c r="L959"/>
  <c r="N959" s="1"/>
  <c r="K961" l="1"/>
  <c r="L960"/>
  <c r="N960" s="1"/>
  <c r="K962" l="1"/>
  <c r="L961"/>
  <c r="N961" s="1"/>
  <c r="K963" l="1"/>
  <c r="L962"/>
  <c r="N962" s="1"/>
  <c r="K964" l="1"/>
  <c r="L963"/>
  <c r="N963" s="1"/>
  <c r="K965" l="1"/>
  <c r="L964"/>
  <c r="N964" s="1"/>
  <c r="K966" l="1"/>
  <c r="L965"/>
  <c r="N965" s="1"/>
  <c r="K967" l="1"/>
  <c r="L966"/>
  <c r="N966" s="1"/>
  <c r="K968" l="1"/>
  <c r="L967"/>
  <c r="N967" s="1"/>
  <c r="K969" l="1"/>
  <c r="L968"/>
  <c r="N968" s="1"/>
  <c r="K970" l="1"/>
  <c r="L969"/>
  <c r="N969" s="1"/>
  <c r="K971" l="1"/>
  <c r="L970"/>
  <c r="N970" s="1"/>
  <c r="K972" l="1"/>
  <c r="L971"/>
  <c r="N971" s="1"/>
  <c r="K973" l="1"/>
  <c r="L972"/>
  <c r="N972" s="1"/>
  <c r="K974" l="1"/>
  <c r="L973"/>
  <c r="N973" s="1"/>
  <c r="K975" l="1"/>
  <c r="L974"/>
  <c r="N974" s="1"/>
  <c r="K976" l="1"/>
  <c r="L975"/>
  <c r="N975" s="1"/>
  <c r="K977" l="1"/>
  <c r="L976"/>
  <c r="N976" s="1"/>
  <c r="K978" l="1"/>
  <c r="L977"/>
  <c r="N977" s="1"/>
  <c r="K979" l="1"/>
  <c r="L978"/>
  <c r="N978" s="1"/>
  <c r="K980" l="1"/>
  <c r="L979"/>
  <c r="N979" s="1"/>
  <c r="K981" l="1"/>
  <c r="L980"/>
  <c r="N980" s="1"/>
  <c r="K982" l="1"/>
  <c r="L981"/>
  <c r="N981" s="1"/>
  <c r="K983" l="1"/>
  <c r="L982"/>
  <c r="N982" s="1"/>
  <c r="K984" l="1"/>
  <c r="L983"/>
  <c r="N983" s="1"/>
  <c r="K985" l="1"/>
  <c r="L984"/>
  <c r="N984" s="1"/>
  <c r="K986" l="1"/>
  <c r="L985"/>
  <c r="N985" s="1"/>
  <c r="K987" l="1"/>
  <c r="L986"/>
  <c r="N986" s="1"/>
  <c r="K988" l="1"/>
  <c r="L987"/>
  <c r="N987" s="1"/>
  <c r="K989" l="1"/>
  <c r="L988"/>
  <c r="N988" s="1"/>
  <c r="K990" l="1"/>
  <c r="L989"/>
  <c r="N989" s="1"/>
  <c r="K991" l="1"/>
  <c r="L990"/>
  <c r="N990" s="1"/>
  <c r="K992" l="1"/>
  <c r="L991"/>
  <c r="N991" s="1"/>
  <c r="K993" l="1"/>
  <c r="L992"/>
  <c r="N992" s="1"/>
  <c r="K994" l="1"/>
  <c r="L993"/>
  <c r="N993" s="1"/>
  <c r="K995" l="1"/>
  <c r="L994"/>
  <c r="N994" s="1"/>
  <c r="K996" l="1"/>
  <c r="L995"/>
  <c r="N995" s="1"/>
  <c r="K997" l="1"/>
  <c r="L996"/>
  <c r="N996" s="1"/>
  <c r="K998" l="1"/>
  <c r="L997"/>
  <c r="N997" s="1"/>
  <c r="K999" l="1"/>
  <c r="L998"/>
  <c r="N998" s="1"/>
  <c r="K1000" l="1"/>
  <c r="L999"/>
  <c r="N999" s="1"/>
  <c r="K1001" l="1"/>
  <c r="L1000"/>
  <c r="N1000" s="1"/>
  <c r="K1002" l="1"/>
  <c r="L1001"/>
  <c r="N1001" s="1"/>
  <c r="K1003" l="1"/>
  <c r="L1002"/>
  <c r="N1002" s="1"/>
  <c r="K1004" l="1"/>
  <c r="L1003"/>
  <c r="N1003" s="1"/>
  <c r="K1005" l="1"/>
  <c r="L1004"/>
  <c r="N1004" s="1"/>
  <c r="K1006" l="1"/>
  <c r="L1005"/>
  <c r="N1005" s="1"/>
  <c r="K1007" l="1"/>
  <c r="L1006"/>
  <c r="N1006" s="1"/>
  <c r="K1008" l="1"/>
  <c r="L1007"/>
  <c r="N1007" s="1"/>
  <c r="K1009" l="1"/>
  <c r="L1008"/>
  <c r="N1008" s="1"/>
  <c r="K1010" l="1"/>
  <c r="L1009"/>
  <c r="N1009" s="1"/>
  <c r="K1011" l="1"/>
  <c r="L1010"/>
  <c r="N1010" s="1"/>
  <c r="K1012" l="1"/>
  <c r="L1011"/>
  <c r="N1011" s="1"/>
  <c r="K1013" l="1"/>
  <c r="L1012"/>
  <c r="N1012" s="1"/>
  <c r="K1014" l="1"/>
  <c r="L1013"/>
  <c r="N1013" s="1"/>
  <c r="K1015" l="1"/>
  <c r="L1014"/>
  <c r="N1014" s="1"/>
  <c r="K1016" l="1"/>
  <c r="L1015"/>
  <c r="N1015" s="1"/>
  <c r="K1017" l="1"/>
  <c r="L1016"/>
  <c r="N1016" s="1"/>
  <c r="K1018" l="1"/>
  <c r="L1017"/>
  <c r="N1017" s="1"/>
  <c r="K1019" l="1"/>
  <c r="L1018"/>
  <c r="N1018" s="1"/>
  <c r="K1020" l="1"/>
  <c r="L1019"/>
  <c r="N1019" s="1"/>
  <c r="K1021" l="1"/>
  <c r="L1020"/>
  <c r="N1020" s="1"/>
  <c r="K1022" l="1"/>
  <c r="L1021"/>
  <c r="N1021" s="1"/>
  <c r="K1023" l="1"/>
  <c r="L1022"/>
  <c r="N1022" s="1"/>
  <c r="K1024" l="1"/>
  <c r="L1023"/>
  <c r="N1023" s="1"/>
  <c r="K1025" l="1"/>
  <c r="L1024"/>
  <c r="N1024" s="1"/>
  <c r="K1026" l="1"/>
  <c r="L1025"/>
  <c r="N1025" s="1"/>
  <c r="K1027" l="1"/>
  <c r="L1026"/>
  <c r="N1026" s="1"/>
  <c r="K1028" l="1"/>
  <c r="L1027"/>
  <c r="N1027" s="1"/>
  <c r="K1029" l="1"/>
  <c r="L1028"/>
  <c r="N1028" s="1"/>
  <c r="K1030" l="1"/>
  <c r="L1029"/>
  <c r="N1029" s="1"/>
  <c r="K1031" l="1"/>
  <c r="L1030"/>
  <c r="N1030" s="1"/>
  <c r="K1032" l="1"/>
  <c r="L1031"/>
  <c r="N1031" s="1"/>
  <c r="K1033" l="1"/>
  <c r="L1032"/>
  <c r="N1032" s="1"/>
  <c r="K1034" l="1"/>
  <c r="L1033"/>
  <c r="N1033" s="1"/>
  <c r="K1035" l="1"/>
  <c r="L1034"/>
  <c r="N1034" s="1"/>
  <c r="K1036" l="1"/>
  <c r="L1035"/>
  <c r="N1035" s="1"/>
  <c r="K1037" l="1"/>
  <c r="L1036"/>
  <c r="N1036" s="1"/>
  <c r="K1038" l="1"/>
  <c r="L1037"/>
  <c r="N1037" s="1"/>
  <c r="K1039" l="1"/>
  <c r="L1038"/>
  <c r="N1038" s="1"/>
  <c r="K1040" l="1"/>
  <c r="L1039"/>
  <c r="N1039" s="1"/>
  <c r="K1041" l="1"/>
  <c r="L1040"/>
  <c r="N1040" s="1"/>
  <c r="K1042" l="1"/>
  <c r="L1041"/>
  <c r="N1041" s="1"/>
  <c r="K1043" l="1"/>
  <c r="L1042"/>
  <c r="N1042" s="1"/>
  <c r="K1044" l="1"/>
  <c r="L1043"/>
  <c r="N1043" s="1"/>
  <c r="K1045" l="1"/>
  <c r="L1044"/>
  <c r="N1044" s="1"/>
  <c r="K1046" l="1"/>
  <c r="L1045"/>
  <c r="N1045" s="1"/>
  <c r="K1047" l="1"/>
  <c r="L1046"/>
  <c r="N1046" s="1"/>
  <c r="K1048" l="1"/>
  <c r="L1047"/>
  <c r="N1047" s="1"/>
  <c r="K1049" l="1"/>
  <c r="L1048"/>
  <c r="N1048" s="1"/>
  <c r="K1050" l="1"/>
  <c r="L1049"/>
  <c r="N1049" s="1"/>
  <c r="K1051" l="1"/>
  <c r="L1050"/>
  <c r="N1050" s="1"/>
  <c r="K1052" l="1"/>
  <c r="L1051"/>
  <c r="N1051" s="1"/>
  <c r="K1053" l="1"/>
  <c r="L1052"/>
  <c r="N1052" s="1"/>
  <c r="K1054" l="1"/>
  <c r="L1053"/>
  <c r="N1053" s="1"/>
  <c r="K1055" l="1"/>
  <c r="L1054"/>
  <c r="N1054" s="1"/>
  <c r="K1056" l="1"/>
  <c r="L1055"/>
  <c r="N1055" s="1"/>
  <c r="K1057" l="1"/>
  <c r="L1056"/>
  <c r="N1056" s="1"/>
  <c r="K1058" l="1"/>
  <c r="L1057"/>
  <c r="N1057" s="1"/>
  <c r="K1059" l="1"/>
  <c r="L1058"/>
  <c r="N1058" s="1"/>
  <c r="K1060" l="1"/>
  <c r="L1059"/>
  <c r="N1059" s="1"/>
  <c r="K1061" l="1"/>
  <c r="L1060"/>
  <c r="N1060" s="1"/>
  <c r="K1062" l="1"/>
  <c r="L1061"/>
  <c r="N1061" s="1"/>
  <c r="K1063" l="1"/>
  <c r="L1062"/>
  <c r="N1062" s="1"/>
  <c r="K1064" l="1"/>
  <c r="L1063"/>
  <c r="N1063" s="1"/>
  <c r="K1065" l="1"/>
  <c r="L1064"/>
  <c r="N1064" s="1"/>
  <c r="K1066" l="1"/>
  <c r="L1065"/>
  <c r="N1065" s="1"/>
  <c r="K1067" l="1"/>
  <c r="L1066"/>
  <c r="N1066" s="1"/>
  <c r="K1068" l="1"/>
  <c r="L1067"/>
  <c r="N1067" s="1"/>
  <c r="K1069" l="1"/>
  <c r="L1068"/>
  <c r="N1068" s="1"/>
  <c r="K1070" l="1"/>
  <c r="L1069"/>
  <c r="N1069" s="1"/>
  <c r="K1071" l="1"/>
  <c r="L1070"/>
  <c r="N1070" s="1"/>
  <c r="K1072" l="1"/>
  <c r="L1071"/>
  <c r="N1071" s="1"/>
  <c r="K1073" l="1"/>
  <c r="L1072"/>
  <c r="N1072" s="1"/>
  <c r="K1074" l="1"/>
  <c r="L1073"/>
  <c r="N1073" s="1"/>
  <c r="K1075" l="1"/>
  <c r="L1074"/>
  <c r="N1074" s="1"/>
  <c r="K1076" l="1"/>
  <c r="L1075"/>
  <c r="N1075" s="1"/>
  <c r="K1077" l="1"/>
  <c r="L1076"/>
  <c r="N1076" s="1"/>
  <c r="K1078" l="1"/>
  <c r="L1077"/>
  <c r="N1077" s="1"/>
  <c r="K1079" l="1"/>
  <c r="L1078"/>
  <c r="N1078" s="1"/>
  <c r="K1080" l="1"/>
  <c r="L1079"/>
  <c r="N1079" s="1"/>
  <c r="K1081" l="1"/>
  <c r="L1080"/>
  <c r="N1080" s="1"/>
  <c r="K1082" l="1"/>
  <c r="L1081"/>
  <c r="N1081" s="1"/>
  <c r="K1083" l="1"/>
  <c r="L1082"/>
  <c r="N1082" s="1"/>
  <c r="K1084" l="1"/>
  <c r="L1083"/>
  <c r="N1083" s="1"/>
  <c r="K1085" l="1"/>
  <c r="L1084"/>
  <c r="N1084" s="1"/>
  <c r="K1086" l="1"/>
  <c r="L1085"/>
  <c r="N1085" s="1"/>
  <c r="K1087" l="1"/>
  <c r="L1086"/>
  <c r="N1086" s="1"/>
  <c r="K1088" l="1"/>
  <c r="L1087"/>
  <c r="N1087" s="1"/>
  <c r="K1089" l="1"/>
  <c r="L1088"/>
  <c r="N1088" s="1"/>
  <c r="K1090" l="1"/>
  <c r="L1089"/>
  <c r="N1089" s="1"/>
  <c r="K1091" l="1"/>
  <c r="L1090"/>
  <c r="N1090" s="1"/>
  <c r="K1092" l="1"/>
  <c r="L1091"/>
  <c r="N1091" s="1"/>
  <c r="K1093" l="1"/>
  <c r="L1092"/>
  <c r="N1092" s="1"/>
  <c r="K1094" l="1"/>
  <c r="L1093"/>
  <c r="N1093" s="1"/>
  <c r="K1095" l="1"/>
  <c r="L1094"/>
  <c r="N1094" s="1"/>
  <c r="K1096" l="1"/>
  <c r="L1095"/>
  <c r="N1095" s="1"/>
  <c r="K1097" l="1"/>
  <c r="L1096"/>
  <c r="N1096" s="1"/>
  <c r="K1098" l="1"/>
  <c r="L1097"/>
  <c r="N1097" s="1"/>
  <c r="K1099" l="1"/>
  <c r="L1098"/>
  <c r="N1098" s="1"/>
  <c r="K1100" l="1"/>
  <c r="L1099"/>
  <c r="N1099" s="1"/>
  <c r="K1101" l="1"/>
  <c r="L1100"/>
  <c r="N1100" s="1"/>
  <c r="L1101" l="1"/>
  <c r="N1101" s="1"/>
  <c r="K1102"/>
  <c r="L1102" l="1"/>
  <c r="N1102" s="1"/>
  <c r="K1103"/>
  <c r="L1103" l="1"/>
  <c r="N1103" s="1"/>
  <c r="K1104"/>
  <c r="L1104" l="1"/>
  <c r="N1104" s="1"/>
  <c r="K1105"/>
  <c r="L1105" l="1"/>
  <c r="N1105" s="1"/>
  <c r="K1106"/>
  <c r="L1106" l="1"/>
  <c r="N1106" s="1"/>
  <c r="K1107"/>
  <c r="K1108" l="1"/>
  <c r="L1107"/>
  <c r="N1107" s="1"/>
  <c r="L1108" l="1"/>
  <c r="N1108" s="1"/>
  <c r="K1109"/>
  <c r="L1109" l="1"/>
  <c r="N1109" s="1"/>
  <c r="K1110"/>
  <c r="L1110" l="1"/>
  <c r="N1110" s="1"/>
  <c r="K1111"/>
  <c r="L1111" l="1"/>
  <c r="N1111" s="1"/>
  <c r="K1112"/>
  <c r="K1113" l="1"/>
  <c r="L1112"/>
  <c r="N1112" s="1"/>
  <c r="K1114" l="1"/>
  <c r="L1113"/>
  <c r="N1113" s="1"/>
  <c r="L1114" l="1"/>
  <c r="N1114" s="1"/>
  <c r="K1115"/>
  <c r="K1116" l="1"/>
  <c r="L1115"/>
  <c r="N1115" s="1"/>
  <c r="K1117" l="1"/>
  <c r="L1116"/>
  <c r="N1116" s="1"/>
  <c r="K1118" l="1"/>
  <c r="L1117"/>
  <c r="N1117" s="1"/>
  <c r="L1118" l="1"/>
  <c r="N1118" s="1"/>
  <c r="K1119"/>
  <c r="K1120" l="1"/>
  <c r="L1119"/>
  <c r="N1119" s="1"/>
  <c r="L1120" l="1"/>
  <c r="N1120" s="1"/>
  <c r="K1121"/>
  <c r="K1122" l="1"/>
  <c r="L1121"/>
  <c r="N1121" s="1"/>
  <c r="L1122" l="1"/>
  <c r="N1122" s="1"/>
  <c r="K1123"/>
  <c r="K1124" l="1"/>
  <c r="L1123"/>
  <c r="N1123" s="1"/>
  <c r="K1125" l="1"/>
  <c r="L1124"/>
  <c r="N1124" s="1"/>
  <c r="L1125" l="1"/>
  <c r="N1125" s="1"/>
  <c r="K1126"/>
  <c r="L1126" l="1"/>
  <c r="N1126" s="1"/>
  <c r="K1127"/>
  <c r="L1127" l="1"/>
  <c r="N1127" s="1"/>
  <c r="K1128"/>
  <c r="L1128" l="1"/>
  <c r="N1128" s="1"/>
  <c r="K1129"/>
  <c r="K1130" l="1"/>
  <c r="L1129"/>
  <c r="N1129" s="1"/>
  <c r="L1130" l="1"/>
  <c r="N1130" s="1"/>
  <c r="K1131"/>
  <c r="L1131" l="1"/>
  <c r="N1131" s="1"/>
  <c r="K1132"/>
  <c r="L1132" l="1"/>
  <c r="N1132" s="1"/>
  <c r="K1133"/>
  <c r="K1134" l="1"/>
  <c r="L1133"/>
  <c r="N1133" s="1"/>
  <c r="L1134" l="1"/>
  <c r="N1134" s="1"/>
  <c r="K1135"/>
  <c r="K1136" l="1"/>
  <c r="L1135"/>
  <c r="N1135" s="1"/>
  <c r="K1137" l="1"/>
  <c r="L1136"/>
  <c r="N1136" s="1"/>
  <c r="K1138" l="1"/>
  <c r="L1137"/>
  <c r="N1137" s="1"/>
  <c r="L1138" l="1"/>
  <c r="N1138" s="1"/>
  <c r="K1139"/>
  <c r="L1139" l="1"/>
  <c r="N1139" s="1"/>
  <c r="K1140"/>
  <c r="K1141" l="1"/>
  <c r="L1140"/>
  <c r="N1140" s="1"/>
  <c r="K1142" l="1"/>
  <c r="L1141"/>
  <c r="N1141" s="1"/>
  <c r="K1143" l="1"/>
  <c r="L1142"/>
  <c r="N1142" s="1"/>
  <c r="K1144" l="1"/>
  <c r="L1143"/>
  <c r="N1143" s="1"/>
  <c r="K1145" l="1"/>
  <c r="L1144"/>
  <c r="N1144" s="1"/>
  <c r="K1146" l="1"/>
  <c r="L1145"/>
  <c r="N1145" s="1"/>
  <c r="L1146" l="1"/>
  <c r="N1146" s="1"/>
  <c r="K1147"/>
  <c r="K1148" l="1"/>
  <c r="L1147"/>
  <c r="N1147" s="1"/>
  <c r="K1149" l="1"/>
  <c r="L1148"/>
  <c r="N1148" s="1"/>
  <c r="K1150" l="1"/>
  <c r="L1149"/>
  <c r="N1149" s="1"/>
  <c r="L1150" l="1"/>
  <c r="N1150" s="1"/>
  <c r="K1151"/>
  <c r="K1152" l="1"/>
  <c r="L1151"/>
  <c r="N1151" s="1"/>
  <c r="K1153" l="1"/>
  <c r="L1152"/>
  <c r="N1152" s="1"/>
  <c r="K1154" l="1"/>
  <c r="L1153"/>
  <c r="N1153" s="1"/>
  <c r="K1155" l="1"/>
  <c r="L1154"/>
  <c r="N1154" s="1"/>
  <c r="K1156" l="1"/>
  <c r="L1155"/>
  <c r="N1155" s="1"/>
  <c r="K1157" l="1"/>
  <c r="L1156"/>
  <c r="N1156" s="1"/>
  <c r="L1157" l="1"/>
  <c r="N1157" s="1"/>
  <c r="K1158"/>
  <c r="K1159" l="1"/>
  <c r="L1158"/>
  <c r="N1158" s="1"/>
  <c r="K1160" l="1"/>
  <c r="L1159"/>
  <c r="N1159" s="1"/>
  <c r="K1161" l="1"/>
  <c r="L1160"/>
  <c r="N1160" s="1"/>
  <c r="L1161" l="1"/>
  <c r="N1161" s="1"/>
  <c r="K1162"/>
  <c r="K1163" l="1"/>
  <c r="L1162"/>
  <c r="N1162" s="1"/>
  <c r="K1164" l="1"/>
  <c r="L1163"/>
  <c r="N1163" s="1"/>
  <c r="K1165" l="1"/>
  <c r="L1164"/>
  <c r="N1164" s="1"/>
  <c r="K1166" l="1"/>
  <c r="L1165"/>
  <c r="N1165" s="1"/>
  <c r="K1167" l="1"/>
  <c r="L1166"/>
  <c r="N1166" s="1"/>
  <c r="L1167" l="1"/>
  <c r="N1167" s="1"/>
  <c r="K1168"/>
  <c r="K1169" l="1"/>
  <c r="L1168"/>
  <c r="N1168" s="1"/>
  <c r="K1170" l="1"/>
  <c r="L1169"/>
  <c r="N1169" s="1"/>
  <c r="K1171" l="1"/>
  <c r="L1170"/>
  <c r="N1170" s="1"/>
  <c r="L1171" l="1"/>
  <c r="N1171" s="1"/>
  <c r="K1172"/>
  <c r="K1173" l="1"/>
  <c r="L1172"/>
  <c r="N1172" s="1"/>
  <c r="K1174" l="1"/>
  <c r="L1173"/>
  <c r="N1173" s="1"/>
  <c r="K1175" l="1"/>
  <c r="L1174"/>
  <c r="N1174" s="1"/>
  <c r="K1176" l="1"/>
  <c r="L1175"/>
  <c r="N1175" s="1"/>
  <c r="K1177" l="1"/>
  <c r="L1176"/>
  <c r="N1176" s="1"/>
  <c r="K1178" l="1"/>
  <c r="L1177"/>
  <c r="N1177" s="1"/>
  <c r="K1179" l="1"/>
  <c r="L1178"/>
  <c r="N1178" s="1"/>
  <c r="K1180" l="1"/>
  <c r="L1179"/>
  <c r="N1179" s="1"/>
  <c r="K1181" l="1"/>
  <c r="L1180"/>
  <c r="N1180" s="1"/>
  <c r="K1182" l="1"/>
  <c r="L1181"/>
  <c r="N1181" s="1"/>
  <c r="L1182" l="1"/>
  <c r="N1182" s="1"/>
  <c r="K1183"/>
  <c r="K1184" l="1"/>
  <c r="L1183"/>
  <c r="N1183" s="1"/>
  <c r="K1185" l="1"/>
  <c r="L1184"/>
  <c r="N1184" s="1"/>
  <c r="K1186" l="1"/>
  <c r="L1185"/>
  <c r="N1185" s="1"/>
  <c r="K1187" l="1"/>
  <c r="L1186"/>
  <c r="N1186" s="1"/>
  <c r="L1187" l="1"/>
  <c r="N1187" s="1"/>
  <c r="K1188"/>
  <c r="K1189" l="1"/>
  <c r="L1188"/>
  <c r="N1188" s="1"/>
  <c r="K1190" l="1"/>
  <c r="L1189"/>
  <c r="N1189" s="1"/>
  <c r="L1190" l="1"/>
  <c r="N1190" s="1"/>
  <c r="K1191"/>
  <c r="K1192" l="1"/>
  <c r="L1191"/>
  <c r="N1191" s="1"/>
  <c r="K1193" l="1"/>
  <c r="L1192"/>
  <c r="N1192" s="1"/>
  <c r="K1194" l="1"/>
  <c r="L1193"/>
  <c r="N1193" s="1"/>
  <c r="K1195" l="1"/>
  <c r="L1194"/>
  <c r="N1194" s="1"/>
  <c r="L1195" l="1"/>
  <c r="N1195" s="1"/>
  <c r="K1196"/>
  <c r="K1197" l="1"/>
  <c r="L1196"/>
  <c r="N1196" s="1"/>
  <c r="K1198" l="1"/>
  <c r="L1197"/>
  <c r="N1197" s="1"/>
  <c r="L1198" l="1"/>
  <c r="N1198" s="1"/>
  <c r="K1199"/>
  <c r="K1200" l="1"/>
  <c r="L1199"/>
  <c r="N1199" s="1"/>
  <c r="K1201" l="1"/>
  <c r="L1200"/>
  <c r="N1200" s="1"/>
  <c r="K1202" l="1"/>
  <c r="L1201"/>
  <c r="N1201" s="1"/>
  <c r="K1203" l="1"/>
  <c r="L1202"/>
  <c r="N1202" s="1"/>
  <c r="L1203" l="1"/>
  <c r="N1203" s="1"/>
  <c r="K1204"/>
  <c r="K1205" l="1"/>
  <c r="L1204"/>
  <c r="N1204" s="1"/>
  <c r="C7" i="11" l="1"/>
  <c r="K1206" i="6"/>
  <c r="L1205"/>
  <c r="N1205" s="1"/>
  <c r="L1206" l="1"/>
  <c r="N1206" s="1"/>
  <c r="K1207"/>
  <c r="K1208" l="1"/>
  <c r="L1207"/>
  <c r="N1207" s="1"/>
  <c r="K1209" l="1"/>
  <c r="L1208"/>
  <c r="N1208" s="1"/>
  <c r="K1210" l="1"/>
  <c r="L1209"/>
  <c r="N1209" s="1"/>
  <c r="L1210" l="1"/>
  <c r="N1210" s="1"/>
  <c r="K1211"/>
  <c r="L1211" l="1"/>
  <c r="N1211" s="1"/>
  <c r="K1212"/>
  <c r="K1213" l="1"/>
  <c r="L1212"/>
  <c r="N1212" s="1"/>
  <c r="K1214" l="1"/>
  <c r="L1213"/>
  <c r="N1213" s="1"/>
  <c r="L1214" l="1"/>
  <c r="N1214" s="1"/>
  <c r="K1215"/>
  <c r="K1216" l="1"/>
  <c r="L1215"/>
  <c r="N1215" s="1"/>
  <c r="K1217" l="1"/>
  <c r="L1216"/>
  <c r="N1216" s="1"/>
  <c r="K1218" l="1"/>
  <c r="L1217"/>
  <c r="N1217" s="1"/>
  <c r="K1219" l="1"/>
  <c r="L1218"/>
  <c r="N1218" s="1"/>
  <c r="L1219" l="1"/>
  <c r="N1219" s="1"/>
  <c r="K1220"/>
  <c r="K1221" l="1"/>
  <c r="L1220"/>
  <c r="N1220" s="1"/>
  <c r="K1222" l="1"/>
  <c r="L1221"/>
  <c r="N1221" s="1"/>
  <c r="L1222" l="1"/>
  <c r="N1222" s="1"/>
  <c r="K1223"/>
  <c r="K1224" l="1"/>
  <c r="L1223"/>
  <c r="N1223" s="1"/>
  <c r="K1225" l="1"/>
  <c r="L1224"/>
  <c r="N1224" s="1"/>
  <c r="K1226" l="1"/>
  <c r="L1225"/>
  <c r="N1225" s="1"/>
  <c r="K1227" l="1"/>
  <c r="L1226"/>
  <c r="N1226" s="1"/>
  <c r="L1227" l="1"/>
  <c r="N1227" s="1"/>
  <c r="K1228"/>
  <c r="K1229" l="1"/>
  <c r="L1228"/>
  <c r="N1228" s="1"/>
  <c r="K1230" l="1"/>
  <c r="L1229"/>
  <c r="N1229" s="1"/>
  <c r="L1230" l="1"/>
  <c r="N1230" s="1"/>
  <c r="K1231"/>
  <c r="K1232" l="1"/>
  <c r="L1231"/>
  <c r="N1231" s="1"/>
  <c r="K1233" l="1"/>
  <c r="L1232"/>
  <c r="N1232" s="1"/>
  <c r="K1234" l="1"/>
  <c r="L1233"/>
  <c r="N1233" s="1"/>
  <c r="K1235" l="1"/>
  <c r="L1234"/>
  <c r="N1234" s="1"/>
  <c r="L1235" l="1"/>
  <c r="N1235" s="1"/>
  <c r="K1236"/>
  <c r="K1237" l="1"/>
  <c r="L1236"/>
  <c r="N1236" s="1"/>
  <c r="K1238" l="1"/>
  <c r="L1237"/>
  <c r="N1237" s="1"/>
  <c r="L1238" l="1"/>
  <c r="N1238" s="1"/>
  <c r="K1239"/>
  <c r="K1240" l="1"/>
  <c r="L1239"/>
  <c r="N1239" s="1"/>
  <c r="K1241" l="1"/>
  <c r="L1240"/>
  <c r="N1240" s="1"/>
  <c r="K1242" l="1"/>
  <c r="L1241"/>
  <c r="N1241" s="1"/>
  <c r="K1243" l="1"/>
  <c r="L1242"/>
  <c r="N1242" s="1"/>
  <c r="L1243" l="1"/>
  <c r="N1243" s="1"/>
  <c r="K1244"/>
  <c r="K1245" l="1"/>
  <c r="L1244"/>
  <c r="N1244" s="1"/>
  <c r="K1246" l="1"/>
  <c r="L1245"/>
  <c r="N1245" s="1"/>
  <c r="L1246" l="1"/>
  <c r="N1246" s="1"/>
  <c r="K1247"/>
  <c r="K1248" l="1"/>
  <c r="L1247"/>
  <c r="N1247" s="1"/>
  <c r="K1249" l="1"/>
  <c r="L1248"/>
  <c r="N1248" s="1"/>
  <c r="K1250" l="1"/>
  <c r="L1249"/>
  <c r="N1249" s="1"/>
  <c r="K1251" l="1"/>
  <c r="L1250"/>
  <c r="N1250" s="1"/>
  <c r="L1251" l="1"/>
  <c r="N1251" s="1"/>
  <c r="K1252"/>
  <c r="K1253" l="1"/>
  <c r="L1252"/>
  <c r="N1252" s="1"/>
  <c r="K1254" l="1"/>
  <c r="L1253"/>
  <c r="N1253" s="1"/>
  <c r="L1254" l="1"/>
  <c r="N1254" s="1"/>
  <c r="K1255"/>
  <c r="K1256" l="1"/>
  <c r="L1255"/>
  <c r="N1255" s="1"/>
  <c r="K1257" l="1"/>
  <c r="L1256"/>
  <c r="N1256" s="1"/>
  <c r="K1258" l="1"/>
  <c r="L1257"/>
  <c r="N1257" s="1"/>
  <c r="L1258" l="1"/>
  <c r="N1258" s="1"/>
  <c r="K1259"/>
  <c r="L1259" l="1"/>
  <c r="N1259" s="1"/>
  <c r="K1260"/>
  <c r="K1261" l="1"/>
  <c r="L1260"/>
  <c r="N1260" s="1"/>
  <c r="K1262" l="1"/>
  <c r="L1261"/>
  <c r="N1261" s="1"/>
  <c r="L1262" l="1"/>
  <c r="N1262" s="1"/>
  <c r="K1263"/>
  <c r="K1264" l="1"/>
  <c r="L1263"/>
  <c r="N1263" s="1"/>
  <c r="K1265" l="1"/>
  <c r="L1264"/>
  <c r="N1264" s="1"/>
  <c r="K1266" l="1"/>
  <c r="L1265"/>
  <c r="N1265" s="1"/>
  <c r="K1267" l="1"/>
  <c r="L1266"/>
  <c r="N1266" s="1"/>
  <c r="K1268" l="1"/>
  <c r="L1267"/>
  <c r="N1267" s="1"/>
  <c r="K1269" l="1"/>
  <c r="L1268"/>
  <c r="N1268" s="1"/>
  <c r="K1270" l="1"/>
  <c r="L1269"/>
  <c r="N1269" s="1"/>
  <c r="L1270" l="1"/>
  <c r="N1270" s="1"/>
  <c r="K1271"/>
  <c r="K1272" l="1"/>
  <c r="L1271"/>
  <c r="N1271" s="1"/>
  <c r="K1273" l="1"/>
  <c r="L1272"/>
  <c r="N1272" s="1"/>
  <c r="K1274" l="1"/>
  <c r="L1273"/>
  <c r="N1273" s="1"/>
  <c r="L1274" l="1"/>
  <c r="N1274" s="1"/>
  <c r="K1275"/>
  <c r="L1275" l="1"/>
  <c r="N1275" s="1"/>
  <c r="K1276"/>
  <c r="K1277" l="1"/>
  <c r="L1276"/>
  <c r="N1276" s="1"/>
  <c r="K1278" l="1"/>
  <c r="L1277"/>
  <c r="N1277" s="1"/>
  <c r="K1279" l="1"/>
  <c r="L1278"/>
  <c r="N1278" s="1"/>
  <c r="K1280" l="1"/>
  <c r="L1279"/>
  <c r="N1279" s="1"/>
  <c r="L1280" l="1"/>
  <c r="N1280" s="1"/>
  <c r="K1281"/>
  <c r="K1282" l="1"/>
  <c r="L1281"/>
  <c r="N1281" s="1"/>
  <c r="K1283" l="1"/>
  <c r="L1282"/>
  <c r="N1282" s="1"/>
  <c r="K1284" l="1"/>
  <c r="L1283"/>
  <c r="N1283" s="1"/>
  <c r="L1284" l="1"/>
  <c r="N1284" s="1"/>
  <c r="K1285"/>
  <c r="K1286" l="1"/>
  <c r="L1285"/>
  <c r="N1285" s="1"/>
  <c r="L1286" l="1"/>
  <c r="N1286" s="1"/>
  <c r="K1287"/>
  <c r="L1287" l="1"/>
  <c r="N1287" s="1"/>
  <c r="K1288"/>
  <c r="K1289" l="1"/>
  <c r="L1288"/>
  <c r="N1288" s="1"/>
  <c r="K1290" l="1"/>
  <c r="L1289"/>
  <c r="N1289" s="1"/>
  <c r="L1290" l="1"/>
  <c r="N1290" s="1"/>
  <c r="K1291"/>
  <c r="L1291" l="1"/>
  <c r="N1291" s="1"/>
  <c r="K1292"/>
  <c r="K1293" l="1"/>
  <c r="L1292"/>
  <c r="N1292" s="1"/>
  <c r="K1294" l="1"/>
  <c r="L1293"/>
  <c r="N1293" s="1"/>
  <c r="K1295" l="1"/>
  <c r="L1294"/>
  <c r="N1294" s="1"/>
  <c r="L1295" l="1"/>
  <c r="N1295" s="1"/>
  <c r="K1296"/>
  <c r="L1296" l="1"/>
  <c r="N1296" s="1"/>
  <c r="K1297"/>
  <c r="K1298" l="1"/>
  <c r="L1297"/>
  <c r="N1297" s="1"/>
  <c r="K1299" l="1"/>
  <c r="L1298"/>
  <c r="N1298" s="1"/>
  <c r="K1300" l="1"/>
  <c r="L1299"/>
  <c r="N1299" s="1"/>
  <c r="L1300" l="1"/>
  <c r="N1300" s="1"/>
  <c r="K1301"/>
  <c r="K1302" l="1"/>
  <c r="L1301"/>
  <c r="N1301" s="1"/>
  <c r="K1303" l="1"/>
  <c r="L1302"/>
  <c r="N1302" s="1"/>
  <c r="K1304" l="1"/>
  <c r="L1303"/>
  <c r="N1303" s="1"/>
  <c r="K1305" l="1"/>
  <c r="L1304"/>
  <c r="N1304" s="1"/>
  <c r="K1306" l="1"/>
  <c r="L1305"/>
  <c r="N1305" s="1"/>
  <c r="K1307" l="1"/>
  <c r="L1306"/>
  <c r="N1306" s="1"/>
  <c r="L1307" l="1"/>
  <c r="N1307" s="1"/>
  <c r="K1308"/>
  <c r="K1309" l="1"/>
  <c r="L1308"/>
  <c r="N1308" s="1"/>
  <c r="K1310" l="1"/>
  <c r="L1309"/>
  <c r="N1309" s="1"/>
  <c r="K1311" l="1"/>
  <c r="L1310"/>
  <c r="N1310" s="1"/>
  <c r="L1311" l="1"/>
  <c r="N1311" s="1"/>
  <c r="K1312"/>
  <c r="L1312" l="1"/>
  <c r="N1312" s="1"/>
  <c r="K1313"/>
  <c r="K1314" l="1"/>
  <c r="L1313"/>
  <c r="N1313" s="1"/>
  <c r="K1315" l="1"/>
  <c r="L1314"/>
  <c r="N1314" s="1"/>
  <c r="K1316" l="1"/>
  <c r="L1315"/>
  <c r="N1315" s="1"/>
  <c r="K1317" l="1"/>
  <c r="L1316"/>
  <c r="N1316" s="1"/>
  <c r="K1318" l="1"/>
  <c r="L1317"/>
  <c r="N1317" s="1"/>
  <c r="K1319" l="1"/>
  <c r="L1318"/>
  <c r="N1318" s="1"/>
  <c r="K1320" l="1"/>
  <c r="L1319"/>
  <c r="N1319" s="1"/>
  <c r="K1321" l="1"/>
  <c r="L1320"/>
  <c r="N1320" s="1"/>
  <c r="K1322" l="1"/>
  <c r="L1321"/>
  <c r="N1321" s="1"/>
  <c r="K1323" l="1"/>
  <c r="L1322"/>
  <c r="N1322" s="1"/>
  <c r="L1323" l="1"/>
  <c r="N1323" s="1"/>
  <c r="K1324"/>
  <c r="K1325" l="1"/>
  <c r="L1324"/>
  <c r="N1324" s="1"/>
  <c r="K1326" l="1"/>
  <c r="L1325"/>
  <c r="N1325" s="1"/>
  <c r="K1327" l="1"/>
  <c r="L1326"/>
  <c r="N1326" s="1"/>
  <c r="L1327" l="1"/>
  <c r="N1327" s="1"/>
  <c r="K1328"/>
  <c r="L1328" l="1"/>
  <c r="N1328" s="1"/>
  <c r="K1329"/>
  <c r="K1330" l="1"/>
  <c r="L1329"/>
  <c r="N1329" s="1"/>
  <c r="K1331" l="1"/>
  <c r="L1330"/>
  <c r="N1330" s="1"/>
  <c r="K1332" l="1"/>
  <c r="L1331"/>
  <c r="N1331" s="1"/>
  <c r="L1332" l="1"/>
  <c r="N1332" s="1"/>
  <c r="K1333"/>
  <c r="K1334" l="1"/>
  <c r="L1333"/>
  <c r="N1333" s="1"/>
  <c r="K1335" l="1"/>
  <c r="L1334"/>
  <c r="N1334" s="1"/>
  <c r="K1336" l="1"/>
  <c r="L1335"/>
  <c r="N1335" s="1"/>
  <c r="K1337" l="1"/>
  <c r="L1336"/>
  <c r="N1336" s="1"/>
  <c r="K1338" l="1"/>
  <c r="L1337"/>
  <c r="N1337" s="1"/>
  <c r="K1339" l="1"/>
  <c r="L1338"/>
  <c r="N1338" s="1"/>
  <c r="L1339" l="1"/>
  <c r="N1339" s="1"/>
  <c r="K1340"/>
  <c r="K1341" l="1"/>
  <c r="L1340"/>
  <c r="N1340" s="1"/>
  <c r="K1342" l="1"/>
  <c r="L1341"/>
  <c r="N1341" s="1"/>
  <c r="K1343" l="1"/>
  <c r="L1342"/>
  <c r="N1342" s="1"/>
  <c r="L1343" l="1"/>
  <c r="N1343" s="1"/>
  <c r="K1344"/>
  <c r="L1344" l="1"/>
  <c r="N1344" s="1"/>
  <c r="K1345"/>
  <c r="K1346" l="1"/>
  <c r="L1345"/>
  <c r="N1345" s="1"/>
  <c r="L1346" l="1"/>
  <c r="N1346" s="1"/>
  <c r="K1347"/>
  <c r="K1348" l="1"/>
  <c r="L1347"/>
  <c r="N1347" s="1"/>
  <c r="L1348" l="1"/>
  <c r="N1348" s="1"/>
  <c r="K1349"/>
  <c r="K1350" l="1"/>
  <c r="L1349"/>
  <c r="N1349" s="1"/>
  <c r="L1350" l="1"/>
  <c r="N1350" s="1"/>
  <c r="K1351"/>
  <c r="K1352" l="1"/>
  <c r="L1351"/>
  <c r="N1351" s="1"/>
  <c r="L1352" l="1"/>
  <c r="N1352" s="1"/>
  <c r="K1353"/>
  <c r="K1354" l="1"/>
  <c r="L1353"/>
  <c r="N1353" s="1"/>
  <c r="L1354" l="1"/>
  <c r="N1354" s="1"/>
  <c r="K1355"/>
  <c r="L1355" l="1"/>
  <c r="N1355" s="1"/>
  <c r="K1356"/>
  <c r="L1356" l="1"/>
  <c r="N1356" s="1"/>
  <c r="K1357"/>
  <c r="K1358" l="1"/>
  <c r="L1357"/>
  <c r="N1357" s="1"/>
  <c r="L1358" l="1"/>
  <c r="N1358" s="1"/>
  <c r="K1359"/>
  <c r="K1360" l="1"/>
  <c r="L1359"/>
  <c r="N1359" s="1"/>
  <c r="L1360" l="1"/>
  <c r="N1360" s="1"/>
  <c r="K1361"/>
  <c r="K1362" l="1"/>
  <c r="L1361"/>
  <c r="N1361" s="1"/>
  <c r="K1363" l="1"/>
  <c r="L1362"/>
  <c r="N1362" s="1"/>
  <c r="K1364" l="1"/>
  <c r="L1363"/>
  <c r="N1363" s="1"/>
  <c r="L1364" l="1"/>
  <c r="N1364" s="1"/>
  <c r="K1365"/>
  <c r="K1366" l="1"/>
  <c r="L1365"/>
  <c r="N1365" s="1"/>
  <c r="L1366" l="1"/>
  <c r="N1366" s="1"/>
  <c r="K1367"/>
  <c r="L1367" s="1"/>
  <c r="N1367" s="1"/>
  <c r="N1369" s="1"/>
  <c r="D12" i="12" l="1"/>
  <c r="Q1374" i="6"/>
  <c r="Q1375" s="1"/>
  <c r="Q1377" s="1"/>
  <c r="E11" i="9" l="1"/>
  <c r="D14" i="12"/>
  <c r="D16" s="1"/>
  <c r="E10" i="9" l="1"/>
  <c r="E15" s="1"/>
  <c r="E18" s="1"/>
  <c r="E23" s="1"/>
  <c r="C6" i="11" s="1"/>
  <c r="C8" s="1"/>
  <c r="E13" l="1"/>
  <c r="E19"/>
  <c r="E17"/>
  <c r="E15"/>
  <c r="E21" l="1"/>
  <c r="E23" s="1"/>
  <c r="E25" l="1"/>
  <c r="G15" s="1"/>
  <c r="H15" s="1"/>
  <c r="G13" l="1"/>
  <c r="H13" s="1"/>
  <c r="G17"/>
  <c r="H17" s="1"/>
  <c r="G19"/>
  <c r="H19" s="1"/>
  <c r="H21" l="1"/>
</calcChain>
</file>

<file path=xl/comments1.xml><?xml version="1.0" encoding="utf-8"?>
<comments xmlns="http://schemas.openxmlformats.org/spreadsheetml/2006/main">
  <authors>
    <author>CWest</author>
  </authors>
  <commentList>
    <comment ref="A11" authorId="0">
      <text>
        <r>
          <rPr>
            <b/>
            <sz val="8"/>
            <color indexed="81"/>
            <rFont val="Tahoma"/>
            <family val="2"/>
          </rPr>
          <t>CWest:</t>
        </r>
        <r>
          <rPr>
            <sz val="8"/>
            <color indexed="81"/>
            <rFont val="Tahoma"/>
            <family val="2"/>
          </rPr>
          <t xml:space="preserve">
ties to Ferc Form 2 Res, Comm &amp; Ind plus the additional Schl Agg custs which are counted as transport in the Ferc.
</t>
        </r>
      </text>
    </comment>
  </commentList>
</comments>
</file>

<file path=xl/comments2.xml><?xml version="1.0" encoding="utf-8"?>
<comments xmlns="http://schemas.openxmlformats.org/spreadsheetml/2006/main">
  <authors>
    <author>lyonsk</author>
  </authors>
  <commentList>
    <comment ref="C15" authorId="0">
      <text>
        <r>
          <rPr>
            <b/>
            <sz val="9"/>
            <color indexed="81"/>
            <rFont val="Tahoma"/>
            <family val="2"/>
          </rPr>
          <t>lyonsk:</t>
        </r>
        <r>
          <rPr>
            <sz val="9"/>
            <color indexed="81"/>
            <rFont val="Tahoma"/>
            <family val="2"/>
          </rPr>
          <t xml:space="preserve">
2009-2012 M$S Balances from Response to DR89 in case number GR-2014-0007</t>
        </r>
      </text>
    </comment>
    <comment ref="F15" authorId="0">
      <text>
        <r>
          <rPr>
            <b/>
            <sz val="9"/>
            <color indexed="81"/>
            <rFont val="Tahoma"/>
            <family val="2"/>
          </rPr>
          <t>lyonsk:
Currently on through September2013.  Need Dec 31 2013 balance</t>
        </r>
      </text>
    </comment>
    <comment ref="I15" authorId="0">
      <text>
        <r>
          <rPr>
            <b/>
            <sz val="9"/>
            <color indexed="81"/>
            <rFont val="Tahoma"/>
            <family val="2"/>
          </rPr>
          <t>lyonsk:
Currently on through September2013.  Need Dec 31 2013 balance</t>
        </r>
      </text>
    </comment>
  </commentList>
</comments>
</file>

<file path=xl/comments3.xml><?xml version="1.0" encoding="utf-8"?>
<comments xmlns="http://schemas.openxmlformats.org/spreadsheetml/2006/main">
  <authors>
    <author>Buck, Glenn W.</author>
  </authors>
  <commentList>
    <comment ref="B21" authorId="0">
      <text>
        <r>
          <rPr>
            <b/>
            <sz val="9"/>
            <color indexed="81"/>
            <rFont val="Tahoma"/>
            <family val="2"/>
          </rPr>
          <t>Buck, Glenn W.:</t>
        </r>
        <r>
          <rPr>
            <sz val="9"/>
            <color indexed="81"/>
            <rFont val="Tahoma"/>
            <family val="2"/>
          </rPr>
          <t xml:space="preserve">
Missouri State Tax Commission
</t>
        </r>
      </text>
    </comment>
  </commentList>
</comments>
</file>

<file path=xl/sharedStrings.xml><?xml version="1.0" encoding="utf-8"?>
<sst xmlns="http://schemas.openxmlformats.org/spreadsheetml/2006/main" count="54115" uniqueCount="2351">
  <si>
    <t>Missouri Gas Energy - MGE</t>
  </si>
  <si>
    <t>Review - not sure if includable</t>
  </si>
  <si>
    <t>ISRS Work Order Additions September 2014 - December 2014</t>
  </si>
  <si>
    <t>Utility Account</t>
  </si>
  <si>
    <t>MGE Work Order No.</t>
  </si>
  <si>
    <t>New Work Order No.</t>
  </si>
  <si>
    <t>Work Order Description</t>
  </si>
  <si>
    <t>Funding Proj. No.</t>
  </si>
  <si>
    <t>Funding Project Description</t>
  </si>
  <si>
    <t>FERC Activity</t>
  </si>
  <si>
    <t>Month</t>
  </si>
  <si>
    <t>Addition Amount</t>
  </si>
  <si>
    <t>Months</t>
  </si>
  <si>
    <t>Depr Mo. Rate</t>
  </si>
  <si>
    <t>Accum. Depr</t>
  </si>
  <si>
    <t>Depr Expense</t>
  </si>
  <si>
    <t>Type</t>
  </si>
  <si>
    <t>376100-Mains - Steel</t>
  </si>
  <si>
    <t>20401133249</t>
  </si>
  <si>
    <t>003788</t>
  </si>
  <si>
    <t>Cypress &amp; E 43rd Repl Cooper w 45'-</t>
  </si>
  <si>
    <t>F0613</t>
  </si>
  <si>
    <t>Replace bare steel main - safety re</t>
  </si>
  <si>
    <t>Addition</t>
  </si>
  <si>
    <t>20909133142</t>
  </si>
  <si>
    <t>003793</t>
  </si>
  <si>
    <t>Richmond Dr Repl 10'-2in pcs main</t>
  </si>
  <si>
    <t>F0580</t>
  </si>
  <si>
    <t>Replace steel &amp; plastic main</t>
  </si>
  <si>
    <t>20802132908</t>
  </si>
  <si>
    <t>003795</t>
  </si>
  <si>
    <t>Short St Repl PBS w 30'-2in CS main</t>
  </si>
  <si>
    <t>F0592</t>
  </si>
  <si>
    <t>21001132796</t>
  </si>
  <si>
    <t>003797</t>
  </si>
  <si>
    <t>Monterey Dr Repl PBS w 600'-4in PE</t>
  </si>
  <si>
    <t>F0504</t>
  </si>
  <si>
    <t>21219132984</t>
  </si>
  <si>
    <t>003801</t>
  </si>
  <si>
    <t>S Walnut Repl PE w 9'-4in PE main</t>
  </si>
  <si>
    <t>F0547</t>
  </si>
  <si>
    <t>Street &amp; highway relocates</t>
  </si>
  <si>
    <t>21271132955</t>
  </si>
  <si>
    <t>003802</t>
  </si>
  <si>
    <t>NE 50 &amp; N Chelsea Repl PBS w 12'-2i</t>
  </si>
  <si>
    <t>F0663</t>
  </si>
  <si>
    <t>20802132882</t>
  </si>
  <si>
    <t>003806</t>
  </si>
  <si>
    <t>Elm &amp; Halstead Repl PBS w 15'-2in P</t>
  </si>
  <si>
    <t>F0634</t>
  </si>
  <si>
    <t>20501132871</t>
  </si>
  <si>
    <t>003807</t>
  </si>
  <si>
    <t>20th &amp; Ozark Reloc PCS w 370'-4in;5</t>
  </si>
  <si>
    <t>F0664</t>
  </si>
  <si>
    <t>376300-Mains - Plastic</t>
  </si>
  <si>
    <t>20503143406</t>
  </si>
  <si>
    <t>003808</t>
  </si>
  <si>
    <t>3rd &amp; Arch Repl PBS w 2795'-4;745'-</t>
  </si>
  <si>
    <t>F0544</t>
  </si>
  <si>
    <t>20201133152</t>
  </si>
  <si>
    <t>003809</t>
  </si>
  <si>
    <t>Ky &amp; Sterling Repl PBS w 900'-12 TF</t>
  </si>
  <si>
    <t>F0604</t>
  </si>
  <si>
    <t>20801133175</t>
  </si>
  <si>
    <t>003810</t>
  </si>
  <si>
    <t>11th &amp; Cleveland Repl PBS w 220'-2i</t>
  </si>
  <si>
    <t>380200-Services</t>
  </si>
  <si>
    <t>20201050360</t>
  </si>
  <si>
    <t>003815</t>
  </si>
  <si>
    <t>BWO SERVICE LINE LEAK RESPONSIVE CO</t>
  </si>
  <si>
    <t>F0484</t>
  </si>
  <si>
    <t>SLRP - immediate response - company</t>
  </si>
  <si>
    <t>20401050360</t>
  </si>
  <si>
    <t>003816</t>
  </si>
  <si>
    <t>BWO SERVICE LINE LEAK RESPONSIVE</t>
  </si>
  <si>
    <t>F0558</t>
  </si>
  <si>
    <t>20901050371</t>
  </si>
  <si>
    <t>003817</t>
  </si>
  <si>
    <t>BWO SERVICE LINE REPL MODIFIED BLOC</t>
  </si>
  <si>
    <t>F0581</t>
  </si>
  <si>
    <t>SLRP - modified block by block - co</t>
  </si>
  <si>
    <t>20401050372</t>
  </si>
  <si>
    <t>003818</t>
  </si>
  <si>
    <t>BWO SERVICE REPL BLOCK CONTRACTOR S</t>
  </si>
  <si>
    <t>F0568</t>
  </si>
  <si>
    <t>SLRP - block by block - contract</t>
  </si>
  <si>
    <t>20801050372</t>
  </si>
  <si>
    <t>003819</t>
  </si>
  <si>
    <t>BWO SERVICE LINE REPL BLOCK CONTRAC</t>
  </si>
  <si>
    <t>F0552</t>
  </si>
  <si>
    <t>20801050361</t>
  </si>
  <si>
    <t>003823</t>
  </si>
  <si>
    <t>F0522</t>
  </si>
  <si>
    <t>20401050367</t>
  </si>
  <si>
    <t>003826</t>
  </si>
  <si>
    <t>BWO SERVICE LINE MATERIAL-COMPANY S</t>
  </si>
  <si>
    <t>F0487</t>
  </si>
  <si>
    <t>SLRP - materials - company crews</t>
  </si>
  <si>
    <t>20910132661</t>
  </si>
  <si>
    <t>003829</t>
  </si>
  <si>
    <t>2nd &amp; Charles Repl PBS w 340'-2in P</t>
  </si>
  <si>
    <t>20928132664</t>
  </si>
  <si>
    <t>003833</t>
  </si>
  <si>
    <t>Wells St Reloc PCS w 660'-2in PE</t>
  </si>
  <si>
    <t>F0578</t>
  </si>
  <si>
    <t>20401132322</t>
  </si>
  <si>
    <t>003838</t>
  </si>
  <si>
    <t>Mayfair Ph2 Repl CS w 8000'-20in TF</t>
  </si>
  <si>
    <t>F0636</t>
  </si>
  <si>
    <t>20909132747</t>
  </si>
  <si>
    <t>003839</t>
  </si>
  <si>
    <t>Alley btw Taylor/Campbell Repl PBS</t>
  </si>
  <si>
    <t>F0646</t>
  </si>
  <si>
    <t>20501132517</t>
  </si>
  <si>
    <t>003844</t>
  </si>
  <si>
    <t>Plaza Dr Repl PBS w 1825'-4in PE</t>
  </si>
  <si>
    <t>20901132505</t>
  </si>
  <si>
    <t>003845</t>
  </si>
  <si>
    <t>Fairview DR#55 Inlet/Outlet Piping</t>
  </si>
  <si>
    <t>20806132677</t>
  </si>
  <si>
    <t>003846</t>
  </si>
  <si>
    <t>Neosho &amp; South St Repl PBS w 135'-4</t>
  </si>
  <si>
    <t>20806132655</t>
  </si>
  <si>
    <t>003848</t>
  </si>
  <si>
    <t>Peterson Road Rectifier &amp; Groundbed</t>
  </si>
  <si>
    <t>F0621</t>
  </si>
  <si>
    <t>Rectifier Initial Installation</t>
  </si>
  <si>
    <t>20201132800</t>
  </si>
  <si>
    <t>003859</t>
  </si>
  <si>
    <t>35th &amp; Denton Repl PBS w 1220'-2in</t>
  </si>
  <si>
    <t>21001132830</t>
  </si>
  <si>
    <t>003861</t>
  </si>
  <si>
    <t>22nd &amp; Vories REPL PBS w 377-4in PE</t>
  </si>
  <si>
    <t>20902143310</t>
  </si>
  <si>
    <t>003866</t>
  </si>
  <si>
    <t>83rd St Reloc PBS/PCS w 2825'-4in P</t>
  </si>
  <si>
    <t>F0549</t>
  </si>
  <si>
    <t>Street &amp; highway relocates - safety</t>
  </si>
  <si>
    <t>20401133186</t>
  </si>
  <si>
    <t>003869</t>
  </si>
  <si>
    <t>AOR Brooklyn &amp; Linwood Repl CI w 60</t>
  </si>
  <si>
    <t>F0599</t>
  </si>
  <si>
    <t>Replace cast iron main - CPI / prio</t>
  </si>
  <si>
    <t>20201132920</t>
  </si>
  <si>
    <t>003871</t>
  </si>
  <si>
    <t>Smart Ave Repl PBS w 620'-2in PE Ma</t>
  </si>
  <si>
    <t>20902133172</t>
  </si>
  <si>
    <t>003874</t>
  </si>
  <si>
    <t>Gregory Heights Repl PBS main</t>
  </si>
  <si>
    <t>21274132678</t>
  </si>
  <si>
    <t>003876</t>
  </si>
  <si>
    <t>NE 68th Reloc PCS w 682'-4in PE mai</t>
  </si>
  <si>
    <t>20501133145</t>
  </si>
  <si>
    <t>003878</t>
  </si>
  <si>
    <t>9th &amp; Schifferdecker Reloc 86'-2in</t>
  </si>
  <si>
    <t>20813133153</t>
  </si>
  <si>
    <t>003879</t>
  </si>
  <si>
    <t>McHenry &amp; Main Repl PBS w 890'-2in</t>
  </si>
  <si>
    <t>21261143281</t>
  </si>
  <si>
    <t>003885</t>
  </si>
  <si>
    <t>NW 76th Repl PE w 40'-3in CS main</t>
  </si>
  <si>
    <t>20318132937</t>
  </si>
  <si>
    <t>003887</t>
  </si>
  <si>
    <t>US Rt50 Repl PBS w 310'-4in PE main</t>
  </si>
  <si>
    <t>379000-Meas &amp; Reg Station Eqpt-City</t>
  </si>
  <si>
    <t>20830143409</t>
  </si>
  <si>
    <t>003893</t>
  </si>
  <si>
    <t>Repl TB Sta Reg w 2in Mooney</t>
  </si>
  <si>
    <t>F0600</t>
  </si>
  <si>
    <t>Station Rebuild &amp; Replacement</t>
  </si>
  <si>
    <t>20201133133</t>
  </si>
  <si>
    <t>003903</t>
  </si>
  <si>
    <t>24hwy &amp; Salisbury Repl PBS main 334</t>
  </si>
  <si>
    <t>20812132959</t>
  </si>
  <si>
    <t>003904</t>
  </si>
  <si>
    <t>Farm Rd 170 Fuses Repl 1035'- 4in P</t>
  </si>
  <si>
    <t>F0598</t>
  </si>
  <si>
    <t>20813132958</t>
  </si>
  <si>
    <t>003905</t>
  </si>
  <si>
    <t>Pine Repl  Fuses w 100'-2in PE</t>
  </si>
  <si>
    <t>20501143427</t>
  </si>
  <si>
    <t>003906</t>
  </si>
  <si>
    <t>School Ave Reloc PBS w 235'-4in PE</t>
  </si>
  <si>
    <t>20601132986</t>
  </si>
  <si>
    <t>003910</t>
  </si>
  <si>
    <t>13th &amp; Buena Vista Reloc 365'-2in P</t>
  </si>
  <si>
    <t>21207133243</t>
  </si>
  <si>
    <t>003914</t>
  </si>
  <si>
    <t>205 N Forest Repl PCS w 26'-4IN TF</t>
  </si>
  <si>
    <t>20201133170</t>
  </si>
  <si>
    <t>003921</t>
  </si>
  <si>
    <t>Crysler &amp; 35th Repl PBS w 5440'-2in</t>
  </si>
  <si>
    <t>20401050309</t>
  </si>
  <si>
    <t>003927</t>
  </si>
  <si>
    <t>BWO LINE LOCATES-REPL SERVICES ONLY</t>
  </si>
  <si>
    <t>F0655</t>
  </si>
  <si>
    <t>Service line locates</t>
  </si>
  <si>
    <t>20801050360</t>
  </si>
  <si>
    <t>003929</t>
  </si>
  <si>
    <t>F0520</t>
  </si>
  <si>
    <t>20401050361</t>
  </si>
  <si>
    <t>003932</t>
  </si>
  <si>
    <t>BWO SERVICES REPL MODIFIED BLOCK CO</t>
  </si>
  <si>
    <t>F0486</t>
  </si>
  <si>
    <t>20801050367</t>
  </si>
  <si>
    <t>003935</t>
  </si>
  <si>
    <t>BWO MATERIAL SERV LINE REPL COMP</t>
  </si>
  <si>
    <t>F0637</t>
  </si>
  <si>
    <t>20501050370</t>
  </si>
  <si>
    <t>003937</t>
  </si>
  <si>
    <t>BWO SERVICE LINE REPL CONTRACTOR</t>
  </si>
  <si>
    <t>F0576</t>
  </si>
  <si>
    <t>SLRP - immediate response - contrac</t>
  </si>
  <si>
    <t>20501132715</t>
  </si>
  <si>
    <t>003957</t>
  </si>
  <si>
    <t>Murphy Blvd Repl PBS w 3310'-4in PE</t>
  </si>
  <si>
    <t>F0572</t>
  </si>
  <si>
    <t>376200-Mains - Cast Iron</t>
  </si>
  <si>
    <t>20401050325</t>
  </si>
  <si>
    <t>003969</t>
  </si>
  <si>
    <t>ENCAPSULATION CAST IRON JOINTS</t>
  </si>
  <si>
    <t>F0524</t>
  </si>
  <si>
    <t>Encapsulation - cast iron joints</t>
  </si>
  <si>
    <t>20501050372</t>
  </si>
  <si>
    <t>003972</t>
  </si>
  <si>
    <t>F0624</t>
  </si>
  <si>
    <t>20501050361</t>
  </si>
  <si>
    <t>003975</t>
  </si>
  <si>
    <t>F0494</t>
  </si>
  <si>
    <t>20901050361</t>
  </si>
  <si>
    <t>003976</t>
  </si>
  <si>
    <t>F0515</t>
  </si>
  <si>
    <t>20401132526</t>
  </si>
  <si>
    <t>003988</t>
  </si>
  <si>
    <t>Carondolet &amp; Stateline Reloc 50'-2i</t>
  </si>
  <si>
    <t>20301132519</t>
  </si>
  <si>
    <t>003991</t>
  </si>
  <si>
    <t>Ming St Repl PBS w 245'-2;1500'-4in</t>
  </si>
  <si>
    <t>378000-Meas &amp; Reg Station Equipment</t>
  </si>
  <si>
    <t>20910121696</t>
  </si>
  <si>
    <t>003998</t>
  </si>
  <si>
    <t>Olive St Rebuild DRS 13</t>
  </si>
  <si>
    <t>376101-MGE-Mains Steel-Transmission</t>
  </si>
  <si>
    <t>20401132311</t>
  </si>
  <si>
    <t>004000</t>
  </si>
  <si>
    <t>Bannister 20inch Hydro Testing</t>
  </si>
  <si>
    <t>F0502</t>
  </si>
  <si>
    <t>34-394-100-PIPESAFE</t>
  </si>
  <si>
    <t>20909117602</t>
  </si>
  <si>
    <t>004005</t>
  </si>
  <si>
    <t>Lexington St Repl PBS w 1460'-4&amp;70'</t>
  </si>
  <si>
    <t>20909132791</t>
  </si>
  <si>
    <t>20401132805</t>
  </si>
  <si>
    <t>004007</t>
  </si>
  <si>
    <t>38th &amp; State Line Repl CI w 70'-4in</t>
  </si>
  <si>
    <t>20201132785</t>
  </si>
  <si>
    <t>004024</t>
  </si>
  <si>
    <t>Phelps Rd Repl I/O Drs 159 w 4in CS</t>
  </si>
  <si>
    <t>F0672</t>
  </si>
  <si>
    <t>Other main replacements - system re</t>
  </si>
  <si>
    <t>20201132786</t>
  </si>
  <si>
    <t>004025</t>
  </si>
  <si>
    <t>44th &amp; Phelps Repl I/O DRS 105 w 6i</t>
  </si>
  <si>
    <t>20902132933</t>
  </si>
  <si>
    <t>004027</t>
  </si>
  <si>
    <t>Northern Blvd Repl PBS w 280'-2in P</t>
  </si>
  <si>
    <t>20901132945</t>
  </si>
  <si>
    <t>004028</t>
  </si>
  <si>
    <t>Country Ln Reloc 30'-2in PE main</t>
  </si>
  <si>
    <t>20322133096</t>
  </si>
  <si>
    <t>004031</t>
  </si>
  <si>
    <t>806 S Main Repl PBS w 260'-2in PE m</t>
  </si>
  <si>
    <t>21001143357</t>
  </si>
  <si>
    <t>004034</t>
  </si>
  <si>
    <t>35th &amp; Jackson Repl PBS w 680-4in P</t>
  </si>
  <si>
    <t>20401143311</t>
  </si>
  <si>
    <t>004036</t>
  </si>
  <si>
    <t>107 Ter &amp; Hillcrest Reloc PBS w450'</t>
  </si>
  <si>
    <t>20940143315</t>
  </si>
  <si>
    <t>004037</t>
  </si>
  <si>
    <t>Allendale Lake rd Reloc 15'-4in pe</t>
  </si>
  <si>
    <t>20401133116</t>
  </si>
  <si>
    <t>004038</t>
  </si>
  <si>
    <t>135th Reloc PCS/pe w 167'-6in;2884'</t>
  </si>
  <si>
    <t>20601133126</t>
  </si>
  <si>
    <t>004040</t>
  </si>
  <si>
    <t>Hazel &amp; Airport Repl PBS w 2620'-8;</t>
  </si>
  <si>
    <t>20401133219</t>
  </si>
  <si>
    <t>004041</t>
  </si>
  <si>
    <t>109th Terr Repl Copper w 25'-2in TF</t>
  </si>
  <si>
    <t>20201132794</t>
  </si>
  <si>
    <t>004042</t>
  </si>
  <si>
    <t>24 Hwy &amp; Lynn Repl PBS w 1165'-2in</t>
  </si>
  <si>
    <t>20513133102</t>
  </si>
  <si>
    <t>004044</t>
  </si>
  <si>
    <t>Main &amp; Hillcrest Repl PCS w 180'-2i</t>
  </si>
  <si>
    <t>F0575</t>
  </si>
  <si>
    <t>20401133168</t>
  </si>
  <si>
    <t>004056</t>
  </si>
  <si>
    <t>23rd &amp; Topping Repl CU/BS w 645'-2;</t>
  </si>
  <si>
    <t>20401133185</t>
  </si>
  <si>
    <t>004062</t>
  </si>
  <si>
    <t>AOR 4505 Agnes Repl CI w 35'-4in PE</t>
  </si>
  <si>
    <t>20901143388</t>
  </si>
  <si>
    <t>004070</t>
  </si>
  <si>
    <t>Pacific Reloc 60'-4in PE</t>
  </si>
  <si>
    <t>21001143358</t>
  </si>
  <si>
    <t>004071</t>
  </si>
  <si>
    <t>Hill Pine Repl PBS w 288'-2in PE ma</t>
  </si>
  <si>
    <t>20501133207</t>
  </si>
  <si>
    <t>004081</t>
  </si>
  <si>
    <t>15th &amp; Indiana Repl PBS/PCS w 590'-</t>
  </si>
  <si>
    <t>20810133054</t>
  </si>
  <si>
    <t>004082</t>
  </si>
  <si>
    <t>Necessity repl 5ft 2in Plastic Main</t>
  </si>
  <si>
    <t>20401133187</t>
  </si>
  <si>
    <t>004093</t>
  </si>
  <si>
    <t>AOR 4937-43 S Benton Repl CI w 140'</t>
  </si>
  <si>
    <t>20401133037</t>
  </si>
  <si>
    <t>004096</t>
  </si>
  <si>
    <t>AOR 2904 E 69th Repl CI w 30'-6in P</t>
  </si>
  <si>
    <t>20201133048</t>
  </si>
  <si>
    <t>004097</t>
  </si>
  <si>
    <t>Kentucky Rectifier &amp; GroundBed I-03</t>
  </si>
  <si>
    <t>F0503</t>
  </si>
  <si>
    <t>Rectifier Replacements</t>
  </si>
  <si>
    <t>20806133205</t>
  </si>
  <si>
    <t>004100</t>
  </si>
  <si>
    <t>Alley at Hickory Repl PBS w 190'-2i</t>
  </si>
  <si>
    <t>21271143343</t>
  </si>
  <si>
    <t>004102</t>
  </si>
  <si>
    <t>119th Ter &amp; N College Repl 200'-2in</t>
  </si>
  <si>
    <t>21001143318</t>
  </si>
  <si>
    <t>004103</t>
  </si>
  <si>
    <t>Lookout &amp; Yale Repl PBS w 414'- 4in</t>
  </si>
  <si>
    <t>20909132835</t>
  </si>
  <si>
    <t>004113</t>
  </si>
  <si>
    <t>Oakland St Repl PBS w 1905'-2in PE</t>
  </si>
  <si>
    <t>20201132625</t>
  </si>
  <si>
    <t>004114</t>
  </si>
  <si>
    <t>291 Hwy &amp; Truman I/O Piping DRS 122</t>
  </si>
  <si>
    <t>21235132901</t>
  </si>
  <si>
    <t>004119</t>
  </si>
  <si>
    <t>Pur Odorant Storage Tank-REX TB Sta</t>
  </si>
  <si>
    <t>20501132979</t>
  </si>
  <si>
    <t>004121</t>
  </si>
  <si>
    <t>11th &amp; Highview Reloc PBS w 510'-6i</t>
  </si>
  <si>
    <t>21204133050</t>
  </si>
  <si>
    <t>004126</t>
  </si>
  <si>
    <t>Glenaire Rectifier/Ground Bed Repl</t>
  </si>
  <si>
    <t>21207132931</t>
  </si>
  <si>
    <t>004128</t>
  </si>
  <si>
    <t>817 W Hurt Repl PCS w 12'-2in TF St</t>
  </si>
  <si>
    <t>20201132807</t>
  </si>
  <si>
    <t>004132</t>
  </si>
  <si>
    <t>Osage &amp; Gudgell Repl PBS w 1855'-2i</t>
  </si>
  <si>
    <t>20401133040</t>
  </si>
  <si>
    <t>004133</t>
  </si>
  <si>
    <t>Rebuild DRS 356 New DRS #757</t>
  </si>
  <si>
    <t>20812143354</t>
  </si>
  <si>
    <t>004134</t>
  </si>
  <si>
    <t>Main &amp; Elm Reloc PBS w 1895'-4in PE</t>
  </si>
  <si>
    <t>F0545</t>
  </si>
  <si>
    <t>20401132872</t>
  </si>
  <si>
    <t>004135</t>
  </si>
  <si>
    <t>113th Ter &amp; Jackson Repl PBS w 10'-</t>
  </si>
  <si>
    <t>20401132947</t>
  </si>
  <si>
    <t>004141</t>
  </si>
  <si>
    <t>Lees Summit Rd 20in Reloc Proj</t>
  </si>
  <si>
    <t>F0623</t>
  </si>
  <si>
    <t>Lees Summit Rd 20in Reloc Proj -Reimb Amt</t>
  </si>
  <si>
    <t>20901050372</t>
  </si>
  <si>
    <t>004146</t>
  </si>
  <si>
    <t>F0650</t>
  </si>
  <si>
    <t>20501050377</t>
  </si>
  <si>
    <t>004148</t>
  </si>
  <si>
    <t>BWO MATERIAL SERV LINE REPL CONT</t>
  </si>
  <si>
    <t>F0517</t>
  </si>
  <si>
    <t>SLRP - materials - contract</t>
  </si>
  <si>
    <t>20401050370</t>
  </si>
  <si>
    <t>004150</t>
  </si>
  <si>
    <t>BWO SERVICE LINE REPL CONTRACTOR SL</t>
  </si>
  <si>
    <t>F0559</t>
  </si>
  <si>
    <t>20401050301</t>
  </si>
  <si>
    <t>004152</t>
  </si>
  <si>
    <t>BWO-REPLACE SERVICE</t>
  </si>
  <si>
    <t>F0608</t>
  </si>
  <si>
    <t>Replace existing protected steel, p</t>
  </si>
  <si>
    <t>20901050301</t>
  </si>
  <si>
    <t>004153</t>
  </si>
  <si>
    <t>F0513</t>
  </si>
  <si>
    <t>20501121966</t>
  </si>
  <si>
    <t>004161</t>
  </si>
  <si>
    <t>26th &amp; Schifferdecker Reloc Main Wi</t>
  </si>
  <si>
    <t>F0546</t>
  </si>
  <si>
    <t>20812132325</t>
  </si>
  <si>
    <t>004162</t>
  </si>
  <si>
    <t>Mill &amp; Cliborne Repl PBS w 165'-2in</t>
  </si>
  <si>
    <t>20201132737</t>
  </si>
  <si>
    <t>004169</t>
  </si>
  <si>
    <t>25th &amp; Claremont Reloc PBSw100'-2TF</t>
  </si>
  <si>
    <t>20401132456</t>
  </si>
  <si>
    <t>004174</t>
  </si>
  <si>
    <t>Leslie Ave Rebuild DRS 308</t>
  </si>
  <si>
    <t>20503132433</t>
  </si>
  <si>
    <t>004177</t>
  </si>
  <si>
    <t>Poplar &amp; Tenn Repl PBS w 585'-2in P</t>
  </si>
  <si>
    <t>20501121593</t>
  </si>
  <si>
    <t>004179</t>
  </si>
  <si>
    <t>50th &amp; Indiana Reloc 5962'-4in PE m</t>
  </si>
  <si>
    <t>20908121857</t>
  </si>
  <si>
    <t>004182</t>
  </si>
  <si>
    <t>Polk &amp; Butler Ter Repl PBS w 500'-2</t>
  </si>
  <si>
    <t>20307132741</t>
  </si>
  <si>
    <t>004195</t>
  </si>
  <si>
    <t>Orange St Reloc CS w 114'-6in TF St</t>
  </si>
  <si>
    <t>20401133189</t>
  </si>
  <si>
    <t>004197</t>
  </si>
  <si>
    <t>AOR 5345 Swope Prky Repl CI w 1090'</t>
  </si>
  <si>
    <t>20812143289</t>
  </si>
  <si>
    <t>004198</t>
  </si>
  <si>
    <t>Elm &amp; Eagon Repl PBS w 1295'-4;505'</t>
  </si>
  <si>
    <t>20932132895</t>
  </si>
  <si>
    <t>004199</t>
  </si>
  <si>
    <t>155th St  Extension to Facilitate H</t>
  </si>
  <si>
    <t>20901133057</t>
  </si>
  <si>
    <t>004204</t>
  </si>
  <si>
    <t>Oak Tree &amp; Adams Reloc 2in PE</t>
  </si>
  <si>
    <t>20813133154</t>
  </si>
  <si>
    <t>004207</t>
  </si>
  <si>
    <t>Purdy &amp; Pine Repl PBS w 315'-2in PE</t>
  </si>
  <si>
    <t>20201132787</t>
  </si>
  <si>
    <t>004213</t>
  </si>
  <si>
    <t>45th &amp; Phelps Repl DRS 188 I/O w 4i</t>
  </si>
  <si>
    <t>20501143300</t>
  </si>
  <si>
    <t>004214</t>
  </si>
  <si>
    <t>4th &amp; Rangeline Repl PBS w 200'-2in</t>
  </si>
  <si>
    <t>20401132928</t>
  </si>
  <si>
    <t>004216</t>
  </si>
  <si>
    <t>4821 Chelsea Repl CS w 62'-2in PE m</t>
  </si>
  <si>
    <t>F0665</t>
  </si>
  <si>
    <t>20401133129</t>
  </si>
  <si>
    <t>004221</t>
  </si>
  <si>
    <t>63rd Repl CI Main w 16078'-PE main</t>
  </si>
  <si>
    <t>20312143312</t>
  </si>
  <si>
    <t>004233</t>
  </si>
  <si>
    <t>Virginia &amp; 2nd St Repl PBS/PCS w 60</t>
  </si>
  <si>
    <t>20501132764</t>
  </si>
  <si>
    <t>004240</t>
  </si>
  <si>
    <t>7th &amp; Illinois Repl PCS w 590'-4in</t>
  </si>
  <si>
    <t>20401133173</t>
  </si>
  <si>
    <t>004241</t>
  </si>
  <si>
    <t>92nd &amp; Tenn REPL PBS w 12'-2in TF S</t>
  </si>
  <si>
    <t>20201143426</t>
  </si>
  <si>
    <t>004248</t>
  </si>
  <si>
    <t>24 Hwy &amp; Allen Repl PBS w 120'-4in</t>
  </si>
  <si>
    <t>20401133238</t>
  </si>
  <si>
    <t>004255</t>
  </si>
  <si>
    <t>12th &amp; Denver Repl Copper w 70'-2in</t>
  </si>
  <si>
    <t>20401132897</t>
  </si>
  <si>
    <t>004257</t>
  </si>
  <si>
    <t>27th &amp; Park Repl CI w 620'-4in PE m</t>
  </si>
  <si>
    <t>F0500</t>
  </si>
  <si>
    <t>21207132922</t>
  </si>
  <si>
    <t>004259</t>
  </si>
  <si>
    <t>HOLLAND 1916 INC-REPL-4IN SERVLINE</t>
  </si>
  <si>
    <t>F0587</t>
  </si>
  <si>
    <t>Services - 2" &amp; larger</t>
  </si>
  <si>
    <t>20904143298</t>
  </si>
  <si>
    <t>004262</t>
  </si>
  <si>
    <t>So Haven Rd Reloc PBS w 1365'-4;255</t>
  </si>
  <si>
    <t>20301132993</t>
  </si>
  <si>
    <t>004265</t>
  </si>
  <si>
    <t>South Town Border DRS45</t>
  </si>
  <si>
    <t>21215143294</t>
  </si>
  <si>
    <t>004266</t>
  </si>
  <si>
    <t>19th &amp; Meadow Ln RELOC 165'- 4IN PC</t>
  </si>
  <si>
    <t>21258143346</t>
  </si>
  <si>
    <t>004267</t>
  </si>
  <si>
    <t>4800 NW Homestead Repl 4'-2IN PE</t>
  </si>
  <si>
    <t>20401133039</t>
  </si>
  <si>
    <t>004271</t>
  </si>
  <si>
    <t>AOR 2552 Chelsea Repl CI with 40'-6</t>
  </si>
  <si>
    <t>21001133047</t>
  </si>
  <si>
    <t>004272</t>
  </si>
  <si>
    <t>Riverview Rectifier 661 Relocation</t>
  </si>
  <si>
    <t>20401133188</t>
  </si>
  <si>
    <t>004275</t>
  </si>
  <si>
    <t>AOR Norton &amp; 52nd St Repl CI w 40'-</t>
  </si>
  <si>
    <t>20401050377</t>
  </si>
  <si>
    <t>004279</t>
  </si>
  <si>
    <t>BWO SERVICE LINE MATERIAL CONTRACTO</t>
  </si>
  <si>
    <t>F0586</t>
  </si>
  <si>
    <t>20910132654</t>
  </si>
  <si>
    <t>004285</t>
  </si>
  <si>
    <t>2nd &amp; St ChralesRepl PBS w 75'-2in</t>
  </si>
  <si>
    <t>20901050377</t>
  </si>
  <si>
    <t>004287</t>
  </si>
  <si>
    <t>F0607</t>
  </si>
  <si>
    <t>20501050301</t>
  </si>
  <si>
    <t>004288</t>
  </si>
  <si>
    <t>F0541</t>
  </si>
  <si>
    <t>20401121683</t>
  </si>
  <si>
    <t>004298</t>
  </si>
  <si>
    <t>27th &amp; Troost Reloc CI w 2198'-6in</t>
  </si>
  <si>
    <t>20201132463</t>
  </si>
  <si>
    <t>004301</t>
  </si>
  <si>
    <t>39th St Bridge  Reloc 1545'-6in PE</t>
  </si>
  <si>
    <t>20401132458</t>
  </si>
  <si>
    <t>004311</t>
  </si>
  <si>
    <t>Leslie Ave DRS 308 I/O Piping</t>
  </si>
  <si>
    <t>20903121888</t>
  </si>
  <si>
    <t>004315</t>
  </si>
  <si>
    <t>Brezendine Rectifier L0043 and Grou</t>
  </si>
  <si>
    <t>20813132533</t>
  </si>
  <si>
    <t>004320</t>
  </si>
  <si>
    <t>Pine &amp; Purdy Repl PBS w 2040'-2in P</t>
  </si>
  <si>
    <t>20801132712</t>
  </si>
  <si>
    <t>004324</t>
  </si>
  <si>
    <t>Monett New Rectifier /Ground Bed #6</t>
  </si>
  <si>
    <t>20933132713</t>
  </si>
  <si>
    <t>004325</t>
  </si>
  <si>
    <t>Drexel Rectifier/Ground Bed #0061</t>
  </si>
  <si>
    <t>20401132827</t>
  </si>
  <si>
    <t>004332</t>
  </si>
  <si>
    <t>AOR 7027 Agnes Blvd Repl CI w 30'-6</t>
  </si>
  <si>
    <t>20603133197</t>
  </si>
  <si>
    <t>004337</t>
  </si>
  <si>
    <t>I-49 Overpass Reloc Main</t>
  </si>
  <si>
    <t>20401133036</t>
  </si>
  <si>
    <t>004343</t>
  </si>
  <si>
    <t>AOR 6111 Forest Repl CI w 30'-4in P</t>
  </si>
  <si>
    <t>21235133051</t>
  </si>
  <si>
    <t>004354</t>
  </si>
  <si>
    <t>Lathrop NEW Rectifier &amp; Groundbed</t>
  </si>
  <si>
    <t>F0626</t>
  </si>
  <si>
    <t>Rectifier initial installations</t>
  </si>
  <si>
    <t>20515133033</t>
  </si>
  <si>
    <t>004360</t>
  </si>
  <si>
    <t>7th &amp; Duquesne Reloc 110'-4in TF St</t>
  </si>
  <si>
    <t>20513133101</t>
  </si>
  <si>
    <t>004362</t>
  </si>
  <si>
    <t>2nd &amp; Hunter Repl PBS w 301'-2in PE</t>
  </si>
  <si>
    <t>20317143417</t>
  </si>
  <si>
    <t>004364</t>
  </si>
  <si>
    <t>Davis St Repl PBS w 730'-2in PE mai</t>
  </si>
  <si>
    <t>20401143391</t>
  </si>
  <si>
    <t>004365</t>
  </si>
  <si>
    <t>AOR 1300 Askew Repl CI w 555'-4in P</t>
  </si>
  <si>
    <t>20201133218</t>
  </si>
  <si>
    <t>004369</t>
  </si>
  <si>
    <t>26th Glendale Windsor 2in PE Pub Im</t>
  </si>
  <si>
    <t>20902132967</t>
  </si>
  <si>
    <t>004374</t>
  </si>
  <si>
    <t>Railroad St Repl BS/CS w 1515'-2in;</t>
  </si>
  <si>
    <t>20401143389</t>
  </si>
  <si>
    <t>004375</t>
  </si>
  <si>
    <t>AOR 5717 Troost Repl CI w 50'-8in T</t>
  </si>
  <si>
    <t>21001143303</t>
  </si>
  <si>
    <t>004376</t>
  </si>
  <si>
    <t>9th &amp; Ridenbaugh Repl B/CS w 558'-4</t>
  </si>
  <si>
    <t>20501133245</t>
  </si>
  <si>
    <t>004379</t>
  </si>
  <si>
    <t>19th &amp; Harlem Repl PBS w 430'-2in P</t>
  </si>
  <si>
    <t>20401133242</t>
  </si>
  <si>
    <t>004381</t>
  </si>
  <si>
    <t>14th &amp; Bennington Reloc PBS w 15'-3</t>
  </si>
  <si>
    <t>F0497</t>
  </si>
  <si>
    <t>20201133049</t>
  </si>
  <si>
    <t>004382</t>
  </si>
  <si>
    <t>33rd &amp; Vermont Rectifier/GroundBed</t>
  </si>
  <si>
    <t>20902143326</t>
  </si>
  <si>
    <t>004385</t>
  </si>
  <si>
    <t>74th Ter &amp; Woodson Repl PCS w 50'-2</t>
  </si>
  <si>
    <t>F0605</t>
  </si>
  <si>
    <t>20401143328</t>
  </si>
  <si>
    <t>004387</t>
  </si>
  <si>
    <t>25th &amp; Indiana Repl CI w 500'-4;379</t>
  </si>
  <si>
    <t>20308143365</t>
  </si>
  <si>
    <t>004389</t>
  </si>
  <si>
    <t>22nd &amp; Shelby Repl PBS w 410'-2in P</t>
  </si>
  <si>
    <t>20908143266</t>
  </si>
  <si>
    <t>004394</t>
  </si>
  <si>
    <t>291 &amp; Commercial Reloc CS w 1659'-6</t>
  </si>
  <si>
    <t>20201133137</t>
  </si>
  <si>
    <t>004396</t>
  </si>
  <si>
    <t>Farley Ave Repl PBS w 9325'-2;285'-</t>
  </si>
  <si>
    <t>20801050362</t>
  </si>
  <si>
    <t>004407</t>
  </si>
  <si>
    <t>BWO SERVICE LINE REPL BLOCK COMPANY</t>
  </si>
  <si>
    <t>F0594</t>
  </si>
  <si>
    <t>SLRP - block by block - company cre</t>
  </si>
  <si>
    <t>20801050370</t>
  </si>
  <si>
    <t>004413</t>
  </si>
  <si>
    <t>F0618</t>
  </si>
  <si>
    <t>20901050370</t>
  </si>
  <si>
    <t>004414</t>
  </si>
  <si>
    <t>BWO SERVICE LINE REPL CONTRACT-SLRP</t>
  </si>
  <si>
    <t>F0555</t>
  </si>
  <si>
    <t>21001050301</t>
  </si>
  <si>
    <t>004416</t>
  </si>
  <si>
    <t>F0561</t>
  </si>
  <si>
    <t>20501132307</t>
  </si>
  <si>
    <t>004422</t>
  </si>
  <si>
    <t>41st &amp; Penn Repl PBS w 560'-4in PE</t>
  </si>
  <si>
    <t>20201132511</t>
  </si>
  <si>
    <t>004427</t>
  </si>
  <si>
    <t>Hayward Ave Repl PBS w 5040'-2in PE</t>
  </si>
  <si>
    <t>20401132518</t>
  </si>
  <si>
    <t>004428</t>
  </si>
  <si>
    <t>52nd &amp; Oak Repl PBS with 40'-12in T</t>
  </si>
  <si>
    <t>20301118253</t>
  </si>
  <si>
    <t>004430</t>
  </si>
  <si>
    <t>W0137 Rectifier Groundbed Replaceme</t>
  </si>
  <si>
    <t>21219133193</t>
  </si>
  <si>
    <t>004442</t>
  </si>
  <si>
    <t>7th St Repl PCS w 19'-3in TF Steel</t>
  </si>
  <si>
    <t>20401132788</t>
  </si>
  <si>
    <t>004443</t>
  </si>
  <si>
    <t>AOR Indep Ave Repl CI w 60'-6in PE</t>
  </si>
  <si>
    <t>20401133204</t>
  </si>
  <si>
    <t>004444</t>
  </si>
  <si>
    <t>KANSAS CITY STAR-2IN REPL SERVICE</t>
  </si>
  <si>
    <t>F0631</t>
  </si>
  <si>
    <t>Services - 2" &amp; larger - safety</t>
  </si>
  <si>
    <t>20317132851</t>
  </si>
  <si>
    <t>004448</t>
  </si>
  <si>
    <t>Railroad St Repl PBS w 25'-6;10'-4i</t>
  </si>
  <si>
    <t>21219132924</t>
  </si>
  <si>
    <t>004453</t>
  </si>
  <si>
    <t>Walnut Repl PCS w 15'-3in TF Steel</t>
  </si>
  <si>
    <t>20813133159</t>
  </si>
  <si>
    <t>004459</t>
  </si>
  <si>
    <t>Geneve Repl PBS w  310'-2in PE main</t>
  </si>
  <si>
    <t>20401132399</t>
  </si>
  <si>
    <t>004460</t>
  </si>
  <si>
    <t>KC Street Car Ph 1 Reloc CI w 2815'</t>
  </si>
  <si>
    <t>20201143317</t>
  </si>
  <si>
    <t>004463</t>
  </si>
  <si>
    <t>24 Hwy &amp; Overton Reloc PBS w 100'-4</t>
  </si>
  <si>
    <t>20816143338</t>
  </si>
  <si>
    <t>004464</t>
  </si>
  <si>
    <t>Texas St Repl CS w 56'- 2in PE Main</t>
  </si>
  <si>
    <t>20401132966</t>
  </si>
  <si>
    <t>004468</t>
  </si>
  <si>
    <t>AOR 33rd &amp; Wayne Repl CI w 120'-4in</t>
  </si>
  <si>
    <t>20815132957</t>
  </si>
  <si>
    <t>004474</t>
  </si>
  <si>
    <t>Replace Fuses on WO 132353 Thistle</t>
  </si>
  <si>
    <t>20901133138</t>
  </si>
  <si>
    <t>004477</t>
  </si>
  <si>
    <t>Country Ln &amp; Columbus Reloc 124'-2i</t>
  </si>
  <si>
    <t>20401132728</t>
  </si>
  <si>
    <t>004480</t>
  </si>
  <si>
    <t>80th Public Impr Reloc CS/BS w 1428</t>
  </si>
  <si>
    <t>21001132797</t>
  </si>
  <si>
    <t>004481</t>
  </si>
  <si>
    <t>Olive Repl PBS w 518'-4in PE main</t>
  </si>
  <si>
    <t>21213132956</t>
  </si>
  <si>
    <t>004483</t>
  </si>
  <si>
    <t>1026 Fredericksburg Repl PCS w 21'-</t>
  </si>
  <si>
    <t>21271133034</t>
  </si>
  <si>
    <t>004485</t>
  </si>
  <si>
    <t>38th &amp; N Brighton Reloc PCS w 20'-8</t>
  </si>
  <si>
    <t>20802132875</t>
  </si>
  <si>
    <t>004486</t>
  </si>
  <si>
    <t>Hwy 97 Repl PCS w 10'-2in TF Steel</t>
  </si>
  <si>
    <t>F0527</t>
  </si>
  <si>
    <t>20401132756</t>
  </si>
  <si>
    <t>004488</t>
  </si>
  <si>
    <t>48th &amp; Oak Repl PBS w 45'-12in TF S</t>
  </si>
  <si>
    <t>20501050367</t>
  </si>
  <si>
    <t>004499</t>
  </si>
  <si>
    <t>F0526</t>
  </si>
  <si>
    <t>20801050301</t>
  </si>
  <si>
    <t>004501</t>
  </si>
  <si>
    <t>F0659</t>
  </si>
  <si>
    <t>20501132734</t>
  </si>
  <si>
    <t>004510</t>
  </si>
  <si>
    <t>Range Line Rd Repl PBS w 105'-2"PE</t>
  </si>
  <si>
    <t>20401132379</t>
  </si>
  <si>
    <t>004515</t>
  </si>
  <si>
    <t>Gardner Ave Reloc DRS 424</t>
  </si>
  <si>
    <t>F0501</t>
  </si>
  <si>
    <t>Station rebuild &amp; replacement</t>
  </si>
  <si>
    <t>20401132651</t>
  </si>
  <si>
    <t>004523</t>
  </si>
  <si>
    <t>Ward Pkwy &amp; 62nd St Reloc CI w 3564</t>
  </si>
  <si>
    <t>20401121835</t>
  </si>
  <si>
    <t>004525</t>
  </si>
  <si>
    <t>Askew Repl CI w 1175'-2in PE main</t>
  </si>
  <si>
    <t>20501132499</t>
  </si>
  <si>
    <t>004531</t>
  </si>
  <si>
    <t>34th &amp; Indiana Repl PBS w 2590'-4in</t>
  </si>
  <si>
    <t>20401132709</t>
  </si>
  <si>
    <t>004536</t>
  </si>
  <si>
    <t>AOR 6115 Main Repl CI w 40'-6in PE</t>
  </si>
  <si>
    <t>20904132968</t>
  </si>
  <si>
    <t>004547</t>
  </si>
  <si>
    <t>Alley 7th &amp; Jones Reloc 75'-2in PE</t>
  </si>
  <si>
    <t>20401121900</t>
  </si>
  <si>
    <t>004557</t>
  </si>
  <si>
    <t>55th &amp; Woodland Repl CI w 12in TF S</t>
  </si>
  <si>
    <t>F0668</t>
  </si>
  <si>
    <t>20501132745</t>
  </si>
  <si>
    <t>004559</t>
  </si>
  <si>
    <t>7th &amp; Minnesota Repl PBS w 2350'-4;</t>
  </si>
  <si>
    <t>20908133165</t>
  </si>
  <si>
    <t>004566</t>
  </si>
  <si>
    <t>Butler Repl PBS w 2930'-2in PE main</t>
  </si>
  <si>
    <t>20401132982</t>
  </si>
  <si>
    <t>004567</t>
  </si>
  <si>
    <t>27th &amp; Lawn Repl CI/PBS w 2118'-6in</t>
  </si>
  <si>
    <t>20902132892</t>
  </si>
  <si>
    <t>004571</t>
  </si>
  <si>
    <t>83rd &amp; Raytown Rd Tie 2in PE</t>
  </si>
  <si>
    <t>20901132486</t>
  </si>
  <si>
    <t>004574</t>
  </si>
  <si>
    <t>Lincolnwood Reloc PCS w 20'-4in PE</t>
  </si>
  <si>
    <t>20201133224</t>
  </si>
  <si>
    <t>004575</t>
  </si>
  <si>
    <t>Tie PE mains to C500 System Crysler</t>
  </si>
  <si>
    <t>21271133028</t>
  </si>
  <si>
    <t>004576</t>
  </si>
  <si>
    <t>N Jackson Reloc PBS/PCS w 995'-4;1,</t>
  </si>
  <si>
    <t>20401132828</t>
  </si>
  <si>
    <t>004582</t>
  </si>
  <si>
    <t>AOR CI Repl 240'-6in PE main</t>
  </si>
  <si>
    <t>20401133190</t>
  </si>
  <si>
    <t>004585</t>
  </si>
  <si>
    <t>AOR 425 N Denver Repl CI w 35'-6in</t>
  </si>
  <si>
    <t>20201143418</t>
  </si>
  <si>
    <t>004587</t>
  </si>
  <si>
    <t>Grand &amp; South Reloc PBS w 4270'-2in</t>
  </si>
  <si>
    <t>20806133026</t>
  </si>
  <si>
    <t>004590</t>
  </si>
  <si>
    <t>Doniphan Dr Repl 2in CS Service Lin</t>
  </si>
  <si>
    <t>F0506</t>
  </si>
  <si>
    <t>20501050360</t>
  </si>
  <si>
    <t>004597</t>
  </si>
  <si>
    <t>F0632</t>
  </si>
  <si>
    <t>20901050360</t>
  </si>
  <si>
    <t>004598</t>
  </si>
  <si>
    <t>20401050371</t>
  </si>
  <si>
    <t>004599</t>
  </si>
  <si>
    <t>BWO SERVICE REPL MODIFIED BLOCK CON</t>
  </si>
  <si>
    <t>F0567</t>
  </si>
  <si>
    <t>20501050371</t>
  </si>
  <si>
    <t>004600</t>
  </si>
  <si>
    <t>F0669</t>
  </si>
  <si>
    <t>21001050371</t>
  </si>
  <si>
    <t>004601</t>
  </si>
  <si>
    <t>F0591</t>
  </si>
  <si>
    <t>20901050367</t>
  </si>
  <si>
    <t>004609</t>
  </si>
  <si>
    <t>F0649</t>
  </si>
  <si>
    <t>20401121846</t>
  </si>
  <si>
    <t>004612</t>
  </si>
  <si>
    <t>26th btw Brooklyn/Prospect Repl CI</t>
  </si>
  <si>
    <t>20201132490</t>
  </si>
  <si>
    <t>004619</t>
  </si>
  <si>
    <t>Lexington &amp; Short Repl PBS w 220'-2</t>
  </si>
  <si>
    <t>20201132660</t>
  </si>
  <si>
    <t>004622</t>
  </si>
  <si>
    <t>291 Hwy &amp; Truman Rd Rebuild DRS 122</t>
  </si>
  <si>
    <t>20501132643</t>
  </si>
  <si>
    <t>004623</t>
  </si>
  <si>
    <t>11th&amp;Picher CP Repl PBS w 1095'-4in</t>
  </si>
  <si>
    <t>20201132733</t>
  </si>
  <si>
    <t>004624</t>
  </si>
  <si>
    <t>33rd Terr Reloc PBS w 620'-2in Pe</t>
  </si>
  <si>
    <t>20901132504</t>
  </si>
  <si>
    <t>004626</t>
  </si>
  <si>
    <t>Fairview Rd Rebuild DRS 55</t>
  </si>
  <si>
    <t>21271121673</t>
  </si>
  <si>
    <t>004629</t>
  </si>
  <si>
    <t>113th &amp; Main Rebuild DRS #332</t>
  </si>
  <si>
    <t>20201132701</t>
  </si>
  <si>
    <t>004630</t>
  </si>
  <si>
    <t>31st &amp; Overton Repl PBS w 500'-2in</t>
  </si>
  <si>
    <t>21271132604</t>
  </si>
  <si>
    <t>004633</t>
  </si>
  <si>
    <t>Highland Ave Repl CI w 1330'-2in PE</t>
  </si>
  <si>
    <t>20401121800</t>
  </si>
  <si>
    <t>004637</t>
  </si>
  <si>
    <t>63rd &amp; Indiana Repl CI w PE Main  P</t>
  </si>
  <si>
    <t>20401132849</t>
  </si>
  <si>
    <t>004638</t>
  </si>
  <si>
    <t>Cass County Hydrotest Phase 2</t>
  </si>
  <si>
    <t>20401132894</t>
  </si>
  <si>
    <t>004647</t>
  </si>
  <si>
    <t>Kelly Road Main Ext Facilitate Hydr</t>
  </si>
  <si>
    <t>20501133143</t>
  </si>
  <si>
    <t>004648</t>
  </si>
  <si>
    <t>Florida Ave Repl PBS w 588'-2in PE</t>
  </si>
  <si>
    <t>20816133105</t>
  </si>
  <si>
    <t>004662</t>
  </si>
  <si>
    <t>Cheynne &amp; Daisy Falls Reloc 290'-4i</t>
  </si>
  <si>
    <t>20201132874</t>
  </si>
  <si>
    <t>004665</t>
  </si>
  <si>
    <t>Highland &amp; College Repl PBS w 330'-</t>
  </si>
  <si>
    <t>20401132883</t>
  </si>
  <si>
    <t>004669</t>
  </si>
  <si>
    <t>84th &amp; Hillcrest Repl PCS w 1235'-2</t>
  </si>
  <si>
    <t>20401133038</t>
  </si>
  <si>
    <t>004670</t>
  </si>
  <si>
    <t>AOR Repl CI w 125'-6in PE main</t>
  </si>
  <si>
    <t>20401133121</t>
  </si>
  <si>
    <t>004671</t>
  </si>
  <si>
    <t>Palmer Repl PCS w 15'-2in PE main</t>
  </si>
  <si>
    <t>20901143327</t>
  </si>
  <si>
    <t>004673</t>
  </si>
  <si>
    <t>16th &amp; Decker Reloc CS w 250'-4in P</t>
  </si>
  <si>
    <t>20201143450</t>
  </si>
  <si>
    <t>004888</t>
  </si>
  <si>
    <t>33rd &amp; Vermont Repl PBS w 22300'-2;</t>
  </si>
  <si>
    <t>20902143419</t>
  </si>
  <si>
    <t>004890</t>
  </si>
  <si>
    <t>71 Ter &amp; Ralston Repl PBS main w 23</t>
  </si>
  <si>
    <t>20901132732</t>
  </si>
  <si>
    <t>004893</t>
  </si>
  <si>
    <t>Colbern &amp; Unity Way Reloc PBS w 550</t>
  </si>
  <si>
    <t>F0514</t>
  </si>
  <si>
    <t>Other relocates</t>
  </si>
  <si>
    <t>20308143387</t>
  </si>
  <si>
    <t>004947</t>
  </si>
  <si>
    <t>23rd &amp; Walnut Repl PBS w 360'-2in P</t>
  </si>
  <si>
    <t>20301143470</t>
  </si>
  <si>
    <t>004948</t>
  </si>
  <si>
    <t>Broad St Repl PBS w 530'-2in PE mai</t>
  </si>
  <si>
    <t>20312143471</t>
  </si>
  <si>
    <t>004949</t>
  </si>
  <si>
    <t>Folger Repl PBS w 1350'-2in PE main</t>
  </si>
  <si>
    <t>20401143436</t>
  </si>
  <si>
    <t>004953</t>
  </si>
  <si>
    <t>911 Main St Repl 8in Steel Service</t>
  </si>
  <si>
    <t>20401143390</t>
  </si>
  <si>
    <t>004971</t>
  </si>
  <si>
    <t>AOR 1837 E 48th Ter Repl CI w 500'-</t>
  </si>
  <si>
    <t>21272143466</t>
  </si>
  <si>
    <t>004972</t>
  </si>
  <si>
    <t>101 E 9th Repl CS w 2in PE Service</t>
  </si>
  <si>
    <t>F0612</t>
  </si>
  <si>
    <t>20401143477</t>
  </si>
  <si>
    <t>004973</t>
  </si>
  <si>
    <t>84th &amp; Tracy Repl PBS w 24'-TF Stee</t>
  </si>
  <si>
    <t>20401143313</t>
  </si>
  <si>
    <t>004986</t>
  </si>
  <si>
    <t>Cast Iron Repl Proj Ph I Sec0306 KC</t>
  </si>
  <si>
    <t>20903143508</t>
  </si>
  <si>
    <t>005027</t>
  </si>
  <si>
    <t>RD Mize &amp; 7 hwy Repl PCS inlet DRS</t>
  </si>
  <si>
    <t>20301143476</t>
  </si>
  <si>
    <t>005028</t>
  </si>
  <si>
    <t>Market St Repl PBS w 1320'-2in PE m</t>
  </si>
  <si>
    <t>20201143509</t>
  </si>
  <si>
    <t>005032</t>
  </si>
  <si>
    <t>Lexington &amp; Strode Repl PBS w 440'-</t>
  </si>
  <si>
    <t>20201143501</t>
  </si>
  <si>
    <t>005039</t>
  </si>
  <si>
    <t>31st Overton Repl PBS/PCS w 3425'-2</t>
  </si>
  <si>
    <t>21207143488</t>
  </si>
  <si>
    <t>005040</t>
  </si>
  <si>
    <t>W Franklin Repl PBS w 130'-4in PE m</t>
  </si>
  <si>
    <t>21001143360</t>
  </si>
  <si>
    <t>005110</t>
  </si>
  <si>
    <t>Middleton Repl CI w 542'-6in PE mai</t>
  </si>
  <si>
    <t>21001143464</t>
  </si>
  <si>
    <t>005111</t>
  </si>
  <si>
    <t>16th &amp; Moss Repl PBS w 450'-4in PE</t>
  </si>
  <si>
    <t>21001143359</t>
  </si>
  <si>
    <t>005112</t>
  </si>
  <si>
    <t>11TH &amp; BROADWAY Repl 103'-2in PE ma</t>
  </si>
  <si>
    <t>21001143463</t>
  </si>
  <si>
    <t>005113</t>
  </si>
  <si>
    <t>14th &amp; Scaramento Repl PBS w 150'-4</t>
  </si>
  <si>
    <t>20902143513</t>
  </si>
  <si>
    <t>005153</t>
  </si>
  <si>
    <t>59th &amp; Kentucky Repl PCS/PBS w 885'</t>
  </si>
  <si>
    <t>20506143552</t>
  </si>
  <si>
    <t>005251</t>
  </si>
  <si>
    <t>171 &amp; Pearl Repl PBS w 625'-2in PE</t>
  </si>
  <si>
    <t>20507143505</t>
  </si>
  <si>
    <t>005271</t>
  </si>
  <si>
    <t>3rd St &amp; Maple Repl PBS w 139'-2in</t>
  </si>
  <si>
    <t>20401143555</t>
  </si>
  <si>
    <t>005294</t>
  </si>
  <si>
    <t>18th &amp; Lydia Repl CI w 8'-6in PE ma</t>
  </si>
  <si>
    <t>20801143551</t>
  </si>
  <si>
    <t>005296</t>
  </si>
  <si>
    <t>6th &amp; Sycamore Repl PBS w 150'-2in;</t>
  </si>
  <si>
    <t>20806143587</t>
  </si>
  <si>
    <t>005342</t>
  </si>
  <si>
    <t>South St &amp; Oak Ridge Repl PBS w CS/</t>
  </si>
  <si>
    <t>21251143578</t>
  </si>
  <si>
    <t>005394</t>
  </si>
  <si>
    <t>N Overland Dr Repl 16'-8in CS main</t>
  </si>
  <si>
    <t>21001143577</t>
  </si>
  <si>
    <t>005396</t>
  </si>
  <si>
    <t>Riverview Repl PBS w 6011'-4;707'-2</t>
  </si>
  <si>
    <t>20401143480</t>
  </si>
  <si>
    <t>005433</t>
  </si>
  <si>
    <t>1511 Brooklyn REPL CI w 101'-4IN PE</t>
  </si>
  <si>
    <t>20801143585</t>
  </si>
  <si>
    <t>005451</t>
  </si>
  <si>
    <t>11th &amp; Broadway Repl PBS w 50'-2in</t>
  </si>
  <si>
    <t>21001143534</t>
  </si>
  <si>
    <t>005462</t>
  </si>
  <si>
    <t>18th St Repl PBS w 303'-2in PE main</t>
  </si>
  <si>
    <t>F0678</t>
  </si>
  <si>
    <t>20804143597</t>
  </si>
  <si>
    <t>005463</t>
  </si>
  <si>
    <t>Sloan Ave Reloc 10'-3in CS main</t>
  </si>
  <si>
    <t>21001143532</t>
  </si>
  <si>
    <t>005466</t>
  </si>
  <si>
    <t>Spratt Ave Repl PBS w 454'- 2in PE</t>
  </si>
  <si>
    <t>21001143536</t>
  </si>
  <si>
    <t>005467</t>
  </si>
  <si>
    <t>Monterey &amp; 16th Repl PBS w 406'-2in</t>
  </si>
  <si>
    <t>20812143611</t>
  </si>
  <si>
    <t>005492</t>
  </si>
  <si>
    <t>Hines &amp; Main Repl PBS/PCS w 5775'-2</t>
  </si>
  <si>
    <t>21205143503</t>
  </si>
  <si>
    <t>005516</t>
  </si>
  <si>
    <t>Pleasant Valley Rd Reloc PBSPCS w 1</t>
  </si>
  <si>
    <t>F0595</t>
  </si>
  <si>
    <t>20401143560</t>
  </si>
  <si>
    <t>005517</t>
  </si>
  <si>
    <t>20th &amp; Monroe Repl CI w 1122'-2in P</t>
  </si>
  <si>
    <t>20501143621</t>
  </si>
  <si>
    <t>005551</t>
  </si>
  <si>
    <t>11th &amp; Highview Reloc PBS w 1245'-2</t>
  </si>
  <si>
    <t>21272143478</t>
  </si>
  <si>
    <t>005556</t>
  </si>
  <si>
    <t>24th &amp; Vernon Repl PBS w/ 410'-8in</t>
  </si>
  <si>
    <t>20506143648</t>
  </si>
  <si>
    <t>005577</t>
  </si>
  <si>
    <t>So HWY 171 &amp; 43 Reloc PCS w 42'-4in</t>
  </si>
  <si>
    <t>21001143533</t>
  </si>
  <si>
    <t>005592</t>
  </si>
  <si>
    <t>4th &amp; Sylvanie St Repl 8in CI w 600</t>
  </si>
  <si>
    <t>20910143640</t>
  </si>
  <si>
    <t>005610</t>
  </si>
  <si>
    <t>1901 S Market Reloc 2in PE Service</t>
  </si>
  <si>
    <t>20307143658</t>
  </si>
  <si>
    <t>005633</t>
  </si>
  <si>
    <t>7th &amp; Orange Reloc pcs w 18'-6in CS</t>
  </si>
  <si>
    <t>20401143586</t>
  </si>
  <si>
    <t>005677</t>
  </si>
  <si>
    <t>CI Repl due to graphitization</t>
  </si>
  <si>
    <t>20401143569</t>
  </si>
  <si>
    <t>005679</t>
  </si>
  <si>
    <t>CI Repl Due to Graphitization</t>
  </si>
  <si>
    <t>20401143656</t>
  </si>
  <si>
    <t>005683</t>
  </si>
  <si>
    <t>92nd Ter &amp; Holmes Reloc PBS w 30'-6</t>
  </si>
  <si>
    <t>21274143634</t>
  </si>
  <si>
    <t>005687</t>
  </si>
  <si>
    <t>56th Terr Reloc 20'-2in CS main</t>
  </si>
  <si>
    <t>21207143665</t>
  </si>
  <si>
    <t>005730</t>
  </si>
  <si>
    <t>Wilshire Reloc PCS w 60'-2in;30'-4i</t>
  </si>
  <si>
    <t>21207143620</t>
  </si>
  <si>
    <t>005732</t>
  </si>
  <si>
    <t>Franklin St Reloc PBS w 1402'-4;70'</t>
  </si>
  <si>
    <t>20501143667</t>
  </si>
  <si>
    <t>005733</t>
  </si>
  <si>
    <t>1st &amp; McKinley Reloc PBS w 1215'-2i</t>
  </si>
  <si>
    <t>20513143661</t>
  </si>
  <si>
    <t>005737</t>
  </si>
  <si>
    <t>Pennel &amp; Summit Reloc BS/CS w 485'-</t>
  </si>
  <si>
    <t>21271143554</t>
  </si>
  <si>
    <t>005772</t>
  </si>
  <si>
    <t>NE Kelsey Reloc PCS/PBS w 100'-4in</t>
  </si>
  <si>
    <t>20401143601</t>
  </si>
  <si>
    <t>005773</t>
  </si>
  <si>
    <t>803 Bales Ct Repl CI w 40'-4in PE m</t>
  </si>
  <si>
    <t>21271143699</t>
  </si>
  <si>
    <t>005791</t>
  </si>
  <si>
    <t>NE 45th Ter Repl BS/PE w 6'-2in PE</t>
  </si>
  <si>
    <t>F0633</t>
  </si>
  <si>
    <t>21271143686</t>
  </si>
  <si>
    <t>005850</t>
  </si>
  <si>
    <t>NE 67th Ter &amp; N Euclid Repl 5'-2in</t>
  </si>
  <si>
    <t>20401143687</t>
  </si>
  <si>
    <t>005852</t>
  </si>
  <si>
    <t>2415 Walrond Repl CI w 15'-6in PE m</t>
  </si>
  <si>
    <t>20401143682</t>
  </si>
  <si>
    <t>005854</t>
  </si>
  <si>
    <t>Kensington &amp; E 112 Ter Reloc PB w 1</t>
  </si>
  <si>
    <t>20401143602</t>
  </si>
  <si>
    <t>005917</t>
  </si>
  <si>
    <t>18th Ter Repl CI/CS w 2945'-4;340'-</t>
  </si>
  <si>
    <t>21213143676</t>
  </si>
  <si>
    <t>006075</t>
  </si>
  <si>
    <t>Excelsior Springs Public Improvemen</t>
  </si>
  <si>
    <t>20925143749</t>
  </si>
  <si>
    <t>006080</t>
  </si>
  <si>
    <t>Install 2in PE distribution main Je</t>
  </si>
  <si>
    <t>20828143755</t>
  </si>
  <si>
    <t>006113</t>
  </si>
  <si>
    <t>Repl 1.25 and 2 in CS Main</t>
  </si>
  <si>
    <t>20506143761</t>
  </si>
  <si>
    <t>006201</t>
  </si>
  <si>
    <t>Stones Corner Main Relocation</t>
  </si>
  <si>
    <t>20401143705</t>
  </si>
  <si>
    <t>006351</t>
  </si>
  <si>
    <t>AOR 6in CI Replacement with 65ft-6i</t>
  </si>
  <si>
    <t>20806143791</t>
  </si>
  <si>
    <t>006356</t>
  </si>
  <si>
    <t>Repl 288ft PBS with 295ft 2in Plast</t>
  </si>
  <si>
    <t>21271143754</t>
  </si>
  <si>
    <t>006419</t>
  </si>
  <si>
    <t>2in PBS REPLACEMENT</t>
  </si>
  <si>
    <t>20501143720</t>
  </si>
  <si>
    <t>006435</t>
  </si>
  <si>
    <t>Lower 167ft of 2in PE</t>
  </si>
  <si>
    <t>20813143792</t>
  </si>
  <si>
    <t>006473</t>
  </si>
  <si>
    <t>Repl 391ft BS 86ft CS  with 479ft 2</t>
  </si>
  <si>
    <t>F0573</t>
  </si>
  <si>
    <t>21207143819</t>
  </si>
  <si>
    <t>006552</t>
  </si>
  <si>
    <t>2in PE Main Relocation</t>
  </si>
  <si>
    <t>20501133125</t>
  </si>
  <si>
    <t>004064</t>
  </si>
  <si>
    <t>Repl I/O Piping DRS 0182C</t>
  </si>
  <si>
    <t>20901050309</t>
  </si>
  <si>
    <t>004400</t>
  </si>
  <si>
    <t>F0648</t>
  </si>
  <si>
    <t>20501133062</t>
  </si>
  <si>
    <t>004450</t>
  </si>
  <si>
    <t>20th &amp; Wisconsin Reloc 120'-8;1250'</t>
  </si>
  <si>
    <t>20502143412</t>
  </si>
  <si>
    <t>004588</t>
  </si>
  <si>
    <t>Jefferson Repl PBS/PCS w 1080'-6;82</t>
  </si>
  <si>
    <t>20401132400</t>
  </si>
  <si>
    <t>004645</t>
  </si>
  <si>
    <t>Kansas City Street Car Phase 2</t>
  </si>
  <si>
    <t>20401132402</t>
  </si>
  <si>
    <t>004654</t>
  </si>
  <si>
    <t>KC Street Car Ph 3 Reloc CI, PBS w</t>
  </si>
  <si>
    <t>20925143474</t>
  </si>
  <si>
    <t>005042</t>
  </si>
  <si>
    <t>Rebuild DRS 1 09-25 RD Mize</t>
  </si>
  <si>
    <t>20401143422</t>
  </si>
  <si>
    <t>005250</t>
  </si>
  <si>
    <t>Wabash &amp; St John Repl CI w 190'-4in</t>
  </si>
  <si>
    <t>20401143309</t>
  </si>
  <si>
    <t>005270</t>
  </si>
  <si>
    <t>Blue Pkwy Repl PBS/PE w 2557'-4in;1</t>
  </si>
  <si>
    <t>21271143517</t>
  </si>
  <si>
    <t>005295</t>
  </si>
  <si>
    <t>39th &amp; N Spruce Repl PBS w 2400'-2i</t>
  </si>
  <si>
    <t>20401143489</t>
  </si>
  <si>
    <t>005432</t>
  </si>
  <si>
    <t>43rd/47th Belfontaine CI Repl Proj</t>
  </si>
  <si>
    <t>21207143502</t>
  </si>
  <si>
    <t>005515</t>
  </si>
  <si>
    <t>73rd Crt Reloc PCS w 325'-6in TF St</t>
  </si>
  <si>
    <t>20501143622</t>
  </si>
  <si>
    <t>005555</t>
  </si>
  <si>
    <t>Rolla &amp; Brownell Reloc PBS w 1185'-</t>
  </si>
  <si>
    <t>21207143744</t>
  </si>
  <si>
    <t>006111</t>
  </si>
  <si>
    <t>Northwyck Park Rectifier and Ground</t>
  </si>
  <si>
    <t>20401143774</t>
  </si>
  <si>
    <t>006433</t>
  </si>
  <si>
    <t>Relocate 220'-8in PBS with Thin Fil</t>
  </si>
  <si>
    <t>20502143706</t>
  </si>
  <si>
    <t>006511</t>
  </si>
  <si>
    <t>Reactivate Main for Webster Element</t>
  </si>
  <si>
    <t>20502143823</t>
  </si>
  <si>
    <t>006512</t>
  </si>
  <si>
    <t>Replace w/ 210ft of 4in PE due to D</t>
  </si>
  <si>
    <t>20901143822</t>
  </si>
  <si>
    <t>006551</t>
  </si>
  <si>
    <t>Replace 4inch PCS/PBS main</t>
  </si>
  <si>
    <t>20201143853</t>
  </si>
  <si>
    <t>006594</t>
  </si>
  <si>
    <t>Replace 6in PBS 20th and Arlington</t>
  </si>
  <si>
    <t>20401143816</t>
  </si>
  <si>
    <t>006597</t>
  </si>
  <si>
    <t>CI Replacement w/ 2,430ft-4in PE</t>
  </si>
  <si>
    <t>20401143826</t>
  </si>
  <si>
    <t>006603</t>
  </si>
  <si>
    <t>3in PBS Main Replacement</t>
  </si>
  <si>
    <t>20801143783</t>
  </si>
  <si>
    <t>006666</t>
  </si>
  <si>
    <t>Repl 177ft 2in BS with 180ft 2in Pl</t>
  </si>
  <si>
    <t>20501143697</t>
  </si>
  <si>
    <t>006667</t>
  </si>
  <si>
    <t>Repl with 375ft of 2in PE due to CP</t>
  </si>
  <si>
    <t>21001143907</t>
  </si>
  <si>
    <t>006800</t>
  </si>
  <si>
    <t>Repl  60ft of 2in PE main with 2inP</t>
  </si>
  <si>
    <t>20401143936</t>
  </si>
  <si>
    <t>006910</t>
  </si>
  <si>
    <t>4in CI Replacement</t>
  </si>
  <si>
    <t>20401132618</t>
  </si>
  <si>
    <t>004380</t>
  </si>
  <si>
    <t>Build DRS 100 LS Rd and GV Lateral</t>
  </si>
  <si>
    <t>20401143575</t>
  </si>
  <si>
    <t>005332</t>
  </si>
  <si>
    <t>13508 Oak St Repl 2in Service Line</t>
  </si>
  <si>
    <t>21001143881</t>
  </si>
  <si>
    <t>006714</t>
  </si>
  <si>
    <t>Replace 1 1/4 plastic with 2in PE</t>
  </si>
  <si>
    <t>ISRS Work Order Retirements September 2014 - December 2014</t>
  </si>
  <si>
    <t>Retirement Amount</t>
  </si>
  <si>
    <t>Retirement</t>
  </si>
  <si>
    <t>N/A</t>
  </si>
  <si>
    <t>004090</t>
  </si>
  <si>
    <t>CPR Asset Corrections</t>
  </si>
  <si>
    <t>MGE CSS Blanket Svcs &lt; 2" Retirement</t>
  </si>
  <si>
    <t>MGE-CSS</t>
  </si>
  <si>
    <t>Total Retirements</t>
  </si>
  <si>
    <t>Work Order Detailed Descriptions</t>
  </si>
  <si>
    <t>Work Order Notes - Purpose/Necessity</t>
  </si>
  <si>
    <t>Approved by: Kevin Driskell on 12/31/2013,  ISRS To replace 24ft of 1.5" CU main at Cypress and E 43rd St. Main is on the C-009 pressure system with a MOP=15psig and a MAOP=16psig. See attached sheet for the work order numbers, length, size and type of main to be abandoned.</t>
  </si>
  <si>
    <t>Approved by: Ralph Janes on 11/07/2013,  Replace and abandon 10' - 2in pcs main (WO 642656) that was damaged by third party drilling in a power pole.</t>
  </si>
  <si>
    <t>Approved by: Galen Shoemaker on 09/23/2013,  To replace 20ft of 4in BS (JO9B) and 5ft of 2in CS (JO9B) and 5ft of 2in CS (65-4958) with 2in CS due to leakage and poor condition of main. MOP=30# MAOP=31# SYSTEM=S-6 TEST=100#</t>
  </si>
  <si>
    <t>Approved by: Gary Williams on 07/22/2013,  This work order is necessary to replace 600ft-4in bs main (WO#6580) with 4in pe main (WO#13-2796) due to low reads. Pressure System C-01 Pressure .88.</t>
  </si>
  <si>
    <t>Approved by: Kevin Driskell on 09/23/2013,  Relocate 9' of 4'' PE main around storm structure (original WO 13-2516). S-056 pressure system.</t>
  </si>
  <si>
    <t>Approved by: Kevin Driskell on 09/23/2013,  Replace 2" PBS with 12' of 2" thin film steel due to leak.  Abandon 8' of 2" PBS (WO I333).  Work done by MGE crew.  MOP=15#, MAOP=15#</t>
  </si>
  <si>
    <t>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t>
  </si>
  <si>
    <t>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t>
  </si>
  <si>
    <t>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t>
  </si>
  <si>
    <t>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t>
  </si>
  <si>
    <t>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t>
  </si>
  <si>
    <t>Project Type:B</t>
  </si>
  <si>
    <t>Approved by: Ralph Janes on 05/01/2013,  Replace and abandon 337' of 2&amp;quot; PBS main (none WO) with 340' of 2&amp;quot; PE. The existing main was isolated and cut off the rectifier by the installation of PE main on WO# 13-2654. (ISRS).</t>
  </si>
  <si>
    <t>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t>
  </si>
  <si>
    <t>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t>
  </si>
  <si>
    <t>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t>
  </si>
  <si>
    <t>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t>
  </si>
  <si>
    <t>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t>
  </si>
  <si>
    <t>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t>
  </si>
  <si>
    <t>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t>
  </si>
  <si>
    <t>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t>
  </si>
  <si>
    <t>Approved by: Gary Williams on 11/15/2013,  REPLACING 377'-4in BARE STEEL MAIN (WO#512) WITH 377'-4in PE (WO#13-2830).PRESSURE SYSTEM C-01.</t>
  </si>
  <si>
    <t>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t>
  </si>
  <si>
    <t>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t>
  </si>
  <si>
    <t>Approved by: Ralph Janes on 09/03/2013,  Main to Abandon: 620' of 4in PBS, year 1926,work order 149. Replace with 640' of 4in PE on wo# 13-2920. This section of bare steel main has a history of leakage with several leak clamps installed.  ISRS</t>
  </si>
  <si>
    <t>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t>
  </si>
  <si>
    <t>Approved by: Gary Williams on 10/15/2013,  To relocate 625'-3in gas main due to drainage improvements by the city of Gladstone. 682'-4in PE (WO 13-2678) will be used to replace the 3in PCS. (Original work orders - 80' 66-2514 / 200' 66-4278 / 120' 66-0042 / 115' 68-6171 / 110' 66-3670).</t>
  </si>
  <si>
    <t>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t>
  </si>
  <si>
    <t>Approved by: Ken Thomas on 11/15/2013,  Abandon 890' - 2' PBS (WO#: A8605) and replace with 890' - 2" PE due to history of leakage. Project Location: McHenry and Main; Pressure System: S-1; MOP: 20 psig; MAOP: 20 psig; Design: 58 psig; Test: 100 psig; ISRS $24.58/ft</t>
  </si>
  <si>
    <t>Approved by: Kevin Driskell on 01/23/2014,  Lay 40'-4in thin film for DRS #758 (WO 14-3282).</t>
  </si>
  <si>
    <t>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t>
  </si>
  <si>
    <t>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t>
  </si>
  <si>
    <t>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t>
  </si>
  <si>
    <t>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t>
  </si>
  <si>
    <t>Approved by Galen Shoemaker 9/10/2013.  Manually work order set up due to woes is being changed over.</t>
  </si>
  <si>
    <t>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t>
  </si>
  <si>
    <t>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t>
  </si>
  <si>
    <t>Approved by: Kevin Driskell on 01/03/2014,  LAY 26'-4" TF STEEL DUE TO EXISTING GAS MAIN EXPOSED ON HILL.  ABANDONED 18FT-4" PCS(B1476A).</t>
  </si>
  <si>
    <t>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t>
  </si>
  <si>
    <t>Approved by: Steve Holcomb on 06/06/2013,  Replace 3308' - 3in PBS (WO#: A7180) with 3310' - 4in PE pipe due to history of leakage. Project Location: Murphy Blvd and Main St; Pressure System: C-1; MOP: 58 psig; MAOP: 58 psig; Design: 58 psig; Test: 100 psig; ISRS $29.97/ft</t>
  </si>
  <si>
    <t>Approved by: Kevin Driskell on 04/08/2013,  Relocate 50' of 2in PE due to public improvement, grade cuts will put existing gas main at 15in deep. Install 1-1/4in bypass for service to UMB Bank. Retire 10'-2in CS, 1992 wo 92-6977; 40'-2in PE 2009 wo 09-6139.</t>
  </si>
  <si>
    <t>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t>
  </si>
  <si>
    <t>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t>
  </si>
  <si>
    <t>Rob Hack approved through email due to being out of town and copy of email attached with work order in file.  Approved 7/30/2013.  Official approval in WOES 8/5/2013</t>
  </si>
  <si>
    <t>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t>
  </si>
  <si>
    <t>Approved by: Melvin Burns on 07/28/2013,  Replace 70ft of 4in CI with 4in PE due to broken CI main.  Bag off and Tie-in points should be in greenway to the east of the driveway of 1820 W 38th St.  Tie-over 3 services.  Cost per foot $330.16</t>
  </si>
  <si>
    <t>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t>
  </si>
  <si>
    <t>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t>
  </si>
  <si>
    <t>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t>
  </si>
  <si>
    <t>Approved by: Ralph Janes on 09/05/2013,  Public Improvement Project: Country Lane Storm. Install a 20' x 5' dogleg for a new storm inlet at Country Lane and Country Place. Install 30' of 2in PE and retire 20' of 3in PE (WO# 78-3836). ISRS</t>
  </si>
  <si>
    <t>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t>
  </si>
  <si>
    <t>Approved by: Gary Williams on 03/03/2014,  TO LAY 680FT-4PE MAIN TO REPLACE 666FT-4 BARE STEEL MAIN.Due to other leakage on pipe.Cost per foot:$40.16 MOP:14oz MAOP: 21oz Design MAOP:14oz Test Pressure:100 PSIG.</t>
  </si>
  <si>
    <t>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t>
  </si>
  <si>
    <t>Approved by: Ralph Janes on 03/05/2014,  Relocate and abandon 15' - 4" pe main (00-1895) by installing 30' - temporary 2" pe main and then 15' - 4" pe main to allow the rural water district to install a new water tower main and tap. (ISRS)</t>
  </si>
  <si>
    <t>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t>
  </si>
  <si>
    <t>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t>
  </si>
  <si>
    <t>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t>
  </si>
  <si>
    <t>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t>
  </si>
  <si>
    <t>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t>
  </si>
  <si>
    <t>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t>
  </si>
  <si>
    <t>Approved by: Kevin Driskell on 12/16/2013,  AOR.  Replace 35' of 4in CI with PE main.  CI is in angle of repose due to 12' of parallel excavation next to main.  This project must be completed by Feb 16, 2014.  AOR happened 119' SSCB of 45th Street.  Tie-over 1 service at 4505 Agnes.</t>
  </si>
  <si>
    <t>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t>
  </si>
  <si>
    <t>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t>
  </si>
  <si>
    <t>Approved by: Gary Williams on 03/14/2014,  TO lay 288FT-2IN PE main to replace 288FT-2IN PBS (WO#35207) due to down project.</t>
  </si>
  <si>
    <t>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t>
  </si>
  <si>
    <t>Approved by: Galen Shoemaker on 10/08/2013,  To replace 5ft of 2in Plastic Main from WO 72-6600 with 2in Plastic to repair a third party damage on leak #13-133. Service was interrupted to five homes and there was loss of blowing gas. MOP=30# MAOP=30# SYSTEM=S-6 TEST=100#</t>
  </si>
  <si>
    <t>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t>
  </si>
  <si>
    <t>Approved by: Kevin Driskell on 10/15/2013,  AOR.  This job must be completed by Dec 19, 2013.  Replace 6" CI with 30' of 6in PE due to parallel excavation.  Retire 30'-6in CI, WO A1585, year 1926.</t>
  </si>
  <si>
    <t>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t>
  </si>
  <si>
    <t>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t>
  </si>
  <si>
    <t>Approved by: Kevin Driskell on 02/28/2014,  Replacement due to to exposed 2" main caused by erosion. Lay 200'-2in PE and retire 307'-2in PE Retire 1973, 73-3024.</t>
  </si>
  <si>
    <t>Approved by: Gary Williams on 03/03/2014,  To lay 414ft-4pe main.to replace 414ft-bs main due to down project. Install 2" bypaas before completing tie in. Cost per foot:$49.16.ID:C-03 MOP:20oz MAOP:30oz Design MAOP:20oz Pressure Test:100 PSIG.</t>
  </si>
  <si>
    <t>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t>
  </si>
  <si>
    <t>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t>
  </si>
  <si>
    <t>Approved by: Rob Kitterman on 08/14/2013,  Purchase Bulk Odorant storage tank for REX site.  This tank is to store additional odorant for use in various divisions as needs arise.  The unit is self contained for spill emergencies.  Tank provided by Milton Roy,YZ Systems, Total Systems.</t>
  </si>
  <si>
    <t>Approved by: Ken Thomas on 09/17/2013,  Replace 510' - 6in PBS (WO#: A8634A) with 510' - 6in PE due to roadway improvements and shallow existing main. Project Location: 11th and Highview; Pressure System: C-1; MOP: 58 psig; MAOP: 58 psig; Design: 58 psig; Test: 100 psig; ISRS $67.22/ft</t>
  </si>
  <si>
    <t>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t>
  </si>
  <si>
    <t>Approved by: Kevin Driskell on 09/18/2013,  Installed welded yoke around leaking dresser and valve. 12' of 2in PCS was installed and 6' of 2in PCS was abandoned.</t>
  </si>
  <si>
    <t>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t>
  </si>
  <si>
    <t>Approved by: Steve Holcomb on 10/07/2013,  Rebuild DRS 356 due to complications arising during Hydro Test. Construct 1- 10" run utilizing existing regulators, and 1- 6" run for bypass.</t>
  </si>
  <si>
    <t>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t>
  </si>
  <si>
    <t>Approved by: Kevin Driskell on 08/23/2013,  Replace 10' of 2in PBS, original JO A6962C, year 1956 with 10'-2in PCS due to #3 leak at 113th Ter and Jackson.  Gate valve was removed.</t>
  </si>
  <si>
    <t>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t>
  </si>
  <si>
    <t>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t>
  </si>
  <si>
    <t>Approved by: Galen Shoemaker on 01/14/2013,  Abandon 148' - 2&amp;quot; PBS (WO#: 29003) and replace with 165' - 2&amp;quot; PE to clear one (1) - #3 leak. Project Location: Mill and Cliborne; Pressure System: C-1; MOP: 39.5 psig; MAOP: 39.5 psig; Design: 58 psig; Test: 100 psig; ISRS $50.24/ft</t>
  </si>
  <si>
    <t>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t>
  </si>
  <si>
    <t>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t>
  </si>
  <si>
    <t>Approved by: Galen Shoemaker on 02/18/2013,  Abandon 583' - 2in PBS (WO#: NONE) and replace with 585' - 2in PE to clear 3 - #3 Leaks (Leak No's: 09-0089, 12-0056, 13-0014). Project Location: Poplar and Tennessee; Pressure System: C-1; MOP: 1.50 psig; MAOP: 1.69 psig; Design: 58 psig; Test: 100 psig; ISRS $33.30/ft</t>
  </si>
  <si>
    <t>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t>
  </si>
  <si>
    <t>Approved by: Ralph Janes on 10/30/2012,  Replace and abandon 340' - 3in PBS (unknown WO), 23' - 2in PE (WO# 10-6676), and 154' - 2in PCS (WO# 63-2399) with 500' - 2in PE main. The existing main has a history of leakage. Price per ft = $49.44  (ISRS)</t>
  </si>
  <si>
    <t>Approved by: Ralph Janes on 09/23/2013,  Main to abandon: 90' of 6" PCS from wo# 62-1425 and 108' of 2" PE from wo# 89-1285. Also, remove EV 704. Install 114' of 6" PCS on WO# 13-2741. Main relocation is due to "Main Street Drainage Improvements Phase 1" in Concordia, MO.</t>
  </si>
  <si>
    <t>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t>
  </si>
  <si>
    <t>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t>
  </si>
  <si>
    <t>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t>
  </si>
  <si>
    <t>Approved by: Ralph Janes on 10/09/2013,  Public Improvement Project: Country Lane Storm. Relocate 10' of 2in PE for a storm sewer installation. Main to retire: 8' - 2in PE (WO# 78-3732).</t>
  </si>
  <si>
    <t>Approved by: Ken Thomas on 11/15/2013,  Abandon 314' - 2" PBS (WO#'s: 43781, 44486) and replace with 315' - 2" PE due to history of leakage and isolated bare steel. Project Location: Purdy West of Pine; Pressure System: S-1; MOP: 20 psig; MAOP: 20 psig; Design: 58 psig; Test: 100 psig; ISRS $35.77/ft</t>
  </si>
  <si>
    <t>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t>
  </si>
  <si>
    <t>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t>
  </si>
  <si>
    <t>Approved by: Kevin Driskell on 09/05/2013,  Replaced 62' of 2in PCS year 1981(WO# 81-0254) with 62'-2in PE due to leak.</t>
  </si>
  <si>
    <t>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t>
  </si>
  <si>
    <t>Approved by: Ralph Janes on 01/30/2014,  Replace and retire 333' - 2" pbs main (Unknown wo) and 265' - 2" pcs main (wo 671296) by installing 600' - 2" pe main due to leakage.  (ISRS)</t>
  </si>
  <si>
    <t>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t>
  </si>
  <si>
    <t>Approved by: Gary Williams on 12/16/2013,  LAY 12'-2" PCS ALONG E 92ND ST-EAST OF TENNESSEE AVE.; IN ORDER TO REPAIR LEAK. INSTALL 2" PCS STEEL YOKE.</t>
  </si>
  <si>
    <t>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t>
  </si>
  <si>
    <t>Approved by: Kevin Driskell on 12/31/2013,  ISRS. To abandon 60' of 1.5" CU main and replace with 70' of 2" TF main. Main is on the C-3 pressure system with a MOP=25psig and MAOP=25psig. See attached sheet for size, length, type, and work orders of main to be retired.</t>
  </si>
  <si>
    <t>Approved by: Gary Williams on 11/07/2013,  Replace 4in CI with 4in PE 620' due to leaks and condition of gas main. Original work order #B1P38. Pressure system C-001. Retire 600'-4in CI, year 1922.</t>
  </si>
  <si>
    <t>Approved by: Kevin Driskell on 09/18/2013,  REPLACING - 14ft-1in cs and 482ft-1-1/4 pe service with 100ft - 4in th film to first cut, 430ft- 4in pe service line  due to commercial account adding addtional load (20,000 cfh). ECONOMIC EVALUATION WILL COVER COST OF PROJECT.</t>
  </si>
  <si>
    <t>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t>
  </si>
  <si>
    <t>Approved by: Ralph Janes on 09/19/2013,  Move drip for odorant tank and tie 8in PCS to 4in PCS down stream with 4' of 4in thin film. Main to abandon: 2' of 4in PCS from wo# A7311A.</t>
  </si>
  <si>
    <t>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t>
  </si>
  <si>
    <t>Approved by: Kevin Driskell on 02/20/2014,  RELOCATE 4'-2" PLEXCO DUE TO WATER DEPARTMENT SHUTTING OFF BALL VALVE IN ERROR.  MGE DIDN'T WANT WATER DEPARTMENT TO ACCIDENTALLY DO THIS AGAIN; SO REMOVED 3-WAY TEE &amp; BALL VALVE.  ABANDONED 3'-2" PE (98-8159).</t>
  </si>
  <si>
    <t>Approved by: Gary Williams on 12/02/2013,  AOR.  Replace 40'-6in CI with 6in PE.  13' of CI was exposed at 2551 Chelsea.  Tie-over two services and replace one service (2553 Chelsea).Retire 35'-6in CI, B30P88; 5'-6in CI, B18P103.</t>
  </si>
  <si>
    <t>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t>
  </si>
  <si>
    <t>Approved by: Gary Williams on 01/10/2014,  AOR.  This work order must be completed by March 16, 2014.  Replace 40'-6in CI due to parallel excavation.  AOR location: 12' SNC of E 52nd Street.  No services to tie-over.  Retire 44'-6in CI, WO A2610, year 1930.</t>
  </si>
  <si>
    <t>Approved by: Ralph Janes on 05/01/2013,  Replace and abandon 75' of 2&amp;quot; PBS (NONE WO) with 75' of 2&amp;quot; PE on WO# 13-2654. The existing main was leaking under 2nd Street (MO Hwy 58). ISRS</t>
  </si>
  <si>
    <t>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t>
  </si>
  <si>
    <t>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t>
  </si>
  <si>
    <t>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t>
  </si>
  <si>
    <t>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t>
  </si>
  <si>
    <t>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t>
  </si>
  <si>
    <t>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t>
  </si>
  <si>
    <t>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t>
  </si>
  <si>
    <t>Approved by: Kevin Driskell on 07/26/2013,  AOR.  Replace 30' of 6in CI with 6in PE due to angle of repose.  Six feet of pipe was exposed at 7027 Agnes. Digtrack ticket TL130990228.  This job must be completed by Oct. 9, 2013.  COST PER FOOT $784.60</t>
  </si>
  <si>
    <t>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t>
  </si>
  <si>
    <t>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t>
  </si>
  <si>
    <t>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t>
  </si>
  <si>
    <t>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t>
  </si>
  <si>
    <t>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t>
  </si>
  <si>
    <t>Approved by: Ralph Janes on 03/11/2014,  Replace and abandon 732' - 2" pbs main (Unknown) by installing 730' - 2" pe main due to leakage under pavement. (ISRS)</t>
  </si>
  <si>
    <t>Approved by: Gary Williams on 03/12/2014,  AOR.  Replace 555'-4in CI with 4in PE due to angle of repose.  Bell joint was exposed 12' NNCB of 13th and Askew.  Tie over 8 services.  Replace 3 services.  This job must be completed by June 9, 2014.  COST PER FOOT $64.36</t>
  </si>
  <si>
    <t>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t>
  </si>
  <si>
    <t>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t>
  </si>
  <si>
    <t>Approved by: Gary Williams on 03/17/2014,  AOR.  Replace 8in CI with 50'-8in thin film.  Parallel excavation from 256' SSCB to 281' SSCB of 57th.  Bell joint was exposed 277' SSCB of 57th and 6' EECB of Troost.  This job must be completed by May 15, 2014.  Retire 50'-8in CI, N37P44, year 1921.</t>
  </si>
  <si>
    <t>Approved by: Gary Williams on 03/17/2014,  To lay 558' of 4"PE main to replace 558' of 4" bare steel main due to down project. Also replace 180'of 2" cs with 2"PE. Cost per foot:$34.36. ID:C-O1: MOP :14oz MAOP:21oz Design MAOP:14oz Pressure Test: 100 PSIG.</t>
  </si>
  <si>
    <t>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t>
  </si>
  <si>
    <t>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t>
  </si>
  <si>
    <t>Approved by: Kevin Driskell on 12/31/2013,  ISRS LAY 15'-3" TF STEEL TO GO AROUND SEWER MAIN.  TWO WAY FEED.  ABANDON 8'-3" BS (B26P90)</t>
  </si>
  <si>
    <t>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t>
  </si>
  <si>
    <t>Approved by: Ralph Janes on 02/05/2014,  Replace and retire 50' - 2" pcs main (A9142B) which is leaking with 50' - 2" pe.</t>
  </si>
  <si>
    <t>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t>
  </si>
  <si>
    <t>Approved by: Ralph Janes on 02/24/2014,  Replace and abandon 14' - 2" pbs main (29670), 121' - 2" pbs main (12313), 360' - 2" pbs main (35202) and 74' - 2" pcs main (E18785) by installing 410' - 2" pe main to allow the City to repave the street with out our needing to cut the new pavement in the future.  (ISRS)</t>
  </si>
  <si>
    <t>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t>
  </si>
  <si>
    <t>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t>
  </si>
  <si>
    <t>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t>
  </si>
  <si>
    <t>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t>
  </si>
  <si>
    <t>Approved by: Gary Williams on 04/08/2013,  Replace 40'-12in bare steel and 4'-3in bare steel, work orders unknow. Replaced with 40'-12in TF Steel main.  This work order was necessary due to leak on 12in steel main.</t>
  </si>
  <si>
    <t>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t>
  </si>
  <si>
    <t>Approved by: Kevin Driskell on 01/13/2014,  Replace 19'-3in PCS with 3" PCS due to new storm sewer conflict.  Work done my MGE crew.  Retire 7'-3in PCS, year 1962, 62-1512</t>
  </si>
  <si>
    <t>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t>
  </si>
  <si>
    <t>Approved by: Kevin Driskell on 12/06/2013,  Replacing 20ft-2in cs (WO# N/A) service line with 280ft-2in pe service line. Due to leak on main will need to reroute service line to a different main 4in pe (WO#93-2450).</t>
  </si>
  <si>
    <t>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t>
  </si>
  <si>
    <t>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t>
  </si>
  <si>
    <t>Approved by: Kevin Driskell on 09/05/2013,  This work order is necessary to clear leak due to corrosion on 3inch gas main. Install 15'-3in TF steel main; retire 15'-3in PCS main, year 1962, wo 62-1512.</t>
  </si>
  <si>
    <t>Approved by: Ken Thomas on 11/20/2013,  Abandon 303' - 2' PBS (WO#'s: J07262, 60285) and replace with 310' - 2" PE due to history of leakage and isolated bare steel. Project Location: Geneve and Main; Pressure System: S-1; MOP: 20 psig; MAOP: 20 psig; Design: 58 psig; Test: 100 psig; ISRS $44.70/ft</t>
  </si>
  <si>
    <t>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t>
  </si>
  <si>
    <t>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t>
  </si>
  <si>
    <t>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t>
  </si>
  <si>
    <t>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t>
  </si>
  <si>
    <t>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t>
  </si>
  <si>
    <t>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t>
  </si>
  <si>
    <t>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t>
  </si>
  <si>
    <t>Approved by: Gary Williams on 07/22/2013,  This work order is necessary to replace 518ft-4in bs main (WO#11516) with 4in pe (WO#13-2797) due to low reads. Pressure System C-01 Pressure .88.</t>
  </si>
  <si>
    <t>Approved by: Kevin Driskell on 09/23/2013,  Repalce 21' of 2'' PCS (WO # 64-5275) due to leak.</t>
  </si>
  <si>
    <t>Approved by: Kevin Driskell on 10/02/2013,  ISRS This work order is necessary for Public Improvement Improvement project. The 8" PCS main is in conflict of storm structure. Retire 20" of 8" PCS main and install 20' of 8" PCS main. System= C-055, MOP= 90PSIG, MAOP= 90PSIG, Test Pressure= 135PSIG.</t>
  </si>
  <si>
    <t>Approved by: Galen Shoemaker on 08/26/2013,  To replace 6ft of 2in Coated Steel Main from WO 724646 and 4ft of 2in Coated Steel Main from WO 801479 at intersection due to leakage and poor condition of main. MOP=30# MAOP=31# SYSTEM=S-6 TEST=100#</t>
  </si>
  <si>
    <t>Approved by: Ken Thomas on 07/01/2013,  Replace 45' of 12in PBS wo unknown with 36' of 12in PCS due to leak on the gate valve. Pressure system C-175KCLS. Job was completed on 3-15-2013.</t>
  </si>
  <si>
    <t>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t>
  </si>
  <si>
    <t>Approved by: Gary Williams on 01/31/2013,  Relocate DRS 424 from Gardener Avenue and Askew to Front Street and Askew. All existing regulators and valves from station were utilized in the relocation. Install new barricade around station.</t>
  </si>
  <si>
    <t>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t>
  </si>
  <si>
    <t>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t>
  </si>
  <si>
    <t>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t>
  </si>
  <si>
    <t>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t>
  </si>
  <si>
    <t>Approved by: Kevin Driskell on 10/17/2013,  Replace 75' of 2in PE (wo 1973, 73-3788) with 75'-2in PE due to steel service replacement. Was unable to access existing 2in PE that was inserted into abandoned cat iron.</t>
  </si>
  <si>
    <t>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t>
  </si>
  <si>
    <t>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t>
  </si>
  <si>
    <t>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t>
  </si>
  <si>
    <t>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t>
  </si>
  <si>
    <t>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t>
  </si>
  <si>
    <t>Approved by: Ralph Janes on 06/28/2013,  Public Improvement Project: Lincolnwood Storm. Relocate 20' - 4in PCS (14' span with 3' legs) to avoid a new storm curb inlet. Retire 14' - 4in PCS (WO# B2183). (ISRS)</t>
  </si>
  <si>
    <t>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t>
  </si>
  <si>
    <t>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t>
  </si>
  <si>
    <t>Approved by: Gary Williams on 10/07/2013,  AOR.  Replace 240 ft of 6in CI with 6in PE due to joint exposure.  Must be completed by Nov 21, 2013.  Replace one service.  Tie over 2 services.  See tie-in procedure.  COST PER FOOT $164.90 Retire 229'-6in CI year 1927; 11'-6in PE, yr 2012, wo 12-1682.</t>
  </si>
  <si>
    <t>Approved by: Gary Williams on 01/06/2014,  AOR.  Replace 6in CI with 35'-6in PE due to parallel excavation.  Angle of Repose location: 4' WECB Denver, 5' NNLH to 16' NNLH of 425 N Denver.  This job must be completed by Mar. 18, 2014.  Retire 35'-6in CI, WO BK15P76.  Install 35'-6in PE.</t>
  </si>
  <si>
    <t>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t>
  </si>
  <si>
    <t>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t>
  </si>
  <si>
    <t>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t>
  </si>
  <si>
    <t>Approved by: Rob Hack on 04/30/2013,  ISRS. This work order is necessary to abandon a total of 3391' of cast iron main. LAY 1,316'-6in PE, 714'-4in PE, and 1310' of 8in PE as part of the safety replacement program to meet MPSC requirements.</t>
  </si>
  <si>
    <t>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t>
  </si>
  <si>
    <t>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t>
  </si>
  <si>
    <t>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t>
  </si>
  <si>
    <t>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t>
  </si>
  <si>
    <t>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t>
  </si>
  <si>
    <t>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t>
  </si>
  <si>
    <t>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t>
  </si>
  <si>
    <t>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t>
  </si>
  <si>
    <t>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t>
  </si>
  <si>
    <t>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t>
  </si>
  <si>
    <t>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t>
  </si>
  <si>
    <t>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t>
  </si>
  <si>
    <t>Approved by: Galen Shoemaker on 12/03/2013,  Replace 588' 2" PBS &amp; 15' 2" PE with 645' of 2" PE due to leakage issues.  Project location: Florida Ave between Yuma St. &amp; Windsor St.  Pressure System: C-100.  MOP: 30 PSIG.  MAOP: 30 PSIG.  Design: 58 PSIG.  Test: 100 PSIG.  Price Per Foot: $38.35.</t>
  </si>
  <si>
    <t>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t>
  </si>
  <si>
    <t>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t>
  </si>
  <si>
    <t>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t>
  </si>
  <si>
    <t>Approved by: Gary Williams on 10/31/2013,  5/5/3 Replace 1235' of 2'' PCS main with 1235' of 2" PE main due to leaks and pipe condition. Original WO# 75-2872.</t>
  </si>
  <si>
    <t>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t>
  </si>
  <si>
    <t>Approved by: Kevin Driskell on 10/31/2013,  Replace 2in PCS with 15'-2in PE due to hit main.  Work done by MGE crew.</t>
  </si>
  <si>
    <t>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t>
  </si>
  <si>
    <t>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t>
  </si>
  <si>
    <t>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t>
  </si>
  <si>
    <t>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t>
  </si>
  <si>
    <t>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t>
  </si>
  <si>
    <t>Approved by: Ralph Janes on 04/04/2014,  Replace and abandon 520' - 2" pbs main (Work order unknown 1940) by installing 130' - 2" pe to clear 2 active leaks and due to condition of pipe.  (ISRS)</t>
  </si>
  <si>
    <t>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t>
  </si>
  <si>
    <t>Approved by: Kevin Driskell on 04/04/2014,  (ISRS)  Replace and extend 8in steel service for 911 Main Street to new main location on WO 13-2400 (Streetcar Phase 2).  Location of valve for service to be determined in field.</t>
  </si>
  <si>
    <t>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t>
  </si>
  <si>
    <t>Approved by: Kevin Driskell on 04/08/2014,  REPLACING 160ft-2in cs service line with 2in pe service line. Due to leak on service line.</t>
  </si>
  <si>
    <t>Approved by: Kevin Driskell on 04/07/2014,  Replace 3in and 2in PBS due to leak.  Lay 10'-3in thin film and 14'-2in thin film.  Work done by MGE crew.Original JO 7740C &amp; 7740B, year 1949</t>
  </si>
  <si>
    <t>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t>
  </si>
  <si>
    <t>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t>
  </si>
  <si>
    <t>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t>
  </si>
  <si>
    <t>Approved by: Ralph Janes on 04/18/2014,  Replace 436' - 4" PBS (WO# 202) with 440' - 4" PE. The existing main is actively leaking and is isolated bare steel. Price per ft = $65.38 due to 12 tie-overs and anticipated paving repairs. (ISRS)</t>
  </si>
  <si>
    <t>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t>
  </si>
  <si>
    <t>Approved by: Gary Williams on 04/22/2014,  Replace 4'' PBS that is leaking with 4'' PE. Tie in 58' NNC Franklin and 30' SSC Franklin. Ensure north side is 4'WEC. Pressure System - C-001.</t>
  </si>
  <si>
    <t>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t>
  </si>
  <si>
    <t>Approved by: Gary Williams on 04/28/2014,  TO LAY 542FT -6IN PE MAIN,REPLACE 542FT-10IN CI MAIN (WO#94-0724 330FT,WO#77-1701 73FT,WO#06-0843 110FT). THIS WORK ORDER IS NECESSARY DUE TO LEAKAGE</t>
  </si>
  <si>
    <t>Approved by: Gary Williams on 04/28/2014,  To lay 450' of 4"PE main to replace 450' of 4" bare steel main due to down project. Pressure System: C-O1: MOP : .88oz MAOP: .88oz Design MAOP: .88oz Pressure Test: 100 PSIG.</t>
  </si>
  <si>
    <t>Approved by: Gary Williams on 04/28/2014,  TO LAY 103FT-2IN PE MAIN TO REPLACE 103FT-1 1/8 PE (WO#74-2599). Due to increased load.</t>
  </si>
  <si>
    <t>Approved by: Gary Williams on 04/28/2014,  To lay 150' of 4"PE main to replace 150' of 4" bare steel main due to down project. System: C-O1: MOP :14oz MAOP : .88oz Design MAOP : .88oz Pressure Test: 100 PSIG.</t>
  </si>
  <si>
    <t>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t>
  </si>
  <si>
    <t>Approved by: Kevin Driskell on 03/28/2014,  Replace 4in CI w/ 190'-4in PE due to leak.  Tie-over 3 services and replace 1 service.</t>
  </si>
  <si>
    <t>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t>
  </si>
  <si>
    <t>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t>
  </si>
  <si>
    <t>Approved by: Galen Shoemaker on 05/09/2014,  Abandon 138' - 2" PBS (WO#: NONE) and 9' - 3" PBS (WO#: NONE) to clear one #3 leak due to multiple fittings that could not be tightened. Project Location: 3rd and Maple; Pressure System: S-1; MOP: 3.5 psig; MAOP: 3.5 psig; Design: 58 psig; Test: 100 psig; ISRS $79.92/ft</t>
  </si>
  <si>
    <t>Approved by: Kevin Driskell on 05/13/2014,  6'' CI was replaced with 6'' PE. Pressure system - C-001</t>
  </si>
  <si>
    <t>Approved by: Steve Holcomb on 05/14/2014,  Purpose of this project is to replace 2'' PBS with 2'' PE due to leaks - 5/5/3. Service tie overs 44. Pressure System - C-006. MOP 35 psig. MAOP - 35 psig. Retire  BS  2in  505'  1949  I3446; BS  2in  1130' 1950  I3531;BS  2in  515' 1948  I3385;BS  2in  290' 1953  UNKNOWN.</t>
  </si>
  <si>
    <t>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t>
  </si>
  <si>
    <t>Approved by: Kevin Driskell on 05/18/2014,  Repl 120ft-1 1/4in pe service line WITH 120ft-2in pe service line due to increase in load (17,900 cfh). Tie-in 4in cs (wo#89-6994). ECONOMIC EVALUATION WILL COVER THIS PROJECT.</t>
  </si>
  <si>
    <t>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t>
  </si>
  <si>
    <t>Approved by: Kevin Driskell on 05/28/2014,  Replace 16ft of 8'' PCS due to 3rd party damage. Pressure system C-041 Ret 16'-8in coated steel, year 1967, wo 67-1440.</t>
  </si>
  <si>
    <t>Approved by: Steve Holcomb on 05/28/2014,  Replace 4'' PBS, 4'' PCS, and 3'' PCS with 2" and 4" PE due to down project. Pressure System - C-02</t>
  </si>
  <si>
    <t>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t>
  </si>
  <si>
    <t>Approved by: Kevin Driskell on 06/05/2014,  ISRS LAY 101' - 4" PE DUE TO LEAK ON EXISTING 4" CI MAIN ON EAST SIDE OF BROOKLYN AVE.  ABANDON 112'-4" CI (UNKNOWN W.O.).  ONE WAY FEED.</t>
  </si>
  <si>
    <t>Approved by: Galen Shoemaker on 06/06/2014,  To lay 50ft of 2in Coated Steel Main to replace 40ft of 2in Protected Bare Steel from WO 14582 and 10ft of 2in Coated Steel Main from WO 631926. Active #3 leak 14-31 will be repaired with this replacement. MAOP=44# MOP=40# SYSTEM=C-1 TEST=100#</t>
  </si>
  <si>
    <t>Approved by: Gary Williams on 06/10/2014,  Replace PBS due to down project. Pressure system C-01</t>
  </si>
  <si>
    <t>Approved by: Galen Shoemaker on 06/10/2014,  To replace 6ft of 3in Coated Steel Main from WO 7906K with 3in Coated Steel to lower Main to allow for a 24in Plastic Drain to be installed in the path of our existing Main. MOP=25# MAOP=25# SYSTEM=S-3 TEST=100# ISRS</t>
  </si>
  <si>
    <t>Approved by: Gary Williams on 06/10/2014,  Replace PBS due to down project</t>
  </si>
  <si>
    <t>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t>
  </si>
  <si>
    <t>Approved by: Gary Williams on 06/13/2014,  (ISRS)  Lay 325'-6in thin film for MODOT project J4I3005 under I-35.  Main needs to be 12' deep under the highway due to cuts.  No services to tie-over.  Retire 325'-10in PCS, WO 67-5537, Year 1967.  COST PER FOOT $132.92</t>
  </si>
  <si>
    <t>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t>
  </si>
  <si>
    <t>Approved by: Gary Williams on 06/13/2014,  ISRS Replace 1124' of 4'' CI with 2'' PE (due to graphitization). Current CI is tied onto pressure system: C-1 . New 2'' PE tie in will be on 16'' CS. Service tie overs 14. Pressure system:C-3. Be sure to abandon east of CI break 12-1014.</t>
  </si>
  <si>
    <t>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t>
  </si>
  <si>
    <t>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t>
  </si>
  <si>
    <t>Approved by: Steve Holcomb on 06/25/2014,  (ISRS).  Relocate 8in PBS &amp; PCS with 410'-8in PCS due to public improvement project. City is cutting in a new street on an old vacant right of way. Tie over 3 services.  MODOT permit needed for project.</t>
  </si>
  <si>
    <t>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t>
  </si>
  <si>
    <t>Approved by: Steve Holcomb on 06/30/2014,  Replace 8'' CI WITH 6'' PE DUE TO LEAKS. PRESSURE SYSTEM C-01</t>
  </si>
  <si>
    <t>Approved by: Ralph Janes on 06/23/2014,  Relocate and retire 120' - 2" pe service line (work order 05-8339) by installing 135' - 2" pe service line to allow the Holden School District to build a new Childhood Development Center.</t>
  </si>
  <si>
    <t>Approved by: Ralph Janes on 07/02/2014,  Relocate and abandon 8' - 6" pcs main (work order 132741) by installing 16' - 6" pcs main to allow City to install new strom sewer structure. (ISRS)</t>
  </si>
  <si>
    <t>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t>
  </si>
  <si>
    <t>Approved by: Steve Holcomb on 07/09/2014,  Replace 4'' and 6'' CI main due to graphitization. CI break 12-1018 - 122' NNC of 50th St and 4' EEC of highland. Due 09-28-2014. Pressure System C-001</t>
  </si>
  <si>
    <t>Approved by: Kevin Driskell on 07/07/2014,  This work order is due to publice improvement project. Removal and installation of new curb inlet box (conflict is with new larger box). Contact Eric Bachman (913-961-5884) with Mega Ind. before start of project for site visit.</t>
  </si>
  <si>
    <t>Approved by: Kevin Driskell on 07/11/2014,  ISRS Relocate main for public improvement project. Pressure System C-006. Coordinate with Engineering prior to construction.</t>
  </si>
  <si>
    <t>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t>
  </si>
  <si>
    <t>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t>
  </si>
  <si>
    <t>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t>
  </si>
  <si>
    <t>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t>
  </si>
  <si>
    <t>Approved by: Gary Williams on 07/23/2014,  (ISRS)  Replace 100'-4in PBS with 4in thin film and 2" PCS with 275'-2in PE.  New 4in main needs to be 8' below existing grade due to new storm sewer.  Dead end 2" PE main at 2307 NE 44th Terr. Tie over 3 services.</t>
  </si>
  <si>
    <t>Approved by: Kevin Driskell on 07/23/2014,  AOR.  Replace 40' of 4in CI with 4in PE due to exposure of CI coupling.  AOR location: 46' SSCB of 8th Street.  Must be finished by 9-21-2014.  Tie over 3 services.  Replace one service.  COST PER FOOT $554.14</t>
  </si>
  <si>
    <t>Approved by: Kevin Driskell on 07/25/2014,  Replace 3' of 2in BS and 4' of 2in PE due to third party damage.</t>
  </si>
  <si>
    <t>Approved by: Kevin Driskell on 08/03/2014,  Replaced 5' of 2'' CS system C-046 due to 3rd party damage.</t>
  </si>
  <si>
    <t>Approved by: Kevin Driskell on 08/03/2014,  Replaced 6'' CI with 6'' PE due to Cast Iron Break. System C-1.</t>
  </si>
  <si>
    <t>Approved by: Kevin Driskell on 08/03/2014,  Relocated 2'' PBS because it was going through a curb inlet box. Pressure System C-26.</t>
  </si>
  <si>
    <t>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t>
  </si>
  <si>
    <t>Approved by: Gary Williams on 08/19/2014,  Cut and Cap 4'' PE running along bridge on Isley Blvd. Bore under creek along marietta to tie 4'' PE together. System C-009 20 psig MOP. MoDOT is doing work on the bridge along Isley Blvd. Construction is set to begin early 2015.</t>
  </si>
  <si>
    <t>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t>
  </si>
  <si>
    <t>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t>
  </si>
  <si>
    <t>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t>
  </si>
  <si>
    <t>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t>
  </si>
  <si>
    <t>Approved by: Gary Williams on 09/08/2014,  AOR.  This job must be completed by Dec. 12, 2014.  Replace 65ft of 6in CI with 6in PE due to 29' of exposed pipe.  CI pipe was exposed from 6' NSCB TO 23' SSCB of 29th Street.  No services to tie over.</t>
  </si>
  <si>
    <t>Approved by: Galen Shoemaker on 09/08/2014,  Lay 295ft 2in Plastic Main to replace 269ft 2in Bare Steel from 48852 and 19ft of 2in Bare Steel from 45505 due to isolated bare steel had started having multiple leaks. MOP=42# MAOP=42# TEST=100# SYSTEM=C-1 ISRS</t>
  </si>
  <si>
    <t>Approved by: Gary Williams on 09/12/2014,  Replaced 2'' PBS with 2'' PE due to 3rd party damage. Pressure system C-045.</t>
  </si>
  <si>
    <t>Approved by: Gary Williams on 09/15/2014,  ISRS Replace 220'-8in PBS with 8in thin film due to exposed pipe, existing retaining wall to be torn down and rebuilt.  Pipe will need to be bored due to existing retaining wall.  This is a high pressure main at MOP=90#.</t>
  </si>
  <si>
    <t>Approved by: Galen Shoemaker on 09/15/2014,  Lower 167' - 2" PE main (WO#: 92-6050) due to construction over shallow main. Project Location: Doughboy Dr North of 32nd St; Pressure System: C-1; MOP: 58 psig; MAOP: 58 psig; Design: 58 psig; Test: 100 psig; $34.34/ft</t>
  </si>
  <si>
    <t>Approved by: Galen Shoemaker on 09/18/2014,  Lay 479ft of 2in Plastic Main to replace 391ft of 2in PBS from WO JO10B and 86ft of 2in CS from WO 66-7352 and 2'-2" PE from 82-0762. MOP=20# MAOP=20# TEST=100# SYSTEM=S-1</t>
  </si>
  <si>
    <t>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t>
  </si>
  <si>
    <t>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t>
  </si>
  <si>
    <t>Approved by: Ralph Janes on 09/23/2014,  Replace and Abandon 164'- 4"PCS (692513), 62' - 4"PBS (28302), 527' - 4" PBS (Unknown) 31' - 4" PCS (691388) and 58' - 4"PCS (732376). Main currently runs in an easement between 5th and 6th St. and W of Miller St. (ISRS)</t>
  </si>
  <si>
    <t>Approved by: Kevin Driskell on 09/24/2014,  Abandoned 3' of 2'' PE. Installed 8' of 2'' PE due to third party damage. When work was done pressure system was C-002 (1psig). As of 9/16/2014 pressure system C-002 (33psig).</t>
  </si>
  <si>
    <t>Approved by: Ray Wilson on 10/01/2014,  Replace 95' - 6" PBS (WO# JO4528) with 111' of 6" PE main due to leakage. 120' of 6" checked out with 9' junked. Job worked by Holman crew 9/22-24. (ISRS)</t>
  </si>
  <si>
    <t>Approved by: Steve Holcomb on 09/29/2014,  ISRS Replace 6in CI with 2,430 ft of 4in PE due to cast iron breaks.  This job must be completed by Jan. 13, 2015.  Tie-over 18 services. Replace 5 services.</t>
  </si>
  <si>
    <t>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t>
  </si>
  <si>
    <t>Approved by: Galen Shoemaker on 10/09/2014,  Lay 180ft 2in Plastic Main to replace 177ft of 2in Protected Bare Steel from WO 21411. MOP=40# MAOP=44# TEST=100# SYSTEM=C-1</t>
  </si>
  <si>
    <t>Approved by: Galen Shoemaker on 10/11/2014,  Abandon 217' - 2" PBS (WO# 36687) and 156' - 2" PCS (WO#'s: 61456, 62-5224) and replace with 325' - 2" PE to clear CP 14-053. Project Location "C" St and Alley West of Main; Pressure System: C-2; MOP: 1.5 psig; MAOP: 1.5 psig; Design: 58 psig; Test: 100 psig; $35.86/ft ISRS</t>
  </si>
  <si>
    <t>Approved by: Gary Williams on 10/20/2014,  REPLACE 1 1/4 PE SERVICE WITH 2 IN PE DUE TO CUSOTMER ADDING A BOILER LOAD 6,050 CFH). ECONOMIC EVALUATION WILL COVER COST OF PROJECT.</t>
  </si>
  <si>
    <t>Approved by: Gary Williams on 11/03/2014,  Replace 60' of 2"plastic main due to third party damage.Installed 60' of 2"PE.</t>
  </si>
  <si>
    <t>Approved by: Gary Williams on 11/11/2014,  Replace 4'' CI with 4'' PE along Myrtle north of 39th St due to leak in the area. Tie into existing 4" cast iron main at 38th and Myrtle. There are 9 Replacement Services to charge to blanket work order and 8 service tie overs.</t>
  </si>
  <si>
    <t>Monthly Depreciation Rate</t>
  </si>
  <si>
    <t>Depreciation Expense through October 2014</t>
  </si>
  <si>
    <t>ISRS Work Order Additions January 2014 - June 2014</t>
  </si>
  <si>
    <t>Depr Mos(1)</t>
  </si>
  <si>
    <t>Mos</t>
  </si>
  <si>
    <t>Tax Depr</t>
  </si>
  <si>
    <t>2013 Plant Tax Depreciation Rates:</t>
  </si>
  <si>
    <t>#Months</t>
  </si>
  <si>
    <t>MACRS Rates</t>
  </si>
  <si>
    <t>15 yr</t>
  </si>
  <si>
    <t>20 yr</t>
  </si>
  <si>
    <t>Year 1</t>
  </si>
  <si>
    <t>Year 2</t>
  </si>
  <si>
    <t>Year 3</t>
  </si>
  <si>
    <t>Year 4</t>
  </si>
  <si>
    <t>20401132824</t>
  </si>
  <si>
    <t>004203</t>
  </si>
  <si>
    <t>Rebuild DRS 415</t>
  </si>
  <si>
    <t>20401132337</t>
  </si>
  <si>
    <t>004232</t>
  </si>
  <si>
    <t>Rebuild DRS 260 W of Blue River Rd</t>
  </si>
  <si>
    <t>20806133208</t>
  </si>
  <si>
    <t>004666</t>
  </si>
  <si>
    <t>Alley at Sherman Ret PBS/PCS with 6</t>
  </si>
  <si>
    <t>20602133202</t>
  </si>
  <si>
    <t>004094</t>
  </si>
  <si>
    <t>Sumac Abandon 525'-1.25in PCS</t>
  </si>
  <si>
    <t>20401121897</t>
  </si>
  <si>
    <t>003950</t>
  </si>
  <si>
    <t>County Line Rd Rectifier L0413 and</t>
  </si>
  <si>
    <t>20201121889</t>
  </si>
  <si>
    <t>003962</t>
  </si>
  <si>
    <t>Rectifier L0263 Rectifier and Grou</t>
  </si>
  <si>
    <t>20401121259</t>
  </si>
  <si>
    <t>004538</t>
  </si>
  <si>
    <t>107th &amp; Elm Rebuild DRS 746 Site</t>
  </si>
  <si>
    <t>Grand Total</t>
  </si>
  <si>
    <t>Colbern &amp; Unity Way Reloc-Reimbursement</t>
  </si>
  <si>
    <t>Missouri Gas Energy</t>
  </si>
  <si>
    <t>Customer numbers from FERC Form 2</t>
  </si>
  <si>
    <t>December 31, 2013</t>
  </si>
  <si>
    <t>Residential</t>
  </si>
  <si>
    <t>Small General Service</t>
  </si>
  <si>
    <t>Lg General Service</t>
  </si>
  <si>
    <t>Lg Volume</t>
  </si>
  <si>
    <t xml:space="preserve">Total </t>
  </si>
  <si>
    <t>Rate of Return Determination Per GR-2014-0007</t>
  </si>
  <si>
    <r>
      <t>Per the Stipulation and Agreement in GR-2014-0007 the pre-tax rate of return for all ISRS filings will be 9.75</t>
    </r>
    <r>
      <rPr>
        <b/>
        <strike/>
        <sz val="10"/>
        <rFont val="Arial"/>
        <family val="2"/>
      </rPr>
      <t>%</t>
    </r>
  </si>
  <si>
    <t>ISRS Revenue Requirements Calculation</t>
  </si>
  <si>
    <t>Total for</t>
  </si>
  <si>
    <t>ISRS Activity:</t>
  </si>
  <si>
    <r>
      <t xml:space="preserve">ISRS </t>
    </r>
    <r>
      <rPr>
        <b/>
        <sz val="10"/>
        <rFont val="Arial"/>
        <family val="2"/>
      </rPr>
      <t>Filing</t>
    </r>
  </si>
  <si>
    <t>Gas Utility Plant Projects--Total -(RM) RSMo 393.1012:</t>
  </si>
  <si>
    <t xml:space="preserve">   Work Orders Placed in Service:</t>
  </si>
  <si>
    <t xml:space="preserve">      Replacement Mains, Services and Associated Valves and Regulators</t>
  </si>
  <si>
    <t xml:space="preserve">      Deferred Taxes (Current)</t>
  </si>
  <si>
    <t xml:space="preserve">      Accumulated Depreciation (Current)</t>
  </si>
  <si>
    <t>Total ISRS Rate Base</t>
  </si>
  <si>
    <t>Pre-tax rate of return from S&amp;A in GR-2014-0007</t>
  </si>
  <si>
    <t>Total Revenue Requirement on Capital</t>
  </si>
  <si>
    <t>Depreciation Expense</t>
  </si>
  <si>
    <t>Tax Conversion Factor</t>
  </si>
  <si>
    <t>Property Taxes</t>
  </si>
  <si>
    <t>=1/(1-.383886)</t>
  </si>
  <si>
    <t>Source: Effective Tax Rate, GR-2009-0355 True-Up EMS</t>
  </si>
  <si>
    <t>Current ISRS Revenues</t>
  </si>
  <si>
    <t>Summary of Plant Additions</t>
  </si>
  <si>
    <t>Original Cost</t>
  </si>
  <si>
    <t>Retirements</t>
  </si>
  <si>
    <t>Accum Depr</t>
  </si>
  <si>
    <t>Depr Exp</t>
  </si>
  <si>
    <t>Summary</t>
  </si>
  <si>
    <t xml:space="preserve">Public Improvements </t>
  </si>
  <si>
    <t xml:space="preserve">SLRP  </t>
  </si>
  <si>
    <t>Rate Design</t>
  </si>
  <si>
    <t>ISRS Filing</t>
  </si>
  <si>
    <t>Current ISRS Rev Req</t>
  </si>
  <si>
    <t>Total ISRS Rev Requirement</t>
  </si>
  <si>
    <t>No. of Customers</t>
  </si>
  <si>
    <t xml:space="preserve">Customer </t>
  </si>
  <si>
    <t>Ratio To</t>
  </si>
  <si>
    <t>ISRS</t>
  </si>
  <si>
    <t>Weighted</t>
  </si>
  <si>
    <t>Note</t>
  </si>
  <si>
    <t>Charges</t>
  </si>
  <si>
    <t>Allocation</t>
  </si>
  <si>
    <t>Res Cust Chrg</t>
  </si>
  <si>
    <t>Charge</t>
  </si>
  <si>
    <t>Revenue</t>
  </si>
  <si>
    <t>Customers</t>
  </si>
  <si>
    <t>Large General Service</t>
  </si>
  <si>
    <t>Large Volume</t>
  </si>
  <si>
    <t>Per Customer</t>
  </si>
  <si>
    <t>Per Cust Weighted</t>
  </si>
  <si>
    <t>Total Tax Depreciation</t>
  </si>
  <si>
    <t>less Accumulated (Book) Depreciation</t>
  </si>
  <si>
    <t>equals Difference</t>
  </si>
  <si>
    <t>times Effective Tax Rate</t>
  </si>
  <si>
    <t>equals Deferred Taxes</t>
  </si>
  <si>
    <t>2015 Tax Depreciation</t>
  </si>
  <si>
    <t>Deferred Taxes - Rate Base Reduction</t>
  </si>
  <si>
    <t>ISRS  Filing</t>
  </si>
  <si>
    <t>Federal Tax Rate:</t>
  </si>
  <si>
    <t>Composite Tax Rate:</t>
  </si>
  <si>
    <t>Current ISRS</t>
  </si>
  <si>
    <t>2014 Tax Depreciation</t>
  </si>
  <si>
    <t>Book Depreciation</t>
  </si>
  <si>
    <t>Difference between tax and book Depec</t>
  </si>
  <si>
    <t xml:space="preserve">Total Deferred Taxes </t>
  </si>
  <si>
    <t>GR-2015-0025</t>
  </si>
  <si>
    <t>Encapsulation</t>
  </si>
  <si>
    <t>ISRS Other</t>
  </si>
  <si>
    <t>Public Improv</t>
  </si>
  <si>
    <t>SLRP</t>
  </si>
  <si>
    <t>Reg Station</t>
  </si>
  <si>
    <t>Category</t>
  </si>
  <si>
    <t>Blanket WO</t>
  </si>
  <si>
    <t xml:space="preserve">Blanket WO </t>
  </si>
  <si>
    <t>Blanket WO Total</t>
  </si>
  <si>
    <t>Encapsulation Total</t>
  </si>
  <si>
    <t>ISRS Other Total</t>
  </si>
  <si>
    <t>Public Improv Total</t>
  </si>
  <si>
    <t>Reg Station Total</t>
  </si>
  <si>
    <t>SLRP Total</t>
  </si>
  <si>
    <t>January Additions</t>
  </si>
  <si>
    <t>February Additions</t>
  </si>
  <si>
    <t>Regulator Stations</t>
  </si>
  <si>
    <t>Blanket Workorders</t>
  </si>
  <si>
    <t>In Svc. Dt.</t>
  </si>
  <si>
    <t xml:space="preserve">      Deferred Taxes (Previous ISRS)</t>
  </si>
  <si>
    <t xml:space="preserve">      Accumulated Depreciation (Previous ISRS)</t>
  </si>
  <si>
    <t>Bonus deprec</t>
  </si>
  <si>
    <t>Deprec taken</t>
  </si>
  <si>
    <t>Shortfall</t>
  </si>
  <si>
    <t>Property Tax Calculation</t>
  </si>
  <si>
    <t>Net Change in Property Base</t>
  </si>
  <si>
    <t xml:space="preserve">Property Tax Expense </t>
  </si>
  <si>
    <t>2014 Investment - Current ISRS filing</t>
  </si>
  <si>
    <t>2014 Investment - Previous ISRS filing</t>
  </si>
  <si>
    <t>Less: 2014 Retirements - Current ISRS Filing</t>
  </si>
  <si>
    <t>Less: 2014 Retirements - Previous ISRS Filing</t>
  </si>
  <si>
    <t>GR-2014-0007</t>
  </si>
  <si>
    <t>Property Tax anaysis</t>
  </si>
  <si>
    <t>Source: DR 83, 150 &amp; 89</t>
  </si>
  <si>
    <t>Prepared by: Karen Lyons</t>
  </si>
  <si>
    <t>Plant</t>
  </si>
  <si>
    <t>Account</t>
  </si>
  <si>
    <t>Description</t>
  </si>
  <si>
    <t>Plant in Service</t>
  </si>
  <si>
    <t>CWIP</t>
  </si>
  <si>
    <t>301-303</t>
  </si>
  <si>
    <t>Intangilbes</t>
  </si>
  <si>
    <t>Materials and Supplies</t>
  </si>
  <si>
    <t>Total Taxable Property</t>
  </si>
  <si>
    <t>Property Taxes Paid</t>
  </si>
  <si>
    <t>Property Tax Ratio</t>
  </si>
  <si>
    <t>Capitalization Ratio</t>
  </si>
  <si>
    <t>Total</t>
  </si>
  <si>
    <t>Ratio of Plant to CWIP</t>
  </si>
  <si>
    <t>Staff annualized property tax using 2012 ratio applied to 1/1/13 plant</t>
  </si>
  <si>
    <t>Add Oklahoma Property Taxes</t>
  </si>
  <si>
    <t>Total Annualized Taxes</t>
  </si>
  <si>
    <t>Less Capitalization</t>
  </si>
  <si>
    <t>Annualized Property Taxes less CWIP ratio</t>
  </si>
  <si>
    <t>Test Year</t>
  </si>
  <si>
    <t>Staff Adjustment-Update Period</t>
  </si>
  <si>
    <t>Account 408</t>
  </si>
  <si>
    <t>Staff annualized property tax using 2013 ratio applied to 1/1/14 plant</t>
  </si>
  <si>
    <t>Staff Adjustment-True Up</t>
  </si>
  <si>
    <t>GR-2015-0025 ISRS Rev Req</t>
  </si>
  <si>
    <t>382000 Meter Installations-MGE</t>
  </si>
  <si>
    <t>MGE CSS Blanket Mtr Inst &lt; 2" Retirement</t>
  </si>
  <si>
    <t>20901050363</t>
  </si>
  <si>
    <t>003825</t>
  </si>
  <si>
    <t>BWO SLRP MTR/REG REPL COMPANY</t>
  </si>
  <si>
    <t>F0516</t>
  </si>
  <si>
    <t>SLRP - meter &amp; regulator replacemen</t>
  </si>
  <si>
    <t>20801050373</t>
  </si>
  <si>
    <t>003930</t>
  </si>
  <si>
    <t>BWO MTR/REG SET REPL CONTRACTOR-SLR</t>
  </si>
  <si>
    <t>F0652</t>
  </si>
  <si>
    <t>20901050373</t>
  </si>
  <si>
    <t>003931</t>
  </si>
  <si>
    <t>F0535</t>
  </si>
  <si>
    <t>20401050373</t>
  </si>
  <si>
    <t>003974</t>
  </si>
  <si>
    <t>BWO MTR/REG SET REPL CONTRACTOR SLR</t>
  </si>
  <si>
    <t>F0543</t>
  </si>
  <si>
    <t>20801050363</t>
  </si>
  <si>
    <t>003980</t>
  </si>
  <si>
    <t>F0666</t>
  </si>
  <si>
    <t>20401050363</t>
  </si>
  <si>
    <t>004282</t>
  </si>
  <si>
    <t>BWO REPL MTR/REG SETTING COMPANY SL</t>
  </si>
  <si>
    <t>F0583</t>
  </si>
  <si>
    <t>21001050363</t>
  </si>
  <si>
    <t>004408</t>
  </si>
  <si>
    <t>F0519</t>
  </si>
  <si>
    <t>20501050363</t>
  </si>
  <si>
    <t>004498</t>
  </si>
  <si>
    <t>F0596</t>
  </si>
  <si>
    <t>20501050373</t>
  </si>
  <si>
    <t>004602</t>
  </si>
  <si>
    <t>F0629</t>
  </si>
  <si>
    <t>Service/Yard Line Replacement (SLRP): Company Crew.  Immediate response - replacement single unprotected steel or copper  (Independence - East Region)</t>
  </si>
  <si>
    <t>Service/Yard Line Replacement (SLRP): Company Crew.  Immediate response - replacement single unprotected steel or copper  (Kansas City - Central Region)</t>
  </si>
  <si>
    <t>Service/Yard Line Replacement (SLRP): Contract Crew.  Modified Block by Block - Planned replacement of unprotected steel or copper  (Lee's Summit - East Region)</t>
  </si>
  <si>
    <t>Service/Yard Line Replacement (SLRP): Contract Crew.  Block by Block - Planned replacement of all unprotected steel or copper in a single block.  (Kansas City - Central Region)</t>
  </si>
  <si>
    <t>Service/Yard Line Replacement (SLRP): Contract Crew.  Block by Block - Planned replacement of all unprotected steel or copper in a single block.  (Monett - South Region)</t>
  </si>
  <si>
    <t>Service/Yard Line Replacement (SLRP): Company Crew.  Modified Block by Block - Planned replacement of all unprotected steel or copper in a single block.  (Monett - South Region)</t>
  </si>
  <si>
    <t>Service/Yard Line Replacement (SLRP): Company Crew.  Service/yard line replacement - Material Charges Only  (Kansas City - Central Region)</t>
  </si>
  <si>
    <t>Line Locates - Service Line Replacements Only (Kansas City - Central Region)</t>
  </si>
  <si>
    <t>Service/Yard Line Replacement (SLRP): Company Crew.  Immediate response - replacement single unprotected steel or copper  (Monett - South Region)</t>
  </si>
  <si>
    <t>Service/Yard Line Replacement (SLRP): Company Crew.  Modified Block by Block - Planned replacement of all unprotected steel or copper in a single block.  (Kansas City - Central Region)</t>
  </si>
  <si>
    <t>Service/Yard Line Replacement (SLRP): Company Crew.  Service/yard line replacement - Material Charges Only  (Kansas City - Monett - South Region)</t>
  </si>
  <si>
    <t>Service/Yard Line Replacement (SLRP): Contract Crew.  Immediate response - replacement single unprotected steel or copper  (Joplin - South Region)</t>
  </si>
  <si>
    <t>Service/Yard Line Replacement (SLRP): Contract Crew.  Block by Block - Planned replacement of all unprotected steel or copper in a single block.  (Joplin - South Region)</t>
  </si>
  <si>
    <t>Service/Yard Line Replacement (SLRP): Company Crew.  Modified Block by Block - Planned replacement of all unprotected steel or copper in a single block.  (Joplin - South Region)</t>
  </si>
  <si>
    <t>Service/Yard Line Replacement (SLRP): Company Crew.  Modified Block by Block - Planned replacement of all unprotected steel or copper in a single block.  (Lee's Summit - East Region)</t>
  </si>
  <si>
    <t>Service/Yard Line Replacement (SLRP): Contract Crew.  Block by Block - Planned replacement of all unprotected steel or copper in a single block.  (Lee's Summit - East Region)</t>
  </si>
  <si>
    <t>Service/Yard Line Replacement (SLRP): Contract Crew.  Service/yard line replacement - Material Charges Only  (Joplin - South Region)</t>
  </si>
  <si>
    <t>Service/Yard Line Replacement (SLRP): Contract Crew.  Immediate response - replacement single unprotected steel or copper  (Kansas City - Central Region)</t>
  </si>
  <si>
    <t>Replacement and/or removal of existing protected steel or plastic (Kansas City - Central Region)</t>
  </si>
  <si>
    <t>Replacement and/or removal of existing protected steel or plastic (Lee's Summit - East Region)</t>
  </si>
  <si>
    <t>Service/Yard Line Replacement (SLRP): Contract Crew.  Service/yard line replacement - Material Charges Only  (Kansas City - Central Region)</t>
  </si>
  <si>
    <t>Service/Yard Line Replacement (SLRP): Contract Crew.  Service/yard line replacement - Material Charges Only  (Lee's Summit - East Region)</t>
  </si>
  <si>
    <t>Replacement and/or removal of existing protected steel or plastic (Joplin - South Region)</t>
  </si>
  <si>
    <t>Line Locates - Service Line Replacements Only (Lee's Summit - South Region)</t>
  </si>
  <si>
    <t>Service/Yard Line Replacement (SLRP): Company Crew.  Block by Block - Planned replacement of all unprotected steel or copper in a single block.  (Monett - South Region)</t>
  </si>
  <si>
    <t>Service/Yard Line Replacement (SLRP): Contract Crew.  Immediate response - replacement single unprotected steel or copper  (Monett - South Region)</t>
  </si>
  <si>
    <t>Service/Yard Line Replacement (SLRP): Contract Crew.  Immediate response - replacement single unprotected steel or copper  (Lee's Summit - East Region)</t>
  </si>
  <si>
    <t>Replacement and/or removal of existing protected steel or plastic (St. Joseph)</t>
  </si>
  <si>
    <t>Service/Yard Line Replacement (SLRP): Company Crew.  Service/yard line replacement - Material Charges Only  (Joplin - South Region)</t>
  </si>
  <si>
    <t>Replacement and/or removal of existing protected steel or plastic (Monett - South Region)</t>
  </si>
  <si>
    <t>Service/Yard Line Replacement (SLRP): Company Crew.  Immediate response - replacement single unprotected steel or copper  (Joplin - South Region)</t>
  </si>
  <si>
    <t>Service/Yard Line Replacement (SLRP): Company Crew.  Immediate response - replacement single unprotected steel or copper  (Lee's Summit - East Region)</t>
  </si>
  <si>
    <t>Service/Yard Line Replacement (SLRP): Contract Crew.  Modified Block by Block - Planned replacement of unprotected steel or copper  (Kansas City - Central Region)</t>
  </si>
  <si>
    <t>Service/Yard Line Replacement (SLRP): Contract Crew.  Modified Block by Block - Planned replacement of unprotected steel or copper  (Joplin - South Region)</t>
  </si>
  <si>
    <t>Service/Yard Line Replacement (SLRP): Contract Crew.  Modified Block by Block - Planned replacement of unprotected steel or copper  (St. Joseph)</t>
  </si>
  <si>
    <t>Service/Yard Line Replacement (SLRP): Company Crew.  Service/yard line replacement - Material Charges Only  (Lee's Summit - East Region)</t>
  </si>
  <si>
    <t>Service/Yard Line Replacement (SLRP): Company Crew.  Rebuild meter/regulator setting (exclude regulator) (Lee's Summit - East Region).</t>
  </si>
  <si>
    <t>Service/Yard Line Replacement (SLRP): Contract Crew.  Rebuild meter/regulator setting (exclude regulator) (Monett - South Region).</t>
  </si>
  <si>
    <t>Service/Yard Line Replacement (SLRP): Contract Crew.  Rebuild meter/regulator setting (exclude regulator) (Lee's Summit - East Region).</t>
  </si>
  <si>
    <t>Service/Yard Line Replacement (SLRP): Contract Crew.  Rebuild meter/regulator setting (exclude regulator) (Kansas City - Central Region).</t>
  </si>
  <si>
    <t>Service/Yard Line Replacement (SLRP): Company Crew.  Rebuild meter/regulator setting (exclude regulator) (Monett - South Region).</t>
  </si>
  <si>
    <t>Service/Yard Line Replacement (SLRP): Company Crew.  Rebuild meter/regulator setting (exclude regulator) (Kansas City - Central Region).</t>
  </si>
  <si>
    <t>Service/Yard Line Replacement (SLRP): Company Crew.  Rebuild meter/regulator setting (exclude regulator) (St Joseph)</t>
  </si>
  <si>
    <t>Service/Yard Line Replacement (SLRP): Company Crew.  Rebuild meter/regulator setting (exclude regulator) (Joplin - South Region).</t>
  </si>
  <si>
    <t>Service/Yard Line Replacement (SLRP): Contract Crew.  Rebuild meter/regulator setting (exclude regulator) (Joplin - South Region).</t>
  </si>
  <si>
    <t>WO Description</t>
  </si>
  <si>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</si>
  <si>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</si>
  <si>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</si>
  <si>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</si>
  <si>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</si>
  <si>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</si>
  <si>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</si>
  <si>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</si>
  <si>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</si>
  <si>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</si>
  <si>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</si>
  <si>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</si>
  <si>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</si>
  <si>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</si>
  <si>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4 CSR 240-40.030(9)</t>
  </si>
  <si>
    <t>Corrosion Control</t>
  </si>
  <si>
    <t>F</t>
  </si>
  <si>
    <t>4 CSR 240-40.030(13)</t>
  </si>
  <si>
    <t>Maintenance</t>
  </si>
  <si>
    <t>G</t>
  </si>
  <si>
    <t>4 CSR 240-40.030(7)</t>
  </si>
  <si>
    <t>Construction requirements</t>
  </si>
  <si>
    <t>H</t>
  </si>
  <si>
    <t>4 CSR 240-40.030(10)</t>
  </si>
  <si>
    <t>Testing Requirements</t>
  </si>
  <si>
    <t>I</t>
  </si>
  <si>
    <t>GO-2002-50</t>
  </si>
  <si>
    <t>Order Approving Modifications to the Ongoing Cast Iron Main, Service Line and Yard Line Replacement as Part of the Safety Line Replacement Program</t>
  </si>
  <si>
    <t xml:space="preserve">References to state safety rules should be interpreted to include the corresponding federal safety rule. </t>
  </si>
  <si>
    <t>Statute Section</t>
  </si>
  <si>
    <t>State or Federal Requirement</t>
  </si>
  <si>
    <t>BWO</t>
  </si>
  <si>
    <t>Sum of Addition Amount</t>
  </si>
  <si>
    <t>Column Labels</t>
  </si>
  <si>
    <t>Row Labels</t>
  </si>
  <si>
    <t>F0531 (late addition)</t>
  </si>
  <si>
    <t>New Total BWO</t>
  </si>
  <si>
    <t>Work Order #</t>
  </si>
  <si>
    <t>Funding Project #</t>
  </si>
  <si>
    <t>WO Status</t>
  </si>
  <si>
    <t>Expenditure Type</t>
  </si>
  <si>
    <t>Approval Date</t>
  </si>
  <si>
    <t>Budget</t>
  </si>
  <si>
    <t>Actual</t>
  </si>
  <si>
    <t>% Comp</t>
  </si>
  <si>
    <t>ISRS (Y/N)</t>
  </si>
  <si>
    <t>In Progress</t>
  </si>
  <si>
    <t>In Service</t>
  </si>
  <si>
    <t>Est. Completion Month</t>
  </si>
  <si>
    <t>Include in ISRS filing?</t>
  </si>
  <si>
    <t>005029</t>
  </si>
  <si>
    <t>Repl bridle valve &amp; IO piping DRS 1</t>
  </si>
  <si>
    <t>open</t>
  </si>
  <si>
    <t>Additions</t>
  </si>
  <si>
    <t>Y</t>
  </si>
  <si>
    <t>Jan</t>
  </si>
  <si>
    <t>005008</t>
  </si>
  <si>
    <t>Morris &amp; Myrtle Repl PBS w 2885'-PE</t>
  </si>
  <si>
    <t>Feb</t>
  </si>
  <si>
    <t>005291</t>
  </si>
  <si>
    <t>Repl PBS main Blue Ridge Blvd 31st</t>
  </si>
  <si>
    <t>005456</t>
  </si>
  <si>
    <t>Repl Steel in Alba due to Leakage</t>
  </si>
  <si>
    <t>003999</t>
  </si>
  <si>
    <t>19th &amp; Maiden Reloc PCS/PE w 1965'-</t>
  </si>
  <si>
    <t>004889</t>
  </si>
  <si>
    <t>40th &amp; Highridge Repl PBS w 7870'-2</t>
  </si>
  <si>
    <t>005395</t>
  </si>
  <si>
    <t>79th &amp; Raytown Rd Repl PBS/PCS main</t>
  </si>
  <si>
    <t>005490</t>
  </si>
  <si>
    <t>Picher Ave Repl PBS w 125'-6in CS;</t>
  </si>
  <si>
    <t>005530</t>
  </si>
  <si>
    <t>83rd &amp; Lane Reloc 14'-4in pcs main</t>
  </si>
  <si>
    <t>005557</t>
  </si>
  <si>
    <t>College Repl PBS LP main w IP 3865'</t>
  </si>
  <si>
    <t>006196</t>
  </si>
  <si>
    <t>Vellie Road Rectifier Relocation</t>
  </si>
  <si>
    <t>006664</t>
  </si>
  <si>
    <t>Repl with 875ft of 4in PE due to CP</t>
  </si>
  <si>
    <t>006734</t>
  </si>
  <si>
    <t>Relocate 6in PE Main due to Storm B</t>
  </si>
  <si>
    <t>Depreciation Rate</t>
  </si>
  <si>
    <t xml:space="preserve">total </t>
  </si>
  <si>
    <t>estimated</t>
  </si>
  <si>
    <t>January estimated additions</t>
  </si>
  <si>
    <t>January Estimated Additions</t>
  </si>
  <si>
    <t>February Estimated Additions</t>
  </si>
  <si>
    <t>2014 Additions</t>
  </si>
  <si>
    <t>2015 Additions</t>
  </si>
  <si>
    <t>003788 Total</t>
  </si>
  <si>
    <t>003793 Total</t>
  </si>
  <si>
    <t>003795 Total</t>
  </si>
  <si>
    <t>003797 Total</t>
  </si>
  <si>
    <t>003801 Total</t>
  </si>
  <si>
    <t>003802 Total</t>
  </si>
  <si>
    <t>003806 Total</t>
  </si>
  <si>
    <t>003807 Total</t>
  </si>
  <si>
    <t>003808 Total</t>
  </si>
  <si>
    <t>003809 Total</t>
  </si>
  <si>
    <t>003810 Total</t>
  </si>
  <si>
    <t>003815 Total</t>
  </si>
  <si>
    <t>003816 Total</t>
  </si>
  <si>
    <t>003817 Total</t>
  </si>
  <si>
    <t>003818 Total</t>
  </si>
  <si>
    <t>003819 Total</t>
  </si>
  <si>
    <t>003823 Total</t>
  </si>
  <si>
    <t>003825 Total</t>
  </si>
  <si>
    <t>003826 Total</t>
  </si>
  <si>
    <t>003829 Total</t>
  </si>
  <si>
    <t>003833 Total</t>
  </si>
  <si>
    <t>003838 Total</t>
  </si>
  <si>
    <t>003839 Total</t>
  </si>
  <si>
    <t>003844 Total</t>
  </si>
  <si>
    <t>003845 Total</t>
  </si>
  <si>
    <t>003846 Total</t>
  </si>
  <si>
    <t>003848 Total</t>
  </si>
  <si>
    <t>003859 Total</t>
  </si>
  <si>
    <t>003861 Total</t>
  </si>
  <si>
    <t>003866 Total</t>
  </si>
  <si>
    <t>003869 Total</t>
  </si>
  <si>
    <t>003871 Total</t>
  </si>
  <si>
    <t>003874 Total</t>
  </si>
  <si>
    <t>003876 Total</t>
  </si>
  <si>
    <t>003878 Total</t>
  </si>
  <si>
    <t>003879 Total</t>
  </si>
  <si>
    <t>003885 Total</t>
  </si>
  <si>
    <t>003887 Total</t>
  </si>
  <si>
    <t>003893 Total</t>
  </si>
  <si>
    <t>003903 Total</t>
  </si>
  <si>
    <t>003904 Total</t>
  </si>
  <si>
    <t>003905 Total</t>
  </si>
  <si>
    <t>003906 Total</t>
  </si>
  <si>
    <t>003910 Total</t>
  </si>
  <si>
    <t>003914 Total</t>
  </si>
  <si>
    <t>003921 Total</t>
  </si>
  <si>
    <t>003927 Total</t>
  </si>
  <si>
    <t>003929 Total</t>
  </si>
  <si>
    <t>003930 Total</t>
  </si>
  <si>
    <t>003931 Total</t>
  </si>
  <si>
    <t>003932 Total</t>
  </si>
  <si>
    <t>003935 Total</t>
  </si>
  <si>
    <t>003937 Total</t>
  </si>
  <si>
    <t>003957 Total</t>
  </si>
  <si>
    <t>003969 Total</t>
  </si>
  <si>
    <t>003972 Total</t>
  </si>
  <si>
    <t>003974 Total</t>
  </si>
  <si>
    <t>003975 Total</t>
  </si>
  <si>
    <t>003976 Total</t>
  </si>
  <si>
    <t>003980 Total</t>
  </si>
  <si>
    <t>003988 Total</t>
  </si>
  <si>
    <t>003991 Total</t>
  </si>
  <si>
    <t>003998 Total</t>
  </si>
  <si>
    <t>004000 Total</t>
  </si>
  <si>
    <t>004005 Total</t>
  </si>
  <si>
    <t>004007 Total</t>
  </si>
  <si>
    <t>004024 Total</t>
  </si>
  <si>
    <t>004025 Total</t>
  </si>
  <si>
    <t>004027 Total</t>
  </si>
  <si>
    <t>004028 Total</t>
  </si>
  <si>
    <t>004031 Total</t>
  </si>
  <si>
    <t>004034 Total</t>
  </si>
  <si>
    <t>004036 Total</t>
  </si>
  <si>
    <t>004037 Total</t>
  </si>
  <si>
    <t>004038 Total</t>
  </si>
  <si>
    <t>004040 Total</t>
  </si>
  <si>
    <t>004041 Total</t>
  </si>
  <si>
    <t>004042 Total</t>
  </si>
  <si>
    <t>004044 Total</t>
  </si>
  <si>
    <t>004056 Total</t>
  </si>
  <si>
    <t>004062 Total</t>
  </si>
  <si>
    <t>004064 Total</t>
  </si>
  <si>
    <t>004070 Total</t>
  </si>
  <si>
    <t>004071 Total</t>
  </si>
  <si>
    <t>004081 Total</t>
  </si>
  <si>
    <t>004082 Total</t>
  </si>
  <si>
    <t>004093 Total</t>
  </si>
  <si>
    <t>004096 Total</t>
  </si>
  <si>
    <t>004097 Total</t>
  </si>
  <si>
    <t>004100 Total</t>
  </si>
  <si>
    <t>004102 Total</t>
  </si>
  <si>
    <t>004103 Total</t>
  </si>
  <si>
    <t>004113 Total</t>
  </si>
  <si>
    <t>004114 Total</t>
  </si>
  <si>
    <t>004119 Total</t>
  </si>
  <si>
    <t>004121 Total</t>
  </si>
  <si>
    <t>004126 Total</t>
  </si>
  <si>
    <t>004128 Total</t>
  </si>
  <si>
    <t>004132 Total</t>
  </si>
  <si>
    <t>004133 Total</t>
  </si>
  <si>
    <t>004134 Total</t>
  </si>
  <si>
    <t>004135 Total</t>
  </si>
  <si>
    <t>004141 Total</t>
  </si>
  <si>
    <t>004146 Total</t>
  </si>
  <si>
    <t>004148 Total</t>
  </si>
  <si>
    <t>004150 Total</t>
  </si>
  <si>
    <t>004152 Total</t>
  </si>
  <si>
    <t>004153 Total</t>
  </si>
  <si>
    <t>004161 Total</t>
  </si>
  <si>
    <t>004162 Total</t>
  </si>
  <si>
    <t>004169 Total</t>
  </si>
  <si>
    <t>004174 Total</t>
  </si>
  <si>
    <t>004177 Total</t>
  </si>
  <si>
    <t>004179 Total</t>
  </si>
  <si>
    <t>004182 Total</t>
  </si>
  <si>
    <t>004195 Total</t>
  </si>
  <si>
    <t>004197 Total</t>
  </si>
  <si>
    <t>004198 Total</t>
  </si>
  <si>
    <t>004199 Total</t>
  </si>
  <si>
    <t>004204 Total</t>
  </si>
  <si>
    <t>004207 Total</t>
  </si>
  <si>
    <t>004213 Total</t>
  </si>
  <si>
    <t>004214 Total</t>
  </si>
  <si>
    <t>004216 Total</t>
  </si>
  <si>
    <t>004221 Total</t>
  </si>
  <si>
    <t>004233 Total</t>
  </si>
  <si>
    <t>004240 Total</t>
  </si>
  <si>
    <t>004241 Total</t>
  </si>
  <si>
    <t>004248 Total</t>
  </si>
  <si>
    <t>004255 Total</t>
  </si>
  <si>
    <t>004257 Total</t>
  </si>
  <si>
    <t>004259 Total</t>
  </si>
  <si>
    <t>004262 Total</t>
  </si>
  <si>
    <t>004265 Total</t>
  </si>
  <si>
    <t>004266 Total</t>
  </si>
  <si>
    <t>004267 Total</t>
  </si>
  <si>
    <t>004271 Total</t>
  </si>
  <si>
    <t>004272 Total</t>
  </si>
  <si>
    <t>004275 Total</t>
  </si>
  <si>
    <t>004279 Total</t>
  </si>
  <si>
    <t>004282 Total</t>
  </si>
  <si>
    <t>004285 Total</t>
  </si>
  <si>
    <t>004287 Total</t>
  </si>
  <si>
    <t>004288 Total</t>
  </si>
  <si>
    <t>004298 Total</t>
  </si>
  <si>
    <t>004301 Total</t>
  </si>
  <si>
    <t>004311 Total</t>
  </si>
  <si>
    <t>004315 Total</t>
  </si>
  <si>
    <t>004320 Total</t>
  </si>
  <si>
    <t>004324 Total</t>
  </si>
  <si>
    <t>004325 Total</t>
  </si>
  <si>
    <t>004332 Total</t>
  </si>
  <si>
    <t>004337 Total</t>
  </si>
  <si>
    <t>004343 Total</t>
  </si>
  <si>
    <t>004354 Total</t>
  </si>
  <si>
    <t>004360 Total</t>
  </si>
  <si>
    <t>004362 Total</t>
  </si>
  <si>
    <t>004364 Total</t>
  </si>
  <si>
    <t>004365 Total</t>
  </si>
  <si>
    <t>004369 Total</t>
  </si>
  <si>
    <t>004374 Total</t>
  </si>
  <si>
    <t>004375 Total</t>
  </si>
  <si>
    <t>004376 Total</t>
  </si>
  <si>
    <t>004379 Total</t>
  </si>
  <si>
    <t>004380 Total</t>
  </si>
  <si>
    <t>004381 Total</t>
  </si>
  <si>
    <t>004382 Total</t>
  </si>
  <si>
    <t>004385 Total</t>
  </si>
  <si>
    <t>004387 Total</t>
  </si>
  <si>
    <t>004389 Total</t>
  </si>
  <si>
    <t>004394 Total</t>
  </si>
  <si>
    <t>004396 Total</t>
  </si>
  <si>
    <t>004400 Total</t>
  </si>
  <si>
    <t>004407 Total</t>
  </si>
  <si>
    <t>004408 Total</t>
  </si>
  <si>
    <t>004413 Total</t>
  </si>
  <si>
    <t>004414 Total</t>
  </si>
  <si>
    <t>004416 Total</t>
  </si>
  <si>
    <t>004422 Total</t>
  </si>
  <si>
    <t>004427 Total</t>
  </si>
  <si>
    <t>004428 Total</t>
  </si>
  <si>
    <t>004430 Total</t>
  </si>
  <si>
    <t>004442 Total</t>
  </si>
  <si>
    <t>004443 Total</t>
  </si>
  <si>
    <t>004444 Total</t>
  </si>
  <si>
    <t>004448 Total</t>
  </si>
  <si>
    <t>004450 Total</t>
  </si>
  <si>
    <t>004453 Total</t>
  </si>
  <si>
    <t>004459 Total</t>
  </si>
  <si>
    <t>004460 Total</t>
  </si>
  <si>
    <t>004463 Total</t>
  </si>
  <si>
    <t>004464 Total</t>
  </si>
  <si>
    <t>004468 Total</t>
  </si>
  <si>
    <t>004474 Total</t>
  </si>
  <si>
    <t>004477 Total</t>
  </si>
  <si>
    <t>004480 Total</t>
  </si>
  <si>
    <t>004481 Total</t>
  </si>
  <si>
    <t>004483 Total</t>
  </si>
  <si>
    <t>004485 Total</t>
  </si>
  <si>
    <t>004486 Total</t>
  </si>
  <si>
    <t>004488 Total</t>
  </si>
  <si>
    <t>004498 Total</t>
  </si>
  <si>
    <t>004499 Total</t>
  </si>
  <si>
    <t>004501 Total</t>
  </si>
  <si>
    <t>004510 Total</t>
  </si>
  <si>
    <t>004515 Total</t>
  </si>
  <si>
    <t>004523 Total</t>
  </si>
  <si>
    <t>004525 Total</t>
  </si>
  <si>
    <t>004531 Total</t>
  </si>
  <si>
    <t>004536 Total</t>
  </si>
  <si>
    <t>004547 Total</t>
  </si>
  <si>
    <t>004557 Total</t>
  </si>
  <si>
    <t>004559 Total</t>
  </si>
  <si>
    <t>004566 Total</t>
  </si>
  <si>
    <t>004567 Total</t>
  </si>
  <si>
    <t>004571 Total</t>
  </si>
  <si>
    <t>004574 Total</t>
  </si>
  <si>
    <t>004575 Total</t>
  </si>
  <si>
    <t>004576 Total</t>
  </si>
  <si>
    <t>004582 Total</t>
  </si>
  <si>
    <t>004585 Total</t>
  </si>
  <si>
    <t>004587 Total</t>
  </si>
  <si>
    <t>004588 Total</t>
  </si>
  <si>
    <t>004590 Total</t>
  </si>
  <si>
    <t>004597 Total</t>
  </si>
  <si>
    <t>004598 Total</t>
  </si>
  <si>
    <t>004599 Total</t>
  </si>
  <si>
    <t>004600 Total</t>
  </si>
  <si>
    <t>004601 Total</t>
  </si>
  <si>
    <t>004602 Total</t>
  </si>
  <si>
    <t>004609 Total</t>
  </si>
  <si>
    <t>004612 Total</t>
  </si>
  <si>
    <t>004619 Total</t>
  </si>
  <si>
    <t>004622 Total</t>
  </si>
  <si>
    <t>004623 Total</t>
  </si>
  <si>
    <t>004624 Total</t>
  </si>
  <si>
    <t>004626 Total</t>
  </si>
  <si>
    <t>004629 Total</t>
  </si>
  <si>
    <t>004630 Total</t>
  </si>
  <si>
    <t>004633 Total</t>
  </si>
  <si>
    <t>004637 Total</t>
  </si>
  <si>
    <t>004638 Total</t>
  </si>
  <si>
    <t>004645 Total</t>
  </si>
  <si>
    <t>004647 Total</t>
  </si>
  <si>
    <t>004648 Total</t>
  </si>
  <si>
    <t>004654 Total</t>
  </si>
  <si>
    <t>004662 Total</t>
  </si>
  <si>
    <t>004665 Total</t>
  </si>
  <si>
    <t>004669 Total</t>
  </si>
  <si>
    <t>004670 Total</t>
  </si>
  <si>
    <t>004671 Total</t>
  </si>
  <si>
    <t>004673 Total</t>
  </si>
  <si>
    <t>004888 Total</t>
  </si>
  <si>
    <t>004890 Total</t>
  </si>
  <si>
    <t>004893 Total</t>
  </si>
  <si>
    <t>004947 Total</t>
  </si>
  <si>
    <t>004948 Total</t>
  </si>
  <si>
    <t>004949 Total</t>
  </si>
  <si>
    <t>004953 Total</t>
  </si>
  <si>
    <t>004971 Total</t>
  </si>
  <si>
    <t>004972 Total</t>
  </si>
  <si>
    <t>004973 Total</t>
  </si>
  <si>
    <t>004986 Total</t>
  </si>
  <si>
    <t>005027 Total</t>
  </si>
  <si>
    <t>005028 Total</t>
  </si>
  <si>
    <t>005032 Total</t>
  </si>
  <si>
    <t>005039 Total</t>
  </si>
  <si>
    <t>005040 Total</t>
  </si>
  <si>
    <t>005042 Total</t>
  </si>
  <si>
    <t>005110 Total</t>
  </si>
  <si>
    <t>005111 Total</t>
  </si>
  <si>
    <t>005112 Total</t>
  </si>
  <si>
    <t>005113 Total</t>
  </si>
  <si>
    <t>005153 Total</t>
  </si>
  <si>
    <t>005250 Total</t>
  </si>
  <si>
    <t>005251 Total</t>
  </si>
  <si>
    <t>005270 Total</t>
  </si>
  <si>
    <t>005271 Total</t>
  </si>
  <si>
    <t>005294 Total</t>
  </si>
  <si>
    <t>005295 Total</t>
  </si>
  <si>
    <t>005296 Total</t>
  </si>
  <si>
    <t>005332 Total</t>
  </si>
  <si>
    <t>005342 Total</t>
  </si>
  <si>
    <t>005394 Total</t>
  </si>
  <si>
    <t>005396 Total</t>
  </si>
  <si>
    <t>005432 Total</t>
  </si>
  <si>
    <t>005433 Total</t>
  </si>
  <si>
    <t>005451 Total</t>
  </si>
  <si>
    <t>005462 Total</t>
  </si>
  <si>
    <t>005463 Total</t>
  </si>
  <si>
    <t>005466 Total</t>
  </si>
  <si>
    <t>005467 Total</t>
  </si>
  <si>
    <t>005492 Total</t>
  </si>
  <si>
    <t>005515 Total</t>
  </si>
  <si>
    <t>005516 Total</t>
  </si>
  <si>
    <t>005517 Total</t>
  </si>
  <si>
    <t>005551 Total</t>
  </si>
  <si>
    <t>005555 Total</t>
  </si>
  <si>
    <t>005556 Total</t>
  </si>
  <si>
    <t>005577 Total</t>
  </si>
  <si>
    <t>005592 Total</t>
  </si>
  <si>
    <t>005610 Total</t>
  </si>
  <si>
    <t>005633 Total</t>
  </si>
  <si>
    <t>005677 Total</t>
  </si>
  <si>
    <t>005679 Total</t>
  </si>
  <si>
    <t>005683 Total</t>
  </si>
  <si>
    <t>005687 Total</t>
  </si>
  <si>
    <t>005730 Total</t>
  </si>
  <si>
    <t>005732 Total</t>
  </si>
  <si>
    <t>005733 Total</t>
  </si>
  <si>
    <t>005737 Total</t>
  </si>
  <si>
    <t>005772 Total</t>
  </si>
  <si>
    <t>005773 Total</t>
  </si>
  <si>
    <t>005791 Total</t>
  </si>
  <si>
    <t>005850 Total</t>
  </si>
  <si>
    <t>005852 Total</t>
  </si>
  <si>
    <t>005854 Total</t>
  </si>
  <si>
    <t>005917 Total</t>
  </si>
  <si>
    <t>006075 Total</t>
  </si>
  <si>
    <t>006080 Total</t>
  </si>
  <si>
    <t>006111 Total</t>
  </si>
  <si>
    <t>006113 Total</t>
  </si>
  <si>
    <t>006201 Total</t>
  </si>
  <si>
    <t>006351 Total</t>
  </si>
  <si>
    <t>006356 Total</t>
  </si>
  <si>
    <t>006419 Total</t>
  </si>
  <si>
    <t>006433 Total</t>
  </si>
  <si>
    <t>006435 Total</t>
  </si>
  <si>
    <t>006473 Total</t>
  </si>
  <si>
    <t>006511 Total</t>
  </si>
  <si>
    <t>006512 Total</t>
  </si>
  <si>
    <t>006551 Total</t>
  </si>
  <si>
    <t>006552 Total</t>
  </si>
  <si>
    <t>006594 Total</t>
  </si>
  <si>
    <t>006597 Total</t>
  </si>
  <si>
    <t>006603 Total</t>
  </si>
  <si>
    <t>006666 Total</t>
  </si>
  <si>
    <t>006667 Total</t>
  </si>
  <si>
    <t>006714 Total</t>
  </si>
  <si>
    <t>006800 Total</t>
  </si>
  <si>
    <t>006910 Total</t>
  </si>
  <si>
    <t>393.1009 (5) (a), (b)</t>
  </si>
  <si>
    <t>A, B, E</t>
  </si>
  <si>
    <t>393.1009 (5) (C)</t>
  </si>
  <si>
    <t>393.1009 (5) (a) (b)</t>
  </si>
  <si>
    <t>A,B,C</t>
  </si>
  <si>
    <t>A,B</t>
  </si>
  <si>
    <t>A,B,C,D,I</t>
  </si>
  <si>
    <t>A,B,G</t>
  </si>
  <si>
    <t>A,B,C,I</t>
  </si>
  <si>
    <t>A, B, C, I</t>
  </si>
  <si>
    <t>A,B,D</t>
  </si>
  <si>
    <t>ISRS Work Order Descriptions September 2014 - December 2014</t>
  </si>
  <si>
    <t>Net Plant</t>
  </si>
  <si>
    <t>Assessed Value for Calendar 2014 Taxes</t>
  </si>
  <si>
    <t>Rate</t>
  </si>
  <si>
    <t>MGE Calendar 2014 Additions Net of Retirements</t>
  </si>
  <si>
    <t>Assessed Value as % of Net Book Value</t>
  </si>
  <si>
    <t>Property Taxes on ISRS</t>
  </si>
  <si>
    <t>Assessed Value – The assessed value is the portion of the true value in money on which taxes are based. In Missouri, the assessed value of property may not exceed 33.3 percent of its true value in money. For real property, residential property is assessed at 19 percent of its true value in money; agricultural/horticultural property is assessed at 12 percent of its productive or market value; and all other property is assessed at 32 percent of its true value in money. Most personal property is assessed at 33.3 percent of its true value in money.</t>
  </si>
  <si>
    <t xml:space="preserve">Source:  </t>
  </si>
  <si>
    <t>http://stc.mo.gov/definitions/</t>
  </si>
  <si>
    <t>MGE</t>
  </si>
  <si>
    <t>MISSOURI GAS ENERGY</t>
  </si>
  <si>
    <t>STATE</t>
  </si>
  <si>
    <t>COUNTY</t>
  </si>
  <si>
    <t>TAXABLE VALUE</t>
  </si>
  <si>
    <t>RATE</t>
  </si>
  <si>
    <t>TAXES</t>
  </si>
  <si>
    <t>NOTES</t>
  </si>
  <si>
    <t>% Change TV</t>
  </si>
  <si>
    <t>% Change Tax</t>
  </si>
  <si>
    <t>FL</t>
  </si>
  <si>
    <t>DADE</t>
  </si>
  <si>
    <t>DALLAS</t>
  </si>
  <si>
    <t>KS</t>
  </si>
  <si>
    <t>ALLEN</t>
  </si>
  <si>
    <t>NO BILLS DURING LITIGATION</t>
  </si>
  <si>
    <t>ANDERSON</t>
  </si>
  <si>
    <t>CHAUTAUQUA</t>
  </si>
  <si>
    <t>ELK</t>
  </si>
  <si>
    <t>JEFFERSON</t>
  </si>
  <si>
    <t>LEAVENWORTH</t>
  </si>
  <si>
    <t>MEADE</t>
  </si>
  <si>
    <t>MONTGOMERY</t>
  </si>
  <si>
    <t>RICE</t>
  </si>
  <si>
    <t>WOODSON</t>
  </si>
  <si>
    <t>MO</t>
  </si>
  <si>
    <t>ANDREW COUNTY</t>
  </si>
  <si>
    <t>BARRY COUNTY</t>
  </si>
  <si>
    <t>BARTON COUNTY</t>
  </si>
  <si>
    <t>BATES COUNTY</t>
  </si>
  <si>
    <t>*</t>
  </si>
  <si>
    <t>BUCHANAN COUNTY</t>
  </si>
  <si>
    <t>CARROLL COUNTY</t>
  </si>
  <si>
    <t>CASS COUNTY</t>
  </si>
  <si>
    <t>CEDAR COUNTY</t>
  </si>
  <si>
    <t>**</t>
  </si>
  <si>
    <t>CHRISTIAN COUNTY</t>
  </si>
  <si>
    <t>CLAY COUNTY</t>
  </si>
  <si>
    <t>CLINTON COUNTY</t>
  </si>
  <si>
    <t>COOPER COUNTY</t>
  </si>
  <si>
    <t>DADE COUNTY</t>
  </si>
  <si>
    <t>DEKALB COUNTY</t>
  </si>
  <si>
    <t>GREENE COUNTY</t>
  </si>
  <si>
    <t>HENRY COUNTY</t>
  </si>
  <si>
    <t>HOWARD COUNTY</t>
  </si>
  <si>
    <t>JACKSON COUNTY</t>
  </si>
  <si>
    <t>JASPER COUNTY</t>
  </si>
  <si>
    <t>JOHNSON COUNTY</t>
  </si>
  <si>
    <t>LAFAYETTE COUNTY</t>
  </si>
  <si>
    <t>LAWRENCE COUNTY</t>
  </si>
  <si>
    <t>MCDONALD COUNTY</t>
  </si>
  <si>
    <t>MONITEAU COUNTY</t>
  </si>
  <si>
    <t>NEWTON COUNTY</t>
  </si>
  <si>
    <t>PETTIS COUNTY</t>
  </si>
  <si>
    <t>PLATTE COUNTY</t>
  </si>
  <si>
    <t>RAY COUNTY</t>
  </si>
  <si>
    <t>SALINE COUNTY</t>
  </si>
  <si>
    <t>STONE COUNTY</t>
  </si>
  <si>
    <t>VERNON COUNTY</t>
  </si>
  <si>
    <t>OK</t>
  </si>
  <si>
    <t>GRANT</t>
  </si>
  <si>
    <t>WOODS</t>
  </si>
  <si>
    <t>average</t>
  </si>
  <si>
    <t>* Cities billed separately but included in total tax</t>
  </si>
  <si>
    <t>** Includes bills paid thru GOI</t>
  </si>
  <si>
    <t xml:space="preserve">Assessed Value  % </t>
  </si>
  <si>
    <t>20201143455</t>
  </si>
  <si>
    <t>20925143475</t>
  </si>
  <si>
    <t>20201143520</t>
  </si>
  <si>
    <t>005210</t>
  </si>
  <si>
    <t>35th Ter &amp; Pittman Repl PBS w 4120'</t>
  </si>
  <si>
    <t>20201143547</t>
  </si>
  <si>
    <t>005273</t>
  </si>
  <si>
    <t>35th &amp; Evanston Tie exist PEtoC-500</t>
  </si>
  <si>
    <t>20902143584</t>
  </si>
  <si>
    <t>20501143573</t>
  </si>
  <si>
    <t>20401143344</t>
  </si>
  <si>
    <t>005630</t>
  </si>
  <si>
    <t>56 &amp; Troost Repl CU/CI w 175'-2 PE;</t>
  </si>
  <si>
    <t>21001143596</t>
  </si>
  <si>
    <t>006355</t>
  </si>
  <si>
    <t>PBS Replacement</t>
  </si>
  <si>
    <t>20501143695</t>
  </si>
  <si>
    <t>20806143872</t>
  </si>
  <si>
    <t>006669</t>
  </si>
  <si>
    <t>Repl 2in PCS due to CP Main and</t>
  </si>
  <si>
    <t>21001143860</t>
  </si>
  <si>
    <t>006790</t>
  </si>
  <si>
    <t>Replace 202ft of PBS with 202ft of</t>
  </si>
  <si>
    <t>20401143807</t>
  </si>
  <si>
    <t>006844</t>
  </si>
  <si>
    <t>2in PCS Replacement</t>
  </si>
  <si>
    <t>20401143849</t>
  </si>
  <si>
    <t>006918</t>
  </si>
  <si>
    <t>AOR Replace CI w/ 1,530ft-4in PE</t>
  </si>
  <si>
    <t>20401143985</t>
  </si>
  <si>
    <t>006970</t>
  </si>
  <si>
    <t>4in PBS Replacement James A Ree</t>
  </si>
  <si>
    <t>21251144040</t>
  </si>
  <si>
    <t>007197</t>
  </si>
  <si>
    <t>2in PCS replacement</t>
  </si>
  <si>
    <t>20323144062</t>
  </si>
  <si>
    <t>007330</t>
  </si>
  <si>
    <t>HOUSTONIA GROUNDBED REPLACEMENT</t>
  </si>
  <si>
    <t>20501143892</t>
  </si>
  <si>
    <t>20806144003</t>
  </si>
  <si>
    <t>007171</t>
  </si>
  <si>
    <t>Relocate 2in Steel Main due to Road</t>
  </si>
  <si>
    <t>20401132773</t>
  </si>
  <si>
    <t>004003</t>
  </si>
  <si>
    <t>Relocate DRS 258 Mayfair</t>
  </si>
  <si>
    <t xml:space="preserve">380200-Services </t>
  </si>
  <si>
    <t>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t>
  </si>
  <si>
    <t>Approved by: Kevin Driskell on 11/06/2014,  Replace a total of 80' of 2'' PCS (57' WO- A5579D and 23' WO- 761745) with 2'' PCS due to leaks. Make sure to bottle the old tap on the 12'' PCS. Pressure system C-039 MOP 135psig. Pressure test at 230psig.</t>
  </si>
  <si>
    <t>Approved by: Kevin Driskell on 12/16/2014,  Replace 4' of 2'' PCS due to leak.</t>
  </si>
  <si>
    <t>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t>
  </si>
  <si>
    <t>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t>
  </si>
  <si>
    <t>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t>
  </si>
  <si>
    <t>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t>
  </si>
  <si>
    <t>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t>
  </si>
  <si>
    <t>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t>
  </si>
  <si>
    <t>Approved by: Gary Williams on 09/08/2014,  Replace PBS for down project. Pressure system C-10</t>
  </si>
  <si>
    <t>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t>
  </si>
  <si>
    <t>Approved by: Galen Shoemaker on 10/10/2014,  Abandon 86' - 2" PCS (WO#: 63-1367) and insert 85' - 1 1/4" PE due to CP 14-50 and short section of isolated bare steel. Project Location: Main and Washington; Pressure System: C-2; MOP: 4 psig; MAOP: 42 psig; Design: 58 psig; Test: 100 psig; $73.67/ft</t>
  </si>
  <si>
    <t>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t>
  </si>
  <si>
    <t>Approved by: Kevin Driskell on 11/21/2014,  Replace 385' of 4" Bare Steel pipe with 530' of 4" PE due to leak on above ground creek crossing (leaks are at pipe supports). Existing 4" bare steel lays in blanket easement and will replace in road ROW due to creek crossing.</t>
  </si>
  <si>
    <t>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t>
  </si>
  <si>
    <t>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t>
  </si>
  <si>
    <t>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t>
  </si>
  <si>
    <t>Fiscal Year 2015 tax depreciation with 50% bonus for 2014 Additions</t>
  </si>
  <si>
    <t>Fiscal Year 2015 tax depreciation with no bonus for 2015 Additions</t>
  </si>
  <si>
    <t>Depreciation Expense through May 2015</t>
  </si>
  <si>
    <t>20401144046</t>
  </si>
  <si>
    <t>007316</t>
  </si>
  <si>
    <t>AOR 4in CI Replacement</t>
  </si>
  <si>
    <t>21201050309</t>
  </si>
  <si>
    <t>003928</t>
  </si>
  <si>
    <t>20901050362</t>
  </si>
  <si>
    <t>003979</t>
  </si>
  <si>
    <t>F0627</t>
  </si>
  <si>
    <t>20501133213</t>
  </si>
  <si>
    <t>004458</t>
  </si>
  <si>
    <t>12th &amp; Joplin Ave Repl PBS w 1355'-</t>
  </si>
  <si>
    <t>20802143485</t>
  </si>
  <si>
    <t>20201143515</t>
  </si>
  <si>
    <t>20401143709</t>
  </si>
  <si>
    <t>005956</t>
  </si>
  <si>
    <t>River Market Rectifier and Groundbe</t>
  </si>
  <si>
    <t>21001143745</t>
  </si>
  <si>
    <t>006085</t>
  </si>
  <si>
    <t>OSAGE RECTIFIER GROUND BED REPLACEM</t>
  </si>
  <si>
    <t>20909143711</t>
  </si>
  <si>
    <t>20501143694</t>
  </si>
  <si>
    <t>006668</t>
  </si>
  <si>
    <t>Repl with 510ft of 4in PE due to CP</t>
  </si>
  <si>
    <t>20901143903</t>
  </si>
  <si>
    <t>006762</t>
  </si>
  <si>
    <t>Replace pbs main</t>
  </si>
  <si>
    <t>20401143829</t>
  </si>
  <si>
    <t>006836</t>
  </si>
  <si>
    <t>CI Break Repl w/1630ft of 4in PE an</t>
  </si>
  <si>
    <t>20401143742</t>
  </si>
  <si>
    <t>006916</t>
  </si>
  <si>
    <t>51st and Woodland CI Replacement</t>
  </si>
  <si>
    <t>21001155069</t>
  </si>
  <si>
    <t>007480</t>
  </si>
  <si>
    <t>Repl  500ft of 3in &amp; 4in B.S. w/ 4i</t>
  </si>
  <si>
    <t>20501122022</t>
  </si>
  <si>
    <t>20902143624</t>
  </si>
  <si>
    <t>20501143693</t>
  </si>
  <si>
    <t>006431</t>
  </si>
  <si>
    <t>Relocate Main Due to Sidewalk Proje</t>
  </si>
  <si>
    <t>20401143595</t>
  </si>
  <si>
    <t>006915</t>
  </si>
  <si>
    <t>Replace BS with 2in and 4in</t>
  </si>
  <si>
    <t>20501144049</t>
  </si>
  <si>
    <t>007326</t>
  </si>
  <si>
    <t>Relocate 3in PBS Due to Storm Impro</t>
  </si>
  <si>
    <t>Service/Yard Line Replacement (SLRP): Company Crew.  Block by Block - Planned replacement of all unprotected steel or copper in a single block.  (Lees Summitt - East Region)</t>
  </si>
  <si>
    <t>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t>
  </si>
  <si>
    <t>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t>
  </si>
  <si>
    <t>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t>
  </si>
  <si>
    <t>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t>
  </si>
  <si>
    <t>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t>
  </si>
  <si>
    <t>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t>
  </si>
  <si>
    <t>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t>
  </si>
  <si>
    <t>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t>
  </si>
  <si>
    <t>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t>
  </si>
  <si>
    <t>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t>
  </si>
  <si>
    <t>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t>
  </si>
  <si>
    <t>Approved by: Steve Holcomb on 11/07/2014,  Replace 4in CI with 1,630ft-4in PE and 60ft-12in thin film due to cast iron breaks.  This job must be completed by Mar. 12, 2015.  Tie-over 31 services.  Replace 14 services.</t>
  </si>
  <si>
    <t>Approved by: Donnie Richards on 11/12/2014,  (ISRS). Replace 4" PBS, 2" PBS, and 3" PCS due to public improvement project.  Lay 475'-4in PE and 180'-2in PE.</t>
  </si>
  <si>
    <t>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t>
  </si>
  <si>
    <t>Approved by: Gary Williams on 12/31/2014,  Replace due to AOR at 1227 Stratford Rd (Coupling exposed). CI break 13-1045 will also be taken care of in this replacement. Install 240' of 4'' PE. 1224 nd 1232 Stratford Rd are replacement services. 4 tie overs. Bypass needed.</t>
  </si>
  <si>
    <t>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t>
  </si>
  <si>
    <t>Approved by: Gary Williams on 01/19/2015,  Replace 500ft of 3in &amp; 4in Bare Steel with 4in Plastic Pipe due to down project.</t>
  </si>
  <si>
    <t>Line Locates - Service Line Replacements Only (Clay County - KC - South Region)</t>
  </si>
  <si>
    <t>2014 Retirements</t>
  </si>
  <si>
    <t>003928 Total</t>
  </si>
  <si>
    <t>003979 Total</t>
  </si>
  <si>
    <t>003999 Total</t>
  </si>
  <si>
    <t>004003 Total</t>
  </si>
  <si>
    <t>004458 Total</t>
  </si>
  <si>
    <t>004889 Total</t>
  </si>
  <si>
    <t>005008 Total</t>
  </si>
  <si>
    <t>005029 Total</t>
  </si>
  <si>
    <t>005210 Total</t>
  </si>
  <si>
    <t>005273 Total</t>
  </si>
  <si>
    <t>005291 Total</t>
  </si>
  <si>
    <t>005395 Total</t>
  </si>
  <si>
    <t>005490 Total</t>
  </si>
  <si>
    <t>005530 Total</t>
  </si>
  <si>
    <t>005630 Total</t>
  </si>
  <si>
    <t>005956 Total</t>
  </si>
  <si>
    <t>006085 Total</t>
  </si>
  <si>
    <t>006196 Total</t>
  </si>
  <si>
    <t>006355 Total</t>
  </si>
  <si>
    <t>006431 Total</t>
  </si>
  <si>
    <t>006664 Total</t>
  </si>
  <si>
    <t>006668 Total</t>
  </si>
  <si>
    <t>006669 Total</t>
  </si>
  <si>
    <t>006734 Total</t>
  </si>
  <si>
    <t>006762 Total</t>
  </si>
  <si>
    <t>006790 Total</t>
  </si>
  <si>
    <t>006836 Total</t>
  </si>
  <si>
    <t>006844 Total</t>
  </si>
  <si>
    <t>006915 Total</t>
  </si>
  <si>
    <t>006916 Total</t>
  </si>
  <si>
    <t>006918 Total</t>
  </si>
  <si>
    <t>006970 Total</t>
  </si>
  <si>
    <t>007171 Total</t>
  </si>
  <si>
    <t>007197 Total</t>
  </si>
  <si>
    <t>007316 Total</t>
  </si>
  <si>
    <t>007326 Total</t>
  </si>
  <si>
    <t>007330 Total</t>
  </si>
  <si>
    <t>007480 Total</t>
  </si>
</sst>
</file>

<file path=xl/styles.xml><?xml version="1.0" encoding="utf-8"?>
<styleSheet xmlns="http://schemas.openxmlformats.org/spreadsheetml/2006/main">
  <numFmts count="15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
    <numFmt numFmtId="165" formatCode="[$-409]mmm\-yy;@"/>
    <numFmt numFmtId="166" formatCode="0.0"/>
    <numFmt numFmtId="167" formatCode="_(* #,##0_);_(* \(#,##0\);_(* &quot;-&quot;??_);_(@_)"/>
    <numFmt numFmtId="168" formatCode="0.0000%"/>
    <numFmt numFmtId="169" formatCode="0.000%"/>
    <numFmt numFmtId="170" formatCode="_(&quot;$&quot;* #,##0_);_(&quot;$&quot;* \(#,##0\);_(&quot;$&quot;* &quot;-&quot;??_);_(@_)"/>
    <numFmt numFmtId="171" formatCode="&quot;$&quot;#,##0.00"/>
    <numFmt numFmtId="172" formatCode="_(* #,##0.0000_);_(* \(#,##0.0000\);_(* &quot;-&quot;??_);_(@_)"/>
    <numFmt numFmtId="173" formatCode="_(&quot;$&quot;* #,##0.0000_);_(&quot;$&quot;* \(#,##0.0000\);_(&quot;$&quot;* &quot;-&quot;??_);_(@_)"/>
    <numFmt numFmtId="174" formatCode="_(* #,##0.0_);_(* \(#,##0.0\);_(* &quot;-&quot;??_);_(@_)"/>
    <numFmt numFmtId="175" formatCode="#,##0.0_);[Red]\(#,##0.0\)"/>
    <numFmt numFmtId="176" formatCode="_(&quot;$&quot;#,##0,,_);[Red]\(&quot;$&quot;#,##0,,\)"/>
    <numFmt numFmtId="177" formatCode="&quot;$&quot;#,##0.0,_);[Red]\(&quot;$&quot;#,##0.0,\)"/>
    <numFmt numFmtId="178" formatCode="&quot;$&quot;#,##0.0,,_);[Red]\(&quot;$&quot;#,##0.0,,\)"/>
    <numFmt numFmtId="179" formatCode="#,##0.00,,_);[Red]\(#,##0.00,,\)"/>
    <numFmt numFmtId="180" formatCode="0%;[Red]\(0%\)"/>
    <numFmt numFmtId="181" formatCode="&quot;$&quot;#,##0,_);[Red]\(&quot;$&quot;#,##0,\)"/>
    <numFmt numFmtId="182" formatCode="_(&quot;$&quot;#,##0,,_);\(&quot;$&quot;#,##0,,\)"/>
    <numFmt numFmtId="183" formatCode="#,##0,,_);\(#,##0,,\)"/>
    <numFmt numFmtId="184" formatCode="#,##0,,_);[Red]\(#,##0,,\)"/>
    <numFmt numFmtId="185" formatCode="#,##0,_);\(#,##0,\)"/>
    <numFmt numFmtId="186" formatCode="#,##0.000_);[Red]\(#,##0.000\)"/>
    <numFmt numFmtId="187" formatCode="0%_);[Red]\(0%\)"/>
    <numFmt numFmtId="188" formatCode="0&quot;A&quot;"/>
    <numFmt numFmtId="189" formatCode="&quot;$&quot;#,##0.0000_);[Red]\(&quot;$&quot;#,##0.0000\)"/>
    <numFmt numFmtId="190" formatCode="0.0%"/>
    <numFmt numFmtId="191" formatCode="0&quot;yr&quot;"/>
    <numFmt numFmtId="192" formatCode="0.000000"/>
    <numFmt numFmtId="193" formatCode="0.0000000"/>
    <numFmt numFmtId="194" formatCode="#,##0.0,_);[Red]\(#,##0.0,\)"/>
    <numFmt numFmtId="195" formatCode="#,##0.0,,_);[Red]\(#,##0.0,,\)"/>
    <numFmt numFmtId="196" formatCode="0.00%;[Red]\(0.00%\)"/>
    <numFmt numFmtId="197" formatCode="0."/>
    <numFmt numFmtId="198" formatCode="_(&quot;$&quot;* #,##0_);_(&quot;$&quot;* \(#,##0\);_(&quot;$&quot;* &quot;--- &quot;_)"/>
    <numFmt numFmtId="199" formatCode="&quot;Ann'l Incr= &quot;0.0%"/>
    <numFmt numFmtId="200" formatCode="&quot;$&quot;#,##0"/>
    <numFmt numFmtId="201" formatCode="m/d/yy\ hh:mm"/>
    <numFmt numFmtId="202" formatCode="General_)"/>
    <numFmt numFmtId="203" formatCode="0.000"/>
    <numFmt numFmtId="204" formatCode="0.000&quot;  &quot;"/>
    <numFmt numFmtId="205" formatCode="0.0000&quot;  &quot;"/>
    <numFmt numFmtId="206" formatCode="0.0&quot;  &quot;"/>
    <numFmt numFmtId="207" formatCode="0.00000&quot;  &quot;"/>
    <numFmt numFmtId="208" formatCode="#,##0_)_%;\(#,##0\)_%;"/>
    <numFmt numFmtId="209" formatCode="_(* #,##0.0_);[Red]_(* \(#,##0.0\);_(* &quot;-&quot;??_);_(@_)"/>
    <numFmt numFmtId="210" formatCode="_(* #,##0.00_);[Red]_(* \(#,##0.00\);_(* &quot;-&quot;??_);_(@_)"/>
    <numFmt numFmtId="211" formatCode="_(* #,##0_);[Red]_(* \(#,##0\);_(* &quot;-&quot;_);_(@_)"/>
    <numFmt numFmtId="212" formatCode="#,##0_%_);\(#,##0\)_%;#,##0_%_);@_%_)"/>
    <numFmt numFmtId="213" formatCode="#,##0_%_);\(#,##0\)_%;**;@_%_)"/>
    <numFmt numFmtId="214" formatCode="_._.* #,##0.0_)_%;_._.* \(#,##0.0\)_%"/>
    <numFmt numFmtId="215" formatCode="#,##0.0_)_%;\(#,##0.0\)_%;\ \ .0_)_%"/>
    <numFmt numFmtId="216" formatCode="_._.* #,##0.00_)_%;_._.* \(#,##0.00\)_%"/>
    <numFmt numFmtId="217" formatCode="#,##0.00_)_%;\(#,##0.00\)_%;\ \ .00_)_%"/>
    <numFmt numFmtId="218" formatCode="_._.* #,##0.000_)_%;_._.* \(#,##0.000\)_%"/>
    <numFmt numFmtId="219" formatCode="#,##0.000_)_%;\(#,##0.000\)_%;\ \ .000_)_%"/>
    <numFmt numFmtId="220" formatCode="_(* #,##0.00_);_(* \(\ #,##0.00\ \);_(* &quot;-&quot;??_);_(\ @_ \)"/>
    <numFmt numFmtId="221" formatCode="#,##0.0"/>
    <numFmt numFmtId="222" formatCode="#,##0.000"/>
    <numFmt numFmtId="223" formatCode="_._.* \(#,##0\)_%;_._.* #,##0_)_%;_._.* 0_)_%;_._.@_)_%"/>
    <numFmt numFmtId="224" formatCode="_._.&quot;$&quot;* \(#,##0\)_%;_._.&quot;$&quot;* #,##0_)_%;_._.&quot;$&quot;* 0_)_%;_._.@_)_%"/>
    <numFmt numFmtId="225" formatCode="* \(#,##0\);* #,##0_);&quot;-&quot;??_);@"/>
    <numFmt numFmtId="226" formatCode="&quot;$&quot;* #,##0_)_%;&quot;$&quot;* \(#,##0\)_%;&quot;$&quot;* &quot;-&quot;??_)_%;@_)_%"/>
    <numFmt numFmtId="227" formatCode="&quot;$&quot;#,##0.0_);[Red]\(&quot;$&quot;#,##0.0\)"/>
    <numFmt numFmtId="228" formatCode="_(&quot;$&quot;#,##0.00_);_(&quot;$&quot;\(#,##0\);_(&quot;$&quot;&quot;-&quot;??_);_(@_)"/>
    <numFmt numFmtId="229" formatCode="_(&quot;$&quot;#,##0.00_);[Red]_(&quot;$&quot;\(#,##0.00\);_(&quot;$&quot;&quot;-&quot;??_);_(@_)"/>
    <numFmt numFmtId="230" formatCode="_(&quot;$&quot;0.00_);[Red]_(&quot;$&quot;\(0.00\);_(&quot;$&quot;&quot;-&quot;_);_(@_)"/>
    <numFmt numFmtId="231" formatCode="_(&quot;$&quot;#,##0_);[Red]_(&quot;$&quot;\(#,##0\);_(&quot;$&quot;&quot;-&quot;_);_(@_)"/>
    <numFmt numFmtId="232" formatCode="&quot;$&quot;#,##0_%_);\(&quot;$&quot;#,##0\)_%;&quot;$&quot;#,##0_%_);@_%_)"/>
    <numFmt numFmtId="233" formatCode="_._.&quot;$&quot;* #,##0.0_)_%;_._.&quot;$&quot;* \(#,##0.0\)_%"/>
    <numFmt numFmtId="234" formatCode="&quot;$&quot;* #,##0.0_)_%;&quot;$&quot;* \(#,##0.0\)_%;&quot;$&quot;* \ .0_)_%"/>
    <numFmt numFmtId="235" formatCode="_._.&quot;$&quot;* #,##0.00_)_%;_._.&quot;$&quot;* \(#,##0.00\)_%"/>
    <numFmt numFmtId="236" formatCode="&quot;$&quot;* #,##0.00_)_%;&quot;$&quot;* \(#,##0.00\)_%;&quot;$&quot;* \ .00_)_%"/>
    <numFmt numFmtId="237" formatCode="_._.&quot;$&quot;* #,##0.000_)_%;_._.&quot;$&quot;* \(#,##0.000\)_%"/>
    <numFmt numFmtId="238" formatCode="&quot;$&quot;* #,##0.000_)_%;&quot;$&quot;* \(#,##0.000\)_%;&quot;$&quot;* \ .000_)_%"/>
    <numFmt numFmtId="239" formatCode="&quot;$&quot;#,##0\ ;\(&quot;$&quot;#,##0\)"/>
    <numFmt numFmtId="240" formatCode="#,##0.0_);\(#,##0.0\)"/>
    <numFmt numFmtId="241" formatCode="#,##0.000_);\(#,##0.000\)"/>
    <numFmt numFmtId="242" formatCode="#,##0.000\ ;\(#,##0.000\)"/>
    <numFmt numFmtId="243" formatCode="mmm\-d\-yyyy"/>
    <numFmt numFmtId="244" formatCode="m/d/yy_%_)"/>
    <numFmt numFmtId="245" formatCode="yyyy"/>
    <numFmt numFmtId="246" formatCode="mmmm\ d\,\ yyyy"/>
    <numFmt numFmtId="247" formatCode="* #,##0_);* \(#,##0\);&quot;-&quot;??_);@"/>
    <numFmt numFmtId="248" formatCode="#.000000\ \O\R\R\I"/>
    <numFmt numFmtId="249" formatCode="#.000000\ \R\I"/>
    <numFmt numFmtId="250" formatCode="#.000000\ \W\I"/>
    <numFmt numFmtId="251" formatCode="_-* #,##0_-;\-* #,##0_-;_-* &quot;-&quot;_-;_-@_-"/>
    <numFmt numFmtId="252" formatCode="_-* #,##0.00_-;\-* #,##0.00_-;_-* &quot;-&quot;??_-;_-@_-"/>
    <numFmt numFmtId="253" formatCode="0&quot;Mths&quot;"/>
    <numFmt numFmtId="254" formatCode="0_%_);\(0\)_%;0_%_);@_%_)"/>
    <numFmt numFmtId="255" formatCode="_([$€-2]* #,##0.00_);_([$€-2]* \(#,##0.00\);_([$€-2]* &quot;-&quot;??_)"/>
    <numFmt numFmtId="256" formatCode="_ &quot;\&quot;* #,##0.00_ ;_ &quot;\&quot;* &quot;\&quot;&quot;\&quot;&quot;\&quot;&quot;\&quot;&quot;\&quot;\-#,##0.00_ ;_ &quot;\&quot;* &quot;-&quot;??_ ;_ @_ "/>
    <numFmt numFmtId="257" formatCode="\«#,##0;_(* #,##0;_(* &quot;-&quot;??_);_(@_)"/>
    <numFmt numFmtId="258" formatCode="[Black][&gt;10]&quot;$&quot;#,##0_);[Red][&lt;0]\(#,##0\);[Blue]0.0%"/>
    <numFmt numFmtId="259" formatCode="#,###,##0;\(#,###,##0\)"/>
    <numFmt numFmtId="260" formatCode="&quot;$&quot;#,##0_);\(\ &quot;$&quot;#,##0\ \)"/>
    <numFmt numFmtId="261" formatCode="#,###,##0.00;\(#,###,##0.00\)"/>
    <numFmt numFmtId="262" formatCode="000000"/>
    <numFmt numFmtId="263" formatCode="&quot;$&quot;#,###,##0;\(&quot;$&quot;#,###,##0\)"/>
    <numFmt numFmtId="264" formatCode="&quot;$&quot;#,###,##0.00;\(&quot;$&quot;#,###,##0.00\)"/>
    <numFmt numFmtId="265" formatCode="#,##0.00%;\(#,##0.00%\)"/>
    <numFmt numFmtId="266" formatCode="0.00%_);[Red]\(0.00%\)"/>
    <numFmt numFmtId="267" formatCode="0.0\%_);\(0.0\%\);0.0\%_);@_%_)"/>
    <numFmt numFmtId="268" formatCode="#,##0.00&quot; $&quot;;\-#,##0.00&quot; $&quot;"/>
    <numFmt numFmtId="269" formatCode="yy&quot;\&quot;&quot;\&quot;&quot;\&quot;\-mm&quot;\&quot;&quot;\&quot;&quot;\&quot;\-dd&quot;\&quot;&quot;\&quot;&quot;\&quot;&quot;\&quot;\ h:mm"/>
    <numFmt numFmtId="270" formatCode=";;;"/>
    <numFmt numFmtId="271" formatCode="&quot;0&quot;##0"/>
    <numFmt numFmtId="272" formatCode="#,##0;[Red]\(#,##0\)"/>
    <numFmt numFmtId="273" formatCode="0000"/>
    <numFmt numFmtId="274" formatCode="#,##0&quot; Mi&quot;"/>
    <numFmt numFmtId="275" formatCode="_ * #,##0_ ;_ * \-#,##0_ ;_ * &quot;-&quot;_ ;_ @_ "/>
    <numFmt numFmtId="276" formatCode="_ * #,##0.00_ ;_ * \-#,##0.00_ ;_ * &quot;-&quot;??_ ;_ @_ "/>
    <numFmt numFmtId="277" formatCode="#,##0.00_)&quot; mills&quot;;[Red]\(#,##0.00\)&quot; mills&quot;"/>
    <numFmt numFmtId="278" formatCode="#,##0_)&quot;mo&quot;;[Red]\(#,##0\)&quot; mo&quot;"/>
    <numFmt numFmtId="279" formatCode="#,##0_)&quot;mo. end&quot;;[Red]\(#,##0\)"/>
    <numFmt numFmtId="280" formatCode="_ * #,##0.00_)\ &quot;$&quot;_ ;_ * \(#,##0.00\)\ &quot;$&quot;_ ;_ * &quot;-&quot;??_)\ &quot;$&quot;_ ;_ @_ "/>
    <numFmt numFmtId="281" formatCode="0.0\x_)_);&quot;NM&quot;_x_)_);0.0\x_)_);@_%_)"/>
    <numFmt numFmtId="282" formatCode="&quot;IR£&quot;#,##0.00;\-&quot;IR£&quot;#,##0.00"/>
    <numFmt numFmtId="283" formatCode="0.00_)"/>
    <numFmt numFmtId="284" formatCode="0_)%;\(0\)%"/>
    <numFmt numFmtId="285" formatCode="_._._(* 0_)%;_._.* \(0\)%"/>
    <numFmt numFmtId="286" formatCode="_(0_)%;\(0\)%"/>
    <numFmt numFmtId="287" formatCode="0%;\(0%\)"/>
    <numFmt numFmtId="288" formatCode="0.0%;[Red]\(0.0%\)"/>
    <numFmt numFmtId="289" formatCode="0.00%;\(0.00%\)"/>
    <numFmt numFmtId="290" formatCode="_(0.0_)%;\(0.0\)%"/>
    <numFmt numFmtId="291" formatCode="_._._(* 0.0_)%;_._.* \(0.0\)%"/>
    <numFmt numFmtId="292" formatCode="_(0.00_)%;\(0.00\)%"/>
    <numFmt numFmtId="293" formatCode="_._._(* 0.00_)%;_._.* \(0.00\)%"/>
    <numFmt numFmtId="294" formatCode="_(0.000_)%;\(0.000\)%"/>
    <numFmt numFmtId="295" formatCode="_._._(* 0.000_)%;_._.* \(0.000\)%"/>
    <numFmt numFmtId="296" formatCode="#,##0.0\x;\(#,##0.0\)\x"/>
    <numFmt numFmtId="297" formatCode="0.0%;\(0.0%\)"/>
    <numFmt numFmtId="298" formatCode="#,##0;\(#,###\)"/>
    <numFmt numFmtId="299" formatCode="&quot;$&quot;#,##0.0;[Red]\(&quot;$&quot;#,##0.0\)"/>
    <numFmt numFmtId="300" formatCode="#,##0.0;[Red]\(#,##0.0\)"/>
    <numFmt numFmtId="301" formatCode="#,##0;[Red]\(#,###\)"/>
    <numFmt numFmtId="302" formatCode="0.0000"/>
    <numFmt numFmtId="303" formatCode="#,##0&quot; Dys&quot;"/>
    <numFmt numFmtId="304" formatCode="#,##0.0&quot; Dys&quot;"/>
    <numFmt numFmtId="305" formatCode="#,##0&quot; Yrs&quot;"/>
    <numFmt numFmtId="306" formatCode="#,##0.0&quot; Yrs&quot;"/>
    <numFmt numFmtId="307" formatCode="#,##0;\(#,##0\)"/>
    <numFmt numFmtId="308" formatCode="#,##0.0\x;[Red]\(#,##0.0\)\x"/>
    <numFmt numFmtId="309" formatCode="_(&quot;$&quot;* #,##0.000000000_);_(&quot;$&quot;* \(#,##0.000000000\);_(&quot;$&quot;* &quot;-&quot;??_);_(@_)"/>
    <numFmt numFmtId="310" formatCode="0\ \ ;\(0\)\ \ \ "/>
  </numFmts>
  <fonts count="194">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u/>
      <sz val="10"/>
      <name val="Arial"/>
      <family val="2"/>
    </font>
    <font>
      <sz val="11"/>
      <color rgb="FF9C0006"/>
      <name val="Calibri"/>
      <family val="2"/>
      <scheme val="minor"/>
    </font>
    <font>
      <b/>
      <sz val="11"/>
      <color rgb="FFFF0000"/>
      <name val="Calibri"/>
      <family val="2"/>
      <scheme val="minor"/>
    </font>
    <font>
      <sz val="10"/>
      <color rgb="FF7030A0"/>
      <name val="Arial"/>
      <family val="2"/>
    </font>
    <font>
      <b/>
      <i/>
      <sz val="8"/>
      <name val="Arial"/>
      <family val="2"/>
    </font>
    <font>
      <b/>
      <i/>
      <sz val="10"/>
      <name val="Arial"/>
      <family val="2"/>
    </font>
    <font>
      <sz val="8"/>
      <name val="Arial"/>
      <family val="2"/>
    </font>
    <font>
      <sz val="8"/>
      <color theme="1"/>
      <name val="Calibri"/>
      <family val="2"/>
      <scheme val="minor"/>
    </font>
    <font>
      <u/>
      <sz val="8"/>
      <name val="Arial"/>
      <family val="2"/>
    </font>
    <font>
      <u/>
      <sz val="10"/>
      <name val="Arial"/>
      <family val="2"/>
    </font>
    <font>
      <sz val="10"/>
      <color rgb="FFFF0000"/>
      <name val="Arial"/>
      <family val="2"/>
    </font>
    <font>
      <sz val="10"/>
      <color theme="1"/>
      <name val="Arial"/>
      <family val="2"/>
    </font>
    <font>
      <b/>
      <sz val="8"/>
      <color indexed="81"/>
      <name val="Tahoma"/>
      <family val="2"/>
    </font>
    <font>
      <sz val="8"/>
      <color indexed="81"/>
      <name val="Tahoma"/>
      <family val="2"/>
    </font>
    <font>
      <b/>
      <strike/>
      <sz val="10"/>
      <name val="Arial"/>
      <family val="2"/>
    </font>
    <font>
      <b/>
      <sz val="12"/>
      <name val="Arial"/>
      <family val="2"/>
    </font>
    <font>
      <sz val="12"/>
      <name val="Arial"/>
      <family val="2"/>
    </font>
    <font>
      <sz val="9"/>
      <color theme="1"/>
      <name val="Calibri"/>
      <family val="2"/>
      <scheme val="minor"/>
    </font>
    <font>
      <b/>
      <sz val="8"/>
      <name val="Arial"/>
      <family val="2"/>
    </font>
    <font>
      <b/>
      <u/>
      <sz val="12"/>
      <name val="Arial"/>
      <family val="2"/>
    </font>
    <font>
      <u val="doubleAccounting"/>
      <sz val="11"/>
      <color theme="1"/>
      <name val="Calibri"/>
      <family val="2"/>
      <scheme val="minor"/>
    </font>
    <font>
      <u val="singleAccounting"/>
      <sz val="11"/>
      <color theme="1"/>
      <name val="Calibri"/>
      <family val="2"/>
      <scheme val="minor"/>
    </font>
    <font>
      <b/>
      <u val="doubleAccounting"/>
      <sz val="11"/>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9"/>
      <color indexed="81"/>
      <name val="Tahoma"/>
      <family val="2"/>
    </font>
    <font>
      <sz val="9"/>
      <color indexed="81"/>
      <name val="Tahoma"/>
      <family val="2"/>
    </font>
    <font>
      <b/>
      <sz val="8"/>
      <name val="Helv"/>
    </font>
    <font>
      <b/>
      <sz val="8"/>
      <name val="Helvetica"/>
      <family val="2"/>
    </font>
    <font>
      <sz val="8"/>
      <name val="Times New Roman"/>
      <family val="1"/>
    </font>
    <font>
      <sz val="10"/>
      <color indexed="8"/>
      <name val="MS Sans Serif"/>
      <family val="2"/>
    </font>
    <font>
      <sz val="10"/>
      <name val="Times New Roman"/>
      <family val="1"/>
    </font>
    <font>
      <b/>
      <sz val="7"/>
      <name val="Helv"/>
    </font>
    <font>
      <sz val="10"/>
      <name val="MS Sans Serif"/>
      <family val="2"/>
    </font>
    <font>
      <sz val="11"/>
      <color indexed="8"/>
      <name val="Arial"/>
      <family val="2"/>
    </font>
    <font>
      <sz val="11"/>
      <color indexed="8"/>
      <name val="Calibri"/>
      <family val="2"/>
    </font>
    <font>
      <sz val="10"/>
      <color indexed="8"/>
      <name val="Arial"/>
      <family val="2"/>
    </font>
    <font>
      <sz val="11"/>
      <color indexed="9"/>
      <name val="Arial"/>
      <family val="2"/>
    </font>
    <font>
      <sz val="11"/>
      <color indexed="9"/>
      <name val="Calibri"/>
      <family val="2"/>
    </font>
    <font>
      <sz val="10"/>
      <color indexed="9"/>
      <name val="Arial"/>
      <family val="2"/>
    </font>
    <font>
      <sz val="12"/>
      <name val="Arial MT"/>
    </font>
    <font>
      <b/>
      <sz val="10"/>
      <name val="Helv"/>
    </font>
    <font>
      <sz val="12"/>
      <name val="Times New Roman"/>
      <family val="1"/>
    </font>
    <font>
      <sz val="10"/>
      <color indexed="12"/>
      <name val="Times New Roman"/>
      <family val="1"/>
    </font>
    <font>
      <sz val="8"/>
      <name val="Times"/>
      <family val="1"/>
    </font>
    <font>
      <sz val="11"/>
      <color indexed="20"/>
      <name val="Arial"/>
      <family val="2"/>
    </font>
    <font>
      <sz val="11"/>
      <color indexed="20"/>
      <name val="Calibri"/>
      <family val="2"/>
    </font>
    <font>
      <sz val="10"/>
      <color indexed="20"/>
      <name val="Arial"/>
      <family val="2"/>
    </font>
    <font>
      <sz val="8"/>
      <name val="Geneva"/>
    </font>
    <font>
      <sz val="8"/>
      <color indexed="12"/>
      <name val="Tms Rmn"/>
      <family val="1"/>
    </font>
    <font>
      <sz val="8"/>
      <color indexed="12"/>
      <name val="Arial"/>
      <family val="2"/>
    </font>
    <font>
      <sz val="12"/>
      <name val="Tms Rmn"/>
    </font>
    <font>
      <b/>
      <sz val="12"/>
      <name val="Times New Roman"/>
      <family val="1"/>
    </font>
    <font>
      <b/>
      <i/>
      <sz val="12"/>
      <name val="Times New Roman"/>
      <family val="1"/>
    </font>
    <font>
      <sz val="12"/>
      <name val="±¼¸²Ã¼"/>
      <charset val="129"/>
    </font>
    <font>
      <sz val="9"/>
      <name val="Times New Roman"/>
      <family val="1"/>
    </font>
    <font>
      <b/>
      <sz val="11"/>
      <color indexed="52"/>
      <name val="Arial"/>
      <family val="2"/>
    </font>
    <font>
      <b/>
      <sz val="11"/>
      <color indexed="52"/>
      <name val="Calibri"/>
      <family val="2"/>
    </font>
    <font>
      <b/>
      <sz val="10"/>
      <color indexed="52"/>
      <name val="Arial"/>
      <family val="2"/>
    </font>
    <font>
      <b/>
      <sz val="11"/>
      <name val="Arial"/>
      <family val="2"/>
    </font>
    <font>
      <sz val="10"/>
      <color indexed="18"/>
      <name val="Times New Roman"/>
      <family val="1"/>
    </font>
    <font>
      <sz val="10"/>
      <name val="Book Antiqua"/>
      <family val="1"/>
    </font>
    <font>
      <b/>
      <sz val="11"/>
      <color indexed="9"/>
      <name val="Arial"/>
      <family val="2"/>
    </font>
    <font>
      <b/>
      <sz val="11"/>
      <color indexed="9"/>
      <name val="Calibri"/>
      <family val="2"/>
    </font>
    <font>
      <b/>
      <sz val="10"/>
      <color indexed="9"/>
      <name val="Arial"/>
      <family val="2"/>
    </font>
    <font>
      <sz val="10"/>
      <name val="Geneva"/>
    </font>
    <font>
      <sz val="10"/>
      <name val="Helv"/>
    </font>
    <font>
      <sz val="8"/>
      <name val="Palatino"/>
      <family val="1"/>
    </font>
    <font>
      <sz val="11"/>
      <name val="Times New Roman"/>
      <family val="1"/>
    </font>
    <font>
      <sz val="9"/>
      <name val="Arial"/>
      <family val="2"/>
    </font>
    <font>
      <u val="singleAccounting"/>
      <sz val="11"/>
      <name val="Times New Roman"/>
      <family val="1"/>
    </font>
    <font>
      <sz val="10"/>
      <name val="Verdana"/>
      <family val="2"/>
    </font>
    <font>
      <sz val="10"/>
      <name val="Tahoma"/>
      <family val="2"/>
    </font>
    <font>
      <sz val="10"/>
      <color indexed="0"/>
      <name val="Arial"/>
      <family val="2"/>
    </font>
    <font>
      <sz val="10"/>
      <color indexed="24"/>
      <name val="Courier New"/>
      <family val="3"/>
    </font>
    <font>
      <sz val="10"/>
      <color indexed="12"/>
      <name val="Geneva"/>
    </font>
    <font>
      <b/>
      <sz val="16"/>
      <name val="Times New Roman"/>
      <family val="1"/>
    </font>
    <font>
      <sz val="10"/>
      <name val="MS Serif"/>
      <family val="1"/>
    </font>
    <font>
      <sz val="11"/>
      <color indexed="12"/>
      <name val="Times New Roman"/>
      <family val="1"/>
    </font>
    <font>
      <sz val="10"/>
      <name val="BERNHARD"/>
    </font>
    <font>
      <sz val="11"/>
      <name val="??"/>
      <family val="3"/>
      <charset val="129"/>
    </font>
    <font>
      <b/>
      <sz val="7"/>
      <color indexed="12"/>
      <name val="Helvetica"/>
      <family val="2"/>
    </font>
    <font>
      <sz val="10"/>
      <color indexed="16"/>
      <name val="MS Serif"/>
      <family val="1"/>
    </font>
    <font>
      <sz val="10"/>
      <color indexed="0"/>
      <name val="Terminal"/>
      <family val="3"/>
      <charset val="255"/>
    </font>
    <font>
      <i/>
      <sz val="11"/>
      <color indexed="23"/>
      <name val="Arial"/>
      <family val="2"/>
    </font>
    <font>
      <i/>
      <sz val="11"/>
      <color indexed="23"/>
      <name val="Calibri"/>
      <family val="2"/>
    </font>
    <font>
      <i/>
      <sz val="10"/>
      <color indexed="23"/>
      <name val="Arial"/>
      <family val="2"/>
    </font>
    <font>
      <sz val="7"/>
      <name val="Palatino"/>
      <family val="1"/>
    </font>
    <font>
      <sz val="11"/>
      <color indexed="10"/>
      <name val="Arial"/>
      <family val="2"/>
    </font>
    <font>
      <i/>
      <sz val="12"/>
      <color indexed="0"/>
      <name val="Arial"/>
      <family val="2"/>
    </font>
    <font>
      <sz val="12"/>
      <color indexed="0"/>
      <name val="Arial"/>
      <family val="2"/>
    </font>
    <font>
      <sz val="11"/>
      <color indexed="17"/>
      <name val="Arial"/>
      <family val="2"/>
    </font>
    <font>
      <sz val="11"/>
      <color indexed="17"/>
      <name val="Calibri"/>
      <family val="2"/>
    </font>
    <font>
      <sz val="10"/>
      <color indexed="17"/>
      <name val="Arial"/>
      <family val="2"/>
    </font>
    <font>
      <sz val="8"/>
      <color indexed="17"/>
      <name val="Times New Roman"/>
      <family val="1"/>
    </font>
    <font>
      <sz val="6"/>
      <color indexed="16"/>
      <name val="Palatino"/>
      <family val="1"/>
    </font>
    <font>
      <b/>
      <sz val="9"/>
      <name val="Arial"/>
      <family val="2"/>
    </font>
    <font>
      <b/>
      <sz val="15"/>
      <color indexed="56"/>
      <name val="Arial"/>
      <family val="2"/>
    </font>
    <font>
      <b/>
      <sz val="15"/>
      <color indexed="56"/>
      <name val="Calibri"/>
      <family val="2"/>
    </font>
    <font>
      <b/>
      <sz val="12"/>
      <color indexed="24"/>
      <name val="Times New Roman"/>
      <family val="1"/>
    </font>
    <font>
      <sz val="18"/>
      <name val="Helvetica-Black"/>
    </font>
    <font>
      <b/>
      <sz val="13"/>
      <color indexed="56"/>
      <name val="Calibri"/>
      <family val="2"/>
    </font>
    <font>
      <sz val="10"/>
      <color indexed="24"/>
      <name val="Times New Roman"/>
      <family val="1"/>
    </font>
    <font>
      <i/>
      <sz val="14"/>
      <name val="Palatino"/>
      <family val="1"/>
    </font>
    <font>
      <b/>
      <sz val="11"/>
      <color indexed="56"/>
      <name val="Calibri"/>
      <family val="2"/>
    </font>
    <font>
      <b/>
      <sz val="11"/>
      <color indexed="56"/>
      <name val="Arial"/>
      <family val="2"/>
    </font>
    <font>
      <b/>
      <sz val="8"/>
      <name val="MS Sans Serif"/>
      <family val="2"/>
    </font>
    <font>
      <sz val="10"/>
      <color indexed="9"/>
      <name val="Helv"/>
    </font>
    <font>
      <sz val="10"/>
      <color indexed="12"/>
      <name val="Arial"/>
      <family val="2"/>
    </font>
    <font>
      <b/>
      <i/>
      <sz val="10"/>
      <color indexed="10"/>
      <name val="Arial"/>
      <family val="2"/>
    </font>
    <font>
      <u/>
      <sz val="12"/>
      <color indexed="12"/>
      <name val="Helv"/>
    </font>
    <font>
      <sz val="11"/>
      <color indexed="62"/>
      <name val="Arial"/>
      <family val="2"/>
    </font>
    <font>
      <sz val="11"/>
      <color indexed="62"/>
      <name val="Calibri"/>
      <family val="2"/>
    </font>
    <font>
      <sz val="10"/>
      <color indexed="62"/>
      <name val="Arial"/>
      <family val="2"/>
    </font>
    <font>
      <sz val="11"/>
      <color indexed="21"/>
      <name val="Arial"/>
      <family val="2"/>
    </font>
    <font>
      <u/>
      <sz val="8.6999999999999993"/>
      <color indexed="12"/>
      <name val="Arial"/>
      <family val="2"/>
    </font>
    <font>
      <u/>
      <sz val="8.6999999999999993"/>
      <color indexed="36"/>
      <name val="Arial"/>
      <family val="2"/>
    </font>
    <font>
      <sz val="10"/>
      <color indexed="12"/>
      <name val="CG Times (WN)"/>
    </font>
    <font>
      <sz val="11"/>
      <color indexed="52"/>
      <name val="Arial"/>
      <family val="2"/>
    </font>
    <font>
      <sz val="11"/>
      <color indexed="52"/>
      <name val="Calibri"/>
      <family val="2"/>
    </font>
    <font>
      <sz val="10"/>
      <color indexed="52"/>
      <name val="Arial"/>
      <family val="2"/>
    </font>
    <font>
      <sz val="8"/>
      <color indexed="18"/>
      <name val="Times New Roman"/>
      <family val="1"/>
    </font>
    <font>
      <sz val="11"/>
      <color indexed="60"/>
      <name val="Arial"/>
      <family val="2"/>
    </font>
    <font>
      <sz val="11"/>
      <color indexed="60"/>
      <name val="Calibri"/>
      <family val="2"/>
    </font>
    <font>
      <sz val="10"/>
      <color indexed="60"/>
      <name val="Arial"/>
      <family val="2"/>
    </font>
    <font>
      <sz val="7"/>
      <name val="Small Fonts"/>
      <family val="2"/>
    </font>
    <font>
      <b/>
      <i/>
      <sz val="16"/>
      <name val="Helv"/>
    </font>
    <font>
      <sz val="11"/>
      <name val="Arial"/>
      <family val="2"/>
    </font>
    <font>
      <sz val="10"/>
      <name val="Palatino"/>
      <family val="1"/>
    </font>
    <font>
      <b/>
      <sz val="13.5"/>
      <name val="MS Sans Serif"/>
      <family val="2"/>
    </font>
    <font>
      <b/>
      <sz val="11"/>
      <color indexed="63"/>
      <name val="Arial"/>
      <family val="2"/>
    </font>
    <font>
      <b/>
      <sz val="11"/>
      <color indexed="63"/>
      <name val="Calibri"/>
      <family val="2"/>
    </font>
    <font>
      <b/>
      <sz val="10"/>
      <color indexed="63"/>
      <name val="Arial"/>
      <family val="2"/>
    </font>
    <font>
      <sz val="11"/>
      <color indexed="8"/>
      <name val="Times New Roman"/>
      <family val="1"/>
    </font>
    <font>
      <b/>
      <i/>
      <sz val="10"/>
      <color indexed="8"/>
      <name val="Arial"/>
      <family val="2"/>
    </font>
    <font>
      <b/>
      <i/>
      <sz val="11"/>
      <color indexed="8"/>
      <name val="Times New Roman"/>
      <family val="1"/>
    </font>
    <font>
      <b/>
      <sz val="11"/>
      <color indexed="16"/>
      <name val="Times New Roman"/>
      <family val="1"/>
    </font>
    <font>
      <b/>
      <i/>
      <sz val="22"/>
      <color indexed="8"/>
      <name val="Times New Roman"/>
      <family val="1"/>
    </font>
    <font>
      <b/>
      <sz val="22"/>
      <color indexed="8"/>
      <name val="Times New Roman"/>
      <family val="1"/>
    </font>
    <font>
      <sz val="10"/>
      <color indexed="16"/>
      <name val="Helvetica-Black"/>
    </font>
    <font>
      <b/>
      <sz val="10"/>
      <name val="Times New Roman"/>
      <family val="1"/>
    </font>
    <font>
      <b/>
      <sz val="8"/>
      <color indexed="18"/>
      <name val="Times New Roman"/>
      <family val="1"/>
    </font>
    <font>
      <b/>
      <sz val="10"/>
      <name val="MS Sans Serif"/>
      <family val="2"/>
    </font>
    <font>
      <sz val="8"/>
      <name val="Wingdings"/>
      <charset val="2"/>
    </font>
    <font>
      <sz val="8"/>
      <name val="Helv"/>
    </font>
    <font>
      <sz val="9.5"/>
      <color indexed="23"/>
      <name val="Helvetica-Black"/>
    </font>
    <font>
      <sz val="8"/>
      <name val="MS Sans Serif"/>
      <family val="2"/>
    </font>
    <font>
      <strike/>
      <sz val="10"/>
      <name val="Arial"/>
      <family val="2"/>
    </font>
    <font>
      <sz val="10"/>
      <name val="Arial MT"/>
    </font>
    <font>
      <b/>
      <sz val="13"/>
      <color indexed="8"/>
      <name val="Verdana"/>
      <family val="2"/>
    </font>
    <font>
      <b/>
      <sz val="8"/>
      <color indexed="9"/>
      <name val="Verdana"/>
      <family val="2"/>
    </font>
    <font>
      <b/>
      <sz val="14"/>
      <name val="Arial"/>
      <family val="2"/>
    </font>
    <font>
      <b/>
      <sz val="8"/>
      <color indexed="8"/>
      <name val="Arial"/>
      <family val="2"/>
    </font>
    <font>
      <sz val="8"/>
      <color indexed="8"/>
      <name val="Arial"/>
      <family val="2"/>
    </font>
    <font>
      <i/>
      <sz val="8"/>
      <color indexed="8"/>
      <name val="Arial"/>
      <family val="2"/>
    </font>
    <font>
      <sz val="2"/>
      <color indexed="9"/>
      <name val="Symbol"/>
      <family val="1"/>
      <charset val="2"/>
    </font>
    <font>
      <sz val="12"/>
      <color indexed="8"/>
      <name val="Arial"/>
      <family val="2"/>
    </font>
    <font>
      <i/>
      <sz val="12"/>
      <color indexed="8"/>
      <name val="Arial"/>
      <family val="2"/>
    </font>
    <font>
      <b/>
      <sz val="10"/>
      <color indexed="0"/>
      <name val="Arial"/>
      <family val="2"/>
    </font>
    <font>
      <b/>
      <i/>
      <sz val="12"/>
      <color indexed="0"/>
      <name val="Arial"/>
      <family val="2"/>
    </font>
    <font>
      <b/>
      <i/>
      <sz val="12"/>
      <color indexed="8"/>
      <name val="Arial"/>
      <family val="2"/>
    </font>
    <font>
      <b/>
      <sz val="11"/>
      <color indexed="0"/>
      <name val="Arial"/>
      <family val="2"/>
    </font>
    <font>
      <b/>
      <i/>
      <sz val="12"/>
      <color indexed="12"/>
      <name val="Arial"/>
      <family val="2"/>
    </font>
    <font>
      <b/>
      <sz val="8"/>
      <color indexed="8"/>
      <name val="Helv"/>
    </font>
    <font>
      <sz val="10"/>
      <color indexed="18"/>
      <name val="Book Antiqua"/>
      <family val="1"/>
    </font>
    <font>
      <b/>
      <sz val="9"/>
      <name val="Palatino"/>
      <family val="1"/>
    </font>
    <font>
      <sz val="9"/>
      <color indexed="21"/>
      <name val="Helvetica-Black"/>
    </font>
    <font>
      <b/>
      <sz val="10"/>
      <name val="Palatino"/>
      <family val="1"/>
    </font>
    <font>
      <sz val="9"/>
      <name val="Helvetica-Black"/>
    </font>
    <font>
      <b/>
      <sz val="8"/>
      <name val="Times New Roman"/>
      <family val="1"/>
    </font>
    <font>
      <sz val="12"/>
      <color indexed="8"/>
      <name val="Palatino"/>
      <family val="1"/>
    </font>
    <font>
      <sz val="11"/>
      <color indexed="8"/>
      <name val="Helvetica-Black"/>
    </font>
    <font>
      <b/>
      <sz val="10"/>
      <color indexed="10"/>
      <name val="Arial"/>
      <family val="2"/>
    </font>
    <font>
      <b/>
      <sz val="11"/>
      <name val="Times New Roman"/>
      <family val="1"/>
    </font>
    <font>
      <b/>
      <sz val="18"/>
      <color indexed="56"/>
      <name val="Cambria"/>
      <family val="2"/>
    </font>
    <font>
      <i/>
      <sz val="10"/>
      <name val="Times New Roman"/>
      <family val="1"/>
    </font>
    <font>
      <b/>
      <sz val="11"/>
      <color indexed="8"/>
      <name val="Calibri"/>
      <family val="2"/>
    </font>
    <font>
      <u/>
      <sz val="8"/>
      <color indexed="8"/>
      <name val="Arial"/>
      <family val="2"/>
    </font>
    <font>
      <sz val="11"/>
      <color indexed="10"/>
      <name val="Calibri"/>
      <family val="2"/>
    </font>
    <font>
      <sz val="10"/>
      <color indexed="10"/>
      <name val="Arial"/>
      <family val="2"/>
    </font>
    <font>
      <b/>
      <i/>
      <sz val="8"/>
      <name val="Helv"/>
    </font>
    <font>
      <sz val="10"/>
      <name val="MS Sans Serif"/>
      <family val="2"/>
    </font>
    <font>
      <sz val="11"/>
      <color rgb="FFFF0000"/>
      <name val="Calibri"/>
      <family val="2"/>
      <scheme val="minor"/>
    </font>
    <font>
      <u/>
      <sz val="11"/>
      <color theme="10"/>
      <name val="Calibri"/>
      <family val="2"/>
      <scheme val="minor"/>
    </font>
    <font>
      <b/>
      <sz val="16"/>
      <color theme="1"/>
      <name val="Calibri"/>
      <family val="2"/>
      <scheme val="minor"/>
    </font>
    <font>
      <sz val="11"/>
      <color rgb="FF0000CC"/>
      <name val="Calibri"/>
      <family val="2"/>
      <scheme val="minor"/>
    </font>
    <font>
      <sz val="11"/>
      <name val="Calibri"/>
      <family val="2"/>
      <scheme val="minor"/>
    </font>
    <font>
      <b/>
      <sz val="11"/>
      <name val="Calibri"/>
      <family val="2"/>
      <scheme val="minor"/>
    </font>
  </fonts>
  <fills count="57">
    <fill>
      <patternFill patternType="none"/>
    </fill>
    <fill>
      <patternFill patternType="gray125"/>
    </fill>
    <fill>
      <patternFill patternType="solid">
        <fgColor rgb="FFFFC000"/>
        <bgColor indexed="64"/>
      </patternFill>
    </fill>
    <fill>
      <patternFill patternType="solid">
        <fgColor rgb="FFFFC7CE"/>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gray0625">
        <fgColor indexed="12"/>
        <bgColor indexed="9"/>
      </patternFill>
    </fill>
    <fill>
      <patternFill patternType="solid">
        <fgColor indexed="22"/>
        <bgColor indexed="64"/>
      </patternFill>
    </fill>
    <fill>
      <patternFill patternType="solid">
        <fgColor indexed="27"/>
        <bgColor indexed="64"/>
      </patternFill>
    </fill>
    <fill>
      <patternFill patternType="gray125">
        <fgColor indexed="22"/>
        <bgColor indexed="22"/>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darkVertical"/>
    </fill>
    <fill>
      <patternFill patternType="solid">
        <fgColor indexed="22"/>
        <bgColor indexed="14"/>
      </patternFill>
    </fill>
    <fill>
      <patternFill patternType="solid">
        <fgColor indexed="58"/>
        <bgColor indexed="64"/>
      </patternFill>
    </fill>
    <fill>
      <patternFill patternType="solid">
        <fgColor indexed="15"/>
        <bgColor indexed="64"/>
      </patternFill>
    </fill>
    <fill>
      <patternFill patternType="solid">
        <fgColor indexed="8"/>
      </patternFill>
    </fill>
    <fill>
      <patternFill patternType="lightGray">
        <fgColor indexed="8"/>
      </patternFill>
    </fill>
    <fill>
      <patternFill patternType="solid">
        <fgColor indexed="56"/>
        <bgColor indexed="64"/>
      </patternFill>
    </fill>
    <fill>
      <patternFill patternType="solid">
        <fgColor indexed="63"/>
        <bgColor indexed="64"/>
      </patternFill>
    </fill>
    <fill>
      <patternFill patternType="solid">
        <fgColor indexed="62"/>
        <bgColor indexed="64"/>
      </patternFill>
    </fill>
    <fill>
      <patternFill patternType="solid">
        <fgColor indexed="22"/>
        <bgColor indexed="24"/>
      </patternFill>
    </fill>
    <fill>
      <patternFill patternType="solid">
        <fgColor indexed="16"/>
        <bgColor indexed="64"/>
      </patternFill>
    </fill>
    <fill>
      <patternFill patternType="solid">
        <fgColor indexed="8"/>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3499862666707357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thin">
        <color indexed="22"/>
      </bottom>
      <diagonal/>
    </border>
    <border>
      <left style="thin">
        <color indexed="64"/>
      </left>
      <right/>
      <top style="medium">
        <color indexed="64"/>
      </top>
      <bottom style="thin">
        <color indexed="64"/>
      </bottom>
      <diagonal/>
    </border>
    <border>
      <left style="thin">
        <color indexed="8"/>
      </left>
      <right/>
      <top style="thin">
        <color indexed="22"/>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medium">
        <color indexed="64"/>
      </right>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bottom style="medium">
        <color auto="1"/>
      </bottom>
      <diagonal/>
    </border>
    <border>
      <left style="double">
        <color indexed="64"/>
      </left>
      <right/>
      <top/>
      <bottom style="hair">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right/>
      <top/>
      <bottom style="medium">
        <color indexed="64"/>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style="thin">
        <color indexed="62"/>
      </top>
      <bottom style="double">
        <color indexed="62"/>
      </bottom>
      <diagonal/>
    </border>
    <border>
      <left/>
      <right/>
      <top style="double">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25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76" fontId="4" fillId="0" borderId="0"/>
    <xf numFmtId="177" fontId="33" fillId="0" borderId="0" applyFont="0" applyFill="0" applyBorder="0" applyAlignment="0" applyProtection="0"/>
    <xf numFmtId="178" fontId="34" fillId="0" borderId="0"/>
    <xf numFmtId="179" fontId="33" fillId="0" borderId="0" applyFont="0" applyFill="0" applyBorder="0" applyAlignment="0" applyProtection="0"/>
    <xf numFmtId="0" fontId="4" fillId="0" borderId="0"/>
    <xf numFmtId="180" fontId="35"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1" fontId="4" fillId="0" borderId="0"/>
    <xf numFmtId="182" fontId="4" fillId="0" borderId="0" applyFont="0" applyFill="0" applyBorder="0" applyAlignment="0" applyProtection="0"/>
    <xf numFmtId="176" fontId="4" fillId="0" borderId="0"/>
    <xf numFmtId="5" fontId="4" fillId="0" borderId="0" applyFont="0" applyFill="0" applyBorder="0" applyAlignment="0" applyProtection="0"/>
    <xf numFmtId="183" fontId="4" fillId="0" borderId="0" applyFont="0" applyFill="0" applyBorder="0" applyAlignment="0" applyProtection="0"/>
    <xf numFmtId="184" fontId="4" fillId="0" borderId="0"/>
    <xf numFmtId="185" fontId="4" fillId="0" borderId="0" applyBorder="0">
      <alignment wrapText="1"/>
    </xf>
    <xf numFmtId="0" fontId="36" fillId="0" borderId="0" applyNumberFormat="0" applyFont="0" applyFill="0" applyBorder="0" applyAlignment="0" applyProtection="0"/>
    <xf numFmtId="175" fontId="4" fillId="0" borderId="0" applyFont="0" applyFill="0" applyBorder="0" applyAlignment="0" applyProtection="0"/>
    <xf numFmtId="186" fontId="4" fillId="0" borderId="0" applyFont="0" applyFill="0" applyBorder="0" applyAlignment="0" applyProtection="0"/>
    <xf numFmtId="9" fontId="4" fillId="0" borderId="0" applyFont="0" applyFill="0" applyBorder="0" applyAlignment="0" applyProtection="0"/>
    <xf numFmtId="187" fontId="4" fillId="0" borderId="0" applyFont="0" applyFill="0" applyBorder="0" applyAlignment="0" applyProtection="0"/>
    <xf numFmtId="0" fontId="4" fillId="0" borderId="0"/>
    <xf numFmtId="0" fontId="4" fillId="0" borderId="0"/>
    <xf numFmtId="0" fontId="4" fillId="0" borderId="0"/>
    <xf numFmtId="0" fontId="4" fillId="0" borderId="0"/>
    <xf numFmtId="44" fontId="37" fillId="0" borderId="0" applyFont="0" applyFill="0" applyBorder="0" applyAlignment="0" applyProtection="0"/>
    <xf numFmtId="42"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0" fontId="37" fillId="0" borderId="0"/>
    <xf numFmtId="1" fontId="38" fillId="0" borderId="0">
      <alignment horizontal="center"/>
    </xf>
    <xf numFmtId="9" fontId="4" fillId="0" borderId="0"/>
    <xf numFmtId="166" fontId="39" fillId="0" borderId="0"/>
    <xf numFmtId="190" fontId="39" fillId="0" borderId="0"/>
    <xf numFmtId="166" fontId="39" fillId="0" borderId="0"/>
    <xf numFmtId="2" fontId="39" fillId="0" borderId="0"/>
    <xf numFmtId="10" fontId="39" fillId="0" borderId="0"/>
    <xf numFmtId="2" fontId="39" fillId="0" borderId="0"/>
    <xf numFmtId="191" fontId="4" fillId="0" borderId="0"/>
    <xf numFmtId="191" fontId="4" fillId="0" borderId="0"/>
    <xf numFmtId="191" fontId="4" fillId="0" borderId="0"/>
    <xf numFmtId="191" fontId="4" fillId="0" borderId="0"/>
    <xf numFmtId="192" fontId="39" fillId="0" borderId="0">
      <alignment horizontal="left"/>
    </xf>
    <xf numFmtId="193" fontId="39" fillId="0" borderId="0">
      <alignment horizontal="left"/>
    </xf>
    <xf numFmtId="194" fontId="33" fillId="0" borderId="0" applyFont="0" applyFill="0" applyBorder="0" applyAlignment="0" applyProtection="0"/>
    <xf numFmtId="166" fontId="35" fillId="0" borderId="0"/>
    <xf numFmtId="195" fontId="33" fillId="0" borderId="0" applyFont="0" applyFill="0" applyBorder="0" applyAlignment="0" applyProtection="0"/>
    <xf numFmtId="179" fontId="33" fillId="0" borderId="0" applyFont="0" applyFill="0" applyBorder="0" applyAlignment="0" applyProtection="0"/>
    <xf numFmtId="0" fontId="40"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0"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0"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0" fillId="12" borderId="0" applyNumberFormat="0" applyBorder="0" applyAlignment="0" applyProtection="0"/>
    <xf numFmtId="0" fontId="41" fillId="12"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0"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0"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196" fontId="35" fillId="0" borderId="0"/>
    <xf numFmtId="40" fontId="35" fillId="0" borderId="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2"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7" borderId="0" applyNumberFormat="0" applyBorder="0" applyAlignment="0" applyProtection="0"/>
    <xf numFmtId="0" fontId="40" fillId="12" borderId="0" applyNumberFormat="0" applyBorder="0" applyAlignment="0" applyProtection="0"/>
    <xf numFmtId="0" fontId="41" fillId="12"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5"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37" fontId="46" fillId="0" borderId="0">
      <alignment horizontal="center"/>
    </xf>
    <xf numFmtId="197" fontId="47" fillId="0" borderId="0">
      <alignment horizontal="center"/>
    </xf>
    <xf numFmtId="0" fontId="43"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5"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5"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41" fontId="48" fillId="0" borderId="0"/>
    <xf numFmtId="0" fontId="48" fillId="0" borderId="0"/>
    <xf numFmtId="198" fontId="49" fillId="0" borderId="0" applyFont="0" applyFill="0" applyBorder="0" applyAlignment="0" applyProtection="0"/>
    <xf numFmtId="0" fontId="48" fillId="0" borderId="0"/>
    <xf numFmtId="41" fontId="48" fillId="0" borderId="0"/>
    <xf numFmtId="14" fontId="4" fillId="27" borderId="30">
      <alignment horizontal="center" vertical="center"/>
    </xf>
    <xf numFmtId="0" fontId="50" fillId="0" borderId="0"/>
    <xf numFmtId="199" fontId="11" fillId="0" borderId="0" applyFont="0" applyFill="0" applyBorder="0" applyAlignment="0" applyProtection="0"/>
    <xf numFmtId="0" fontId="35" fillId="0" borderId="0">
      <alignment horizontal="center" wrapText="1"/>
      <protection locked="0"/>
    </xf>
    <xf numFmtId="0" fontId="6" fillId="3" borderId="0" applyNumberFormat="0" applyBorder="0" applyAlignment="0" applyProtection="0"/>
    <xf numFmtId="0" fontId="5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10" borderId="0" applyNumberFormat="0" applyBorder="0" applyAlignment="0" applyProtection="0"/>
    <xf numFmtId="0" fontId="54" fillId="0" borderId="0" applyFont="0" applyFill="0" applyBorder="0" applyAlignment="0" applyProtection="0">
      <alignment horizontal="right"/>
    </xf>
    <xf numFmtId="0" fontId="55" fillId="0" borderId="0" applyNumberFormat="0" applyFill="0" applyBorder="0" applyAlignment="0" applyProtection="0"/>
    <xf numFmtId="175" fontId="56" fillId="28" borderId="0" applyNumberFormat="0" applyFill="0" applyBorder="0" applyAlignment="0" applyProtection="0">
      <alignment horizontal="center"/>
    </xf>
    <xf numFmtId="0" fontId="57" fillId="0" borderId="0" applyNumberFormat="0" applyFill="0" applyBorder="0" applyAlignment="0" applyProtection="0"/>
    <xf numFmtId="0" fontId="58" fillId="0" borderId="26" applyNumberFormat="0" applyFill="0" applyAlignment="0" applyProtection="0"/>
    <xf numFmtId="0" fontId="59" fillId="0" borderId="31" applyFill="0" applyProtection="0">
      <alignment horizontal="right"/>
    </xf>
    <xf numFmtId="200" fontId="37" fillId="0" borderId="0" applyFont="0" applyFill="0" applyBorder="0" applyAlignment="0" applyProtection="0"/>
    <xf numFmtId="0" fontId="60" fillId="0" borderId="0"/>
    <xf numFmtId="0" fontId="4" fillId="29" borderId="1"/>
    <xf numFmtId="201" fontId="4" fillId="0" borderId="0" applyFill="0" applyBorder="0" applyAlignment="0"/>
    <xf numFmtId="202" fontId="61" fillId="0" borderId="0" applyFill="0" applyBorder="0" applyAlignment="0"/>
    <xf numFmtId="203" fontId="61" fillId="0" borderId="0" applyFill="0" applyBorder="0" applyAlignment="0"/>
    <xf numFmtId="204" fontId="4" fillId="0" borderId="0" applyFill="0" applyBorder="0" applyAlignment="0"/>
    <xf numFmtId="205" fontId="4" fillId="0" borderId="0" applyFill="0" applyBorder="0" applyAlignment="0"/>
    <xf numFmtId="206" fontId="4" fillId="0" borderId="0" applyFill="0" applyBorder="0" applyAlignment="0"/>
    <xf numFmtId="207" fontId="4" fillId="0" borderId="0" applyFill="0" applyBorder="0" applyAlignment="0"/>
    <xf numFmtId="202" fontId="61" fillId="0" borderId="0" applyFill="0" applyBorder="0" applyAlignment="0"/>
    <xf numFmtId="0" fontId="4" fillId="29" borderId="1"/>
    <xf numFmtId="0" fontId="62" fillId="30" borderId="32" applyNumberFormat="0" applyAlignment="0" applyProtection="0"/>
    <xf numFmtId="0" fontId="63" fillId="30" borderId="32" applyNumberFormat="0" applyAlignment="0" applyProtection="0"/>
    <xf numFmtId="0" fontId="63" fillId="30" borderId="32" applyNumberFormat="0" applyAlignment="0" applyProtection="0"/>
    <xf numFmtId="0" fontId="64" fillId="30" borderId="32" applyNumberFormat="0" applyAlignment="0" applyProtection="0"/>
    <xf numFmtId="0" fontId="65" fillId="0" borderId="0" applyFill="0" applyBorder="0" applyProtection="0">
      <alignment horizontal="center"/>
      <protection locked="0"/>
    </xf>
    <xf numFmtId="8" fontId="4" fillId="0" borderId="33" applyFont="0" applyFill="0" applyBorder="0" applyProtection="0">
      <alignment horizontal="right"/>
    </xf>
    <xf numFmtId="1" fontId="66" fillId="0" borderId="0"/>
    <xf numFmtId="0" fontId="67" fillId="0" borderId="0" applyNumberFormat="0" applyFont="0" applyFill="0" applyBorder="0"/>
    <xf numFmtId="0" fontId="68" fillId="31" borderId="34" applyNumberFormat="0" applyAlignment="0" applyProtection="0"/>
    <xf numFmtId="0" fontId="69" fillId="31" borderId="34" applyNumberFormat="0" applyAlignment="0" applyProtection="0"/>
    <xf numFmtId="0" fontId="69" fillId="31" borderId="34" applyNumberFormat="0" applyAlignment="0" applyProtection="0"/>
    <xf numFmtId="0" fontId="70" fillId="31" borderId="34" applyNumberFormat="0" applyAlignment="0" applyProtection="0"/>
    <xf numFmtId="3" fontId="71" fillId="0" borderId="0"/>
    <xf numFmtId="0" fontId="23" fillId="0" borderId="5">
      <alignment horizontal="center"/>
    </xf>
    <xf numFmtId="0" fontId="3" fillId="0" borderId="1">
      <alignment horizontal="left" wrapText="1"/>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208" fontId="4" fillId="0" borderId="0" applyFont="0" applyFill="0" applyBorder="0" applyAlignment="0" applyProtection="0"/>
    <xf numFmtId="174" fontId="4" fillId="0" borderId="0"/>
    <xf numFmtId="209" fontId="4" fillId="0" borderId="0"/>
    <xf numFmtId="174" fontId="4" fillId="0" borderId="0"/>
    <xf numFmtId="43" fontId="4" fillId="0" borderId="0"/>
    <xf numFmtId="210" fontId="4" fillId="0" borderId="0"/>
    <xf numFmtId="43" fontId="4" fillId="0" borderId="0"/>
    <xf numFmtId="211" fontId="4" fillId="0" borderId="0"/>
    <xf numFmtId="206" fontId="4" fillId="0" borderId="0" applyFont="0" applyFill="0" applyBorder="0" applyAlignment="0" applyProtection="0"/>
    <xf numFmtId="212" fontId="73" fillId="0" borderId="0" applyFont="0" applyFill="0" applyBorder="0" applyAlignment="0" applyProtection="0">
      <alignment horizontal="right"/>
    </xf>
    <xf numFmtId="213" fontId="73" fillId="0" borderId="0" applyFont="0" applyFill="0" applyBorder="0" applyAlignment="0" applyProtection="0"/>
    <xf numFmtId="214" fontId="74" fillId="0" borderId="0" applyFont="0" applyFill="0" applyBorder="0" applyAlignment="0" applyProtection="0"/>
    <xf numFmtId="215" fontId="75" fillId="0" borderId="0" applyFont="0" applyFill="0" applyBorder="0" applyAlignment="0" applyProtection="0"/>
    <xf numFmtId="216" fontId="76" fillId="0" borderId="0" applyFont="0" applyFill="0" applyBorder="0" applyAlignment="0" applyProtection="0"/>
    <xf numFmtId="217" fontId="75" fillId="0" borderId="0" applyFont="0" applyFill="0" applyBorder="0" applyAlignment="0" applyProtection="0"/>
    <xf numFmtId="218" fontId="76" fillId="0" borderId="0" applyFont="0" applyFill="0" applyBorder="0" applyAlignment="0" applyProtection="0"/>
    <xf numFmtId="219" fontId="7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9" fontId="4" fillId="0" borderId="0" applyFill="0" applyBorder="0" applyAlignment="0" applyProtection="0"/>
    <xf numFmtId="43" fontId="77" fillId="0" borderId="0" applyFont="0" applyFill="0" applyBorder="0" applyAlignment="0" applyProtection="0"/>
    <xf numFmtId="220" fontId="78"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alignment vertical="top"/>
    </xf>
    <xf numFmtId="43" fontId="4" fillId="0" borderId="0" applyFont="0" applyFill="0" applyBorder="0" applyAlignment="0" applyProtection="0"/>
    <xf numFmtId="43" fontId="4" fillId="0" borderId="0" applyFont="0" applyFill="0" applyBorder="0" applyAlignment="0" applyProtection="0"/>
    <xf numFmtId="4" fontId="72" fillId="0" borderId="0" applyFont="0" applyFill="0" applyBorder="0" applyAlignment="0" applyProtection="0"/>
    <xf numFmtId="43" fontId="4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43" fontId="4" fillId="0" borderId="0" applyFont="0" applyFill="0" applyBorder="0" applyAlignment="0" applyProtection="0"/>
    <xf numFmtId="43" fontId="79" fillId="0" borderId="0" applyFont="0" applyFill="0" applyBorder="0" applyAlignment="0" applyProtection="0"/>
    <xf numFmtId="43" fontId="42" fillId="0" borderId="0" applyFont="0" applyFill="0" applyBorder="0" applyAlignment="0" applyProtection="0">
      <alignment vertical="top"/>
    </xf>
    <xf numFmtId="43" fontId="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4" fillId="0" borderId="0" applyFont="0" applyFill="0" applyBorder="0" applyAlignment="0" applyProtection="0"/>
    <xf numFmtId="43" fontId="77" fillId="0" borderId="0" applyFont="0" applyFill="0" applyBorder="0" applyAlignment="0" applyProtection="0"/>
    <xf numFmtId="43" fontId="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 fillId="0" borderId="0" applyFont="0" applyFill="0" applyBorder="0" applyAlignment="0" applyProtection="0">
      <alignment wrapText="1"/>
    </xf>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2" fillId="0" borderId="0" applyFont="0" applyFill="0" applyBorder="0" applyAlignment="0" applyProtection="0">
      <alignment vertical="top"/>
    </xf>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alignment vertical="top"/>
    </xf>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0" fontId="4" fillId="0" borderId="0" applyFont="0" applyFill="0" applyBorder="0" applyProtection="0">
      <alignment horizontal="right"/>
    </xf>
    <xf numFmtId="3" fontId="80" fillId="0" borderId="0" applyFont="0" applyFill="0" applyBorder="0" applyAlignment="0" applyProtection="0"/>
    <xf numFmtId="221" fontId="71" fillId="0" borderId="0" applyFont="0" applyFill="0" applyBorder="0" applyAlignment="0" applyProtection="0"/>
    <xf numFmtId="4" fontId="81" fillId="0" borderId="1" applyFont="0" applyFill="0" applyBorder="0" applyAlignment="0" applyProtection="0"/>
    <xf numFmtId="222" fontId="71" fillId="0" borderId="0" applyFont="0" applyFill="0" applyBorder="0" applyAlignment="0" applyProtection="0"/>
    <xf numFmtId="0" fontId="82" fillId="0" borderId="0" applyNumberFormat="0" applyFill="0" applyBorder="0" applyAlignment="0" applyProtection="0"/>
    <xf numFmtId="202" fontId="4" fillId="0" borderId="0" applyFill="0" applyBorder="0">
      <alignment horizontal="left"/>
    </xf>
    <xf numFmtId="0" fontId="83" fillId="0" borderId="0" applyNumberFormat="0" applyAlignment="0">
      <alignment horizontal="left"/>
    </xf>
    <xf numFmtId="223" fontId="84" fillId="0" borderId="0" applyFill="0" applyBorder="0" applyProtection="0"/>
    <xf numFmtId="224" fontId="74" fillId="0" borderId="0" applyFont="0" applyFill="0" applyBorder="0" applyAlignment="0" applyProtection="0"/>
    <xf numFmtId="225" fontId="37" fillId="0" borderId="0" applyFill="0" applyBorder="0" applyProtection="0"/>
    <xf numFmtId="225" fontId="37" fillId="0" borderId="21" applyFill="0" applyProtection="0"/>
    <xf numFmtId="225" fontId="37" fillId="0" borderId="28" applyFill="0" applyProtection="0"/>
    <xf numFmtId="0" fontId="85" fillId="0" borderId="0"/>
    <xf numFmtId="226" fontId="4" fillId="0" borderId="0" applyFont="0" applyFill="0" applyBorder="0" applyAlignment="0" applyProtection="0"/>
    <xf numFmtId="227" fontId="4" fillId="0" borderId="0"/>
    <xf numFmtId="228" fontId="4" fillId="0" borderId="0"/>
    <xf numFmtId="229" fontId="4" fillId="0" borderId="0"/>
    <xf numFmtId="230" fontId="4" fillId="0" borderId="0"/>
    <xf numFmtId="231" fontId="4" fillId="0" borderId="0"/>
    <xf numFmtId="202" fontId="61" fillId="0" borderId="0" applyFont="0" applyFill="0" applyBorder="0" applyAlignment="0" applyProtection="0"/>
    <xf numFmtId="8" fontId="67" fillId="0" borderId="0" applyBorder="0"/>
    <xf numFmtId="44" fontId="4" fillId="0" borderId="0" applyFont="0" applyFill="0" applyBorder="0" applyAlignment="0" applyProtection="0"/>
    <xf numFmtId="232" fontId="73" fillId="0" borderId="0" applyFont="0" applyFill="0" applyBorder="0" applyAlignment="0" applyProtection="0">
      <alignment horizontal="right"/>
    </xf>
    <xf numFmtId="233" fontId="76" fillId="0" borderId="0" applyFont="0" applyFill="0" applyBorder="0" applyAlignment="0" applyProtection="0"/>
    <xf numFmtId="234" fontId="75" fillId="0" borderId="0" applyFont="0" applyFill="0" applyBorder="0" applyAlignment="0" applyProtection="0"/>
    <xf numFmtId="235" fontId="76" fillId="0" borderId="0" applyFont="0" applyFill="0" applyBorder="0" applyAlignment="0" applyProtection="0"/>
    <xf numFmtId="236" fontId="75" fillId="0" borderId="0" applyFont="0" applyFill="0" applyBorder="0" applyAlignment="0" applyProtection="0"/>
    <xf numFmtId="237" fontId="76" fillId="0" borderId="0" applyFont="0" applyFill="0" applyBorder="0" applyAlignment="0" applyProtection="0"/>
    <xf numFmtId="238" fontId="75" fillId="0" borderId="0" applyFont="0" applyFill="0" applyBorder="0" applyAlignment="0" applyProtection="0"/>
    <xf numFmtId="7" fontId="4" fillId="0" borderId="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39" fontId="80" fillId="0" borderId="0" applyFont="0" applyFill="0" applyBorder="0" applyAlignment="0" applyProtection="0"/>
    <xf numFmtId="240" fontId="71" fillId="0" borderId="0" applyFont="0" applyFill="0" applyBorder="0" applyAlignment="0" applyProtection="0"/>
    <xf numFmtId="241" fontId="71" fillId="0" borderId="0" applyFont="0" applyFill="0" applyBorder="0" applyAlignment="0" applyProtection="0"/>
    <xf numFmtId="242" fontId="37" fillId="0" borderId="0" applyFont="0" applyFill="0" applyBorder="0" applyAlignment="0" applyProtection="0"/>
    <xf numFmtId="0" fontId="4" fillId="28" borderId="1">
      <protection locked="0"/>
    </xf>
    <xf numFmtId="0" fontId="80" fillId="0" borderId="0" applyFont="0" applyFill="0" applyBorder="0" applyAlignment="0" applyProtection="0"/>
    <xf numFmtId="243" fontId="56" fillId="32" borderId="35" applyFont="0" applyFill="0" applyBorder="0" applyAlignment="0" applyProtection="0"/>
    <xf numFmtId="6" fontId="86" fillId="0" borderId="0">
      <protection locked="0"/>
    </xf>
    <xf numFmtId="6" fontId="86" fillId="0" borderId="0">
      <protection locked="0"/>
    </xf>
    <xf numFmtId="244" fontId="73" fillId="0" borderId="0" applyFont="0" applyFill="0" applyBorder="0" applyAlignment="0" applyProtection="0"/>
    <xf numFmtId="14" fontId="42" fillId="0" borderId="0" applyFill="0" applyBorder="0" applyAlignment="0"/>
    <xf numFmtId="245" fontId="11" fillId="0" borderId="0" applyFont="0" applyFill="0" applyBorder="0" applyAlignment="0" applyProtection="0">
      <alignment horizontal="center"/>
    </xf>
    <xf numFmtId="246" fontId="4" fillId="0" borderId="0" applyFont="0" applyFill="0" applyBorder="0" applyAlignment="0" applyProtection="0"/>
    <xf numFmtId="169" fontId="72" fillId="0" borderId="0"/>
    <xf numFmtId="14" fontId="87" fillId="0" borderId="0" applyFont="0" applyFill="0" applyBorder="0"/>
    <xf numFmtId="247" fontId="37" fillId="0" borderId="0" applyFill="0" applyBorder="0" applyProtection="0"/>
    <xf numFmtId="247" fontId="37" fillId="0" borderId="21" applyFill="0" applyProtection="0"/>
    <xf numFmtId="247" fontId="37" fillId="0" borderId="28" applyFill="0" applyProtection="0"/>
    <xf numFmtId="248" fontId="4" fillId="0" borderId="0" applyFont="0" applyFill="0" applyBorder="0" applyAlignment="0" applyProtection="0"/>
    <xf numFmtId="249" fontId="4" fillId="0" borderId="0" applyFont="0" applyFill="0" applyBorder="0" applyAlignment="0" applyProtection="0"/>
    <xf numFmtId="250" fontId="4" fillId="0" borderId="0" applyFont="0" applyFill="0" applyBorder="0" applyAlignment="0" applyProtection="0"/>
    <xf numFmtId="38" fontId="39" fillId="0" borderId="36">
      <alignment vertical="center"/>
    </xf>
    <xf numFmtId="251" fontId="4" fillId="0" borderId="0" applyFont="0" applyFill="0" applyBorder="0" applyAlignment="0" applyProtection="0"/>
    <xf numFmtId="252" fontId="4" fillId="0" borderId="0" applyFont="0" applyFill="0" applyBorder="0" applyAlignment="0" applyProtection="0"/>
    <xf numFmtId="253" fontId="4" fillId="0" borderId="0"/>
    <xf numFmtId="0" fontId="72" fillId="0" borderId="0"/>
    <xf numFmtId="253" fontId="4" fillId="0" borderId="0"/>
    <xf numFmtId="5" fontId="42" fillId="0" borderId="0" applyFont="0" applyFill="0" applyBorder="0" applyAlignment="0" applyProtection="0">
      <protection locked="0"/>
    </xf>
    <xf numFmtId="254" fontId="73" fillId="0" borderId="37" applyNumberFormat="0" applyFont="0" applyFill="0" applyAlignment="0" applyProtection="0"/>
    <xf numFmtId="206" fontId="4" fillId="0" borderId="0" applyFill="0" applyBorder="0" applyAlignment="0"/>
    <xf numFmtId="202" fontId="61" fillId="0" borderId="0" applyFill="0" applyBorder="0" applyAlignment="0"/>
    <xf numFmtId="206" fontId="4" fillId="0" borderId="0" applyFill="0" applyBorder="0" applyAlignment="0"/>
    <xf numFmtId="207" fontId="4" fillId="0" borderId="0" applyFill="0" applyBorder="0" applyAlignment="0"/>
    <xf numFmtId="202" fontId="61" fillId="0" borderId="0" applyFill="0" applyBorder="0" applyAlignment="0"/>
    <xf numFmtId="0" fontId="88" fillId="0" borderId="0" applyNumberFormat="0" applyAlignment="0">
      <alignment horizontal="left"/>
    </xf>
    <xf numFmtId="255" fontId="89"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37" fontId="35" fillId="0" borderId="0" applyBorder="0" applyAlignment="0"/>
    <xf numFmtId="2" fontId="80" fillId="0" borderId="0" applyFont="0" applyFill="0" applyBorder="0" applyAlignment="0" applyProtection="0"/>
    <xf numFmtId="256" fontId="86" fillId="0" borderId="0">
      <protection locked="0"/>
    </xf>
    <xf numFmtId="1" fontId="71" fillId="0" borderId="0" applyFont="0" applyFill="0" applyBorder="0" applyAlignment="0" applyProtection="0"/>
    <xf numFmtId="257" fontId="11" fillId="0" borderId="0">
      <alignment horizontal="left"/>
    </xf>
    <xf numFmtId="0" fontId="93" fillId="0" borderId="0" applyFill="0" applyBorder="0" applyProtection="0">
      <alignment horizontal="left"/>
    </xf>
    <xf numFmtId="258" fontId="87" fillId="33" borderId="0">
      <alignment horizontal="center"/>
      <protection locked="0"/>
    </xf>
    <xf numFmtId="190" fontId="94" fillId="0" borderId="0" applyNumberFormat="0" applyFill="0" applyBorder="0" applyAlignment="0" applyProtection="0">
      <protection locked="0"/>
    </xf>
    <xf numFmtId="259" fontId="95" fillId="0" borderId="0"/>
    <xf numFmtId="260" fontId="95" fillId="0" borderId="0"/>
    <xf numFmtId="260" fontId="95" fillId="0" borderId="0"/>
    <xf numFmtId="260" fontId="95" fillId="0" borderId="0"/>
    <xf numFmtId="260" fontId="95" fillId="0" borderId="0"/>
    <xf numFmtId="260" fontId="96" fillId="0" borderId="0"/>
    <xf numFmtId="260" fontId="96" fillId="0" borderId="0"/>
    <xf numFmtId="260" fontId="95" fillId="0" borderId="0"/>
    <xf numFmtId="260" fontId="95" fillId="0" borderId="0"/>
    <xf numFmtId="260" fontId="96" fillId="0" borderId="0"/>
    <xf numFmtId="260" fontId="96" fillId="0" borderId="0"/>
    <xf numFmtId="260" fontId="96"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62" fontId="95" fillId="0" borderId="0"/>
    <xf numFmtId="259" fontId="96" fillId="0" borderId="0"/>
    <xf numFmtId="261" fontId="95" fillId="0" borderId="0"/>
    <xf numFmtId="261" fontId="95" fillId="0" borderId="0"/>
    <xf numFmtId="260" fontId="95" fillId="0" borderId="0"/>
    <xf numFmtId="260" fontId="95" fillId="0" borderId="0"/>
    <xf numFmtId="260" fontId="95" fillId="0" borderId="0"/>
    <xf numFmtId="260" fontId="95" fillId="0" borderId="0"/>
    <xf numFmtId="260" fontId="96" fillId="0" borderId="0"/>
    <xf numFmtId="259" fontId="79" fillId="0" borderId="0"/>
    <xf numFmtId="259" fontId="79" fillId="0" borderId="0"/>
    <xf numFmtId="261" fontId="96" fillId="0" borderId="0"/>
    <xf numFmtId="261" fontId="96" fillId="0" borderId="0"/>
    <xf numFmtId="259" fontId="95" fillId="0" borderId="0"/>
    <xf numFmtId="259" fontId="95" fillId="0" borderId="0"/>
    <xf numFmtId="259" fontId="95" fillId="0" borderId="0"/>
    <xf numFmtId="259" fontId="95" fillId="0" borderId="0"/>
    <xf numFmtId="259" fontId="95" fillId="0" borderId="0"/>
    <xf numFmtId="259" fontId="95" fillId="0" borderId="0"/>
    <xf numFmtId="261" fontId="95" fillId="0" borderId="0"/>
    <xf numFmtId="259" fontId="95" fillId="0" borderId="0"/>
    <xf numFmtId="259" fontId="95" fillId="0" borderId="0"/>
    <xf numFmtId="259" fontId="95" fillId="0" borderId="0"/>
    <xf numFmtId="259" fontId="95" fillId="0" borderId="0"/>
    <xf numFmtId="259" fontId="95" fillId="0" borderId="0"/>
    <xf numFmtId="259" fontId="95" fillId="0" borderId="0"/>
    <xf numFmtId="261" fontId="95" fillId="0" borderId="0"/>
    <xf numFmtId="259" fontId="79" fillId="0" borderId="0"/>
    <xf numFmtId="261" fontId="95" fillId="0" borderId="0"/>
    <xf numFmtId="259" fontId="95" fillId="0" borderId="0"/>
    <xf numFmtId="259" fontId="95" fillId="0" borderId="0"/>
    <xf numFmtId="259" fontId="95" fillId="0" borderId="0"/>
    <xf numFmtId="259" fontId="95" fillId="0" borderId="0"/>
    <xf numFmtId="260" fontId="96" fillId="0" borderId="0"/>
    <xf numFmtId="261" fontId="96" fillId="0" borderId="0"/>
    <xf numFmtId="261" fontId="96" fillId="0" borderId="0"/>
    <xf numFmtId="261" fontId="96" fillId="0" borderId="0"/>
    <xf numFmtId="259" fontId="79" fillId="0" borderId="0"/>
    <xf numFmtId="260" fontId="96" fillId="0" borderId="0"/>
    <xf numFmtId="259" fontId="95" fillId="0" borderId="0"/>
    <xf numFmtId="259" fontId="95" fillId="0" borderId="0"/>
    <xf numFmtId="259" fontId="95" fillId="0" borderId="0"/>
    <xf numFmtId="259" fontId="95" fillId="0" borderId="0"/>
    <xf numFmtId="259" fontId="95" fillId="0" borderId="0"/>
    <xf numFmtId="259" fontId="95" fillId="0" borderId="0"/>
    <xf numFmtId="259" fontId="79" fillId="0" borderId="0"/>
    <xf numFmtId="260" fontId="96" fillId="0" borderId="0"/>
    <xf numFmtId="261" fontId="95" fillId="0" borderId="0"/>
    <xf numFmtId="261" fontId="95" fillId="0" borderId="0"/>
    <xf numFmtId="261" fontId="95" fillId="0" borderId="0"/>
    <xf numFmtId="261" fontId="95" fillId="0" borderId="0"/>
    <xf numFmtId="261" fontId="95" fillId="0" borderId="0"/>
    <xf numFmtId="261" fontId="95" fillId="0" borderId="0"/>
    <xf numFmtId="259" fontId="79" fillId="0" borderId="0"/>
    <xf numFmtId="260" fontId="95" fillId="0" borderId="0"/>
    <xf numFmtId="260" fontId="95" fillId="0" borderId="0"/>
    <xf numFmtId="260" fontId="95" fillId="0" borderId="0"/>
    <xf numFmtId="260" fontId="95" fillId="0" borderId="0"/>
    <xf numFmtId="260" fontId="96" fillId="0" borderId="0"/>
    <xf numFmtId="261" fontId="95" fillId="0" borderId="0"/>
    <xf numFmtId="263" fontId="95" fillId="0" borderId="0"/>
    <xf numFmtId="263" fontId="96" fillId="0" borderId="0"/>
    <xf numFmtId="264" fontId="95" fillId="0" borderId="0"/>
    <xf numFmtId="264" fontId="95" fillId="0" borderId="0"/>
    <xf numFmtId="263" fontId="96" fillId="0" borderId="0"/>
    <xf numFmtId="263" fontId="96" fillId="0" borderId="0"/>
    <xf numFmtId="264" fontId="95" fillId="0" borderId="0"/>
    <xf numFmtId="264" fontId="95" fillId="0" borderId="0"/>
    <xf numFmtId="264" fontId="95" fillId="0" borderId="0"/>
    <xf numFmtId="264" fontId="95" fillId="0" borderId="0"/>
    <xf numFmtId="264" fontId="95" fillId="0" borderId="0"/>
    <xf numFmtId="264" fontId="95" fillId="0" borderId="0"/>
    <xf numFmtId="263" fontId="96" fillId="0" borderId="0"/>
    <xf numFmtId="263" fontId="96" fillId="0" borderId="0"/>
    <xf numFmtId="264" fontId="96" fillId="0" borderId="0"/>
    <xf numFmtId="264" fontId="95" fillId="0" borderId="0"/>
    <xf numFmtId="264" fontId="95" fillId="0" borderId="0"/>
    <xf numFmtId="264" fontId="96" fillId="0" borderId="0"/>
    <xf numFmtId="264" fontId="96" fillId="0" borderId="0"/>
    <xf numFmtId="264" fontId="96" fillId="0" borderId="0"/>
    <xf numFmtId="263" fontId="79" fillId="0" borderId="0"/>
    <xf numFmtId="263" fontId="79" fillId="0" borderId="0"/>
    <xf numFmtId="263" fontId="79" fillId="0" borderId="0"/>
    <xf numFmtId="263" fontId="95" fillId="0" borderId="0"/>
    <xf numFmtId="263" fontId="95" fillId="0" borderId="0"/>
    <xf numFmtId="264" fontId="95" fillId="0" borderId="0"/>
    <xf numFmtId="263" fontId="95" fillId="0" borderId="0"/>
    <xf numFmtId="263" fontId="95" fillId="0" borderId="0"/>
    <xf numFmtId="264" fontId="95" fillId="0" borderId="0"/>
    <xf numFmtId="264" fontId="95" fillId="0" borderId="0"/>
    <xf numFmtId="263" fontId="79" fillId="0" borderId="0"/>
    <xf numFmtId="263" fontId="79" fillId="0" borderId="0"/>
    <xf numFmtId="263" fontId="79" fillId="0" borderId="0"/>
    <xf numFmtId="263" fontId="79" fillId="0" borderId="0"/>
    <xf numFmtId="263" fontId="96" fillId="0" borderId="0"/>
    <xf numFmtId="263" fontId="96" fillId="0" borderId="0"/>
    <xf numFmtId="263" fontId="96" fillId="0" borderId="0"/>
    <xf numFmtId="265" fontId="95" fillId="0" borderId="0"/>
    <xf numFmtId="265" fontId="96" fillId="0" borderId="0"/>
    <xf numFmtId="265" fontId="96" fillId="0" borderId="0"/>
    <xf numFmtId="265" fontId="95" fillId="0" borderId="0"/>
    <xf numFmtId="265" fontId="95" fillId="0" borderId="0"/>
    <xf numFmtId="265" fontId="96" fillId="0" borderId="0"/>
    <xf numFmtId="265" fontId="96" fillId="0" borderId="0"/>
    <xf numFmtId="265" fontId="95" fillId="0" borderId="0"/>
    <xf numFmtId="265" fontId="95" fillId="0" borderId="0"/>
    <xf numFmtId="265" fontId="95" fillId="0" borderId="0"/>
    <xf numFmtId="265" fontId="95" fillId="0" borderId="0"/>
    <xf numFmtId="265" fontId="95" fillId="0" borderId="0"/>
    <xf numFmtId="265" fontId="95" fillId="0" borderId="0"/>
    <xf numFmtId="265" fontId="96" fillId="0" borderId="0"/>
    <xf numFmtId="265" fontId="96" fillId="0" borderId="0"/>
    <xf numFmtId="265" fontId="96" fillId="0" borderId="0"/>
    <xf numFmtId="265" fontId="96" fillId="0" borderId="0"/>
    <xf numFmtId="265" fontId="96" fillId="0" borderId="0"/>
    <xf numFmtId="265" fontId="96" fillId="0" borderId="0"/>
    <xf numFmtId="265" fontId="96" fillId="0" borderId="0"/>
    <xf numFmtId="265" fontId="79" fillId="0" borderId="0"/>
    <xf numFmtId="265" fontId="79" fillId="0" borderId="0"/>
    <xf numFmtId="265" fontId="79" fillId="0" borderId="0"/>
    <xf numFmtId="265" fontId="95" fillId="0" borderId="0"/>
    <xf numFmtId="265" fontId="95" fillId="0" borderId="0"/>
    <xf numFmtId="265" fontId="95" fillId="0" borderId="0"/>
    <xf numFmtId="265" fontId="95" fillId="0" borderId="0"/>
    <xf numFmtId="265" fontId="95" fillId="0" borderId="0"/>
    <xf numFmtId="265" fontId="95" fillId="0" borderId="0"/>
    <xf numFmtId="265" fontId="79" fillId="0" borderId="0"/>
    <xf numFmtId="265" fontId="79" fillId="0" borderId="0"/>
    <xf numFmtId="265" fontId="79" fillId="0" borderId="0"/>
    <xf numFmtId="265" fontId="79" fillId="0" borderId="0"/>
    <xf numFmtId="265" fontId="96" fillId="0" borderId="0"/>
    <xf numFmtId="246" fontId="95" fillId="0" borderId="0"/>
    <xf numFmtId="37" fontId="11" fillId="0" borderId="0"/>
    <xf numFmtId="0" fontId="97"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9" fillId="11" borderId="0" applyNumberFormat="0" applyBorder="0" applyAlignment="0" applyProtection="0"/>
    <xf numFmtId="38" fontId="11" fillId="34" borderId="0" applyNumberFormat="0" applyBorder="0" applyAlignment="0" applyProtection="0"/>
    <xf numFmtId="38" fontId="11" fillId="34" borderId="0" applyNumberFormat="0" applyBorder="0" applyAlignment="0" applyProtection="0"/>
    <xf numFmtId="266" fontId="100" fillId="0" borderId="0" applyFill="0" applyBorder="0" applyAlignment="0" applyProtection="0"/>
    <xf numFmtId="267" fontId="73" fillId="0" borderId="0" applyFont="0" applyFill="0" applyBorder="0" applyAlignment="0" applyProtection="0">
      <alignment horizontal="right"/>
    </xf>
    <xf numFmtId="240" fontId="4" fillId="0" borderId="0" applyFill="0" applyBorder="0" applyAlignment="0" applyProtection="0"/>
    <xf numFmtId="0" fontId="82" fillId="0" borderId="0"/>
    <xf numFmtId="0" fontId="101" fillId="0" borderId="0" applyProtection="0">
      <alignment horizontal="right"/>
    </xf>
    <xf numFmtId="0" fontId="20" fillId="0" borderId="38" applyNumberFormat="0" applyAlignment="0" applyProtection="0">
      <alignment horizontal="left" vertical="center"/>
    </xf>
    <xf numFmtId="0" fontId="20" fillId="0" borderId="39">
      <alignment horizontal="left" vertical="center"/>
    </xf>
    <xf numFmtId="0" fontId="33" fillId="0" borderId="0"/>
    <xf numFmtId="0" fontId="102" fillId="0" borderId="0" applyFill="0" applyBorder="0" applyProtection="0">
      <alignment horizontal="right"/>
    </xf>
    <xf numFmtId="0" fontId="103" fillId="0" borderId="40" applyNumberFormat="0" applyFill="0" applyAlignment="0" applyProtection="0"/>
    <xf numFmtId="0" fontId="104" fillId="0" borderId="40" applyNumberFormat="0" applyFill="0" applyAlignment="0" applyProtection="0"/>
    <xf numFmtId="0" fontId="104" fillId="0" borderId="40" applyNumberFormat="0" applyFill="0" applyAlignment="0" applyProtection="0"/>
    <xf numFmtId="0" fontId="105" fillId="0" borderId="0" applyNumberFormat="0" applyFill="0" applyBorder="0" applyAlignment="0" applyProtection="0"/>
    <xf numFmtId="0" fontId="106" fillId="0" borderId="0" applyProtection="0">
      <alignment horizontal="left"/>
    </xf>
    <xf numFmtId="0" fontId="107" fillId="0" borderId="41" applyNumberFormat="0" applyFill="0" applyAlignment="0" applyProtection="0"/>
    <xf numFmtId="0" fontId="107" fillId="0" borderId="41" applyNumberFormat="0" applyFill="0" applyAlignment="0" applyProtection="0"/>
    <xf numFmtId="0" fontId="108" fillId="0" borderId="0" applyNumberFormat="0" applyFill="0" applyBorder="0" applyAlignment="0" applyProtection="0"/>
    <xf numFmtId="0" fontId="109" fillId="0" borderId="0" applyProtection="0">
      <alignment horizontal="left"/>
    </xf>
    <xf numFmtId="0" fontId="110" fillId="0" borderId="42" applyNumberFormat="0" applyFill="0" applyAlignment="0" applyProtection="0"/>
    <xf numFmtId="0" fontId="110" fillId="0" borderId="42" applyNumberFormat="0" applyFill="0" applyAlignment="0" applyProtection="0"/>
    <xf numFmtId="0" fontId="111" fillId="0" borderId="42" applyNumberFormat="0" applyFill="0" applyAlignment="0" applyProtection="0"/>
    <xf numFmtId="0" fontId="111"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14" fontId="3" fillId="35" borderId="29">
      <alignment horizontal="center" vertical="center" wrapText="1"/>
    </xf>
    <xf numFmtId="0" fontId="65" fillId="0" borderId="0" applyFill="0" applyAlignment="0" applyProtection="0">
      <protection locked="0"/>
    </xf>
    <xf numFmtId="0" fontId="65" fillId="0" borderId="26" applyFill="0" applyAlignment="0" applyProtection="0">
      <protection locked="0"/>
    </xf>
    <xf numFmtId="268" fontId="4" fillId="0" borderId="0">
      <protection locked="0"/>
    </xf>
    <xf numFmtId="269" fontId="86" fillId="0" borderId="0">
      <protection locked="0"/>
    </xf>
    <xf numFmtId="268" fontId="4" fillId="0" borderId="0">
      <protection locked="0"/>
    </xf>
    <xf numFmtId="269" fontId="86" fillId="0" borderId="0">
      <protection locked="0"/>
    </xf>
    <xf numFmtId="0" fontId="112" fillId="0" borderId="29">
      <alignment horizontal="center"/>
    </xf>
    <xf numFmtId="0" fontId="112" fillId="0" borderId="0">
      <alignment horizontal="center"/>
    </xf>
    <xf numFmtId="0" fontId="4" fillId="0" borderId="0" applyNumberFormat="0" applyFill="0" applyBorder="0" applyProtection="0">
      <alignment wrapText="1"/>
    </xf>
    <xf numFmtId="0" fontId="4" fillId="0" borderId="0" applyNumberFormat="0" applyFill="0" applyBorder="0" applyProtection="0">
      <alignment horizontal="justify" vertical="top" wrapText="1"/>
    </xf>
    <xf numFmtId="270" fontId="113" fillId="0" borderId="0" applyFill="0" applyBorder="0" applyAlignment="0" applyProtection="0"/>
    <xf numFmtId="0" fontId="114" fillId="0" borderId="43" applyNumberFormat="0" applyFill="0" applyAlignment="0" applyProtection="0"/>
    <xf numFmtId="0" fontId="115" fillId="0" borderId="0">
      <alignment horizontal="center"/>
    </xf>
    <xf numFmtId="0" fontId="114" fillId="0" borderId="43" applyNumberFormat="0" applyFill="0" applyAlignment="0" applyProtection="0"/>
    <xf numFmtId="0" fontId="116" fillId="0" borderId="0" applyNumberFormat="0" applyFill="0" applyBorder="0" applyAlignment="0" applyProtection="0">
      <alignment vertical="top"/>
      <protection locked="0"/>
    </xf>
    <xf numFmtId="175" fontId="35" fillId="0" borderId="0" applyFont="0" applyFill="0" applyBorder="0" applyAlignment="0" applyProtection="0"/>
    <xf numFmtId="10" fontId="11" fillId="32" borderId="1" applyNumberFormat="0" applyBorder="0" applyAlignment="0" applyProtection="0"/>
    <xf numFmtId="10" fontId="11" fillId="32" borderId="1" applyNumberFormat="0" applyBorder="0" applyAlignment="0" applyProtection="0"/>
    <xf numFmtId="0" fontId="117" fillId="14" borderId="32" applyNumberFormat="0" applyAlignment="0" applyProtection="0"/>
    <xf numFmtId="0" fontId="118" fillId="14" borderId="32" applyNumberFormat="0" applyAlignment="0" applyProtection="0"/>
    <xf numFmtId="0" fontId="118" fillId="14" borderId="32" applyNumberFormat="0" applyAlignment="0" applyProtection="0"/>
    <xf numFmtId="0" fontId="119" fillId="14" borderId="32" applyNumberFormat="0" applyAlignment="0" applyProtection="0"/>
    <xf numFmtId="0" fontId="119" fillId="14" borderId="32" applyNumberFormat="0" applyAlignment="0" applyProtection="0"/>
    <xf numFmtId="0" fontId="119" fillId="14" borderId="32" applyNumberFormat="0" applyAlignment="0" applyProtection="0"/>
    <xf numFmtId="190" fontId="81" fillId="0" borderId="1" applyNumberFormat="0" applyFill="0" applyAlignment="0" applyProtection="0"/>
    <xf numFmtId="38" fontId="120" fillId="36" borderId="44" applyNumberFormat="0" applyFill="0" applyBorder="0" applyAlignment="0" applyProtection="0">
      <alignment horizontal="right"/>
    </xf>
    <xf numFmtId="271" fontId="56" fillId="0" borderId="0" applyFill="0" applyBorder="0" applyAlignment="0">
      <protection locked="0"/>
    </xf>
    <xf numFmtId="272" fontId="4" fillId="0" borderId="0"/>
    <xf numFmtId="0" fontId="4" fillId="0" borderId="0" applyNumberFormat="0" applyFill="0" applyBorder="0" applyProtection="0">
      <alignment horizontal="left" vertical="center"/>
    </xf>
    <xf numFmtId="0" fontId="4" fillId="37" borderId="1">
      <protection locked="0"/>
    </xf>
    <xf numFmtId="273" fontId="4" fillId="37" borderId="1">
      <alignment horizontal="left"/>
      <protection locked="0"/>
    </xf>
    <xf numFmtId="0" fontId="4" fillId="37" borderId="1">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2" fontId="123" fillId="0" borderId="26"/>
    <xf numFmtId="1" fontId="11" fillId="0" borderId="26" applyNumberFormat="0" applyFont="0" applyFill="0" applyAlignment="0" applyProtection="0">
      <alignment horizontal="center"/>
    </xf>
    <xf numFmtId="1" fontId="11" fillId="0" borderId="21" applyNumberFormat="0" applyFont="0" applyFill="0" applyProtection="0">
      <alignment horizontal="center"/>
    </xf>
    <xf numFmtId="206" fontId="4" fillId="0" borderId="0" applyFill="0" applyBorder="0" applyAlignment="0"/>
    <xf numFmtId="202" fontId="61" fillId="0" borderId="0" applyFill="0" applyBorder="0" applyAlignment="0"/>
    <xf numFmtId="206" fontId="4" fillId="0" borderId="0" applyFill="0" applyBorder="0" applyAlignment="0"/>
    <xf numFmtId="207" fontId="4" fillId="0" borderId="0" applyFill="0" applyBorder="0" applyAlignment="0"/>
    <xf numFmtId="202" fontId="61" fillId="0" borderId="0" applyFill="0" applyBorder="0" applyAlignment="0"/>
    <xf numFmtId="0" fontId="124" fillId="0" borderId="45" applyNumberFormat="0" applyFill="0" applyAlignment="0" applyProtection="0"/>
    <xf numFmtId="0" fontId="125" fillId="0" borderId="45" applyNumberFormat="0" applyFill="0" applyAlignment="0" applyProtection="0"/>
    <xf numFmtId="0" fontId="125" fillId="0" borderId="45" applyNumberFormat="0" applyFill="0" applyAlignment="0" applyProtection="0"/>
    <xf numFmtId="0" fontId="126" fillId="0" borderId="45" applyNumberFormat="0" applyFill="0" applyAlignment="0" applyProtection="0"/>
    <xf numFmtId="266" fontId="127" fillId="0" borderId="0" applyFill="0" applyBorder="0" applyAlignment="0" applyProtection="0"/>
    <xf numFmtId="274" fontId="11" fillId="0" borderId="0" applyFont="0" applyFill="0" applyBorder="0" applyAlignment="0" applyProtection="0"/>
    <xf numFmtId="275" fontId="4" fillId="0" borderId="0" applyFont="0" applyFill="0" applyBorder="0" applyAlignment="0" applyProtection="0"/>
    <xf numFmtId="276" fontId="4" fillId="0" borderId="0" applyFont="0" applyFill="0" applyBorder="0" applyAlignment="0" applyProtection="0"/>
    <xf numFmtId="277" fontId="56" fillId="0" borderId="26" applyFont="0" applyFill="0" applyBorder="0" applyAlignment="0" applyProtection="0">
      <protection locked="0"/>
    </xf>
    <xf numFmtId="195" fontId="33" fillId="0" borderId="0" applyFont="0" applyFill="0" applyBorder="0" applyAlignment="0" applyProtection="0"/>
    <xf numFmtId="195" fontId="33" fillId="0" borderId="0" applyFont="0" applyFill="0" applyBorder="0" applyAlignment="0" applyProtection="0"/>
    <xf numFmtId="278" fontId="75" fillId="0" borderId="0" applyFont="0" applyFill="0" applyBorder="0" applyAlignment="0" applyProtection="0"/>
    <xf numFmtId="279" fontId="7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80" fontId="4" fillId="0" borderId="0" applyFont="0" applyFill="0" applyBorder="0" applyAlignment="0" applyProtection="0"/>
    <xf numFmtId="17" fontId="87" fillId="0" borderId="0" applyFont="0" applyFill="0" applyBorder="0">
      <alignment horizontal="right"/>
    </xf>
    <xf numFmtId="281" fontId="73" fillId="0" borderId="0" applyFont="0" applyFill="0" applyBorder="0" applyAlignment="0" applyProtection="0">
      <alignment horizontal="right"/>
    </xf>
    <xf numFmtId="0" fontId="47" fillId="0" borderId="0"/>
    <xf numFmtId="0" fontId="128" fillId="38" borderId="0" applyNumberFormat="0" applyBorder="0" applyAlignment="0" applyProtection="0"/>
    <xf numFmtId="0" fontId="129" fillId="38" borderId="0" applyNumberFormat="0" applyBorder="0" applyAlignment="0" applyProtection="0"/>
    <xf numFmtId="0" fontId="129" fillId="38" borderId="0" applyNumberFormat="0" applyBorder="0" applyAlignment="0" applyProtection="0"/>
    <xf numFmtId="0" fontId="130" fillId="38" borderId="0" applyNumberFormat="0" applyBorder="0" applyAlignment="0" applyProtection="0"/>
    <xf numFmtId="37" fontId="131" fillId="0" borderId="0"/>
    <xf numFmtId="282" fontId="4" fillId="0" borderId="0"/>
    <xf numFmtId="283" fontId="132" fillId="0" borderId="0"/>
    <xf numFmtId="0" fontId="72" fillId="0" borderId="0"/>
    <xf numFmtId="0" fontId="1" fillId="0" borderId="0"/>
    <xf numFmtId="0" fontId="95" fillId="0" borderId="0"/>
    <xf numFmtId="0" fontId="95" fillId="0" borderId="0"/>
    <xf numFmtId="0" fontId="95"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96" fillId="0" borderId="0"/>
    <xf numFmtId="0" fontId="42" fillId="0" borderId="0">
      <alignment vertical="top"/>
    </xf>
    <xf numFmtId="0" fontId="96" fillId="0" borderId="0"/>
    <xf numFmtId="0" fontId="42" fillId="0" borderId="0">
      <alignment vertical="top"/>
    </xf>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37" fillId="0" borderId="0"/>
    <xf numFmtId="0" fontId="37" fillId="0" borderId="0"/>
    <xf numFmtId="0" fontId="37" fillId="0" borderId="0"/>
    <xf numFmtId="0" fontId="37" fillId="0" borderId="0"/>
    <xf numFmtId="0" fontId="4" fillId="0" borderId="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96" fillId="0" borderId="0"/>
    <xf numFmtId="0" fontId="42" fillId="0" borderId="0">
      <alignment vertical="top"/>
    </xf>
    <xf numFmtId="0" fontId="95" fillId="0" borderId="0"/>
    <xf numFmtId="0" fontId="95" fillId="0" borderId="0"/>
    <xf numFmtId="0" fontId="96" fillId="0" borderId="0"/>
    <xf numFmtId="0" fontId="95" fillId="0" borderId="0"/>
    <xf numFmtId="0" fontId="95" fillId="0" borderId="0"/>
    <xf numFmtId="0" fontId="42" fillId="0" borderId="0">
      <alignment vertical="top"/>
    </xf>
    <xf numFmtId="0" fontId="95" fillId="0" borderId="0"/>
    <xf numFmtId="0" fontId="95" fillId="0" borderId="0"/>
    <xf numFmtId="0" fontId="95" fillId="0" borderId="0"/>
    <xf numFmtId="0" fontId="95" fillId="0" borderId="0"/>
    <xf numFmtId="0" fontId="95" fillId="0" borderId="0"/>
    <xf numFmtId="0" fontId="95" fillId="0" borderId="0"/>
    <xf numFmtId="0" fontId="4" fillId="0" borderId="0"/>
    <xf numFmtId="0" fontId="42" fillId="0" borderId="0">
      <alignment vertical="top"/>
    </xf>
    <xf numFmtId="0" fontId="96" fillId="0" borderId="0"/>
    <xf numFmtId="0" fontId="42" fillId="0" borderId="0">
      <alignment vertical="top"/>
    </xf>
    <xf numFmtId="0" fontId="96" fillId="0" borderId="0"/>
    <xf numFmtId="0" fontId="96" fillId="0" borderId="0"/>
    <xf numFmtId="0" fontId="42" fillId="0" borderId="0">
      <alignment vertical="top"/>
    </xf>
    <xf numFmtId="0" fontId="4" fillId="0" borderId="0">
      <alignment wrapText="1"/>
    </xf>
    <xf numFmtId="0" fontId="42" fillId="0" borderId="0">
      <alignment vertical="top"/>
    </xf>
    <xf numFmtId="0" fontId="42" fillId="0" borderId="0">
      <alignment vertical="top"/>
    </xf>
    <xf numFmtId="0" fontId="42" fillId="0" borderId="0">
      <alignment vertical="top"/>
    </xf>
    <xf numFmtId="0" fontId="96" fillId="0" borderId="0"/>
    <xf numFmtId="0" fontId="96" fillId="0" borderId="0"/>
    <xf numFmtId="0" fontId="4" fillId="0" borderId="0"/>
    <xf numFmtId="0" fontId="4" fillId="0" borderId="0"/>
    <xf numFmtId="0" fontId="79" fillId="0" borderId="0"/>
    <xf numFmtId="0" fontId="79" fillId="0" borderId="0"/>
    <xf numFmtId="0" fontId="79" fillId="0" borderId="0"/>
    <xf numFmtId="0" fontId="96" fillId="0" borderId="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95" fillId="0" borderId="0"/>
    <xf numFmtId="0" fontId="95" fillId="0" borderId="0"/>
    <xf numFmtId="0" fontId="4" fillId="0" borderId="0"/>
    <xf numFmtId="0" fontId="4" fillId="0" borderId="0"/>
    <xf numFmtId="0" fontId="4" fillId="0" borderId="0"/>
    <xf numFmtId="0" fontId="4" fillId="0" borderId="0"/>
    <xf numFmtId="0" fontId="4" fillId="0" borderId="0"/>
    <xf numFmtId="0" fontId="72" fillId="0" borderId="0"/>
    <xf numFmtId="0" fontId="133" fillId="0" borderId="0"/>
    <xf numFmtId="0" fontId="133" fillId="0" borderId="0"/>
    <xf numFmtId="0" fontId="72" fillId="0" borderId="0"/>
    <xf numFmtId="0" fontId="133" fillId="0" borderId="0"/>
    <xf numFmtId="0" fontId="133" fillId="0" borderId="0"/>
    <xf numFmtId="0" fontId="72" fillId="0" borderId="0"/>
    <xf numFmtId="0" fontId="1" fillId="0" borderId="0"/>
    <xf numFmtId="0" fontId="1" fillId="0" borderId="0"/>
    <xf numFmtId="0" fontId="1" fillId="0" borderId="0"/>
    <xf numFmtId="0" fontId="72" fillId="0" borderId="0"/>
    <xf numFmtId="0" fontId="133" fillId="0" borderId="0"/>
    <xf numFmtId="0" fontId="133" fillId="0" borderId="0"/>
    <xf numFmtId="0" fontId="1" fillId="0" borderId="0"/>
    <xf numFmtId="0" fontId="95"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33" fillId="0" borderId="0"/>
    <xf numFmtId="0" fontId="133" fillId="0" borderId="0"/>
    <xf numFmtId="0" fontId="1" fillId="0" borderId="0"/>
    <xf numFmtId="0" fontId="1" fillId="0" borderId="0"/>
    <xf numFmtId="0" fontId="133" fillId="0" borderId="0"/>
    <xf numFmtId="0" fontId="133" fillId="0" borderId="0"/>
    <xf numFmtId="0" fontId="133" fillId="0" borderId="0"/>
    <xf numFmtId="0" fontId="133"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79" fillId="0" borderId="0"/>
    <xf numFmtId="0" fontId="1" fillId="0" borderId="0"/>
    <xf numFmtId="0" fontId="72" fillId="0" borderId="0"/>
    <xf numFmtId="0" fontId="72" fillId="0" borderId="0"/>
    <xf numFmtId="0" fontId="72" fillId="0" borderId="0"/>
    <xf numFmtId="0" fontId="72" fillId="0" borderId="0"/>
    <xf numFmtId="0" fontId="39" fillId="0" borderId="0"/>
    <xf numFmtId="0" fontId="39" fillId="0" borderId="0"/>
    <xf numFmtId="0" fontId="39" fillId="0" borderId="0"/>
    <xf numFmtId="0" fontId="1" fillId="0" borderId="0"/>
    <xf numFmtId="0" fontId="95" fillId="0" borderId="0"/>
    <xf numFmtId="0" fontId="95" fillId="0" borderId="0"/>
    <xf numFmtId="0" fontId="95" fillId="0" borderId="0"/>
    <xf numFmtId="0" fontId="95" fillId="0" borderId="0"/>
    <xf numFmtId="0" fontId="95"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95"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6" fillId="0" borderId="0"/>
    <xf numFmtId="0" fontId="96" fillId="0" borderId="0"/>
    <xf numFmtId="0" fontId="96" fillId="0" borderId="0"/>
    <xf numFmtId="0" fontId="95" fillId="0" borderId="0"/>
    <xf numFmtId="0" fontId="9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vertical="top"/>
    </xf>
    <xf numFmtId="0" fontId="47" fillId="0" borderId="26" applyFill="0" applyAlignment="0" applyProtection="0"/>
    <xf numFmtId="175" fontId="11" fillId="0" borderId="0"/>
    <xf numFmtId="40" fontId="11" fillId="0" borderId="0"/>
    <xf numFmtId="186" fontId="11" fillId="0" borderId="0"/>
    <xf numFmtId="0" fontId="134" fillId="0" borderId="0"/>
    <xf numFmtId="0" fontId="4" fillId="39" borderId="46" applyNumberFormat="0" applyFont="0" applyAlignment="0" applyProtection="0"/>
    <xf numFmtId="0" fontId="41" fillId="39" borderId="46" applyNumberFormat="0" applyFont="0" applyAlignment="0" applyProtection="0"/>
    <xf numFmtId="0" fontId="41" fillId="39" borderId="46" applyNumberFormat="0" applyFont="0" applyAlignment="0" applyProtection="0"/>
    <xf numFmtId="0" fontId="42" fillId="39" borderId="46" applyNumberFormat="0" applyFont="0" applyAlignment="0" applyProtection="0"/>
    <xf numFmtId="43" fontId="119" fillId="0" borderId="0"/>
    <xf numFmtId="43" fontId="37" fillId="0" borderId="0" applyFont="0" applyFill="0" applyBorder="0" applyAlignment="0" applyProtection="0"/>
    <xf numFmtId="41" fontId="37" fillId="0" borderId="0" applyFont="0" applyFill="0" applyBorder="0" applyAlignment="0" applyProtection="0"/>
    <xf numFmtId="0" fontId="135" fillId="0" borderId="0">
      <alignment horizontal="left"/>
    </xf>
    <xf numFmtId="0" fontId="136" fillId="30" borderId="47" applyNumberFormat="0" applyAlignment="0" applyProtection="0"/>
    <xf numFmtId="0" fontId="137" fillId="30" borderId="47" applyNumberFormat="0" applyAlignment="0" applyProtection="0"/>
    <xf numFmtId="0" fontId="137" fillId="30" borderId="47" applyNumberFormat="0" applyAlignment="0" applyProtection="0"/>
    <xf numFmtId="0" fontId="138" fillId="30" borderId="47" applyNumberFormat="0" applyAlignment="0" applyProtection="0"/>
    <xf numFmtId="40" fontId="139" fillId="40" borderId="0">
      <alignment horizontal="right"/>
    </xf>
    <xf numFmtId="0" fontId="140" fillId="40" borderId="0">
      <alignment horizontal="center" vertical="center"/>
    </xf>
    <xf numFmtId="0" fontId="141" fillId="40" borderId="0">
      <alignment horizontal="right"/>
    </xf>
    <xf numFmtId="0" fontId="142" fillId="40" borderId="24"/>
    <xf numFmtId="0" fontId="140" fillId="40" borderId="0" applyBorder="0">
      <alignment horizontal="centerContinuous"/>
    </xf>
    <xf numFmtId="0" fontId="142" fillId="0" borderId="0" applyBorder="0">
      <alignment horizontal="centerContinuous"/>
    </xf>
    <xf numFmtId="0" fontId="143" fillId="40" borderId="0" applyBorder="0">
      <alignment horizontal="centerContinuous"/>
    </xf>
    <xf numFmtId="0" fontId="144" fillId="0" borderId="0" applyBorder="0">
      <alignment horizontal="centerContinuous"/>
    </xf>
    <xf numFmtId="1" fontId="145" fillId="0" borderId="0" applyProtection="0">
      <alignment horizontal="right" vertical="center"/>
    </xf>
    <xf numFmtId="0" fontId="146" fillId="0" borderId="48" applyNumberFormat="0" applyAlignment="0" applyProtection="0"/>
    <xf numFmtId="0" fontId="37" fillId="37" borderId="0" applyNumberFormat="0" applyFont="0" applyBorder="0" applyAlignment="0" applyProtection="0"/>
    <xf numFmtId="0" fontId="11" fillId="29" borderId="49" applyNumberFormat="0" applyFont="0" applyBorder="0" applyAlignment="0" applyProtection="0">
      <alignment horizontal="center"/>
    </xf>
    <xf numFmtId="0" fontId="11" fillId="27" borderId="49" applyNumberFormat="0" applyFont="0" applyBorder="0" applyAlignment="0" applyProtection="0">
      <alignment horizontal="center"/>
    </xf>
    <xf numFmtId="0" fontId="37" fillId="0" borderId="50" applyNumberFormat="0" applyAlignment="0" applyProtection="0"/>
    <xf numFmtId="0" fontId="37" fillId="0" borderId="51" applyNumberFormat="0" applyAlignment="0" applyProtection="0"/>
    <xf numFmtId="0" fontId="146" fillId="0" borderId="52" applyNumberFormat="0" applyAlignment="0" applyProtection="0"/>
    <xf numFmtId="14" fontId="35" fillId="0" borderId="0">
      <alignment horizontal="center" wrapText="1"/>
      <protection locked="0"/>
    </xf>
    <xf numFmtId="0" fontId="85" fillId="0" borderId="0"/>
    <xf numFmtId="284" fontId="65" fillId="0" borderId="0" applyFont="0" applyFill="0" applyBorder="0" applyAlignment="0" applyProtection="0"/>
    <xf numFmtId="285" fontId="74" fillId="0" borderId="0" applyFont="0" applyFill="0" applyBorder="0" applyAlignment="0" applyProtection="0"/>
    <xf numFmtId="286" fontId="76" fillId="0" borderId="0" applyFont="0" applyFill="0" applyBorder="0" applyAlignment="0" applyProtection="0"/>
    <xf numFmtId="287" fontId="4" fillId="0" borderId="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39" fillId="0" borderId="0" applyFont="0">
      <alignment horizontal="right"/>
    </xf>
    <xf numFmtId="288" fontId="4" fillId="0" borderId="0"/>
    <xf numFmtId="289" fontId="4" fillId="0" borderId="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90" fontId="76" fillId="0" borderId="0" applyFont="0" applyFill="0" applyBorder="0" applyAlignment="0" applyProtection="0"/>
    <xf numFmtId="291" fontId="74" fillId="0" borderId="0" applyFont="0" applyFill="0" applyBorder="0" applyAlignment="0" applyProtection="0"/>
    <xf numFmtId="292" fontId="76" fillId="0" borderId="0" applyFont="0" applyFill="0" applyBorder="0" applyAlignment="0" applyProtection="0"/>
    <xf numFmtId="293" fontId="74" fillId="0" borderId="0" applyFont="0" applyFill="0" applyBorder="0" applyAlignment="0" applyProtection="0"/>
    <xf numFmtId="294" fontId="76" fillId="0" borderId="0" applyFont="0" applyFill="0" applyBorder="0" applyAlignment="0" applyProtection="0"/>
    <xf numFmtId="295" fontId="74"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2" fillId="0" borderId="0" applyFont="0" applyFill="0" applyBorder="0" applyAlignment="0" applyProtection="0"/>
    <xf numFmtId="9" fontId="4" fillId="0" borderId="0" applyFont="0" applyFill="0" applyBorder="0" applyAlignment="0" applyProtection="0"/>
    <xf numFmtId="9" fontId="4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296" fontId="4" fillId="0" borderId="0" applyFont="0" applyFill="0" applyBorder="0" applyProtection="0">
      <alignment horizontal="right"/>
    </xf>
    <xf numFmtId="297" fontId="4" fillId="0" borderId="0"/>
    <xf numFmtId="190" fontId="71" fillId="0" borderId="0" applyFont="0" applyFill="0" applyBorder="0" applyAlignment="0" applyProtection="0"/>
    <xf numFmtId="10" fontId="71" fillId="0" borderId="0" applyFont="0" applyFill="0" applyBorder="0" applyAlignment="0" applyProtection="0"/>
    <xf numFmtId="8" fontId="147" fillId="0" borderId="53">
      <alignment horizontal="right"/>
    </xf>
    <xf numFmtId="0" fontId="39" fillId="0" borderId="0" applyNumberFormat="0" applyFont="0" applyFill="0" applyBorder="0" applyAlignment="0" applyProtection="0">
      <alignment horizontal="left"/>
    </xf>
    <xf numFmtId="15" fontId="39" fillId="0" borderId="0" applyFont="0" applyFill="0" applyBorder="0" applyAlignment="0" applyProtection="0"/>
    <xf numFmtId="4" fontId="39" fillId="0" borderId="0" applyFont="0" applyFill="0" applyBorder="0" applyAlignment="0" applyProtection="0"/>
    <xf numFmtId="0" fontId="148" fillId="0" borderId="54">
      <alignment horizontal="center"/>
    </xf>
    <xf numFmtId="3" fontId="39" fillId="0" borderId="0" applyFont="0" applyFill="0" applyBorder="0" applyAlignment="0" applyProtection="0"/>
    <xf numFmtId="0" fontId="39" fillId="41" borderId="0" applyNumberFormat="0" applyFont="0" applyBorder="0" applyAlignment="0" applyProtection="0"/>
    <xf numFmtId="298" fontId="72" fillId="30" borderId="0">
      <alignment horizontal="right"/>
    </xf>
    <xf numFmtId="299" fontId="4" fillId="0" borderId="0" applyFont="0" applyFill="0" applyBorder="0" applyProtection="0">
      <alignment horizontal="right"/>
    </xf>
    <xf numFmtId="300" fontId="4" fillId="0" borderId="0" applyFont="0" applyFill="0" applyBorder="0" applyProtection="0">
      <alignment horizontal="right"/>
    </xf>
    <xf numFmtId="166" fontId="72" fillId="0" borderId="0" applyFont="0" applyFill="0" applyBorder="0" applyAlignment="0" applyProtection="0"/>
    <xf numFmtId="0" fontId="149" fillId="42" borderId="0" applyNumberFormat="0" applyFont="0" applyBorder="0" applyAlignment="0">
      <alignment horizontal="center"/>
    </xf>
    <xf numFmtId="14" fontId="150" fillId="0" borderId="0" applyNumberFormat="0" applyFill="0" applyBorder="0" applyAlignment="0" applyProtection="0">
      <alignment horizontal="left"/>
    </xf>
    <xf numFmtId="0" fontId="151" fillId="0" borderId="55">
      <alignment vertical="center"/>
    </xf>
    <xf numFmtId="0" fontId="20" fillId="0" borderId="0" applyFill="0" applyBorder="0" applyProtection="0">
      <alignment horizontal="left"/>
    </xf>
    <xf numFmtId="0" fontId="4" fillId="0" borderId="1">
      <protection locked="0"/>
    </xf>
    <xf numFmtId="0" fontId="39" fillId="43" borderId="56"/>
    <xf numFmtId="0" fontId="149" fillId="1" borderId="39" applyNumberFormat="0" applyFont="0" applyAlignment="0">
      <alignment horizontal="center"/>
    </xf>
    <xf numFmtId="1" fontId="4" fillId="0" borderId="0" applyNumberFormat="0" applyFill="0" applyBorder="0" applyAlignment="0" applyProtection="0">
      <alignment horizontal="center"/>
    </xf>
    <xf numFmtId="1" fontId="21" fillId="0" borderId="0" applyNumberFormat="0" applyFill="0" applyBorder="0" applyAlignment="0" applyProtection="0">
      <alignment horizontal="center"/>
    </xf>
    <xf numFmtId="0" fontId="152" fillId="0" borderId="0" applyNumberFormat="0" applyFill="0" applyBorder="0" applyAlignment="0">
      <alignment horizontal="center"/>
    </xf>
    <xf numFmtId="190" fontId="72" fillId="0" borderId="28" applyFont="0" applyFill="0" applyAlignment="0" applyProtection="0"/>
    <xf numFmtId="38" fontId="4" fillId="0" borderId="0"/>
    <xf numFmtId="301" fontId="72" fillId="0" borderId="28"/>
    <xf numFmtId="301" fontId="72" fillId="0" borderId="39" applyFill="0" applyProtection="0"/>
    <xf numFmtId="190" fontId="72" fillId="0" borderId="39" applyFont="0" applyFill="0" applyAlignment="0" applyProtection="0"/>
    <xf numFmtId="301" fontId="72" fillId="0" borderId="39" applyFill="0" applyProtection="0"/>
    <xf numFmtId="38" fontId="4" fillId="0" borderId="0"/>
    <xf numFmtId="0" fontId="4" fillId="44" borderId="0"/>
    <xf numFmtId="298" fontId="72" fillId="0" borderId="39" applyFont="0" applyFill="0" applyAlignment="0" applyProtection="0"/>
    <xf numFmtId="190" fontId="72" fillId="0" borderId="39" applyFont="0" applyFill="0" applyAlignment="0" applyProtection="0"/>
    <xf numFmtId="298" fontId="72" fillId="0" borderId="39" applyFont="0" applyFill="0" applyAlignment="0" applyProtection="0"/>
    <xf numFmtId="12" fontId="4" fillId="0" borderId="0" applyFont="0" applyFill="0" applyBorder="0" applyProtection="0">
      <alignment horizontal="right"/>
    </xf>
    <xf numFmtId="245" fontId="4" fillId="45" borderId="0" applyFont="0" applyFill="0" applyBorder="0" applyProtection="0">
      <alignment horizontal="right"/>
    </xf>
    <xf numFmtId="0" fontId="153" fillId="0" borderId="0"/>
    <xf numFmtId="0" fontId="154" fillId="46" borderId="0"/>
    <xf numFmtId="0" fontId="154" fillId="0" borderId="0"/>
    <xf numFmtId="0" fontId="154" fillId="0" borderId="0"/>
    <xf numFmtId="0" fontId="154" fillId="47" borderId="0"/>
    <xf numFmtId="0" fontId="154" fillId="47" borderId="0"/>
    <xf numFmtId="38" fontId="39" fillId="0" borderId="0" applyFont="0" applyFill="0" applyBorder="0" applyAlignment="0" applyProtection="0"/>
    <xf numFmtId="0" fontId="4" fillId="0" borderId="0" applyNumberFormat="0" applyFill="0" applyBorder="0" applyAlignment="0" applyProtection="0"/>
    <xf numFmtId="0" fontId="155" fillId="0" borderId="0" applyNumberFormat="0" applyFill="0" applyBorder="0" applyProtection="0"/>
    <xf numFmtId="0" fontId="156" fillId="48" borderId="0" applyNumberFormat="0" applyBorder="0" applyProtection="0"/>
    <xf numFmtId="0" fontId="157" fillId="0" borderId="0" applyNumberFormat="0" applyFill="0" applyBorder="0" applyAlignment="0" applyProtection="0"/>
    <xf numFmtId="0" fontId="156" fillId="48" borderId="0" applyNumberFormat="0" applyBorder="0" applyProtection="0"/>
    <xf numFmtId="0" fontId="158" fillId="49" borderId="0" applyNumberFormat="0" applyBorder="0" applyProtection="0"/>
    <xf numFmtId="0" fontId="159" fillId="0" borderId="0" applyNumberFormat="0" applyFill="0" applyBorder="0" applyProtection="0"/>
    <xf numFmtId="0" fontId="158" fillId="0" borderId="0" applyNumberFormat="0" applyFill="0" applyBorder="0" applyProtection="0"/>
    <xf numFmtId="0" fontId="3" fillId="0" borderId="0" applyNumberFormat="0" applyFill="0" applyBorder="0" applyAlignment="0" applyProtection="0"/>
    <xf numFmtId="0" fontId="158" fillId="0" borderId="0" applyNumberFormat="0" applyFill="0" applyBorder="0" applyProtection="0"/>
    <xf numFmtId="0" fontId="160" fillId="0" borderId="0" applyNumberFormat="0" applyFill="0" applyBorder="0" applyProtection="0"/>
    <xf numFmtId="0" fontId="158" fillId="0" borderId="0" applyNumberFormat="0" applyFill="0" applyBorder="0" applyProtection="0">
      <alignment wrapText="1"/>
    </xf>
    <xf numFmtId="0" fontId="161" fillId="0" borderId="0" applyNumberFormat="0" applyFill="0" applyBorder="0" applyProtection="0"/>
    <xf numFmtId="0" fontId="4" fillId="0" borderId="0" applyNumberFormat="0" applyFont="0" applyFill="0" applyBorder="0" applyProtection="0">
      <alignment horizontal="right"/>
    </xf>
    <xf numFmtId="0" fontId="4" fillId="0" borderId="0" applyNumberFormat="0" applyFill="0" applyBorder="0" applyAlignment="0" applyProtection="0"/>
    <xf numFmtId="0" fontId="4" fillId="0" borderId="0" applyNumberFormat="0" applyFont="0" applyFill="0" applyBorder="0" applyProtection="0">
      <alignment horizontal="left"/>
    </xf>
    <xf numFmtId="0" fontId="11" fillId="0" borderId="0" applyNumberFormat="0" applyFill="0" applyBorder="0" applyAlignment="0" applyProtection="0"/>
    <xf numFmtId="0" fontId="23" fillId="0" borderId="0" applyNumberFormat="0" applyFill="0" applyBorder="0" applyAlignment="0" applyProtection="0"/>
    <xf numFmtId="0" fontId="4" fillId="50" borderId="0" applyNumberFormat="0" applyFont="0" applyBorder="0" applyAlignment="0" applyProtection="0"/>
    <xf numFmtId="302" fontId="4" fillId="0" borderId="0" applyFont="0" applyFill="0" applyBorder="0" applyAlignment="0" applyProtection="0"/>
    <xf numFmtId="2" fontId="4" fillId="0" borderId="0" applyFont="0" applyFill="0" applyBorder="0" applyAlignment="0" applyProtection="0"/>
    <xf numFmtId="166" fontId="4" fillId="0" borderId="0" applyFont="0" applyFill="0" applyBorder="0" applyAlignment="0" applyProtection="0"/>
    <xf numFmtId="0" fontId="4" fillId="0" borderId="54" applyNumberFormat="0" applyFont="0" applyFill="0" applyAlignment="0" applyProtection="0"/>
    <xf numFmtId="0" fontId="72" fillId="0" borderId="0" applyNumberFormat="0" applyFont="0" applyFill="0" applyBorder="0" applyAlignment="0" applyProtection="0">
      <alignment horizontal="left"/>
    </xf>
    <xf numFmtId="4" fontId="72" fillId="0" borderId="0" applyFont="0" applyFill="0" applyBorder="0" applyAlignment="0" applyProtection="0"/>
    <xf numFmtId="15" fontId="72" fillId="0" borderId="0" applyFont="0" applyFill="0" applyBorder="0" applyAlignment="0" applyProtection="0"/>
    <xf numFmtId="0" fontId="95" fillId="0" borderId="0"/>
    <xf numFmtId="0" fontId="96" fillId="0" borderId="0"/>
    <xf numFmtId="0" fontId="96" fillId="0" borderId="0"/>
    <xf numFmtId="0" fontId="96" fillId="0" borderId="0"/>
    <xf numFmtId="0" fontId="95" fillId="0" borderId="0"/>
    <xf numFmtId="0" fontId="95" fillId="0" borderId="0"/>
    <xf numFmtId="0" fontId="96" fillId="0" borderId="0"/>
    <xf numFmtId="0" fontId="96"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0"/>
    <xf numFmtId="0" fontId="162" fillId="0" borderId="0" applyNumberFormat="0" applyBorder="0" applyAlignment="0"/>
    <xf numFmtId="0" fontId="163" fillId="0" borderId="0" applyNumberFormat="0" applyBorder="0" applyAlignment="0"/>
    <xf numFmtId="0" fontId="162" fillId="0" borderId="0" applyNumberFormat="0" applyBorder="0" applyAlignment="0"/>
    <xf numFmtId="0" fontId="162" fillId="0" borderId="0" applyNumberFormat="0" applyBorder="0" applyAlignment="0"/>
    <xf numFmtId="0" fontId="163" fillId="0" borderId="0" applyNumberFormat="0" applyBorder="0" applyAlignment="0"/>
    <xf numFmtId="0" fontId="96" fillId="0" borderId="0"/>
    <xf numFmtId="0" fontId="96" fillId="0" borderId="0"/>
    <xf numFmtId="0" fontId="96" fillId="0" borderId="0"/>
    <xf numFmtId="0" fontId="96" fillId="0" borderId="0"/>
    <xf numFmtId="0" fontId="96" fillId="0" borderId="0"/>
    <xf numFmtId="0" fontId="79" fillId="0" borderId="0"/>
    <xf numFmtId="0" fontId="79" fillId="0" borderId="0"/>
    <xf numFmtId="0" fontId="79" fillId="0" borderId="0"/>
    <xf numFmtId="0" fontId="95" fillId="0" borderId="0"/>
    <xf numFmtId="0" fontId="95" fillId="0" borderId="0"/>
    <xf numFmtId="0" fontId="95" fillId="0" borderId="0"/>
    <xf numFmtId="0" fontId="95" fillId="0" borderId="0"/>
    <xf numFmtId="0" fontId="163" fillId="0" borderId="0" applyNumberFormat="0" applyBorder="0" applyAlignment="0"/>
    <xf numFmtId="0" fontId="163" fillId="0" borderId="0" applyNumberFormat="0" applyBorder="0" applyAlignment="0"/>
    <xf numFmtId="0" fontId="163" fillId="0" borderId="0" applyNumberFormat="0" applyBorder="0" applyAlignment="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79" fillId="0" borderId="0"/>
    <xf numFmtId="0" fontId="79" fillId="0" borderId="0"/>
    <xf numFmtId="0" fontId="96" fillId="0" borderId="0"/>
    <xf numFmtId="0" fontId="96" fillId="0" borderId="0"/>
    <xf numFmtId="0" fontId="164" fillId="0" borderId="0"/>
    <xf numFmtId="0" fontId="164" fillId="0" borderId="0"/>
    <xf numFmtId="0" fontId="165" fillId="0" borderId="0"/>
    <xf numFmtId="0" fontId="165" fillId="0" borderId="0"/>
    <xf numFmtId="0" fontId="165" fillId="0" borderId="0"/>
    <xf numFmtId="0" fontId="165" fillId="0" borderId="0"/>
    <xf numFmtId="0" fontId="79" fillId="0" borderId="0"/>
    <xf numFmtId="0" fontId="79" fillId="0" borderId="0"/>
    <xf numFmtId="0" fontId="79" fillId="0" borderId="0"/>
    <xf numFmtId="0" fontId="79" fillId="0" borderId="0"/>
    <xf numFmtId="0" fontId="162" fillId="0" borderId="0" applyNumberFormat="0" applyBorder="0" applyAlignment="0"/>
    <xf numFmtId="0" fontId="162" fillId="0" borderId="0" applyNumberFormat="0" applyBorder="0" applyAlignment="0"/>
    <xf numFmtId="0" fontId="162" fillId="0" borderId="0" applyNumberFormat="0" applyBorder="0" applyAlignment="0"/>
    <xf numFmtId="0" fontId="162" fillId="0" borderId="0" applyNumberFormat="0" applyBorder="0" applyAlignment="0"/>
    <xf numFmtId="0" fontId="166" fillId="0" borderId="0" applyNumberFormat="0" applyBorder="0" applyAlignment="0"/>
    <xf numFmtId="0" fontId="167" fillId="0" borderId="0"/>
    <xf numFmtId="0" fontId="167"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62" fillId="0" borderId="0" applyNumberFormat="0" applyBorder="0" applyAlignment="0"/>
    <xf numFmtId="0" fontId="162" fillId="0" borderId="0" applyNumberFormat="0" applyBorder="0" applyAlignment="0"/>
    <xf numFmtId="0" fontId="79" fillId="0" borderId="0"/>
    <xf numFmtId="0" fontId="96" fillId="0" borderId="0"/>
    <xf numFmtId="0" fontId="96" fillId="0" borderId="0"/>
    <xf numFmtId="0" fontId="96" fillId="0" borderId="0"/>
    <xf numFmtId="0" fontId="96" fillId="0" borderId="0"/>
    <xf numFmtId="0" fontId="96" fillId="0" borderId="0"/>
    <xf numFmtId="0" fontId="79" fillId="0" borderId="0"/>
    <xf numFmtId="0" fontId="79" fillId="0" borderId="0"/>
    <xf numFmtId="0" fontId="79" fillId="0" borderId="0"/>
    <xf numFmtId="0" fontId="96" fillId="0" borderId="0"/>
    <xf numFmtId="0" fontId="96" fillId="0" borderId="0"/>
    <xf numFmtId="0" fontId="167" fillId="0" borderId="0"/>
    <xf numFmtId="0" fontId="168" fillId="0" borderId="0" applyNumberFormat="0" applyBorder="0" applyAlignment="0"/>
    <xf numFmtId="0" fontId="79" fillId="0" borderId="0"/>
    <xf numFmtId="0" fontId="164" fillId="0" borderId="0"/>
    <xf numFmtId="0" fontId="164" fillId="0" borderId="0"/>
    <xf numFmtId="0" fontId="164" fillId="0" borderId="0"/>
    <xf numFmtId="0" fontId="79" fillId="0" borderId="0"/>
    <xf numFmtId="0" fontId="79" fillId="0" borderId="0"/>
    <xf numFmtId="0" fontId="79" fillId="0" borderId="0"/>
    <xf numFmtId="0" fontId="79" fillId="0" borderId="0"/>
    <xf numFmtId="0" fontId="164" fillId="0" borderId="0"/>
    <xf numFmtId="0" fontId="164" fillId="0" borderId="0"/>
    <xf numFmtId="0" fontId="164" fillId="0" borderId="0"/>
    <xf numFmtId="0" fontId="79" fillId="0" borderId="0"/>
    <xf numFmtId="0" fontId="79" fillId="0" borderId="0"/>
    <xf numFmtId="0" fontId="79" fillId="0" borderId="0"/>
    <xf numFmtId="0" fontId="79" fillId="0" borderId="0"/>
    <xf numFmtId="0" fontId="79" fillId="0" borderId="0"/>
    <xf numFmtId="0" fontId="164" fillId="0" borderId="0"/>
    <xf numFmtId="0" fontId="164" fillId="0" borderId="0"/>
    <xf numFmtId="0" fontId="164" fillId="0" borderId="0"/>
    <xf numFmtId="0" fontId="96" fillId="0" borderId="0"/>
    <xf numFmtId="0" fontId="164"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64" fillId="0" borderId="0"/>
    <xf numFmtId="0" fontId="79" fillId="0" borderId="0"/>
    <xf numFmtId="0" fontId="79" fillId="0" borderId="0"/>
    <xf numFmtId="0" fontId="79" fillId="0" borderId="0"/>
    <xf numFmtId="0" fontId="79" fillId="0" borderId="0"/>
    <xf numFmtId="0" fontId="79" fillId="0" borderId="0"/>
    <xf numFmtId="0" fontId="163" fillId="0" borderId="0" applyNumberFormat="0" applyBorder="0" applyAlignment="0"/>
    <xf numFmtId="0" fontId="167"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0"/>
    <xf numFmtId="0" fontId="96" fillId="0" borderId="0"/>
    <xf numFmtId="0" fontId="96" fillId="0" borderId="0"/>
    <xf numFmtId="0" fontId="95" fillId="0" borderId="0"/>
    <xf numFmtId="0" fontId="165" fillId="0" borderId="0"/>
    <xf numFmtId="40" fontId="169" fillId="0" borderId="0" applyBorder="0">
      <alignment horizontal="right"/>
    </xf>
    <xf numFmtId="39" fontId="170" fillId="51" borderId="0">
      <alignment horizontal="center"/>
    </xf>
    <xf numFmtId="0" fontId="171" fillId="0" borderId="0" applyBorder="0" applyProtection="0">
      <alignment vertical="center"/>
    </xf>
    <xf numFmtId="254" fontId="171" fillId="0" borderId="26" applyBorder="0" applyProtection="0">
      <alignment horizontal="right" vertical="center"/>
    </xf>
    <xf numFmtId="0" fontId="172" fillId="52" borderId="0" applyBorder="0" applyProtection="0">
      <alignment horizontal="centerContinuous" vertical="center"/>
    </xf>
    <xf numFmtId="0" fontId="172" fillId="53" borderId="26" applyBorder="0" applyProtection="0">
      <alignment horizontal="centerContinuous" vertical="center"/>
    </xf>
    <xf numFmtId="0" fontId="173" fillId="0" borderId="0"/>
    <xf numFmtId="0" fontId="134" fillId="0" borderId="0"/>
    <xf numFmtId="0" fontId="174" fillId="0" borderId="0" applyFill="0" applyBorder="0" applyProtection="0">
      <alignment horizontal="left"/>
    </xf>
    <xf numFmtId="0" fontId="93" fillId="0" borderId="23" applyFill="0" applyBorder="0" applyProtection="0">
      <alignment horizontal="left" vertical="top"/>
    </xf>
    <xf numFmtId="0" fontId="146" fillId="0" borderId="0">
      <alignment horizontal="centerContinuous"/>
    </xf>
    <xf numFmtId="0" fontId="175" fillId="0" borderId="0"/>
    <xf numFmtId="0" fontId="11" fillId="0" borderId="0"/>
    <xf numFmtId="0" fontId="176" fillId="0" borderId="0"/>
    <xf numFmtId="0" fontId="177" fillId="0" borderId="0"/>
    <xf numFmtId="303" fontId="11" fillId="0" borderId="0" applyFont="0" applyFill="0" applyBorder="0" applyAlignment="0" applyProtection="0">
      <alignment horizontal="center"/>
    </xf>
    <xf numFmtId="304" fontId="11" fillId="0" borderId="0" applyFont="0" applyFill="0" applyBorder="0" applyAlignment="0" applyProtection="0">
      <alignment horizontal="center"/>
    </xf>
    <xf numFmtId="305" fontId="11" fillId="0" borderId="0" applyFont="0" applyFill="0" applyBorder="0" applyAlignment="0" applyProtection="0">
      <alignment horizontal="center"/>
    </xf>
    <xf numFmtId="306" fontId="11" fillId="0" borderId="0" applyFont="0" applyFill="0" applyBorder="0" applyAlignment="0" applyProtection="0">
      <alignment horizontal="center"/>
    </xf>
    <xf numFmtId="0" fontId="178" fillId="0" borderId="0" applyFill="0" applyBorder="0" applyProtection="0">
      <alignment horizontal="left" vertical="top"/>
    </xf>
    <xf numFmtId="40" fontId="179" fillId="0" borderId="0"/>
    <xf numFmtId="0" fontId="37" fillId="0" borderId="0">
      <alignment horizontal="center"/>
    </xf>
    <xf numFmtId="0" fontId="180" fillId="0" borderId="0" applyNumberFormat="0" applyFill="0" applyBorder="0" applyAlignment="0" applyProtection="0"/>
    <xf numFmtId="0" fontId="180" fillId="0" borderId="0" applyNumberFormat="0" applyFill="0" applyBorder="0" applyAlignment="0" applyProtection="0"/>
    <xf numFmtId="0" fontId="70" fillId="54" borderId="0" applyBorder="0">
      <alignment wrapText="1"/>
    </xf>
    <xf numFmtId="175" fontId="147" fillId="0" borderId="0" applyNumberFormat="0" applyFill="0" applyBorder="0" applyAlignment="0" applyProtection="0"/>
    <xf numFmtId="307" fontId="3" fillId="0" borderId="0">
      <alignment horizontal="right"/>
      <protection locked="0"/>
    </xf>
    <xf numFmtId="0" fontId="181" fillId="0" borderId="0" applyFill="0" applyBorder="0" applyAlignment="0" applyProtection="0"/>
    <xf numFmtId="269" fontId="86" fillId="0" borderId="28">
      <protection locked="0"/>
    </xf>
    <xf numFmtId="0" fontId="182" fillId="0" borderId="57" applyNumberFormat="0" applyFill="0" applyAlignment="0" applyProtection="0"/>
    <xf numFmtId="0" fontId="182" fillId="0" borderId="57" applyNumberFormat="0" applyFill="0" applyAlignment="0" applyProtection="0"/>
    <xf numFmtId="0" fontId="80" fillId="0" borderId="58" applyNumberFormat="0" applyFont="0" applyFill="0" applyAlignment="0" applyProtection="0"/>
    <xf numFmtId="308" fontId="4" fillId="0" borderId="0">
      <alignment horizontal="left"/>
      <protection locked="0"/>
    </xf>
    <xf numFmtId="309" fontId="39" fillId="0" borderId="0"/>
    <xf numFmtId="38" fontId="11" fillId="28" borderId="0" applyNumberFormat="0" applyBorder="0" applyAlignment="0" applyProtection="0"/>
    <xf numFmtId="38" fontId="11" fillId="28" borderId="0" applyNumberFormat="0" applyBorder="0" applyAlignment="0" applyProtection="0"/>
    <xf numFmtId="0" fontId="183" fillId="0" borderId="0">
      <alignment horizontal="fill"/>
    </xf>
    <xf numFmtId="37" fontId="11" fillId="28" borderId="0" applyNumberFormat="0" applyBorder="0" applyAlignment="0" applyProtection="0"/>
    <xf numFmtId="37" fontId="11" fillId="28" borderId="0" applyNumberFormat="0" applyBorder="0" applyAlignment="0" applyProtection="0"/>
    <xf numFmtId="37" fontId="11" fillId="0" borderId="0"/>
    <xf numFmtId="37" fontId="11" fillId="28" borderId="0" applyNumberFormat="0" applyBorder="0" applyAlignment="0" applyProtection="0"/>
    <xf numFmtId="3" fontId="56" fillId="0" borderId="43" applyProtection="0"/>
    <xf numFmtId="171" fontId="4" fillId="0" borderId="0" applyNumberFormat="0"/>
    <xf numFmtId="0" fontId="4" fillId="0" borderId="0" applyFont="0" applyFill="0" applyBorder="0" applyAlignment="0" applyProtection="0"/>
    <xf numFmtId="0" fontId="4" fillId="0" borderId="0" applyFont="0" applyFill="0" applyBorder="0" applyAlignment="0" applyProtection="0"/>
    <xf numFmtId="0" fontId="9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38" fontId="75" fillId="0" borderId="0" applyNumberFormat="0" applyFont="0" applyFill="0" applyBorder="0" applyProtection="0">
      <alignment horizontal="center" vertical="center" wrapText="1"/>
    </xf>
    <xf numFmtId="1" fontId="11" fillId="0" borderId="0" applyFont="0" applyFill="0" applyBorder="0" applyProtection="0">
      <alignment horizontal="center"/>
    </xf>
    <xf numFmtId="310" fontId="186" fillId="0" borderId="26" applyBorder="0" applyProtection="0">
      <alignment horizontal="right"/>
    </xf>
    <xf numFmtId="0" fontId="187" fillId="0" borderId="0"/>
    <xf numFmtId="40" fontId="39" fillId="0" borderId="0" applyFont="0" applyFill="0" applyBorder="0" applyAlignment="0" applyProtection="0"/>
    <xf numFmtId="8"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8" fontId="39" fillId="0" borderId="0" applyFont="0" applyFill="0" applyBorder="0" applyAlignment="0" applyProtection="0"/>
    <xf numFmtId="40" fontId="39" fillId="0" borderId="0" applyFont="0" applyFill="0" applyBorder="0" applyAlignment="0" applyProtection="0"/>
    <xf numFmtId="0" fontId="187" fillId="0" borderId="0"/>
    <xf numFmtId="9" fontId="39" fillId="0" borderId="0" applyFont="0" applyFill="0" applyBorder="0" applyAlignment="0" applyProtection="0"/>
    <xf numFmtId="8" fontId="39" fillId="0" borderId="0" applyFont="0" applyFill="0" applyBorder="0" applyAlignment="0" applyProtection="0"/>
    <xf numFmtId="40" fontId="39" fillId="0" borderId="0" applyFont="0" applyFill="0" applyBorder="0" applyAlignment="0" applyProtection="0"/>
    <xf numFmtId="0" fontId="187" fillId="0" borderId="0"/>
    <xf numFmtId="0" fontId="189" fillId="0" borderId="0" applyNumberFormat="0" applyFill="0" applyBorder="0" applyAlignment="0" applyProtection="0"/>
  </cellStyleXfs>
  <cellXfs count="380">
    <xf numFmtId="0" fontId="0" fillId="0" borderId="0" xfId="0"/>
    <xf numFmtId="0" fontId="3" fillId="0" borderId="0" xfId="0" applyFont="1" applyFill="1"/>
    <xf numFmtId="0" fontId="0" fillId="0" borderId="0" xfId="0" applyFill="1" applyAlignment="1">
      <alignment horizontal="center"/>
    </xf>
    <xf numFmtId="0" fontId="0" fillId="0" borderId="0" xfId="0" applyFill="1"/>
    <xf numFmtId="0" fontId="4" fillId="2" borderId="0" xfId="0" applyFont="1" applyFill="1" applyAlignment="1">
      <alignment horizontal="left"/>
    </xf>
    <xf numFmtId="0" fontId="0" fillId="2" borderId="0" xfId="0" applyFill="1"/>
    <xf numFmtId="43" fontId="0" fillId="0" borderId="0" xfId="1" applyFont="1" applyFill="1"/>
    <xf numFmtId="0" fontId="4" fillId="0" borderId="0" xfId="0" applyFont="1" applyFill="1"/>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xf>
    <xf numFmtId="43" fontId="5" fillId="0" borderId="1" xfId="1"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Fill="1" applyAlignment="1">
      <alignment wrapText="1"/>
    </xf>
    <xf numFmtId="0" fontId="0" fillId="0" borderId="1" xfId="0" applyFill="1" applyBorder="1"/>
    <xf numFmtId="0" fontId="0" fillId="0" borderId="1" xfId="0" applyFill="1" applyBorder="1" applyAlignment="1">
      <alignment horizontal="center"/>
    </xf>
    <xf numFmtId="43" fontId="0" fillId="0" borderId="1" xfId="1" applyFont="1" applyFill="1" applyBorder="1"/>
    <xf numFmtId="164" fontId="0" fillId="0" borderId="1" xfId="0" applyNumberFormat="1" applyFill="1" applyBorder="1"/>
    <xf numFmtId="0" fontId="4" fillId="0" borderId="1" xfId="0" applyFont="1" applyFill="1" applyBorder="1"/>
    <xf numFmtId="0" fontId="0" fillId="0" borderId="1" xfId="0" applyBorder="1" applyAlignment="1">
      <alignment horizontal="center"/>
    </xf>
    <xf numFmtId="0" fontId="0" fillId="2" borderId="1" xfId="0" applyFill="1" applyBorder="1"/>
    <xf numFmtId="0" fontId="0" fillId="2" borderId="1" xfId="0" applyFill="1" applyBorder="1" applyAlignment="1">
      <alignment horizontal="center"/>
    </xf>
    <xf numFmtId="43" fontId="0" fillId="2" borderId="1" xfId="1" applyFont="1" applyFill="1" applyBorder="1"/>
    <xf numFmtId="164" fontId="0" fillId="2" borderId="1" xfId="0" applyNumberFormat="1" applyFill="1" applyBorder="1"/>
    <xf numFmtId="43" fontId="2" fillId="0" borderId="2" xfId="1" applyFont="1" applyFill="1" applyBorder="1"/>
    <xf numFmtId="0" fontId="7" fillId="0" borderId="0" xfId="0" applyFont="1" applyFill="1"/>
    <xf numFmtId="0" fontId="0" fillId="0" borderId="1" xfId="0" applyBorder="1"/>
    <xf numFmtId="43" fontId="0" fillId="0" borderId="1" xfId="1" applyFont="1" applyBorder="1"/>
    <xf numFmtId="0" fontId="4" fillId="0" borderId="1" xfId="0" applyFont="1" applyBorder="1"/>
    <xf numFmtId="0" fontId="0" fillId="0" borderId="3" xfId="0" applyBorder="1"/>
    <xf numFmtId="0" fontId="2" fillId="0" borderId="0" xfId="0" applyFont="1" applyAlignment="1">
      <alignment horizontal="right"/>
    </xf>
    <xf numFmtId="43" fontId="2" fillId="0" borderId="4" xfId="1" applyFont="1" applyBorder="1"/>
    <xf numFmtId="0" fontId="0" fillId="0" borderId="0" xfId="0" applyAlignment="1">
      <alignment horizontal="center"/>
    </xf>
    <xf numFmtId="43" fontId="0" fillId="0" borderId="0" xfId="1" applyFont="1"/>
    <xf numFmtId="0" fontId="8" fillId="0" borderId="0" xfId="0" applyFont="1"/>
    <xf numFmtId="0" fontId="0" fillId="0" borderId="0" xfId="0" applyFill="1" applyAlignment="1">
      <alignment horizontal="left"/>
    </xf>
    <xf numFmtId="0" fontId="3" fillId="0" borderId="0" xfId="0" applyFont="1" applyFill="1" applyAlignment="1">
      <alignment horizontal="left"/>
    </xf>
    <xf numFmtId="0" fontId="5" fillId="0" borderId="1" xfId="0" applyFont="1" applyFill="1" applyBorder="1" applyAlignment="1">
      <alignment horizontal="left" vertical="center" wrapText="1"/>
    </xf>
    <xf numFmtId="0" fontId="0" fillId="0" borderId="1" xfId="0" applyFill="1" applyBorder="1" applyAlignment="1">
      <alignment horizontal="left"/>
    </xf>
    <xf numFmtId="0" fontId="0" fillId="0" borderId="1" xfId="0" applyFill="1" applyBorder="1" applyAlignment="1">
      <alignment horizontal="left" wrapText="1"/>
    </xf>
    <xf numFmtId="43" fontId="0" fillId="0" borderId="5" xfId="1" applyFont="1" applyFill="1" applyBorder="1"/>
    <xf numFmtId="165" fontId="9" fillId="4" borderId="7" xfId="0" applyNumberFormat="1" applyFont="1" applyFill="1" applyBorder="1" applyAlignment="1">
      <alignment horizontal="center"/>
    </xf>
    <xf numFmtId="38" fontId="11" fillId="5" borderId="15" xfId="0" applyNumberFormat="1" applyFont="1" applyFill="1" applyBorder="1" applyAlignment="1">
      <alignment horizontal="center"/>
    </xf>
    <xf numFmtId="10" fontId="9" fillId="6" borderId="16" xfId="0" applyNumberFormat="1" applyFont="1" applyFill="1" applyBorder="1" applyAlignment="1">
      <alignment horizontal="center"/>
    </xf>
    <xf numFmtId="165" fontId="11" fillId="4" borderId="17" xfId="0" applyNumberFormat="1" applyFont="1" applyFill="1" applyBorder="1" applyAlignment="1">
      <alignment horizontal="center"/>
    </xf>
    <xf numFmtId="166" fontId="11" fillId="4" borderId="18" xfId="0" applyNumberFormat="1" applyFont="1" applyFill="1" applyBorder="1" applyAlignment="1">
      <alignment horizontal="center"/>
    </xf>
    <xf numFmtId="40" fontId="11" fillId="4" borderId="18" xfId="0" applyNumberFormat="1" applyFont="1" applyFill="1" applyBorder="1" applyAlignment="1">
      <alignment horizontal="right"/>
    </xf>
    <xf numFmtId="40" fontId="12" fillId="0" borderId="0" xfId="0" applyNumberFormat="1" applyFont="1"/>
    <xf numFmtId="40" fontId="11" fillId="5" borderId="19" xfId="0" applyNumberFormat="1" applyFont="1" applyFill="1" applyBorder="1" applyAlignment="1">
      <alignment horizontal="right"/>
    </xf>
    <xf numFmtId="0" fontId="13" fillId="7" borderId="0" xfId="0" applyFont="1" applyFill="1"/>
    <xf numFmtId="43" fontId="4" fillId="7" borderId="0" xfId="4" applyFont="1" applyFill="1"/>
    <xf numFmtId="0" fontId="5" fillId="7" borderId="23" xfId="0" applyFont="1" applyFill="1" applyBorder="1" applyAlignment="1">
      <alignment horizontal="center"/>
    </xf>
    <xf numFmtId="0" fontId="14" fillId="7" borderId="0" xfId="0" applyFont="1" applyFill="1" applyBorder="1" applyAlignment="1">
      <alignment horizontal="center"/>
    </xf>
    <xf numFmtId="0" fontId="14" fillId="7" borderId="24" xfId="0" applyFont="1" applyFill="1" applyBorder="1" applyAlignment="1">
      <alignment horizontal="center"/>
    </xf>
    <xf numFmtId="0" fontId="4" fillId="7" borderId="0" xfId="0" applyFont="1" applyFill="1"/>
    <xf numFmtId="43" fontId="4" fillId="7" borderId="23" xfId="4" applyFont="1" applyFill="1" applyBorder="1"/>
    <xf numFmtId="0" fontId="4" fillId="7" borderId="0" xfId="0" applyFont="1" applyFill="1" applyBorder="1"/>
    <xf numFmtId="0" fontId="4" fillId="7" borderId="24" xfId="0" applyFont="1" applyFill="1" applyBorder="1"/>
    <xf numFmtId="0" fontId="4" fillId="7" borderId="25" xfId="0" applyFont="1" applyFill="1" applyBorder="1"/>
    <xf numFmtId="0" fontId="4" fillId="7" borderId="26" xfId="0" applyFont="1" applyFill="1" applyBorder="1"/>
    <xf numFmtId="0" fontId="4" fillId="7" borderId="27" xfId="0" applyFont="1" applyFill="1" applyBorder="1"/>
    <xf numFmtId="43" fontId="4" fillId="0" borderId="1" xfId="1" applyFont="1" applyFill="1" applyBorder="1"/>
    <xf numFmtId="0" fontId="2" fillId="0" borderId="0" xfId="0" applyFont="1" applyFill="1" applyAlignment="1">
      <alignment horizontal="center"/>
    </xf>
    <xf numFmtId="40" fontId="11" fillId="5" borderId="0" xfId="0" applyNumberFormat="1" applyFont="1" applyFill="1" applyBorder="1" applyAlignment="1">
      <alignment horizontal="right"/>
    </xf>
    <xf numFmtId="0" fontId="0" fillId="6" borderId="1" xfId="0" applyFill="1" applyBorder="1"/>
    <xf numFmtId="0" fontId="0" fillId="6" borderId="1" xfId="0" applyFill="1" applyBorder="1" applyAlignment="1">
      <alignment horizontal="center"/>
    </xf>
    <xf numFmtId="43" fontId="0" fillId="6" borderId="1" xfId="1" applyFont="1" applyFill="1" applyBorder="1"/>
    <xf numFmtId="164" fontId="0" fillId="6" borderId="1" xfId="0" applyNumberFormat="1" applyFill="1" applyBorder="1"/>
    <xf numFmtId="40" fontId="11" fillId="6" borderId="18" xfId="0" applyNumberFormat="1" applyFont="1" applyFill="1" applyBorder="1" applyAlignment="1">
      <alignment horizontal="right"/>
    </xf>
    <xf numFmtId="0" fontId="2" fillId="0" borderId="1" xfId="0" applyFont="1" applyFill="1" applyBorder="1" applyAlignment="1">
      <alignment horizontal="center"/>
    </xf>
    <xf numFmtId="43" fontId="0" fillId="0" borderId="1" xfId="4" applyFont="1" applyFill="1" applyBorder="1"/>
    <xf numFmtId="0" fontId="15" fillId="0" borderId="1" xfId="0" applyFont="1" applyFill="1" applyBorder="1"/>
    <xf numFmtId="0" fontId="15" fillId="0" borderId="1" xfId="0" applyFont="1" applyFill="1" applyBorder="1" applyAlignment="1">
      <alignment horizontal="center"/>
    </xf>
    <xf numFmtId="43" fontId="15" fillId="0" borderId="1" xfId="4" applyFont="1" applyFill="1" applyBorder="1"/>
    <xf numFmtId="164" fontId="15" fillId="0" borderId="1" xfId="0" applyNumberFormat="1" applyFont="1" applyFill="1" applyBorder="1"/>
    <xf numFmtId="43" fontId="0" fillId="0" borderId="4" xfId="1" applyFont="1" applyFill="1" applyBorder="1"/>
    <xf numFmtId="0" fontId="4" fillId="0" borderId="0" xfId="10"/>
    <xf numFmtId="3" fontId="4" fillId="0" borderId="0" xfId="10" applyNumberFormat="1"/>
    <xf numFmtId="167" fontId="16" fillId="0" borderId="0" xfId="1" applyNumberFormat="1" applyFont="1"/>
    <xf numFmtId="167" fontId="4" fillId="0" borderId="0" xfId="5" applyNumberFormat="1"/>
    <xf numFmtId="167" fontId="16" fillId="0" borderId="26" xfId="1" applyNumberFormat="1" applyFont="1" applyBorder="1"/>
    <xf numFmtId="37" fontId="4" fillId="0" borderId="0" xfId="10" applyNumberFormat="1"/>
    <xf numFmtId="167" fontId="4" fillId="0" borderId="4" xfId="5" applyNumberFormat="1" applyBorder="1"/>
    <xf numFmtId="37" fontId="3" fillId="0" borderId="0" xfId="10" applyNumberFormat="1" applyFont="1"/>
    <xf numFmtId="0" fontId="3" fillId="0" borderId="0" xfId="10" applyFont="1" applyAlignment="1">
      <alignment horizontal="center"/>
    </xf>
    <xf numFmtId="0" fontId="5" fillId="0" borderId="0" xfId="10" applyFont="1" applyAlignment="1">
      <alignment horizontal="center"/>
    </xf>
    <xf numFmtId="0" fontId="5" fillId="0" borderId="0" xfId="10" applyFont="1"/>
    <xf numFmtId="10" fontId="4" fillId="0" borderId="0" xfId="15" applyNumberFormat="1"/>
    <xf numFmtId="168" fontId="4" fillId="0" borderId="0" xfId="15" applyNumberFormat="1"/>
    <xf numFmtId="169" fontId="4" fillId="0" borderId="0" xfId="15" applyNumberFormat="1"/>
    <xf numFmtId="10" fontId="4" fillId="0" borderId="0" xfId="10" applyNumberFormat="1"/>
    <xf numFmtId="10" fontId="4" fillId="0" borderId="0" xfId="15" applyNumberFormat="1" applyAlignment="1">
      <alignment horizontal="left"/>
    </xf>
    <xf numFmtId="0" fontId="4" fillId="0" borderId="0" xfId="10" applyFont="1"/>
    <xf numFmtId="169" fontId="4" fillId="0" borderId="0" xfId="3" applyNumberFormat="1" applyFont="1"/>
    <xf numFmtId="169" fontId="4" fillId="0" borderId="0" xfId="10" applyNumberFormat="1"/>
    <xf numFmtId="0" fontId="4" fillId="0" borderId="0" xfId="10" applyFill="1"/>
    <xf numFmtId="37" fontId="3" fillId="0" borderId="0" xfId="10" applyNumberFormat="1" applyFont="1" applyFill="1" applyAlignment="1">
      <alignment horizontal="center"/>
    </xf>
    <xf numFmtId="0" fontId="5" fillId="0" borderId="0" xfId="10" applyFont="1" applyFill="1"/>
    <xf numFmtId="37" fontId="3" fillId="0" borderId="0" xfId="10" applyNumberFormat="1" applyFont="1" applyFill="1"/>
    <xf numFmtId="5" fontId="4" fillId="0" borderId="0" xfId="10" applyNumberFormat="1" applyFill="1" applyAlignment="1">
      <alignment horizontal="right"/>
    </xf>
    <xf numFmtId="37" fontId="4" fillId="0" borderId="0" xfId="10" applyNumberFormat="1" applyFont="1" applyFill="1" applyAlignment="1">
      <alignment horizontal="right"/>
    </xf>
    <xf numFmtId="0" fontId="14" fillId="0" borderId="0" xfId="10" applyFont="1" applyFill="1"/>
    <xf numFmtId="37" fontId="4" fillId="0" borderId="0" xfId="10" applyNumberFormat="1" applyFont="1" applyFill="1" applyAlignment="1">
      <alignment horizontal="left"/>
    </xf>
    <xf numFmtId="170" fontId="3" fillId="0" borderId="0" xfId="2" applyNumberFormat="1" applyFont="1" applyFill="1"/>
    <xf numFmtId="42" fontId="4" fillId="0" borderId="0" xfId="10" applyNumberFormat="1" applyFont="1" applyFill="1" applyAlignment="1">
      <alignment horizontal="right"/>
    </xf>
    <xf numFmtId="170" fontId="4" fillId="0" borderId="0" xfId="2" applyNumberFormat="1" applyFont="1" applyFill="1"/>
    <xf numFmtId="38" fontId="4" fillId="0" borderId="0" xfId="1" applyNumberFormat="1" applyFont="1" applyFill="1" applyAlignment="1">
      <alignment horizontal="right"/>
    </xf>
    <xf numFmtId="0" fontId="4" fillId="0" borderId="0" xfId="10" applyFont="1" applyFill="1"/>
    <xf numFmtId="37" fontId="4" fillId="0" borderId="26" xfId="10" applyNumberFormat="1" applyFont="1" applyFill="1" applyBorder="1" applyAlignment="1">
      <alignment horizontal="right"/>
    </xf>
    <xf numFmtId="0" fontId="3" fillId="0" borderId="0" xfId="10" applyFont="1" applyFill="1"/>
    <xf numFmtId="37" fontId="4" fillId="0" borderId="0" xfId="10" applyNumberFormat="1" applyFont="1" applyFill="1" applyBorder="1" applyAlignment="1">
      <alignment horizontal="right"/>
    </xf>
    <xf numFmtId="10" fontId="4" fillId="0" borderId="26" xfId="10" applyNumberFormat="1" applyFont="1" applyFill="1" applyBorder="1" applyAlignment="1">
      <alignment horizontal="right"/>
    </xf>
    <xf numFmtId="10" fontId="4" fillId="0" borderId="0" xfId="10" applyNumberFormat="1" applyFont="1" applyFill="1" applyBorder="1" applyAlignment="1">
      <alignment horizontal="right"/>
    </xf>
    <xf numFmtId="3" fontId="21" fillId="0" borderId="0" xfId="14" applyNumberFormat="1" applyFont="1" applyFill="1" applyBorder="1"/>
    <xf numFmtId="3" fontId="4" fillId="0" borderId="0" xfId="14" applyNumberFormat="1" applyFont="1" applyFill="1"/>
    <xf numFmtId="0" fontId="4" fillId="0" borderId="0" xfId="10" quotePrefix="1" applyFill="1"/>
    <xf numFmtId="3" fontId="4" fillId="0" borderId="26" xfId="10" applyNumberFormat="1" applyFont="1" applyFill="1" applyBorder="1"/>
    <xf numFmtId="37" fontId="4" fillId="0" borderId="0" xfId="10" applyNumberFormat="1" applyFont="1" applyFill="1"/>
    <xf numFmtId="42" fontId="4" fillId="0" borderId="4" xfId="10" applyNumberFormat="1" applyFont="1" applyFill="1" applyBorder="1"/>
    <xf numFmtId="42" fontId="4" fillId="0" borderId="0" xfId="10" applyNumberFormat="1" applyFill="1"/>
    <xf numFmtId="42" fontId="4" fillId="0" borderId="0" xfId="10" applyNumberFormat="1"/>
    <xf numFmtId="0" fontId="20" fillId="0" borderId="0" xfId="0" applyFont="1" applyAlignment="1"/>
    <xf numFmtId="0" fontId="22" fillId="0" borderId="0" xfId="0" applyFont="1"/>
    <xf numFmtId="0" fontId="0" fillId="0" borderId="0" xfId="0" applyBorder="1"/>
    <xf numFmtId="43" fontId="11" fillId="0" borderId="0" xfId="4" applyFont="1" applyBorder="1" applyAlignment="1">
      <alignment horizontal="center"/>
    </xf>
    <xf numFmtId="43" fontId="23" fillId="0" borderId="1" xfId="4" applyFont="1" applyFill="1" applyBorder="1" applyAlignment="1">
      <alignment horizontal="center" wrapText="1"/>
    </xf>
    <xf numFmtId="0" fontId="22" fillId="0" borderId="0" xfId="0" applyFont="1" applyFill="1"/>
    <xf numFmtId="0" fontId="24" fillId="0" borderId="0" xfId="0" applyFont="1" applyFill="1"/>
    <xf numFmtId="43" fontId="4" fillId="0" borderId="0" xfId="4" applyFont="1" applyFill="1"/>
    <xf numFmtId="43" fontId="11" fillId="0" borderId="0" xfId="4" applyFont="1" applyFill="1"/>
    <xf numFmtId="0" fontId="11" fillId="0" borderId="0" xfId="0" applyFont="1" applyFill="1"/>
    <xf numFmtId="0" fontId="20" fillId="0" borderId="0" xfId="0" applyFont="1" applyFill="1"/>
    <xf numFmtId="43" fontId="23" fillId="0" borderId="0" xfId="0" applyNumberFormat="1" applyFont="1" applyFill="1"/>
    <xf numFmtId="10" fontId="22" fillId="0" borderId="0" xfId="3" applyNumberFormat="1" applyFont="1" applyFill="1"/>
    <xf numFmtId="43" fontId="23" fillId="0" borderId="28" xfId="0" applyNumberFormat="1" applyFont="1" applyFill="1" applyBorder="1"/>
    <xf numFmtId="0" fontId="11" fillId="0" borderId="0" xfId="0" applyFont="1"/>
    <xf numFmtId="43" fontId="11" fillId="0" borderId="0" xfId="4" applyFont="1"/>
    <xf numFmtId="0" fontId="3" fillId="0" borderId="0" xfId="10" applyFont="1" applyFill="1" applyAlignment="1"/>
    <xf numFmtId="37" fontId="4" fillId="0" borderId="0" xfId="10" applyNumberFormat="1" applyFill="1"/>
    <xf numFmtId="0" fontId="3" fillId="0" borderId="0" xfId="10" applyFont="1" applyFill="1" applyAlignment="1">
      <alignment wrapText="1"/>
    </xf>
    <xf numFmtId="170" fontId="4" fillId="0" borderId="0" xfId="7" applyNumberFormat="1" applyFill="1"/>
    <xf numFmtId="14" fontId="4" fillId="0" borderId="0" xfId="7" applyNumberFormat="1" applyFill="1"/>
    <xf numFmtId="170" fontId="4" fillId="0" borderId="28" xfId="7" applyNumberFormat="1" applyFill="1" applyBorder="1"/>
    <xf numFmtId="37" fontId="4" fillId="0" borderId="0" xfId="10" applyNumberFormat="1" applyFill="1" applyAlignment="1">
      <alignment horizontal="center"/>
    </xf>
    <xf numFmtId="37" fontId="4" fillId="0" borderId="0" xfId="10" applyNumberFormat="1" applyFont="1" applyFill="1" applyAlignment="1">
      <alignment horizontal="center"/>
    </xf>
    <xf numFmtId="0" fontId="14" fillId="0" borderId="0" xfId="10" applyFont="1" applyFill="1" applyAlignment="1">
      <alignment horizontal="center"/>
    </xf>
    <xf numFmtId="0" fontId="5" fillId="0" borderId="0" xfId="10" applyFont="1" applyFill="1" applyAlignment="1">
      <alignment horizontal="center"/>
    </xf>
    <xf numFmtId="37" fontId="14" fillId="0" borderId="0" xfId="10" applyNumberFormat="1" applyFont="1" applyFill="1" applyAlignment="1">
      <alignment horizontal="center"/>
    </xf>
    <xf numFmtId="44" fontId="4" fillId="0" borderId="0" xfId="10" applyNumberFormat="1"/>
    <xf numFmtId="167" fontId="4" fillId="0" borderId="0" xfId="5" applyNumberFormat="1" applyFont="1" applyFill="1"/>
    <xf numFmtId="171" fontId="4" fillId="0" borderId="0" xfId="10" applyNumberFormat="1" applyFill="1" applyAlignment="1">
      <alignment horizontal="right" indent="1"/>
    </xf>
    <xf numFmtId="172" fontId="4" fillId="0" borderId="0" xfId="5" applyNumberFormat="1" applyFill="1"/>
    <xf numFmtId="44" fontId="3" fillId="0" borderId="0" xfId="7" applyFont="1" applyFill="1"/>
    <xf numFmtId="167" fontId="4" fillId="0" borderId="0" xfId="5" applyNumberFormat="1" applyFill="1"/>
    <xf numFmtId="167" fontId="4" fillId="0" borderId="26" xfId="5" applyNumberFormat="1" applyFill="1" applyBorder="1"/>
    <xf numFmtId="167" fontId="4" fillId="0" borderId="28" xfId="5" applyNumberFormat="1" applyFill="1" applyBorder="1"/>
    <xf numFmtId="0" fontId="4" fillId="0" borderId="0" xfId="10" applyFill="1" applyAlignment="1">
      <alignment horizontal="right"/>
    </xf>
    <xf numFmtId="173" fontId="4" fillId="0" borderId="4" xfId="7" applyNumberFormat="1" applyFill="1" applyBorder="1"/>
    <xf numFmtId="39" fontId="4" fillId="0" borderId="0" xfId="10" applyNumberFormat="1" applyFill="1"/>
    <xf numFmtId="43" fontId="25" fillId="0" borderId="0" xfId="1" applyFont="1" applyFill="1"/>
    <xf numFmtId="43" fontId="26" fillId="0" borderId="0" xfId="1" applyFont="1" applyFill="1" applyBorder="1"/>
    <xf numFmtId="0" fontId="3" fillId="0" borderId="0" xfId="10" applyFont="1" applyAlignment="1"/>
    <xf numFmtId="37" fontId="3" fillId="0" borderId="0" xfId="10" applyNumberFormat="1" applyFont="1" applyAlignment="1"/>
    <xf numFmtId="0" fontId="3" fillId="0" borderId="0" xfId="10" applyFont="1"/>
    <xf numFmtId="168" fontId="4" fillId="0" borderId="0" xfId="16" applyNumberFormat="1" applyFill="1"/>
    <xf numFmtId="10" fontId="4" fillId="0" borderId="0" xfId="16" applyNumberFormat="1" applyFill="1"/>
    <xf numFmtId="168" fontId="4" fillId="0" borderId="29" xfId="18" applyNumberFormat="1" applyFont="1" applyFill="1" applyBorder="1"/>
    <xf numFmtId="0" fontId="3" fillId="0" borderId="0" xfId="10" applyFont="1" applyFill="1" applyAlignment="1">
      <alignment horizontal="center"/>
    </xf>
    <xf numFmtId="167" fontId="4" fillId="0" borderId="0" xfId="10" applyNumberFormat="1" applyFill="1"/>
    <xf numFmtId="167" fontId="4" fillId="0" borderId="26" xfId="1" applyNumberFormat="1" applyFont="1" applyFill="1" applyBorder="1"/>
    <xf numFmtId="170" fontId="4" fillId="0" borderId="4" xfId="2" applyNumberFormat="1" applyFont="1" applyFill="1" applyBorder="1"/>
    <xf numFmtId="0" fontId="4" fillId="7" borderId="1" xfId="0" applyFont="1" applyFill="1" applyBorder="1"/>
    <xf numFmtId="1" fontId="4" fillId="7" borderId="1" xfId="0" applyNumberFormat="1" applyFont="1" applyFill="1" applyBorder="1" applyAlignment="1">
      <alignment horizontal="center"/>
    </xf>
    <xf numFmtId="43" fontId="27" fillId="0" borderId="1" xfId="1" applyFont="1" applyFill="1" applyBorder="1"/>
    <xf numFmtId="167" fontId="4" fillId="0" borderId="0" xfId="10" applyNumberFormat="1"/>
    <xf numFmtId="43" fontId="28" fillId="8" borderId="1" xfId="1" applyFont="1" applyFill="1" applyBorder="1"/>
    <xf numFmtId="165" fontId="20" fillId="8" borderId="17" xfId="0" applyNumberFormat="1" applyFont="1" applyFill="1" applyBorder="1" applyAlignment="1">
      <alignment horizontal="center"/>
    </xf>
    <xf numFmtId="166" fontId="20" fillId="8" borderId="18" xfId="0" applyNumberFormat="1" applyFont="1" applyFill="1" applyBorder="1" applyAlignment="1">
      <alignment horizontal="center"/>
    </xf>
    <xf numFmtId="0" fontId="0" fillId="8" borderId="1" xfId="0" applyFill="1" applyBorder="1" applyAlignment="1">
      <alignment horizontal="center"/>
    </xf>
    <xf numFmtId="164" fontId="0" fillId="8" borderId="1" xfId="0" applyNumberFormat="1" applyFill="1" applyBorder="1"/>
    <xf numFmtId="38" fontId="4" fillId="0" borderId="0" xfId="10" applyNumberFormat="1" applyFill="1"/>
    <xf numFmtId="170" fontId="4" fillId="0" borderId="26" xfId="7" applyNumberFormat="1" applyFill="1" applyBorder="1"/>
    <xf numFmtId="170" fontId="4" fillId="0" borderId="4" xfId="7" applyNumberFormat="1" applyFill="1" applyBorder="1"/>
    <xf numFmtId="43" fontId="4" fillId="0" borderId="0" xfId="5"/>
    <xf numFmtId="0" fontId="29" fillId="0" borderId="0" xfId="0" applyFont="1"/>
    <xf numFmtId="0" fontId="30" fillId="0" borderId="0" xfId="0" applyFont="1"/>
    <xf numFmtId="14" fontId="29" fillId="0" borderId="0" xfId="0" applyNumberFormat="1" applyFont="1" applyAlignment="1">
      <alignment horizontal="center"/>
    </xf>
    <xf numFmtId="0" fontId="30" fillId="0" borderId="0" xfId="0" applyFont="1" applyAlignment="1">
      <alignment horizontal="center"/>
    </xf>
    <xf numFmtId="0" fontId="29" fillId="0" borderId="0" xfId="0" applyFont="1" applyAlignment="1">
      <alignment horizontal="center"/>
    </xf>
    <xf numFmtId="170" fontId="29" fillId="0" borderId="0" xfId="2" applyNumberFormat="1" applyFont="1"/>
    <xf numFmtId="170" fontId="30" fillId="0" borderId="28" xfId="2" applyNumberFormat="1" applyFont="1" applyBorder="1"/>
    <xf numFmtId="37" fontId="30" fillId="0" borderId="0" xfId="2" applyNumberFormat="1" applyFont="1" applyAlignment="1">
      <alignment horizontal="center"/>
    </xf>
    <xf numFmtId="170" fontId="29" fillId="0" borderId="0" xfId="0" applyNumberFormat="1" applyFont="1" applyFill="1"/>
    <xf numFmtId="169" fontId="29" fillId="0" borderId="0" xfId="2" applyNumberFormat="1" applyFont="1"/>
    <xf numFmtId="44" fontId="29" fillId="0" borderId="0" xfId="2" applyNumberFormat="1" applyFont="1"/>
    <xf numFmtId="170" fontId="29" fillId="0" borderId="0" xfId="0" applyNumberFormat="1" applyFont="1"/>
    <xf numFmtId="170" fontId="29" fillId="0" borderId="28" xfId="0" applyNumberFormat="1" applyFont="1" applyBorder="1"/>
    <xf numFmtId="168" fontId="29" fillId="0" borderId="0" xfId="3" applyNumberFormat="1" applyFont="1"/>
    <xf numFmtId="170" fontId="29" fillId="0" borderId="26" xfId="2" applyNumberFormat="1" applyFont="1" applyBorder="1"/>
    <xf numFmtId="170" fontId="29" fillId="0" borderId="0" xfId="2" applyNumberFormat="1" applyFont="1" applyBorder="1"/>
    <xf numFmtId="37" fontId="29" fillId="0" borderId="28" xfId="2" applyNumberFormat="1" applyFont="1" applyBorder="1"/>
    <xf numFmtId="44" fontId="29" fillId="0" borderId="0" xfId="0" applyNumberFormat="1" applyFont="1"/>
    <xf numFmtId="44" fontId="4" fillId="0" borderId="28" xfId="7" applyNumberFormat="1" applyFill="1" applyBorder="1"/>
    <xf numFmtId="0" fontId="0" fillId="4" borderId="1" xfId="0" applyFill="1" applyBorder="1"/>
    <xf numFmtId="0" fontId="0" fillId="4" borderId="1" xfId="0" applyFill="1" applyBorder="1" applyAlignment="1">
      <alignment horizontal="center"/>
    </xf>
    <xf numFmtId="43" fontId="0" fillId="4" borderId="1" xfId="1" applyFont="1" applyFill="1" applyBorder="1"/>
    <xf numFmtId="164" fontId="0" fillId="4" borderId="1" xfId="0" applyNumberFormat="1" applyFill="1" applyBorder="1"/>
    <xf numFmtId="0" fontId="0" fillId="0" borderId="1" xfId="0" applyBorder="1" applyAlignment="1">
      <alignment wrapText="1"/>
    </xf>
    <xf numFmtId="0" fontId="0" fillId="0" borderId="3" xfId="0" applyBorder="1" applyAlignment="1">
      <alignment wrapText="1"/>
    </xf>
    <xf numFmtId="0" fontId="0" fillId="0" borderId="5" xfId="0" applyFill="1" applyBorder="1" applyAlignment="1">
      <alignment horizontal="left" wrapText="1"/>
    </xf>
    <xf numFmtId="0" fontId="0" fillId="0" borderId="0" xfId="0" applyFill="1" applyAlignment="1">
      <alignment wrapText="1"/>
    </xf>
    <xf numFmtId="0" fontId="0" fillId="7" borderId="1" xfId="0" applyFill="1" applyBorder="1"/>
    <xf numFmtId="0" fontId="0" fillId="7" borderId="1" xfId="0" applyFill="1" applyBorder="1" applyAlignment="1">
      <alignment horizontal="center"/>
    </xf>
    <xf numFmtId="43" fontId="0" fillId="7" borderId="1" xfId="1" applyFont="1" applyFill="1" applyBorder="1"/>
    <xf numFmtId="164" fontId="0" fillId="7" borderId="1" xfId="0" applyNumberFormat="1" applyFill="1" applyBorder="1"/>
    <xf numFmtId="0" fontId="0" fillId="0" borderId="0" xfId="0" applyFont="1" applyFill="1"/>
    <xf numFmtId="0" fontId="0" fillId="0" borderId="0" xfId="0" applyFont="1" applyFill="1" applyAlignment="1">
      <alignment horizontal="center"/>
    </xf>
    <xf numFmtId="40" fontId="0" fillId="0" borderId="0" xfId="0" applyNumberFormat="1" applyFont="1" applyFill="1"/>
    <xf numFmtId="0" fontId="0" fillId="0" borderId="0" xfId="0" applyAlignment="1">
      <alignment horizontal="left"/>
    </xf>
    <xf numFmtId="167" fontId="0" fillId="0" borderId="0" xfId="0" applyNumberFormat="1"/>
    <xf numFmtId="167" fontId="0" fillId="0" borderId="0" xfId="1" applyNumberFormat="1" applyFont="1"/>
    <xf numFmtId="167" fontId="0" fillId="4" borderId="0" xfId="0" applyNumberFormat="1" applyFill="1"/>
    <xf numFmtId="167" fontId="0" fillId="4" borderId="0" xfId="1" applyNumberFormat="1" applyFont="1" applyFill="1"/>
    <xf numFmtId="0" fontId="0" fillId="0" borderId="59" xfId="0" applyFill="1" applyBorder="1"/>
    <xf numFmtId="9" fontId="4" fillId="0" borderId="59" xfId="3" applyFont="1" applyFill="1" applyBorder="1"/>
    <xf numFmtId="0" fontId="4" fillId="0" borderId="59" xfId="0" applyFont="1" applyFill="1" applyBorder="1"/>
    <xf numFmtId="0" fontId="4" fillId="0" borderId="0" xfId="9"/>
    <xf numFmtId="22" fontId="0" fillId="0" borderId="59" xfId="0" applyNumberFormat="1" applyFill="1" applyBorder="1"/>
    <xf numFmtId="167" fontId="0" fillId="0" borderId="59" xfId="1" applyNumberFormat="1" applyFont="1" applyFill="1" applyBorder="1"/>
    <xf numFmtId="43" fontId="0" fillId="0" borderId="59" xfId="3" applyNumberFormat="1" applyFont="1" applyFill="1" applyBorder="1"/>
    <xf numFmtId="0" fontId="0" fillId="0" borderId="59" xfId="0" applyFont="1" applyFill="1" applyBorder="1"/>
    <xf numFmtId="0" fontId="0" fillId="0" borderId="0" xfId="0" applyAlignment="1">
      <alignment horizontal="left" indent="2"/>
    </xf>
    <xf numFmtId="167" fontId="4" fillId="0" borderId="0" xfId="9" applyNumberFormat="1"/>
    <xf numFmtId="0" fontId="0" fillId="0" borderId="0" xfId="0" applyAlignment="1">
      <alignment horizontal="left" indent="1"/>
    </xf>
    <xf numFmtId="43" fontId="0" fillId="0" borderId="28" xfId="1" applyFont="1" applyBorder="1"/>
    <xf numFmtId="22" fontId="0" fillId="0" borderId="1" xfId="0" applyNumberFormat="1" applyFill="1" applyBorder="1"/>
    <xf numFmtId="167" fontId="0" fillId="0" borderId="1" xfId="1" applyNumberFormat="1" applyFont="1" applyFill="1" applyBorder="1"/>
    <xf numFmtId="43" fontId="0" fillId="0" borderId="1" xfId="3" applyNumberFormat="1" applyFont="1" applyFill="1" applyBorder="1"/>
    <xf numFmtId="0" fontId="0" fillId="0" borderId="1" xfId="0" applyFont="1" applyFill="1" applyBorder="1"/>
    <xf numFmtId="167" fontId="0" fillId="6" borderId="1" xfId="1" applyNumberFormat="1" applyFont="1" applyFill="1" applyBorder="1"/>
    <xf numFmtId="43" fontId="0" fillId="0" borderId="0" xfId="0" applyNumberFormat="1" applyFill="1"/>
    <xf numFmtId="167" fontId="4" fillId="0" borderId="0" xfId="1" applyNumberFormat="1" applyFont="1"/>
    <xf numFmtId="0" fontId="0" fillId="7" borderId="0" xfId="0" applyFill="1" applyAlignment="1">
      <alignment wrapText="1"/>
    </xf>
    <xf numFmtId="0" fontId="0" fillId="7" borderId="0" xfId="0" applyFill="1"/>
    <xf numFmtId="0" fontId="0" fillId="0" borderId="0" xfId="0" applyFont="1" applyFill="1" applyAlignment="1">
      <alignment vertical="center"/>
    </xf>
    <xf numFmtId="0" fontId="0" fillId="0" borderId="0" xfId="0" applyFill="1" applyBorder="1"/>
    <xf numFmtId="0" fontId="0" fillId="0" borderId="0" xfId="0" applyFill="1" applyBorder="1" applyAlignment="1">
      <alignment horizontal="center"/>
    </xf>
    <xf numFmtId="43" fontId="0" fillId="0" borderId="0" xfId="1" applyFont="1" applyFill="1" applyBorder="1"/>
    <xf numFmtId="0" fontId="0" fillId="0" borderId="1" xfId="0" applyFont="1" applyFill="1" applyBorder="1" applyAlignment="1">
      <alignment horizontal="center"/>
    </xf>
    <xf numFmtId="40" fontId="0" fillId="0" borderId="1" xfId="0" applyNumberFormat="1" applyFont="1" applyFill="1" applyBorder="1"/>
    <xf numFmtId="0" fontId="0" fillId="0" borderId="59" xfId="0" applyFill="1" applyBorder="1" applyAlignment="1">
      <alignment horizontal="center"/>
    </xf>
    <xf numFmtId="43" fontId="0" fillId="0" borderId="59" xfId="1" applyFont="1" applyFill="1" applyBorder="1"/>
    <xf numFmtId="0" fontId="4" fillId="7" borderId="59" xfId="0" applyFont="1" applyFill="1" applyBorder="1"/>
    <xf numFmtId="164" fontId="0" fillId="0" borderId="59" xfId="0" applyNumberFormat="1" applyFill="1" applyBorder="1"/>
    <xf numFmtId="0" fontId="2" fillId="0" borderId="59" xfId="0" applyFont="1" applyFill="1" applyBorder="1" applyAlignment="1">
      <alignment horizontal="center"/>
    </xf>
    <xf numFmtId="1" fontId="4" fillId="7" borderId="59" xfId="0" applyNumberFormat="1" applyFont="1" applyFill="1" applyBorder="1" applyAlignment="1">
      <alignment horizontal="center"/>
    </xf>
    <xf numFmtId="0" fontId="0" fillId="7" borderId="59" xfId="0" applyFill="1" applyBorder="1"/>
    <xf numFmtId="0" fontId="0" fillId="7" borderId="59" xfId="0" applyFill="1" applyBorder="1" applyAlignment="1">
      <alignment horizontal="center"/>
    </xf>
    <xf numFmtId="43" fontId="0" fillId="7" borderId="59" xfId="1" applyFont="1" applyFill="1" applyBorder="1"/>
    <xf numFmtId="164" fontId="0" fillId="7" borderId="59" xfId="0" applyNumberFormat="1" applyFill="1" applyBorder="1"/>
    <xf numFmtId="0" fontId="2" fillId="7" borderId="59" xfId="0" applyFont="1" applyFill="1" applyBorder="1" applyAlignment="1">
      <alignment horizontal="center"/>
    </xf>
    <xf numFmtId="0" fontId="0" fillId="0" borderId="59" xfId="0" applyBorder="1" applyAlignment="1">
      <alignment horizontal="center"/>
    </xf>
    <xf numFmtId="44" fontId="0" fillId="0" borderId="0" xfId="2" applyFont="1" applyFill="1"/>
    <xf numFmtId="0" fontId="0" fillId="0" borderId="0" xfId="0" applyFill="1" applyAlignment="1">
      <alignment horizontal="center" vertical="center"/>
    </xf>
    <xf numFmtId="0" fontId="0" fillId="0" borderId="0" xfId="0" applyFont="1" applyFill="1" applyAlignment="1">
      <alignment vertical="center" wrapText="1"/>
    </xf>
    <xf numFmtId="0" fontId="0" fillId="0" borderId="0" xfId="0" applyFont="1" applyFill="1" applyAlignment="1"/>
    <xf numFmtId="0" fontId="0" fillId="0" borderId="0" xfId="0" applyFont="1" applyFill="1" applyAlignment="1">
      <alignment wrapText="1"/>
    </xf>
    <xf numFmtId="43" fontId="2" fillId="0" borderId="1" xfId="1" applyFont="1" applyFill="1" applyBorder="1"/>
    <xf numFmtId="169" fontId="29" fillId="0" borderId="0" xfId="3" applyNumberFormat="1" applyFont="1"/>
    <xf numFmtId="0" fontId="2" fillId="0" borderId="0" xfId="0" applyFont="1" applyAlignment="1">
      <alignment horizontal="centerContinuous"/>
    </xf>
    <xf numFmtId="6" fontId="0" fillId="0" borderId="0" xfId="0" applyNumberFormat="1"/>
    <xf numFmtId="168" fontId="0" fillId="0" borderId="0" xfId="3" applyNumberFormat="1" applyFont="1"/>
    <xf numFmtId="6" fontId="0" fillId="0" borderId="4" xfId="0" applyNumberFormat="1" applyBorder="1"/>
    <xf numFmtId="9" fontId="0" fillId="0" borderId="0" xfId="0" applyNumberFormat="1"/>
    <xf numFmtId="168" fontId="0" fillId="0" borderId="0" xfId="0" applyNumberFormat="1"/>
    <xf numFmtId="6" fontId="0" fillId="0" borderId="28" xfId="0" applyNumberFormat="1" applyBorder="1"/>
    <xf numFmtId="6" fontId="0" fillId="0" borderId="0" xfId="0" applyNumberFormat="1" applyBorder="1"/>
    <xf numFmtId="0" fontId="189" fillId="0" borderId="0" xfId="1257"/>
    <xf numFmtId="0" fontId="190" fillId="0" borderId="0" xfId="0" applyFont="1"/>
    <xf numFmtId="0" fontId="190" fillId="0" borderId="0" xfId="0" applyFont="1" applyBorder="1"/>
    <xf numFmtId="0" fontId="2" fillId="6" borderId="26" xfId="0" applyFont="1" applyFill="1" applyBorder="1" applyAlignment="1">
      <alignment horizontal="center"/>
    </xf>
    <xf numFmtId="0" fontId="2" fillId="6" borderId="0" xfId="0" applyFont="1" applyFill="1" applyBorder="1" applyAlignment="1">
      <alignment horizontal="center"/>
    </xf>
    <xf numFmtId="10" fontId="2" fillId="6" borderId="26" xfId="3" applyNumberFormat="1" applyFont="1" applyFill="1" applyBorder="1" applyAlignment="1">
      <alignment horizontal="center"/>
    </xf>
    <xf numFmtId="0" fontId="2" fillId="6" borderId="0" xfId="0" applyFont="1" applyFill="1" applyAlignment="1">
      <alignment horizontal="center"/>
    </xf>
    <xf numFmtId="167" fontId="2" fillId="6" borderId="26" xfId="1" applyNumberFormat="1" applyFont="1" applyFill="1" applyBorder="1" applyAlignment="1">
      <alignment horizontal="center"/>
    </xf>
    <xf numFmtId="43" fontId="2" fillId="6" borderId="26" xfId="1" applyFont="1" applyFill="1" applyBorder="1" applyAlignment="1">
      <alignment horizontal="center"/>
    </xf>
    <xf numFmtId="167" fontId="0" fillId="0" borderId="21" xfId="0" applyNumberFormat="1" applyBorder="1"/>
    <xf numFmtId="167" fontId="191" fillId="0" borderId="0" xfId="0" applyNumberFormat="1" applyFont="1"/>
    <xf numFmtId="10" fontId="0" fillId="0" borderId="0" xfId="0" applyNumberFormat="1"/>
    <xf numFmtId="44" fontId="191" fillId="0" borderId="0" xfId="0" applyNumberFormat="1" applyFont="1"/>
    <xf numFmtId="167" fontId="191" fillId="0" borderId="0" xfId="1" applyNumberFormat="1" applyFont="1"/>
    <xf numFmtId="167" fontId="0" fillId="0" borderId="0" xfId="0" applyNumberFormat="1" applyBorder="1"/>
    <xf numFmtId="43" fontId="191" fillId="0" borderId="0" xfId="1" applyFont="1"/>
    <xf numFmtId="44" fontId="0" fillId="0" borderId="0" xfId="0" applyNumberFormat="1"/>
    <xf numFmtId="0" fontId="188" fillId="0" borderId="0" xfId="0" applyFont="1"/>
    <xf numFmtId="203" fontId="0" fillId="0" borderId="0" xfId="0" applyNumberFormat="1"/>
    <xf numFmtId="167" fontId="191" fillId="0" borderId="26" xfId="0" applyNumberFormat="1" applyFont="1" applyBorder="1"/>
    <xf numFmtId="44" fontId="191" fillId="0" borderId="26" xfId="0" applyNumberFormat="1" applyFont="1" applyBorder="1"/>
    <xf numFmtId="170" fontId="191" fillId="0" borderId="0" xfId="2" applyNumberFormat="1" applyFont="1"/>
    <xf numFmtId="168" fontId="191" fillId="0" borderId="0" xfId="0" applyNumberFormat="1" applyFont="1"/>
    <xf numFmtId="44" fontId="191" fillId="0" borderId="0" xfId="2" applyFont="1"/>
    <xf numFmtId="43" fontId="0" fillId="0" borderId="0" xfId="0" applyNumberFormat="1"/>
    <xf numFmtId="0" fontId="2" fillId="0" borderId="0" xfId="0" applyFont="1" applyAlignment="1">
      <alignment horizontal="left"/>
    </xf>
    <xf numFmtId="43" fontId="0" fillId="0" borderId="26" xfId="0" applyNumberFormat="1" applyBorder="1"/>
    <xf numFmtId="43" fontId="2" fillId="0" borderId="0" xfId="0" applyNumberFormat="1" applyFont="1"/>
    <xf numFmtId="43" fontId="188" fillId="0" borderId="0" xfId="1" applyFont="1"/>
    <xf numFmtId="0" fontId="192" fillId="0" borderId="0" xfId="0" applyFont="1" applyAlignment="1">
      <alignment horizontal="left"/>
    </xf>
    <xf numFmtId="0" fontId="192" fillId="0" borderId="0" xfId="0" applyFont="1"/>
    <xf numFmtId="167" fontId="192" fillId="0" borderId="0" xfId="0" applyNumberFormat="1" applyFont="1" applyBorder="1"/>
    <xf numFmtId="167" fontId="188" fillId="0" borderId="0" xfId="1" applyNumberFormat="1" applyFont="1"/>
    <xf numFmtId="168" fontId="192" fillId="0" borderId="0" xfId="3" applyNumberFormat="1" applyFont="1"/>
    <xf numFmtId="203" fontId="192" fillId="0" borderId="0" xfId="0" applyNumberFormat="1" applyFont="1"/>
    <xf numFmtId="43" fontId="0" fillId="0" borderId="39" xfId="0" applyNumberFormat="1" applyBorder="1"/>
    <xf numFmtId="43" fontId="193" fillId="0" borderId="0" xfId="0" applyNumberFormat="1" applyFont="1"/>
    <xf numFmtId="43" fontId="191" fillId="0" borderId="26" xfId="1" applyFont="1" applyBorder="1"/>
    <xf numFmtId="167" fontId="191" fillId="0" borderId="26" xfId="1" applyNumberFormat="1" applyFont="1" applyBorder="1"/>
    <xf numFmtId="0" fontId="2" fillId="0" borderId="0" xfId="0" applyFont="1"/>
    <xf numFmtId="167" fontId="2" fillId="0" borderId="0" xfId="0" applyNumberFormat="1" applyFont="1" applyBorder="1"/>
    <xf numFmtId="170" fontId="2" fillId="55" borderId="0" xfId="2" applyNumberFormat="1" applyFont="1" applyFill="1"/>
    <xf numFmtId="10" fontId="2" fillId="0" borderId="0" xfId="0" applyNumberFormat="1" applyFont="1"/>
    <xf numFmtId="44" fontId="2" fillId="55" borderId="0" xfId="0" applyNumberFormat="1" applyFont="1" applyFill="1"/>
    <xf numFmtId="44" fontId="2" fillId="0" borderId="0" xfId="0" applyNumberFormat="1" applyFont="1"/>
    <xf numFmtId="170" fontId="2" fillId="55" borderId="0" xfId="0" applyNumberFormat="1" applyFont="1" applyFill="1"/>
    <xf numFmtId="168" fontId="2" fillId="2" borderId="0" xfId="3" applyNumberFormat="1" applyFont="1" applyFill="1"/>
    <xf numFmtId="172" fontId="0" fillId="0" borderId="0" xfId="1" applyNumberFormat="1" applyFont="1"/>
    <xf numFmtId="44" fontId="2" fillId="56" borderId="28" xfId="0" applyNumberFormat="1" applyFont="1" applyFill="1" applyBorder="1"/>
    <xf numFmtId="43" fontId="2" fillId="56" borderId="0" xfId="1" applyFont="1" applyFill="1"/>
    <xf numFmtId="10" fontId="0" fillId="0" borderId="0" xfId="3" applyNumberFormat="1" applyFont="1" applyAlignment="1"/>
    <xf numFmtId="168" fontId="0" fillId="0" borderId="4" xfId="3" applyNumberFormat="1" applyFont="1" applyBorder="1"/>
    <xf numFmtId="168" fontId="0" fillId="0" borderId="26" xfId="0" applyNumberFormat="1" applyBorder="1"/>
    <xf numFmtId="169" fontId="0" fillId="0" borderId="0" xfId="3" applyNumberFormat="1" applyFont="1"/>
    <xf numFmtId="0" fontId="0" fillId="0" borderId="59" xfId="0" applyBorder="1"/>
    <xf numFmtId="0" fontId="0" fillId="0" borderId="59" xfId="0" applyFill="1" applyBorder="1" applyAlignment="1">
      <alignment horizontal="left"/>
    </xf>
    <xf numFmtId="0" fontId="0" fillId="0" borderId="59" xfId="0" applyBorder="1" applyAlignment="1">
      <alignment wrapText="1"/>
    </xf>
    <xf numFmtId="43" fontId="0" fillId="0" borderId="60" xfId="1" applyFont="1" applyFill="1" applyBorder="1"/>
    <xf numFmtId="0" fontId="0" fillId="0" borderId="35" xfId="0" applyBorder="1" applyAlignment="1">
      <alignment wrapText="1"/>
    </xf>
    <xf numFmtId="0" fontId="0" fillId="0" borderId="59" xfId="0" applyFill="1" applyBorder="1" applyAlignment="1">
      <alignment horizontal="left" wrapText="1"/>
    </xf>
    <xf numFmtId="0" fontId="0" fillId="0" borderId="61" xfId="0" applyBorder="1" applyAlignment="1">
      <alignment wrapText="1"/>
    </xf>
    <xf numFmtId="40" fontId="11" fillId="8" borderId="18" xfId="0" applyNumberFormat="1" applyFont="1" applyFill="1" applyBorder="1" applyAlignment="1">
      <alignment horizontal="right"/>
    </xf>
    <xf numFmtId="0" fontId="4" fillId="0" borderId="61" xfId="0" applyFont="1" applyBorder="1" applyAlignment="1">
      <alignment wrapText="1"/>
    </xf>
    <xf numFmtId="0" fontId="0" fillId="2" borderId="59" xfId="0" applyFill="1" applyBorder="1"/>
    <xf numFmtId="0" fontId="3" fillId="7" borderId="59" xfId="0" applyFont="1" applyFill="1" applyBorder="1"/>
    <xf numFmtId="164" fontId="2" fillId="7" borderId="59" xfId="0" applyNumberFormat="1" applyFont="1" applyFill="1" applyBorder="1"/>
    <xf numFmtId="43" fontId="0" fillId="0" borderId="35" xfId="1" applyFont="1" applyFill="1" applyBorder="1"/>
    <xf numFmtId="43" fontId="2" fillId="7" borderId="2" xfId="1" applyFont="1" applyFill="1" applyBorder="1"/>
    <xf numFmtId="0" fontId="2" fillId="0" borderId="0" xfId="0" applyFont="1" applyFill="1"/>
    <xf numFmtId="0" fontId="0" fillId="0" borderId="0" xfId="0" applyFont="1" applyFill="1" applyAlignment="1">
      <alignment horizontal="left" vertical="center" wrapText="1"/>
    </xf>
    <xf numFmtId="0" fontId="0" fillId="0" borderId="0" xfId="0" applyFont="1" applyFill="1" applyAlignment="1">
      <alignment horizontal="left"/>
    </xf>
    <xf numFmtId="0" fontId="0" fillId="0" borderId="0" xfId="0" applyFont="1" applyFill="1" applyAlignment="1">
      <alignment horizontal="left" wrapText="1"/>
    </xf>
    <xf numFmtId="0" fontId="0" fillId="0" borderId="0" xfId="0" applyFont="1" applyFill="1" applyAlignment="1">
      <alignment wrapText="1"/>
    </xf>
    <xf numFmtId="0" fontId="9" fillId="4" borderId="0" xfId="0" applyFont="1" applyFill="1" applyBorder="1" applyAlignment="1">
      <alignment horizontal="right" vertical="center" wrapText="1"/>
    </xf>
    <xf numFmtId="0" fontId="10" fillId="4" borderId="0" xfId="0" applyFont="1" applyFill="1" applyBorder="1" applyAlignment="1">
      <alignment horizontal="right" vertical="center" wrapText="1"/>
    </xf>
    <xf numFmtId="0" fontId="5" fillId="7" borderId="20" xfId="0" applyFont="1" applyFill="1" applyBorder="1" applyAlignment="1">
      <alignment horizontal="center"/>
    </xf>
    <xf numFmtId="0" fontId="5" fillId="7" borderId="21" xfId="0" applyFont="1" applyFill="1" applyBorder="1" applyAlignment="1">
      <alignment horizontal="center"/>
    </xf>
    <xf numFmtId="0" fontId="5" fillId="7" borderId="22" xfId="0" applyFont="1" applyFill="1" applyBorder="1" applyAlignment="1">
      <alignment horizontal="center"/>
    </xf>
    <xf numFmtId="0" fontId="9" fillId="4" borderId="6"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3" xfId="0" applyFont="1" applyFill="1" applyBorder="1" applyAlignment="1">
      <alignment horizontal="center" vertical="center"/>
    </xf>
    <xf numFmtId="165" fontId="9" fillId="4" borderId="6" xfId="0" applyNumberFormat="1"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9" fillId="5" borderId="8" xfId="0" quotePrefix="1" applyFont="1" applyFill="1" applyBorder="1" applyAlignment="1">
      <alignment horizontal="center" vertical="center"/>
    </xf>
    <xf numFmtId="0" fontId="10" fillId="5" borderId="9" xfId="0" applyFont="1" applyFill="1" applyBorder="1" applyAlignment="1">
      <alignment horizontal="center" vertical="center"/>
    </xf>
    <xf numFmtId="165" fontId="9" fillId="4" borderId="11" xfId="0" applyNumberFormat="1"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4" xfId="0" applyFont="1" applyFill="1" applyBorder="1" applyAlignment="1">
      <alignment horizontal="center" vertical="center" wrapText="1"/>
    </xf>
    <xf numFmtId="165" fontId="9" fillId="5" borderId="11" xfId="0" applyNumberFormat="1" applyFont="1" applyFill="1" applyBorder="1" applyAlignment="1">
      <alignment horizontal="center" vertical="center" wrapText="1"/>
    </xf>
    <xf numFmtId="165" fontId="9" fillId="5" borderId="10" xfId="0" applyNumberFormat="1" applyFont="1" applyFill="1" applyBorder="1" applyAlignment="1">
      <alignment horizontal="center" vertical="center" wrapText="1"/>
    </xf>
    <xf numFmtId="0" fontId="3" fillId="0" borderId="0" xfId="10" applyFont="1" applyAlignment="1">
      <alignment horizontal="center"/>
    </xf>
    <xf numFmtId="37" fontId="3" fillId="0" borderId="0" xfId="10" applyNumberFormat="1" applyFont="1" applyAlignment="1">
      <alignment horizontal="center"/>
    </xf>
    <xf numFmtId="15" fontId="3" fillId="0" borderId="0" xfId="10" quotePrefix="1" applyNumberFormat="1" applyFont="1" applyAlignment="1">
      <alignment horizontal="center"/>
    </xf>
    <xf numFmtId="0" fontId="3" fillId="0" borderId="0" xfId="10" applyFont="1" applyAlignment="1">
      <alignment horizontal="left" wrapText="1"/>
    </xf>
    <xf numFmtId="0" fontId="4" fillId="0" borderId="0" xfId="10" applyFont="1" applyAlignment="1">
      <alignment wrapText="1"/>
    </xf>
    <xf numFmtId="0" fontId="4" fillId="0" borderId="0" xfId="10" applyAlignment="1">
      <alignment wrapText="1"/>
    </xf>
    <xf numFmtId="0" fontId="20" fillId="0" borderId="0" xfId="10" applyFont="1" applyAlignment="1">
      <alignment horizontal="center"/>
    </xf>
    <xf numFmtId="0" fontId="20" fillId="0" borderId="0" xfId="0" applyFont="1" applyAlignment="1">
      <alignment horizontal="center"/>
    </xf>
    <xf numFmtId="0" fontId="0" fillId="0" borderId="0" xfId="0" applyAlignment="1">
      <alignment wrapText="1"/>
    </xf>
    <xf numFmtId="0" fontId="2" fillId="0" borderId="26" xfId="0" applyFont="1" applyBorder="1" applyAlignment="1">
      <alignment horizontal="center"/>
    </xf>
    <xf numFmtId="0" fontId="2" fillId="0" borderId="26" xfId="0" applyFont="1" applyFill="1" applyBorder="1" applyAlignment="1">
      <alignment horizontal="center"/>
    </xf>
  </cellXfs>
  <cellStyles count="1258">
    <cellStyle name="_x0007__x000b_" xfId="20"/>
    <cellStyle name="$000,000's red" xfId="21"/>
    <cellStyle name="$000s1Place" xfId="22"/>
    <cellStyle name="$MMs1Place" xfId="23"/>
    <cellStyle name="$MMs2Places" xfId="24"/>
    <cellStyle name="%" xfId="25"/>
    <cellStyle name="% Presentation" xfId="26"/>
    <cellStyle name="%_449 250-6000" xfId="27"/>
    <cellStyle name="%_521 Rollforward" xfId="28"/>
    <cellStyle name="%_541 Rollforward" xfId="29"/>
    <cellStyle name="%_Bammel Proptax Summary_010709" xfId="30"/>
    <cellStyle name="%_Bammel Proptax Summary_123108" xfId="31"/>
    <cellStyle name="%_Bammel Proptax Summary_123108_449 250-6000" xfId="32"/>
    <cellStyle name="%_Bammel Proptax Summary_123108_521 Rollforward" xfId="33"/>
    <cellStyle name="%_Bammel Proptax Summary_123108_541 Rollforward" xfId="34"/>
    <cellStyle name="%_ET Accrual ALL MS_ms" xfId="35"/>
    <cellStyle name="%_ET Accrual ALL MS_ms_449 250-6000" xfId="36"/>
    <cellStyle name="%_ET Accrual ALL MS_ms_521 Rollforward" xfId="37"/>
    <cellStyle name="%_ET Accrual ALL MS_ms_541 Rollforward" xfId="38"/>
    <cellStyle name="($000)" xfId="39"/>
    <cellStyle name="($000) red" xfId="40"/>
    <cellStyle name="($000,000's)" xfId="41"/>
    <cellStyle name="($000,000's)w/red" xfId="42"/>
    <cellStyle name="($000's)" xfId="43"/>
    <cellStyle name="(000,000's)" xfId="44"/>
    <cellStyle name="(000,000's)w/red" xfId="45"/>
    <cellStyle name="(000's)" xfId="46"/>
    <cellStyle name="******************************************" xfId="47"/>
    <cellStyle name="?? [0]_RESULTS" xfId="48"/>
    <cellStyle name="???[0]_RESULTS" xfId="49"/>
    <cellStyle name="???_RESULTS" xfId="50"/>
    <cellStyle name="??_RESULTS" xfId="51"/>
    <cellStyle name="_TX_Engr Firm Assign_2008" xfId="52"/>
    <cellStyle name="_TX_Engr Firm Assign_2008_449 250-6000" xfId="53"/>
    <cellStyle name="_TX_Engr Firm Assign_2008_521 Rollforward" xfId="54"/>
    <cellStyle name="_TX_Engr Firm Assign_2008_541 Rollforward" xfId="55"/>
    <cellStyle name="’Ê‰Ý [0.00]_GE 3 MINIMUM" xfId="56"/>
    <cellStyle name="’Ê‰Ý_GE 3 MINIMUM" xfId="57"/>
    <cellStyle name="£ BP" xfId="58"/>
    <cellStyle name="¥ JY" xfId="59"/>
    <cellStyle name="•W€_GE 3 MINIMUM" xfId="60"/>
    <cellStyle name="0" xfId="61"/>
    <cellStyle name="0%" xfId="62"/>
    <cellStyle name="0.0" xfId="63"/>
    <cellStyle name="0.0%" xfId="64"/>
    <cellStyle name="0.0_449 250-6000" xfId="65"/>
    <cellStyle name="0.00" xfId="66"/>
    <cellStyle name="0.00%" xfId="67"/>
    <cellStyle name="0.00_449 250-6000" xfId="68"/>
    <cellStyle name="0_Abovenet RVS 2004 Summary Unit Value Model FINAL" xfId="69"/>
    <cellStyle name="0_Abovenet RVS 2004 Summary Unit Value Model FINAL_449 250-6000" xfId="70"/>
    <cellStyle name="0_Abovenet RVS 2004 Summary Unit Value Model FINAL_521 Rollforward" xfId="71"/>
    <cellStyle name="0_Abovenet RVS 2004 Summary Unit Value Model FINAL_541 Rollforward" xfId="72"/>
    <cellStyle name="0000" xfId="73"/>
    <cellStyle name="000000" xfId="74"/>
    <cellStyle name="1000s1Place" xfId="75"/>
    <cellStyle name="1Decimal" xfId="76"/>
    <cellStyle name="1MMs1Place" xfId="77"/>
    <cellStyle name="1MMs2Places" xfId="78"/>
    <cellStyle name="20% - Accent1 2" xfId="79"/>
    <cellStyle name="20% - Accent1 3" xfId="80"/>
    <cellStyle name="20% - Accent1 3 2" xfId="81"/>
    <cellStyle name="20% - Accent1 4" xfId="82"/>
    <cellStyle name="20% - Accent2 2" xfId="83"/>
    <cellStyle name="20% - Accent2 3" xfId="84"/>
    <cellStyle name="20% - Accent2 3 2" xfId="85"/>
    <cellStyle name="20% - Accent2 4" xfId="86"/>
    <cellStyle name="20% - Accent3 2" xfId="87"/>
    <cellStyle name="20% - Accent3 3" xfId="88"/>
    <cellStyle name="20% - Accent3 3 2" xfId="89"/>
    <cellStyle name="20% - Accent3 4" xfId="90"/>
    <cellStyle name="20% - Accent4 2" xfId="91"/>
    <cellStyle name="20% - Accent4 3" xfId="92"/>
    <cellStyle name="20% - Accent4 3 2" xfId="93"/>
    <cellStyle name="20% - Accent4 4" xfId="94"/>
    <cellStyle name="20% - Accent5 2" xfId="95"/>
    <cellStyle name="20% - Accent5 3" xfId="96"/>
    <cellStyle name="20% - Accent5 3 2" xfId="97"/>
    <cellStyle name="20% - Accent5 4" xfId="98"/>
    <cellStyle name="20% - Accent6 2" xfId="99"/>
    <cellStyle name="20% - Accent6 3" xfId="100"/>
    <cellStyle name="20% - Accent6 3 2" xfId="101"/>
    <cellStyle name="20% - Accent6 4" xfId="102"/>
    <cellStyle name="2DecimalPercent" xfId="103"/>
    <cellStyle name="2Decimals" xfId="104"/>
    <cellStyle name="40% - Accent1 2" xfId="105"/>
    <cellStyle name="40% - Accent1 3" xfId="106"/>
    <cellStyle name="40% - Accent1 3 2" xfId="107"/>
    <cellStyle name="40% - Accent1 4" xfId="108"/>
    <cellStyle name="40% - Accent2 2" xfId="109"/>
    <cellStyle name="40% - Accent2 3" xfId="110"/>
    <cellStyle name="40% - Accent2 3 2" xfId="111"/>
    <cellStyle name="40% - Accent2 4" xfId="112"/>
    <cellStyle name="40% - Accent3 2" xfId="113"/>
    <cellStyle name="40% - Accent3 3" xfId="114"/>
    <cellStyle name="40% - Accent3 3 2" xfId="115"/>
    <cellStyle name="40% - Accent3 4" xfId="116"/>
    <cellStyle name="40% - Accent4 2" xfId="117"/>
    <cellStyle name="40% - Accent4 3" xfId="118"/>
    <cellStyle name="40% - Accent4 3 2" xfId="119"/>
    <cellStyle name="40% - Accent4 4" xfId="120"/>
    <cellStyle name="40% - Accent5 2" xfId="121"/>
    <cellStyle name="40% - Accent5 3" xfId="122"/>
    <cellStyle name="40% - Accent5 3 2" xfId="123"/>
    <cellStyle name="40% - Accent5 4" xfId="124"/>
    <cellStyle name="40% - Accent6 2" xfId="125"/>
    <cellStyle name="40% - Accent6 3" xfId="126"/>
    <cellStyle name="40% - Accent6 3 2" xfId="127"/>
    <cellStyle name="40% - Accent6 4" xfId="128"/>
    <cellStyle name="60% - Accent1 2" xfId="129"/>
    <cellStyle name="60% - Accent1 3" xfId="130"/>
    <cellStyle name="60% - Accent1 3 2" xfId="131"/>
    <cellStyle name="60% - Accent1 4" xfId="132"/>
    <cellStyle name="60% - Accent2 2" xfId="133"/>
    <cellStyle name="60% - Accent2 3" xfId="134"/>
    <cellStyle name="60% - Accent2 3 2" xfId="135"/>
    <cellStyle name="60% - Accent2 4" xfId="136"/>
    <cellStyle name="60% - Accent3 2" xfId="137"/>
    <cellStyle name="60% - Accent3 3" xfId="138"/>
    <cellStyle name="60% - Accent3 3 2" xfId="139"/>
    <cellStyle name="60% - Accent3 4" xfId="140"/>
    <cellStyle name="60% - Accent4 2" xfId="141"/>
    <cellStyle name="60% - Accent4 3" xfId="142"/>
    <cellStyle name="60% - Accent4 3 2" xfId="143"/>
    <cellStyle name="60% - Accent4 4" xfId="144"/>
    <cellStyle name="60% - Accent5 2" xfId="145"/>
    <cellStyle name="60% - Accent5 3" xfId="146"/>
    <cellStyle name="60% - Accent5 3 2" xfId="147"/>
    <cellStyle name="60% - Accent5 4" xfId="148"/>
    <cellStyle name="60% - Accent6 2" xfId="149"/>
    <cellStyle name="60% - Accent6 3" xfId="150"/>
    <cellStyle name="60% - Accent6 3 2" xfId="151"/>
    <cellStyle name="60% - Accent6 4" xfId="152"/>
    <cellStyle name="752131" xfId="153"/>
    <cellStyle name="AA_NUMBER" xfId="154"/>
    <cellStyle name="Accent1 2" xfId="155"/>
    <cellStyle name="Accent1 3" xfId="156"/>
    <cellStyle name="Accent1 3 2" xfId="157"/>
    <cellStyle name="Accent1 4" xfId="158"/>
    <cellStyle name="Accent2 2" xfId="159"/>
    <cellStyle name="Accent2 3" xfId="160"/>
    <cellStyle name="Accent2 3 2" xfId="161"/>
    <cellStyle name="Accent2 4" xfId="162"/>
    <cellStyle name="Accent3 2" xfId="163"/>
    <cellStyle name="Accent3 3" xfId="164"/>
    <cellStyle name="Accent3 3 2" xfId="165"/>
    <cellStyle name="Accent3 4" xfId="166"/>
    <cellStyle name="Accent4 2" xfId="167"/>
    <cellStyle name="Accent4 3" xfId="168"/>
    <cellStyle name="Accent4 3 2" xfId="169"/>
    <cellStyle name="Accent4 4" xfId="170"/>
    <cellStyle name="Accent5 2" xfId="171"/>
    <cellStyle name="Accent5 3" xfId="172"/>
    <cellStyle name="Accent5 3 2" xfId="173"/>
    <cellStyle name="Accent5 4" xfId="174"/>
    <cellStyle name="Accent6 2" xfId="175"/>
    <cellStyle name="Accent6 3" xfId="176"/>
    <cellStyle name="Accent6 3 2" xfId="177"/>
    <cellStyle name="Accent6 4" xfId="178"/>
    <cellStyle name="Accounting" xfId="179"/>
    <cellStyle name="Acctg" xfId="180"/>
    <cellStyle name="Acctg$" xfId="181"/>
    <cellStyle name="Acctg_449 250-6000" xfId="182"/>
    <cellStyle name="Accting" xfId="183"/>
    <cellStyle name="Actual Date" xfId="184"/>
    <cellStyle name="AFE" xfId="185"/>
    <cellStyle name="Ann'l_Incr" xfId="186"/>
    <cellStyle name="args.style" xfId="187"/>
    <cellStyle name="Bad 2" xfId="188"/>
    <cellStyle name="Bad 2 2" xfId="189"/>
    <cellStyle name="Bad 2 3" xfId="190"/>
    <cellStyle name="Bad 3" xfId="191"/>
    <cellStyle name="Bad 3 2" xfId="192"/>
    <cellStyle name="Bad 4" xfId="193"/>
    <cellStyle name="blank" xfId="194"/>
    <cellStyle name="Blue" xfId="195"/>
    <cellStyle name="blue font" xfId="196"/>
    <cellStyle name="Body" xfId="197"/>
    <cellStyle name="Bold/Border" xfId="198"/>
    <cellStyle name="Bottom Edge" xfId="199"/>
    <cellStyle name="Bullet" xfId="200"/>
    <cellStyle name="Ç¥ÁØ_¿ù°£¿ä¾àº¸°í" xfId="201"/>
    <cellStyle name="Calc" xfId="202"/>
    <cellStyle name="Calc Currency (0)" xfId="203"/>
    <cellStyle name="Calc Currency (2)" xfId="204"/>
    <cellStyle name="Calc Percent (0)" xfId="205"/>
    <cellStyle name="Calc Percent (1)" xfId="206"/>
    <cellStyle name="Calc Percent (2)" xfId="207"/>
    <cellStyle name="Calc Units (0)" xfId="208"/>
    <cellStyle name="Calc Units (1)" xfId="209"/>
    <cellStyle name="Calc Units (2)" xfId="210"/>
    <cellStyle name="Calc_449 250-6000" xfId="211"/>
    <cellStyle name="Calculation 2" xfId="212"/>
    <cellStyle name="Calculation 3" xfId="213"/>
    <cellStyle name="Calculation 3 2" xfId="214"/>
    <cellStyle name="Calculation 4" xfId="215"/>
    <cellStyle name="Centered Heading" xfId="216"/>
    <cellStyle name="Cents" xfId="217"/>
    <cellStyle name="Changeable" xfId="218"/>
    <cellStyle name="chart" xfId="219"/>
    <cellStyle name="Check Cell 2" xfId="220"/>
    <cellStyle name="Check Cell 3" xfId="221"/>
    <cellStyle name="Check Cell 3 2" xfId="222"/>
    <cellStyle name="Check Cell 4" xfId="223"/>
    <cellStyle name="Clean" xfId="224"/>
    <cellStyle name="Column_Title" xfId="225"/>
    <cellStyle name="ColumnHeading" xfId="226"/>
    <cellStyle name="Comma" xfId="1" builtinId="3"/>
    <cellStyle name="Comma  - Style1" xfId="227"/>
    <cellStyle name="Comma  - Style2" xfId="228"/>
    <cellStyle name="Comma  - Style3" xfId="229"/>
    <cellStyle name="Comma  - Style4" xfId="230"/>
    <cellStyle name="Comma  - Style5" xfId="231"/>
    <cellStyle name="Comma  - Style6" xfId="232"/>
    <cellStyle name="Comma  - Style7" xfId="233"/>
    <cellStyle name="Comma  - Style8" xfId="234"/>
    <cellStyle name="Comma %" xfId="235"/>
    <cellStyle name="Comma (1)" xfId="236"/>
    <cellStyle name="Comma (1) red" xfId="237"/>
    <cellStyle name="Comma (1)_449 250-6000" xfId="238"/>
    <cellStyle name="Comma (2)" xfId="239"/>
    <cellStyle name="Comma (2) red" xfId="240"/>
    <cellStyle name="Comma (2)_449 250-6000" xfId="241"/>
    <cellStyle name="Comma [0] red" xfId="242"/>
    <cellStyle name="Comma [00]" xfId="243"/>
    <cellStyle name="Comma 0" xfId="244"/>
    <cellStyle name="Comma 0*" xfId="245"/>
    <cellStyle name="Comma 0.0" xfId="246"/>
    <cellStyle name="Comma 0.0%" xfId="247"/>
    <cellStyle name="Comma 0.00" xfId="248"/>
    <cellStyle name="Comma 0.00%" xfId="249"/>
    <cellStyle name="Comma 0.000" xfId="250"/>
    <cellStyle name="Comma 0.000%" xfId="251"/>
    <cellStyle name="Comma 10" xfId="252"/>
    <cellStyle name="Comma 10 2" xfId="253"/>
    <cellStyle name="Comma 10 3" xfId="254"/>
    <cellStyle name="Comma 10 3 2" xfId="255"/>
    <cellStyle name="Comma 10 3 2 2" xfId="256"/>
    <cellStyle name="Comma 10 3 2 3" xfId="257"/>
    <cellStyle name="Comma 10 3 3" xfId="258"/>
    <cellStyle name="Comma 10 3 3 2" xfId="259"/>
    <cellStyle name="Comma 10 3 3 3" xfId="260"/>
    <cellStyle name="Comma 10 3 4" xfId="261"/>
    <cellStyle name="Comma 10 3 5" xfId="262"/>
    <cellStyle name="Comma 10 4" xfId="263"/>
    <cellStyle name="Comma 11" xfId="264"/>
    <cellStyle name="Comma 12" xfId="265"/>
    <cellStyle name="Comma 12 2" xfId="266"/>
    <cellStyle name="Comma 12 3" xfId="267"/>
    <cellStyle name="Comma 12 3 2" xfId="268"/>
    <cellStyle name="Comma 13" xfId="269"/>
    <cellStyle name="Comma 14" xfId="270"/>
    <cellStyle name="Comma 15" xfId="271"/>
    <cellStyle name="Comma 16" xfId="272"/>
    <cellStyle name="Comma 17" xfId="273"/>
    <cellStyle name="Comma 17 2" xfId="274"/>
    <cellStyle name="Comma 17 3" xfId="275"/>
    <cellStyle name="Comma 18" xfId="276"/>
    <cellStyle name="Comma 19" xfId="277"/>
    <cellStyle name="Comma 2" xfId="4"/>
    <cellStyle name="Comma 2 10" xfId="278"/>
    <cellStyle name="Comma 2 2" xfId="5"/>
    <cellStyle name="Comma 2 2 2" xfId="279"/>
    <cellStyle name="Comma 2 3" xfId="6"/>
    <cellStyle name="Comma 2 3 2" xfId="280"/>
    <cellStyle name="Comma 2 4" xfId="281"/>
    <cellStyle name="Comma 2 5" xfId="282"/>
    <cellStyle name="Comma 2 6" xfId="283"/>
    <cellStyle name="Comma 2 7" xfId="284"/>
    <cellStyle name="Comma 2 8" xfId="285"/>
    <cellStyle name="Comma 2 9" xfId="286"/>
    <cellStyle name="Comma 2_521 Rollforward" xfId="287"/>
    <cellStyle name="Comma 20" xfId="288"/>
    <cellStyle name="Comma 21" xfId="289"/>
    <cellStyle name="Comma 22" xfId="290"/>
    <cellStyle name="Comma 23" xfId="291"/>
    <cellStyle name="Comma 24" xfId="292"/>
    <cellStyle name="Comma 25" xfId="293"/>
    <cellStyle name="Comma 26" xfId="1246"/>
    <cellStyle name="Comma 27" xfId="1251"/>
    <cellStyle name="Comma 28" xfId="1255"/>
    <cellStyle name="Comma 3" xfId="294"/>
    <cellStyle name="Comma 3 2" xfId="295"/>
    <cellStyle name="Comma 3 2 2" xfId="296"/>
    <cellStyle name="Comma 3 2 3" xfId="297"/>
    <cellStyle name="Comma 3 3" xfId="298"/>
    <cellStyle name="Comma 3 4" xfId="299"/>
    <cellStyle name="Comma 39" xfId="300"/>
    <cellStyle name="Comma 4" xfId="301"/>
    <cellStyle name="Comma 4 2" xfId="302"/>
    <cellStyle name="Comma 5" xfId="303"/>
    <cellStyle name="Comma 5 2" xfId="304"/>
    <cellStyle name="Comma 5 3" xfId="305"/>
    <cellStyle name="Comma 5 4" xfId="306"/>
    <cellStyle name="Comma 6" xfId="307"/>
    <cellStyle name="Comma 6 2" xfId="308"/>
    <cellStyle name="Comma 6 3" xfId="309"/>
    <cellStyle name="Comma 6 4" xfId="310"/>
    <cellStyle name="Comma 7" xfId="311"/>
    <cellStyle name="Comma 7 2" xfId="312"/>
    <cellStyle name="Comma 7 3" xfId="313"/>
    <cellStyle name="Comma 7 3 2" xfId="314"/>
    <cellStyle name="Comma 7 3 2 2" xfId="315"/>
    <cellStyle name="Comma 7 3 2 3" xfId="316"/>
    <cellStyle name="Comma 7 3 3" xfId="317"/>
    <cellStyle name="Comma 7 3 3 2" xfId="318"/>
    <cellStyle name="Comma 7 3 3 3" xfId="319"/>
    <cellStyle name="Comma 7 3 4" xfId="320"/>
    <cellStyle name="Comma 7 3 5" xfId="321"/>
    <cellStyle name="Comma 7 4" xfId="322"/>
    <cellStyle name="Comma 7 5" xfId="323"/>
    <cellStyle name="Comma 8" xfId="324"/>
    <cellStyle name="Comma 8 2" xfId="325"/>
    <cellStyle name="Comma 8 2 2" xfId="326"/>
    <cellStyle name="Comma 8 3" xfId="327"/>
    <cellStyle name="Comma 8 3 2" xfId="328"/>
    <cellStyle name="Comma 8 3 2 2" xfId="329"/>
    <cellStyle name="Comma 8 3 2 3" xfId="330"/>
    <cellStyle name="Comma 8 3 3" xfId="331"/>
    <cellStyle name="Comma 8 3 4" xfId="332"/>
    <cellStyle name="Comma 8 3 4 2" xfId="333"/>
    <cellStyle name="Comma 8 3 4 3" xfId="334"/>
    <cellStyle name="Comma 8 3 5" xfId="335"/>
    <cellStyle name="Comma 8 3 6" xfId="336"/>
    <cellStyle name="Comma 9" xfId="337"/>
    <cellStyle name="Comma 9 2" xfId="338"/>
    <cellStyle name="Comma 9 3" xfId="339"/>
    <cellStyle name="Comma 9 3 2" xfId="340"/>
    <cellStyle name="Comma 9 3 2 2" xfId="341"/>
    <cellStyle name="Comma 9 3 2 3" xfId="342"/>
    <cellStyle name="Comma 9 3 3" xfId="343"/>
    <cellStyle name="Comma 9 3 3 2" xfId="344"/>
    <cellStyle name="Comma 9 3 3 3" xfId="345"/>
    <cellStyle name="Comma 9 3 4" xfId="346"/>
    <cellStyle name="Comma 9 3 5" xfId="347"/>
    <cellStyle name="Comma 9 4" xfId="348"/>
    <cellStyle name="Comma Cents" xfId="349"/>
    <cellStyle name="Comma0" xfId="350"/>
    <cellStyle name="Comma1" xfId="351"/>
    <cellStyle name="Comma2" xfId="352"/>
    <cellStyle name="Comma3" xfId="353"/>
    <cellStyle name="Company Name" xfId="354"/>
    <cellStyle name="CompanyName" xfId="355"/>
    <cellStyle name="Copied" xfId="356"/>
    <cellStyle name="CR Comma" xfId="357"/>
    <cellStyle name="CR Currency" xfId="358"/>
    <cellStyle name="Credit" xfId="359"/>
    <cellStyle name="Credit subtotal" xfId="360"/>
    <cellStyle name="Credit Total" xfId="361"/>
    <cellStyle name="Curren - Style2" xfId="362"/>
    <cellStyle name="Currency" xfId="2" builtinId="4"/>
    <cellStyle name="Currency %" xfId="363"/>
    <cellStyle name="Currency (1)" xfId="364"/>
    <cellStyle name="Currency (2)" xfId="365"/>
    <cellStyle name="Currency (2) red" xfId="366"/>
    <cellStyle name="Currency [0.00] red" xfId="367"/>
    <cellStyle name="Currency [0] red" xfId="368"/>
    <cellStyle name="Currency [00]" xfId="369"/>
    <cellStyle name="Currency [2]" xfId="370"/>
    <cellStyle name="Currency [wide]" xfId="371"/>
    <cellStyle name="Currency 0" xfId="372"/>
    <cellStyle name="Currency 0.0" xfId="373"/>
    <cellStyle name="Currency 0.0%" xfId="374"/>
    <cellStyle name="Currency 0.00" xfId="375"/>
    <cellStyle name="Currency 0.00%" xfId="376"/>
    <cellStyle name="Currency 0.000" xfId="377"/>
    <cellStyle name="Currency 0.000%" xfId="378"/>
    <cellStyle name="Currency 10" xfId="1254"/>
    <cellStyle name="Currency 2" xfId="7"/>
    <cellStyle name="Currency 2 2" xfId="8"/>
    <cellStyle name="Currency 2 2 2" xfId="379"/>
    <cellStyle name="Currency 2 3" xfId="380"/>
    <cellStyle name="Currency 2 4" xfId="381"/>
    <cellStyle name="Currency 2 5" xfId="382"/>
    <cellStyle name="Currency 2 6" xfId="383"/>
    <cellStyle name="Currency 2 7" xfId="384"/>
    <cellStyle name="Currency 2_November 2010 Trial Balance (2)" xfId="385"/>
    <cellStyle name="Currency 3" xfId="386"/>
    <cellStyle name="Currency 4" xfId="387"/>
    <cellStyle name="Currency 5" xfId="388"/>
    <cellStyle name="Currency 6" xfId="389"/>
    <cellStyle name="Currency 7" xfId="390"/>
    <cellStyle name="Currency 8" xfId="1247"/>
    <cellStyle name="Currency 9" xfId="1250"/>
    <cellStyle name="Currency0" xfId="391"/>
    <cellStyle name="Currency1" xfId="392"/>
    <cellStyle name="Currency3" xfId="393"/>
    <cellStyle name="Dash" xfId="394"/>
    <cellStyle name="Data" xfId="395"/>
    <cellStyle name="Date" xfId="396"/>
    <cellStyle name="Date [mm-d-yyyy]" xfId="397"/>
    <cellStyle name="Date 2" xfId="398"/>
    <cellStyle name="Date 3" xfId="399"/>
    <cellStyle name="Date Aligned" xfId="400"/>
    <cellStyle name="Date Short" xfId="401"/>
    <cellStyle name="Date Year" xfId="402"/>
    <cellStyle name="Date_6-10 (with may tb) FIN - Consolidated Financials June 2010" xfId="403"/>
    <cellStyle name="Date2" xfId="404"/>
    <cellStyle name="Daydate" xfId="405"/>
    <cellStyle name="Debit" xfId="406"/>
    <cellStyle name="Debit subtotal" xfId="407"/>
    <cellStyle name="Debit Total" xfId="408"/>
    <cellStyle name="Decimal ORRI" xfId="409"/>
    <cellStyle name="Decimal RI" xfId="410"/>
    <cellStyle name="Decimal WI" xfId="411"/>
    <cellStyle name="DELTA" xfId="412"/>
    <cellStyle name="Dezimal [0]_Compiling Utility Macros" xfId="413"/>
    <cellStyle name="Dezimal_Compiling Utility Macros" xfId="414"/>
    <cellStyle name="Dollar" xfId="415"/>
    <cellStyle name="Dollar - Style5" xfId="416"/>
    <cellStyle name="Dollar_449 250-6000" xfId="417"/>
    <cellStyle name="Dollars" xfId="418"/>
    <cellStyle name="Dotted Line" xfId="419"/>
    <cellStyle name="Enter Currency (0)" xfId="420"/>
    <cellStyle name="Enter Currency (2)" xfId="421"/>
    <cellStyle name="Enter Units (0)" xfId="422"/>
    <cellStyle name="Enter Units (1)" xfId="423"/>
    <cellStyle name="Enter Units (2)" xfId="424"/>
    <cellStyle name="Entered" xfId="425"/>
    <cellStyle name="Euro" xfId="426"/>
    <cellStyle name="Explanatory Text 2" xfId="427"/>
    <cellStyle name="Explanatory Text 3" xfId="428"/>
    <cellStyle name="Explanatory Text 3 2" xfId="429"/>
    <cellStyle name="Explanatory Text 4" xfId="430"/>
    <cellStyle name="FIELD" xfId="431"/>
    <cellStyle name="Fixed" xfId="432"/>
    <cellStyle name="Fixed 2" xfId="433"/>
    <cellStyle name="Fixed0" xfId="434"/>
    <cellStyle name="Footnote" xfId="435"/>
    <cellStyle name="Footnote 2" xfId="436"/>
    <cellStyle name="ForecastInput" xfId="437"/>
    <cellStyle name="formula" xfId="438"/>
    <cellStyle name="FRxAmtStyle" xfId="439"/>
    <cellStyle name="FRxAmtStyle 10" xfId="440"/>
    <cellStyle name="FRxAmtStyle 10 2" xfId="441"/>
    <cellStyle name="FRxAmtStyle 11" xfId="442"/>
    <cellStyle name="FRxAmtStyle 11 2" xfId="443"/>
    <cellStyle name="FRxAmtStyle 12" xfId="444"/>
    <cellStyle name="FRxAmtStyle 13" xfId="445"/>
    <cellStyle name="FRxAmtStyle 14" xfId="446"/>
    <cellStyle name="FRxAmtStyle 14 2" xfId="447"/>
    <cellStyle name="FRxAmtStyle 15" xfId="448"/>
    <cellStyle name="FRxAmtStyle 16" xfId="449"/>
    <cellStyle name="FRxAmtStyle 17" xfId="450"/>
    <cellStyle name="FRxAmtStyle 18" xfId="451"/>
    <cellStyle name="FRxAmtStyle 18 2" xfId="452"/>
    <cellStyle name="FRxAmtStyle 19" xfId="453"/>
    <cellStyle name="FRxAmtStyle 19 2" xfId="454"/>
    <cellStyle name="FRxAmtStyle 2" xfId="455"/>
    <cellStyle name="FRxAmtStyle 2 2" xfId="456"/>
    <cellStyle name="FRxAmtStyle 2 2 2" xfId="457"/>
    <cellStyle name="FRxAmtStyle 2 3" xfId="458"/>
    <cellStyle name="FRxAmtStyle 2 3 2" xfId="459"/>
    <cellStyle name="FRxAmtStyle 2 4" xfId="460"/>
    <cellStyle name="FRxAmtStyle 2 4 2" xfId="461"/>
    <cellStyle name="FRxAmtStyle 2 5" xfId="462"/>
    <cellStyle name="FRxAmtStyle 2 5 2" xfId="463"/>
    <cellStyle name="FRxAmtStyle 2 6" xfId="464"/>
    <cellStyle name="FRxAmtStyle 2_6-10 (with may tb) FIN - Consolidated Financials June 2010" xfId="465"/>
    <cellStyle name="FRxAmtStyle 20" xfId="466"/>
    <cellStyle name="FRxAmtStyle 20 2" xfId="467"/>
    <cellStyle name="FRxAmtStyle 21" xfId="468"/>
    <cellStyle name="FRxAmtStyle 21 2" xfId="469"/>
    <cellStyle name="FRxAmtStyle 21 2 2" xfId="470"/>
    <cellStyle name="FRxAmtStyle 21 3" xfId="471"/>
    <cellStyle name="FRxAmtStyle 22" xfId="472"/>
    <cellStyle name="FRxAmtStyle 23" xfId="473"/>
    <cellStyle name="FRxAmtStyle 24" xfId="474"/>
    <cellStyle name="FRxAmtStyle 25" xfId="475"/>
    <cellStyle name="FRxAmtStyle 26" xfId="476"/>
    <cellStyle name="FRxAmtStyle 27" xfId="477"/>
    <cellStyle name="FRxAmtStyle 27 2" xfId="478"/>
    <cellStyle name="FRxAmtStyle 28" xfId="479"/>
    <cellStyle name="FRxAmtStyle 28 2" xfId="480"/>
    <cellStyle name="FRxAmtStyle 29" xfId="481"/>
    <cellStyle name="FRxAmtStyle 29 2" xfId="482"/>
    <cellStyle name="FRxAmtStyle 3" xfId="483"/>
    <cellStyle name="FRxAmtStyle 3 2" xfId="484"/>
    <cellStyle name="FRxAmtStyle 3 2 2" xfId="485"/>
    <cellStyle name="FRxAmtStyle 3 3" xfId="486"/>
    <cellStyle name="FRxAmtStyle 3 3 2" xfId="487"/>
    <cellStyle name="FRxAmtStyle 3 4" xfId="488"/>
    <cellStyle name="FRxAmtStyle 3 4 2" xfId="489"/>
    <cellStyle name="FRxAmtStyle 3 5" xfId="490"/>
    <cellStyle name="FRxAmtStyle 3_6-10 (with may tb) FIN - Consolidated Financials June 2010" xfId="491"/>
    <cellStyle name="FRxAmtStyle 30" xfId="492"/>
    <cellStyle name="FRxAmtStyle 31" xfId="493"/>
    <cellStyle name="FRxAmtStyle 31 2" xfId="494"/>
    <cellStyle name="FRxAmtStyle 32" xfId="495"/>
    <cellStyle name="FRxAmtStyle 32 2" xfId="496"/>
    <cellStyle name="FRxAmtStyle 4" xfId="497"/>
    <cellStyle name="FRxAmtStyle 4 2" xfId="498"/>
    <cellStyle name="FRxAmtStyle 4 3" xfId="499"/>
    <cellStyle name="FRxAmtStyle 4 4" xfId="500"/>
    <cellStyle name="FRxAmtStyle 4_6-10 (with may tb) FIN - Consolidated Financials June 2010" xfId="501"/>
    <cellStyle name="FRxAmtStyle 5" xfId="502"/>
    <cellStyle name="FRxAmtStyle 5 2" xfId="503"/>
    <cellStyle name="FRxAmtStyle 5 2 2" xfId="504"/>
    <cellStyle name="FRxAmtStyle 5 3" xfId="505"/>
    <cellStyle name="FRxAmtStyle 5 3 2" xfId="506"/>
    <cellStyle name="FRxAmtStyle 5 4" xfId="507"/>
    <cellStyle name="FRxAmtStyle 5 4 2" xfId="508"/>
    <cellStyle name="FRxAmtStyle 5_6-10 (with may tb) FIN - Consolidated Financials June 2010" xfId="509"/>
    <cellStyle name="FRxAmtStyle 6" xfId="510"/>
    <cellStyle name="FRxAmtStyle 6 2" xfId="511"/>
    <cellStyle name="FRxAmtStyle 6 2 2" xfId="512"/>
    <cellStyle name="FRxAmtStyle 6 3" xfId="513"/>
    <cellStyle name="FRxAmtStyle 6 3 2" xfId="514"/>
    <cellStyle name="FRxAmtStyle 6 4" xfId="515"/>
    <cellStyle name="FRxAmtStyle 6 4 2" xfId="516"/>
    <cellStyle name="FRxAmtStyle 6_6-10 (with may tb) FIN - Consolidated Financials June 2010" xfId="517"/>
    <cellStyle name="FRxAmtStyle 7" xfId="518"/>
    <cellStyle name="FRxAmtStyle 7 2" xfId="519"/>
    <cellStyle name="FRxAmtStyle 8" xfId="520"/>
    <cellStyle name="FRxAmtStyle 8 2" xfId="521"/>
    <cellStyle name="FRxAmtStyle 9" xfId="522"/>
    <cellStyle name="FRxAmtStyle_6-10 (with may tb) FIN - Consolidated Financials June 2010" xfId="523"/>
    <cellStyle name="FRxCurrStyle" xfId="524"/>
    <cellStyle name="FRxCurrStyle 10" xfId="525"/>
    <cellStyle name="FRxCurrStyle 11" xfId="526"/>
    <cellStyle name="FRxCurrStyle 11 2" xfId="527"/>
    <cellStyle name="FRxCurrStyle 12" xfId="528"/>
    <cellStyle name="FRxCurrStyle 13" xfId="529"/>
    <cellStyle name="FRxCurrStyle 14" xfId="530"/>
    <cellStyle name="FRxCurrStyle 14 2" xfId="531"/>
    <cellStyle name="FRxCurrStyle 15" xfId="532"/>
    <cellStyle name="FRxCurrStyle 15 2" xfId="533"/>
    <cellStyle name="FRxCurrStyle 16" xfId="534"/>
    <cellStyle name="FRxCurrStyle 16 2" xfId="535"/>
    <cellStyle name="FRxCurrStyle 17" xfId="536"/>
    <cellStyle name="FRxCurrStyle 18" xfId="537"/>
    <cellStyle name="FRxCurrStyle 19" xfId="538"/>
    <cellStyle name="FRxCurrStyle 2" xfId="539"/>
    <cellStyle name="FRxCurrStyle 2 2" xfId="540"/>
    <cellStyle name="FRxCurrStyle 20" xfId="541"/>
    <cellStyle name="FRxCurrStyle 21" xfId="542"/>
    <cellStyle name="FRxCurrStyle 22" xfId="543"/>
    <cellStyle name="FRxCurrStyle 23" xfId="544"/>
    <cellStyle name="FRxCurrStyle 24" xfId="545"/>
    <cellStyle name="FRxCurrStyle 25" xfId="546"/>
    <cellStyle name="FRxCurrStyle 26" xfId="547"/>
    <cellStyle name="FRxCurrStyle 26 2" xfId="548"/>
    <cellStyle name="FRxCurrStyle 27" xfId="549"/>
    <cellStyle name="FRxCurrStyle 28" xfId="550"/>
    <cellStyle name="FRxCurrStyle 28 2" xfId="551"/>
    <cellStyle name="FRxCurrStyle 3" xfId="552"/>
    <cellStyle name="FRxCurrStyle 3 2" xfId="553"/>
    <cellStyle name="FRxCurrStyle 4" xfId="554"/>
    <cellStyle name="FRxCurrStyle 5" xfId="555"/>
    <cellStyle name="FRxCurrStyle 6" xfId="556"/>
    <cellStyle name="FRxCurrStyle 7" xfId="557"/>
    <cellStyle name="FRxCurrStyle 8" xfId="558"/>
    <cellStyle name="FRxCurrStyle 9" xfId="559"/>
    <cellStyle name="FRxCurrStyle_6-10 (with may tb) FIN - Consolidated Financials June 2010" xfId="560"/>
    <cellStyle name="FRxPcntStyle" xfId="561"/>
    <cellStyle name="FRxPcntStyle 10" xfId="562"/>
    <cellStyle name="FRxPcntStyle 11" xfId="563"/>
    <cellStyle name="FRxPcntStyle 12" xfId="564"/>
    <cellStyle name="FRxPcntStyle 12 2" xfId="565"/>
    <cellStyle name="FRxPcntStyle 13" xfId="566"/>
    <cellStyle name="FRxPcntStyle 14" xfId="567"/>
    <cellStyle name="FRxPcntStyle 15" xfId="568"/>
    <cellStyle name="FRxPcntStyle 15 2" xfId="569"/>
    <cellStyle name="FRxPcntStyle 16" xfId="570"/>
    <cellStyle name="FRxPcntStyle 16 2" xfId="571"/>
    <cellStyle name="FRxPcntStyle 17" xfId="572"/>
    <cellStyle name="FRxPcntStyle 17 2" xfId="573"/>
    <cellStyle name="FRxPcntStyle 18" xfId="574"/>
    <cellStyle name="FRxPcntStyle 19" xfId="575"/>
    <cellStyle name="FRxPcntStyle 2" xfId="576"/>
    <cellStyle name="FRxPcntStyle 20" xfId="577"/>
    <cellStyle name="FRxPcntStyle 21" xfId="578"/>
    <cellStyle name="FRxPcntStyle 22" xfId="579"/>
    <cellStyle name="FRxPcntStyle 23" xfId="580"/>
    <cellStyle name="FRxPcntStyle 24" xfId="581"/>
    <cellStyle name="FRxPcntStyle 25" xfId="582"/>
    <cellStyle name="FRxPcntStyle 26" xfId="583"/>
    <cellStyle name="FRxPcntStyle 27" xfId="584"/>
    <cellStyle name="FRxPcntStyle 27 2" xfId="585"/>
    <cellStyle name="FRxPcntStyle 3" xfId="586"/>
    <cellStyle name="FRxPcntStyle 3 2" xfId="587"/>
    <cellStyle name="FRxPcntStyle 4" xfId="588"/>
    <cellStyle name="FRxPcntStyle 4 2" xfId="589"/>
    <cellStyle name="FRxPcntStyle 5" xfId="590"/>
    <cellStyle name="FRxPcntStyle 6" xfId="591"/>
    <cellStyle name="FRxPcntStyle 7" xfId="592"/>
    <cellStyle name="FRxPcntStyle 8" xfId="593"/>
    <cellStyle name="FRxPcntStyle 9" xfId="594"/>
    <cellStyle name="FRxPcntStyle_6-10 (with may tb) FIN - Consolidated Financials June 2010" xfId="595"/>
    <cellStyle name="general" xfId="596"/>
    <cellStyle name="Good 2" xfId="597"/>
    <cellStyle name="Good 3" xfId="598"/>
    <cellStyle name="Good 3 2" xfId="599"/>
    <cellStyle name="Good 4" xfId="600"/>
    <cellStyle name="Grey" xfId="601"/>
    <cellStyle name="Grey 2" xfId="602"/>
    <cellStyle name="GrowthRate" xfId="603"/>
    <cellStyle name="Hard Percent" xfId="604"/>
    <cellStyle name="HBC Income" xfId="605"/>
    <cellStyle name="header" xfId="606"/>
    <cellStyle name="Header 2" xfId="607"/>
    <cellStyle name="Header1" xfId="608"/>
    <cellStyle name="Header2" xfId="609"/>
    <cellStyle name="Headin - Style6" xfId="610"/>
    <cellStyle name="Heading" xfId="611"/>
    <cellStyle name="Heading 1 2" xfId="612"/>
    <cellStyle name="Heading 1 3" xfId="613"/>
    <cellStyle name="Heading 1 3 2" xfId="614"/>
    <cellStyle name="Heading 1 4" xfId="615"/>
    <cellStyle name="Heading 2 2" xfId="616"/>
    <cellStyle name="Heading 2 3" xfId="617"/>
    <cellStyle name="Heading 2 3 2" xfId="618"/>
    <cellStyle name="Heading 2 4" xfId="619"/>
    <cellStyle name="Heading 3 2" xfId="620"/>
    <cellStyle name="Heading 3 3" xfId="621"/>
    <cellStyle name="Heading 3 3 2" xfId="622"/>
    <cellStyle name="Heading 3 4" xfId="623"/>
    <cellStyle name="Heading 4 2" xfId="624"/>
    <cellStyle name="Heading 4 3" xfId="625"/>
    <cellStyle name="Heading 4 3 2" xfId="626"/>
    <cellStyle name="Heading 5" xfId="627"/>
    <cellStyle name="Heading No Underline" xfId="628"/>
    <cellStyle name="Heading With Underline" xfId="629"/>
    <cellStyle name="Heading1" xfId="630"/>
    <cellStyle name="Heading1 2" xfId="631"/>
    <cellStyle name="Heading2" xfId="632"/>
    <cellStyle name="Heading2 2" xfId="633"/>
    <cellStyle name="HEADINGS" xfId="634"/>
    <cellStyle name="HEADINGSTOP" xfId="635"/>
    <cellStyle name="HeadlineStyle" xfId="636"/>
    <cellStyle name="HeadlineStyleJustified" xfId="637"/>
    <cellStyle name="HIDDEN" xfId="638"/>
    <cellStyle name="HIGHLIGHT" xfId="639"/>
    <cellStyle name="Highlight 1" xfId="640"/>
    <cellStyle name="HIGHLIGHT_449 250-6000" xfId="641"/>
    <cellStyle name="Hyperlink" xfId="1257" builtinId="8"/>
    <cellStyle name="Hyperlink 2" xfId="642"/>
    <cellStyle name="IncomeStatement" xfId="643"/>
    <cellStyle name="Input [yellow]" xfId="644"/>
    <cellStyle name="Input [yellow] 2" xfId="645"/>
    <cellStyle name="Input 2" xfId="646"/>
    <cellStyle name="Input 3" xfId="647"/>
    <cellStyle name="Input 3 2" xfId="648"/>
    <cellStyle name="Input 4" xfId="649"/>
    <cellStyle name="Input 5" xfId="650"/>
    <cellStyle name="Input 6" xfId="651"/>
    <cellStyle name="Input cell" xfId="652"/>
    <cellStyle name="Inputs" xfId="653"/>
    <cellStyle name="Input-Text Only" xfId="654"/>
    <cellStyle name="Integer" xfId="655"/>
    <cellStyle name="KP_Normal" xfId="656"/>
    <cellStyle name="Label" xfId="657"/>
    <cellStyle name="Label, Store Num" xfId="658"/>
    <cellStyle name="Label_449 250-6000" xfId="659"/>
    <cellStyle name="Lien hypertexte" xfId="660"/>
    <cellStyle name="Lien hypertexte visité" xfId="661"/>
    <cellStyle name="Lien hypertexte_449 250-6000" xfId="662"/>
    <cellStyle name="Line" xfId="663"/>
    <cellStyle name="LineBottom" xfId="664"/>
    <cellStyle name="LineTop" xfId="665"/>
    <cellStyle name="Link Currency (0)" xfId="666"/>
    <cellStyle name="Link Currency (2)" xfId="667"/>
    <cellStyle name="Link Units (0)" xfId="668"/>
    <cellStyle name="Link Units (1)" xfId="669"/>
    <cellStyle name="Link Units (2)" xfId="670"/>
    <cellStyle name="Linked Cell 2" xfId="671"/>
    <cellStyle name="Linked Cell 3" xfId="672"/>
    <cellStyle name="Linked Cell 3 2" xfId="673"/>
    <cellStyle name="Linked Cell 4" xfId="674"/>
    <cellStyle name="Margins" xfId="675"/>
    <cellStyle name="Miles" xfId="676"/>
    <cellStyle name="Millares [0]_2AV_M_M " xfId="677"/>
    <cellStyle name="Millares_2AV_M_M " xfId="678"/>
    <cellStyle name="Mills" xfId="679"/>
    <cellStyle name="MMs1Place" xfId="680"/>
    <cellStyle name="MMs2Places" xfId="681"/>
    <cellStyle name="mo" xfId="682"/>
    <cellStyle name="mo end" xfId="683"/>
    <cellStyle name="Moneda [0]_2AV_M_M " xfId="684"/>
    <cellStyle name="Moneda_2AV_M_M " xfId="685"/>
    <cellStyle name="Monétaire_Asset-Extraction 00 APR avec Network" xfId="686"/>
    <cellStyle name="MonthYear" xfId="687"/>
    <cellStyle name="Multiple" xfId="688"/>
    <cellStyle name="Name - Style7" xfId="689"/>
    <cellStyle name="Neutral 2" xfId="690"/>
    <cellStyle name="Neutral 3" xfId="691"/>
    <cellStyle name="Neutral 3 2" xfId="692"/>
    <cellStyle name="Neutral 4" xfId="693"/>
    <cellStyle name="no dec" xfId="694"/>
    <cellStyle name="Normal" xfId="0" builtinId="0"/>
    <cellStyle name="Normal - Style1" xfId="695"/>
    <cellStyle name="Normal - Style1 2" xfId="696"/>
    <cellStyle name="Normal - Style8" xfId="697"/>
    <cellStyle name="Normal 10" xfId="698"/>
    <cellStyle name="Normal 10 2" xfId="699"/>
    <cellStyle name="Normal 10 2 2" xfId="700"/>
    <cellStyle name="Normal 10 3" xfId="701"/>
    <cellStyle name="Normal 10 3 2" xfId="702"/>
    <cellStyle name="Normal 10 4" xfId="703"/>
    <cellStyle name="Normal 10 4 2" xfId="704"/>
    <cellStyle name="Normal 10 4 3" xfId="705"/>
    <cellStyle name="Normal 10 5" xfId="706"/>
    <cellStyle name="Normal 10 5 2" xfId="707"/>
    <cellStyle name="Normal 10 5 3" xfId="708"/>
    <cellStyle name="Normal 10 6" xfId="709"/>
    <cellStyle name="Normal 10 7" xfId="710"/>
    <cellStyle name="Normal 11" xfId="711"/>
    <cellStyle name="Normal 12" xfId="712"/>
    <cellStyle name="Normal 13" xfId="713"/>
    <cellStyle name="Normal 14" xfId="714"/>
    <cellStyle name="Normal 15" xfId="715"/>
    <cellStyle name="Normal 16" xfId="716"/>
    <cellStyle name="Normal 17" xfId="717"/>
    <cellStyle name="Normal 18" xfId="718"/>
    <cellStyle name="Normal 19" xfId="719"/>
    <cellStyle name="Normal 19 2" xfId="720"/>
    <cellStyle name="Normal 2" xfId="9"/>
    <cellStyle name="Normal 2 2" xfId="10"/>
    <cellStyle name="Normal 2 2 2" xfId="721"/>
    <cellStyle name="Normal 2 2 2 2" xfId="722"/>
    <cellStyle name="Normal 2 2_6-10 (with may tb) FIN - Consolidated Financials June 2010" xfId="723"/>
    <cellStyle name="Normal 2 3" xfId="11"/>
    <cellStyle name="Normal 2 3 2" xfId="724"/>
    <cellStyle name="Normal 2 4" xfId="725"/>
    <cellStyle name="Normal 2 4 2" xfId="726"/>
    <cellStyle name="Normal 2 5" xfId="727"/>
    <cellStyle name="Normal 2 6" xfId="728"/>
    <cellStyle name="Normal 2 7" xfId="729"/>
    <cellStyle name="Normal 2 8" xfId="730"/>
    <cellStyle name="Normal 2_4100112 - Amortization of Intangible Assets - April" xfId="731"/>
    <cellStyle name="Normal 20" xfId="732"/>
    <cellStyle name="Normal 21" xfId="733"/>
    <cellStyle name="Normal 22" xfId="734"/>
    <cellStyle name="Normal 23" xfId="735"/>
    <cellStyle name="Normal 24" xfId="736"/>
    <cellStyle name="Normal 25" xfId="737"/>
    <cellStyle name="Normal 26" xfId="738"/>
    <cellStyle name="Normal 26 2" xfId="739"/>
    <cellStyle name="Normal 27" xfId="740"/>
    <cellStyle name="Normal 28" xfId="741"/>
    <cellStyle name="Normal 28 2" xfId="742"/>
    <cellStyle name="Normal 29" xfId="743"/>
    <cellStyle name="Normal 3" xfId="12"/>
    <cellStyle name="Normal 3 2" xfId="13"/>
    <cellStyle name="Normal 3 3" xfId="744"/>
    <cellStyle name="Normal 3 3 2" xfId="745"/>
    <cellStyle name="Normal 3 4" xfId="746"/>
    <cellStyle name="Normal 3 4 2" xfId="747"/>
    <cellStyle name="Normal 3 5" xfId="748"/>
    <cellStyle name="Normal 3 5 2" xfId="749"/>
    <cellStyle name="Normal 3 6" xfId="750"/>
    <cellStyle name="Normal 3_6-10 (with may tb) FIN - Consolidated Financials June 2010" xfId="751"/>
    <cellStyle name="Normal 30" xfId="752"/>
    <cellStyle name="Normal 31" xfId="753"/>
    <cellStyle name="Normal 32" xfId="754"/>
    <cellStyle name="Normal 33" xfId="755"/>
    <cellStyle name="Normal 34" xfId="756"/>
    <cellStyle name="Normal 35" xfId="757"/>
    <cellStyle name="Normal 36" xfId="758"/>
    <cellStyle name="Normal 37" xfId="759"/>
    <cellStyle name="Normal 38" xfId="760"/>
    <cellStyle name="Normal 39" xfId="761"/>
    <cellStyle name="Normal 39 2" xfId="762"/>
    <cellStyle name="Normal 39_November 2010 Trial Balance (2)" xfId="763"/>
    <cellStyle name="Normal 4" xfId="764"/>
    <cellStyle name="Normal 4 2" xfId="765"/>
    <cellStyle name="Normal 4 3" xfId="766"/>
    <cellStyle name="Normal 4 4" xfId="767"/>
    <cellStyle name="Normal 4 5" xfId="768"/>
    <cellStyle name="Normal 4_6-10 (with may tb) FIN - Consolidated Financials June 2010" xfId="769"/>
    <cellStyle name="Normal 40" xfId="770"/>
    <cellStyle name="Normal 41" xfId="771"/>
    <cellStyle name="Normal 42" xfId="772"/>
    <cellStyle name="Normal 43" xfId="773"/>
    <cellStyle name="Normal 43 2" xfId="774"/>
    <cellStyle name="Normal 44" xfId="775"/>
    <cellStyle name="Normal 45" xfId="776"/>
    <cellStyle name="Normal 45 2" xfId="777"/>
    <cellStyle name="Normal 45 3" xfId="778"/>
    <cellStyle name="Normal 45 3 2" xfId="779"/>
    <cellStyle name="Normal 46" xfId="780"/>
    <cellStyle name="Normal 46 2" xfId="781"/>
    <cellStyle name="Normal 46 2 2" xfId="782"/>
    <cellStyle name="Normal 47" xfId="783"/>
    <cellStyle name="Normal 47 2" xfId="784"/>
    <cellStyle name="Normal 47 2 2" xfId="785"/>
    <cellStyle name="Normal 48" xfId="786"/>
    <cellStyle name="Normal 48 2" xfId="787"/>
    <cellStyle name="Normal 48 2 2" xfId="788"/>
    <cellStyle name="Normal 48 2 3" xfId="789"/>
    <cellStyle name="Normal 49" xfId="790"/>
    <cellStyle name="Normal 49 2" xfId="791"/>
    <cellStyle name="Normal 49 2 2" xfId="792"/>
    <cellStyle name="Normal 5" xfId="793"/>
    <cellStyle name="Normal 5 2" xfId="794"/>
    <cellStyle name="Normal 5 2 2" xfId="795"/>
    <cellStyle name="Normal 5 3" xfId="796"/>
    <cellStyle name="Normal 5 3 2" xfId="797"/>
    <cellStyle name="Normal 5 3 3" xfId="798"/>
    <cellStyle name="Normal 5 4" xfId="799"/>
    <cellStyle name="Normal 5 4 2" xfId="800"/>
    <cellStyle name="Normal 5 4 3" xfId="801"/>
    <cellStyle name="Normal 5 5" xfId="802"/>
    <cellStyle name="Normal 5 6" xfId="803"/>
    <cellStyle name="Normal 5 7" xfId="804"/>
    <cellStyle name="Normal 50" xfId="805"/>
    <cellStyle name="Normal 50 2" xfId="806"/>
    <cellStyle name="Normal 50 2 2" xfId="807"/>
    <cellStyle name="Normal 50 3" xfId="808"/>
    <cellStyle name="Normal 50 4" xfId="809"/>
    <cellStyle name="Normal 51" xfId="810"/>
    <cellStyle name="Normal 51 2" xfId="811"/>
    <cellStyle name="Normal 52" xfId="812"/>
    <cellStyle name="Normal 52 2" xfId="813"/>
    <cellStyle name="Normal 53" xfId="814"/>
    <cellStyle name="Normal 53 2" xfId="815"/>
    <cellStyle name="Normal 53 3" xfId="816"/>
    <cellStyle name="Normal 54" xfId="817"/>
    <cellStyle name="Normal 54 2" xfId="818"/>
    <cellStyle name="Normal 54 3" xfId="819"/>
    <cellStyle name="Normal 55" xfId="820"/>
    <cellStyle name="Normal 55 2" xfId="821"/>
    <cellStyle name="Normal 56" xfId="822"/>
    <cellStyle name="Normal 57" xfId="823"/>
    <cellStyle name="Normal 58" xfId="824"/>
    <cellStyle name="Normal 59" xfId="825"/>
    <cellStyle name="Normal 6" xfId="826"/>
    <cellStyle name="Normal 6 10" xfId="827"/>
    <cellStyle name="Normal 6 2" xfId="828"/>
    <cellStyle name="Normal 6 2 2" xfId="829"/>
    <cellStyle name="Normal 6 3" xfId="830"/>
    <cellStyle name="Normal 6 3 2" xfId="831"/>
    <cellStyle name="Normal 6 4" xfId="832"/>
    <cellStyle name="Normal 6 4 2" xfId="833"/>
    <cellStyle name="Normal 6 5" xfId="834"/>
    <cellStyle name="Normal 6 6" xfId="835"/>
    <cellStyle name="Normal 6 6 2" xfId="836"/>
    <cellStyle name="Normal 6 6 3" xfId="837"/>
    <cellStyle name="Normal 6 7" xfId="838"/>
    <cellStyle name="Normal 6 7 2" xfId="839"/>
    <cellStyle name="Normal 6 7 3" xfId="840"/>
    <cellStyle name="Normal 6 8" xfId="841"/>
    <cellStyle name="Normal 6 9" xfId="842"/>
    <cellStyle name="Normal 6_6-10 (with may tb) FIN - Consolidated Financials June 2010" xfId="843"/>
    <cellStyle name="Normal 60" xfId="844"/>
    <cellStyle name="Normal 61" xfId="845"/>
    <cellStyle name="Normal 62" xfId="846"/>
    <cellStyle name="Normal 63" xfId="847"/>
    <cellStyle name="Normal 64" xfId="848"/>
    <cellStyle name="Normal 65" xfId="849"/>
    <cellStyle name="Normal 66" xfId="850"/>
    <cellStyle name="Normal 67" xfId="851"/>
    <cellStyle name="Normal 68" xfId="1245"/>
    <cellStyle name="Normal 69" xfId="1252"/>
    <cellStyle name="Normal 7" xfId="852"/>
    <cellStyle name="Normal 7 2" xfId="853"/>
    <cellStyle name="Normal 7 2 2" xfId="854"/>
    <cellStyle name="Normal 7 3" xfId="855"/>
    <cellStyle name="Normal 7 3 2" xfId="856"/>
    <cellStyle name="Normal 7 4" xfId="857"/>
    <cellStyle name="Normal 7 4 2" xfId="858"/>
    <cellStyle name="Normal 7 5" xfId="859"/>
    <cellStyle name="Normal 7 5 2" xfId="860"/>
    <cellStyle name="Normal 7 5 3" xfId="861"/>
    <cellStyle name="Normal 7 6" xfId="862"/>
    <cellStyle name="Normal 7 6 2" xfId="863"/>
    <cellStyle name="Normal 7 6 3" xfId="864"/>
    <cellStyle name="Normal 7 7" xfId="865"/>
    <cellStyle name="Normal 7 8" xfId="866"/>
    <cellStyle name="Normal 7_November 2010 Trial Balance (2)" xfId="867"/>
    <cellStyle name="Normal 70" xfId="1256"/>
    <cellStyle name="Normal 8" xfId="868"/>
    <cellStyle name="Normal 8 2" xfId="869"/>
    <cellStyle name="Normal 8 2 2" xfId="870"/>
    <cellStyle name="Normal 8 3" xfId="871"/>
    <cellStyle name="Normal 8 3 2" xfId="872"/>
    <cellStyle name="Normal 8 3 3" xfId="873"/>
    <cellStyle name="Normal 8 4" xfId="874"/>
    <cellStyle name="Normal 8 4 2" xfId="875"/>
    <cellStyle name="Normal 8 4 3" xfId="876"/>
    <cellStyle name="Normal 8 5" xfId="877"/>
    <cellStyle name="Normal 8 6" xfId="878"/>
    <cellStyle name="Normal 9" xfId="879"/>
    <cellStyle name="Normal 9 2" xfId="880"/>
    <cellStyle name="Normal 9 3" xfId="881"/>
    <cellStyle name="Normal 9 4" xfId="882"/>
    <cellStyle name="Normal 9 5" xfId="883"/>
    <cellStyle name="Normal 9 5 2" xfId="884"/>
    <cellStyle name="Normal 9 6" xfId="885"/>
    <cellStyle name="Normal 9 6 2" xfId="886"/>
    <cellStyle name="Normal 9 6 3" xfId="887"/>
    <cellStyle name="Normal 9 7" xfId="888"/>
    <cellStyle name="Normal 9 7 2" xfId="889"/>
    <cellStyle name="Normal 9 7 3" xfId="890"/>
    <cellStyle name="Normal 9 8" xfId="891"/>
    <cellStyle name="Normal 9 9" xfId="892"/>
    <cellStyle name="Normal 9_6-10 (with may tb) FIN - Consolidated Financials June 2010" xfId="893"/>
    <cellStyle name="Normal header" xfId="894"/>
    <cellStyle name="Normal_Final Revenue Requirement - Scenario #11" xfId="14"/>
    <cellStyle name="Normal1Places" xfId="895"/>
    <cellStyle name="Normal2Places" xfId="896"/>
    <cellStyle name="Normal3Places" xfId="897"/>
    <cellStyle name="NormalGB" xfId="898"/>
    <cellStyle name="Note 2" xfId="899"/>
    <cellStyle name="Note 3" xfId="900"/>
    <cellStyle name="Note 3 2" xfId="901"/>
    <cellStyle name="Note 4" xfId="902"/>
    <cellStyle name="nPlosion" xfId="903"/>
    <cellStyle name="Œ…‹æØ‚è [0.00]_GE 3 MINIMUM" xfId="904"/>
    <cellStyle name="Œ…‹æØ‚è_GE 3 MINIMUM" xfId="905"/>
    <cellStyle name="outh America" xfId="906"/>
    <cellStyle name="Output 2" xfId="907"/>
    <cellStyle name="Output 3" xfId="908"/>
    <cellStyle name="Output 3 2" xfId="909"/>
    <cellStyle name="Output 4" xfId="910"/>
    <cellStyle name="Output Amounts" xfId="911"/>
    <cellStyle name="Output Column Headings" xfId="912"/>
    <cellStyle name="Output Column Headings 2" xfId="913"/>
    <cellStyle name="Output Line Items" xfId="914"/>
    <cellStyle name="Output Report Heading" xfId="915"/>
    <cellStyle name="Output Report Heading 2" xfId="916"/>
    <cellStyle name="Output Report Title" xfId="917"/>
    <cellStyle name="Output Report Title 2" xfId="918"/>
    <cellStyle name="Page Number" xfId="919"/>
    <cellStyle name="PB Table Heading" xfId="920"/>
    <cellStyle name="PB Table Highlight1" xfId="921"/>
    <cellStyle name="PB Table Highlight2" xfId="922"/>
    <cellStyle name="PB Table Highlight3" xfId="923"/>
    <cellStyle name="PB Table Standard Row" xfId="924"/>
    <cellStyle name="PB Table Subtotal Row" xfId="925"/>
    <cellStyle name="PB Table Total Row" xfId="926"/>
    <cellStyle name="per.style" xfId="927"/>
    <cellStyle name="Percen - Style5" xfId="928"/>
    <cellStyle name="Percent" xfId="3" builtinId="5"/>
    <cellStyle name="Percent %" xfId="929"/>
    <cellStyle name="Percent % Long Underline" xfId="930"/>
    <cellStyle name="Percent %_Worksheet in  US Financial Statements Ref. Workbook - Single Co" xfId="931"/>
    <cellStyle name="Percent (0)" xfId="932"/>
    <cellStyle name="Percent (0) 2" xfId="933"/>
    <cellStyle name="Percent (0) 3" xfId="934"/>
    <cellStyle name="Percent (0) 3 2" xfId="935"/>
    <cellStyle name="Percent (0) 3 3" xfId="936"/>
    <cellStyle name="Percent (0) 3 3 2" xfId="937"/>
    <cellStyle name="Percent (0) 4" xfId="938"/>
    <cellStyle name="Percent (0) 4 2" xfId="939"/>
    <cellStyle name="Percent (1)" xfId="940"/>
    <cellStyle name="Percent (1) red" xfId="941"/>
    <cellStyle name="Percent (2)" xfId="942"/>
    <cellStyle name="Percent [2]" xfId="943"/>
    <cellStyle name="Percent [2] 2" xfId="944"/>
    <cellStyle name="Percent [2] 3" xfId="945"/>
    <cellStyle name="Percent [2] 3 2" xfId="946"/>
    <cellStyle name="Percent [2] 3 3" xfId="947"/>
    <cellStyle name="Percent [2] 3 3 2" xfId="948"/>
    <cellStyle name="Percent [2] 4" xfId="949"/>
    <cellStyle name="Percent [2] 4 2" xfId="950"/>
    <cellStyle name="Percent 0.0%" xfId="951"/>
    <cellStyle name="Percent 0.0% Long Underline" xfId="952"/>
    <cellStyle name="Percent 0.00%" xfId="953"/>
    <cellStyle name="Percent 0.00% Long Underline" xfId="954"/>
    <cellStyle name="Percent 0.000%" xfId="955"/>
    <cellStyle name="Percent 0.000% Long Underline" xfId="956"/>
    <cellStyle name="Percent 10" xfId="957"/>
    <cellStyle name="Percent 11" xfId="958"/>
    <cellStyle name="Percent 11 2" xfId="959"/>
    <cellStyle name="Percent 11 3" xfId="960"/>
    <cellStyle name="Percent 12" xfId="961"/>
    <cellStyle name="Percent 13" xfId="962"/>
    <cellStyle name="Percent 14" xfId="963"/>
    <cellStyle name="Percent 15" xfId="964"/>
    <cellStyle name="Percent 16" xfId="1248"/>
    <cellStyle name="Percent 17" xfId="1253"/>
    <cellStyle name="Percent 18" xfId="1249"/>
    <cellStyle name="Percent 2" xfId="15"/>
    <cellStyle name="Percent 2 2" xfId="16"/>
    <cellStyle name="Percent 2 3" xfId="17"/>
    <cellStyle name="Percent 2 4" xfId="965"/>
    <cellStyle name="Percent 2 5" xfId="966"/>
    <cellStyle name="Percent 2 6" xfId="967"/>
    <cellStyle name="Percent 2 7" xfId="968"/>
    <cellStyle name="Percent 3" xfId="18"/>
    <cellStyle name="Percent 3 2" xfId="19"/>
    <cellStyle name="Percent 4" xfId="969"/>
    <cellStyle name="Percent 5" xfId="970"/>
    <cellStyle name="Percent 5 2" xfId="971"/>
    <cellStyle name="Percent 5 3" xfId="972"/>
    <cellStyle name="Percent 6" xfId="973"/>
    <cellStyle name="Percent 6 2" xfId="974"/>
    <cellStyle name="Percent 7" xfId="975"/>
    <cellStyle name="Percent 7 2" xfId="976"/>
    <cellStyle name="Percent 7 3" xfId="977"/>
    <cellStyle name="Percent 7 3 2" xfId="978"/>
    <cellStyle name="Percent 7 3 3" xfId="979"/>
    <cellStyle name="Percent 7 4" xfId="980"/>
    <cellStyle name="Percent 7 5" xfId="981"/>
    <cellStyle name="Percent 8" xfId="982"/>
    <cellStyle name="Percent 9" xfId="983"/>
    <cellStyle name="Percent Comma" xfId="984"/>
    <cellStyle name="Percent(1)" xfId="985"/>
    <cellStyle name="Percent1" xfId="986"/>
    <cellStyle name="Percent2" xfId="987"/>
    <cellStyle name="Price" xfId="988"/>
    <cellStyle name="PSChar" xfId="989"/>
    <cellStyle name="PSDate" xfId="990"/>
    <cellStyle name="PSDec" xfId="991"/>
    <cellStyle name="PSHeading" xfId="992"/>
    <cellStyle name="PSInt" xfId="993"/>
    <cellStyle name="PSSpacer" xfId="994"/>
    <cellStyle name="Questionable" xfId="995"/>
    <cellStyle name="Ratio" xfId="996"/>
    <cellStyle name="Ratio Comma" xfId="997"/>
    <cellStyle name="Ratio_Cingular Market Approach" xfId="998"/>
    <cellStyle name="regstoresfromspecstores" xfId="999"/>
    <cellStyle name="RevList" xfId="1000"/>
    <cellStyle name="Salomon Logo" xfId="1001"/>
    <cellStyle name="Section" xfId="1002"/>
    <cellStyle name="SEPEntry" xfId="1003"/>
    <cellStyle name="Shade" xfId="1004"/>
    <cellStyle name="SHADEDSTORES" xfId="1005"/>
    <cellStyle name="Size10Pt" xfId="1006"/>
    <cellStyle name="Size12Pt" xfId="1007"/>
    <cellStyle name="specstores" xfId="1008"/>
    <cellStyle name="Standard Numb Total P" xfId="1009"/>
    <cellStyle name="Standard Numbers" xfId="1010"/>
    <cellStyle name="Standard Numbers Total" xfId="1011"/>
    <cellStyle name="Standard Numbers Total2" xfId="1012"/>
    <cellStyle name="Standard Numbers Total2 Percent" xfId="1013"/>
    <cellStyle name="Standard Numbers Total2_449 250-6000" xfId="1014"/>
    <cellStyle name="Standard Numbers_449 250-6000" xfId="1015"/>
    <cellStyle name="Standard_Anpassen der Amortisation" xfId="1016"/>
    <cellStyle name="Std Num Tot2" xfId="1017"/>
    <cellStyle name="Std Num Tot2 Perc" xfId="1018"/>
    <cellStyle name="Std Num Tot2_449 250-6000" xfId="1019"/>
    <cellStyle name="Stock Comma" xfId="1020"/>
    <cellStyle name="Stock Price" xfId="1021"/>
    <cellStyle name="Strikethru" xfId="1022"/>
    <cellStyle name="STYL1 - Style1" xfId="1023"/>
    <cellStyle name="STYL2 - Style2" xfId="1024"/>
    <cellStyle name="STYL3 - Style3" xfId="1025"/>
    <cellStyle name="STYL4 - Style4" xfId="1026"/>
    <cellStyle name="STYL5 - Style5" xfId="1027"/>
    <cellStyle name="Style 1" xfId="1028"/>
    <cellStyle name="Style 2" xfId="1029"/>
    <cellStyle name="Style 21" xfId="1030"/>
    <cellStyle name="Style 22" xfId="1031"/>
    <cellStyle name="Style 22 2" xfId="1032"/>
    <cellStyle name="Style 22_521 Rollforward" xfId="1033"/>
    <cellStyle name="Style 23" xfId="1034"/>
    <cellStyle name="Style 24" xfId="1035"/>
    <cellStyle name="Style 25" xfId="1036"/>
    <cellStyle name="Style 25 2" xfId="1037"/>
    <cellStyle name="Style 25_521 Rollforward" xfId="1038"/>
    <cellStyle name="Style 26" xfId="1039"/>
    <cellStyle name="Style 27" xfId="1040"/>
    <cellStyle name="Style 28" xfId="1041"/>
    <cellStyle name="Style 29" xfId="1042"/>
    <cellStyle name="Style 3" xfId="1043"/>
    <cellStyle name="Style 30" xfId="1044"/>
    <cellStyle name="Style 31" xfId="1045"/>
    <cellStyle name="Style 32" xfId="1046"/>
    <cellStyle name="Style 33" xfId="1047"/>
    <cellStyle name="Style 34" xfId="1048"/>
    <cellStyle name="Style 35" xfId="1049"/>
    <cellStyle name="Style 36" xfId="1050"/>
    <cellStyle name="Style 39" xfId="1051"/>
    <cellStyle name="Style 4" xfId="1052"/>
    <cellStyle name="Style 5" xfId="1053"/>
    <cellStyle name="Style 6" xfId="1054"/>
    <cellStyle name="STYLE1" xfId="1055"/>
    <cellStyle name="STYLE1 10" xfId="1056"/>
    <cellStyle name="STYLE1 11" xfId="1057"/>
    <cellStyle name="STYLE1 12" xfId="1058"/>
    <cellStyle name="STYLE1 13" xfId="1059"/>
    <cellStyle name="STYLE1 13 2" xfId="1060"/>
    <cellStyle name="STYLE1 14" xfId="1061"/>
    <cellStyle name="STYLE1 15" xfId="1062"/>
    <cellStyle name="STYLE1 16" xfId="1063"/>
    <cellStyle name="STYLE1 16 2" xfId="1064"/>
    <cellStyle name="STYLE1 17" xfId="1065"/>
    <cellStyle name="STYLE1 17 2" xfId="1066"/>
    <cellStyle name="STYLE1 18" xfId="1067"/>
    <cellStyle name="STYLE1 18 2" xfId="1068"/>
    <cellStyle name="STYLE1 19" xfId="1069"/>
    <cellStyle name="STYLE1 2" xfId="1070"/>
    <cellStyle name="STYLE1 2 2" xfId="1071"/>
    <cellStyle name="STYLE1 2 2 2" xfId="1072"/>
    <cellStyle name="STYLE1 2 3" xfId="1073"/>
    <cellStyle name="STYLE1 2_6-10 (with may tb) FIN - Consolidated Financials June 2010" xfId="1074"/>
    <cellStyle name="STYLE1 20" xfId="1075"/>
    <cellStyle name="STYLE1 21" xfId="1076"/>
    <cellStyle name="STYLE1 22" xfId="1077"/>
    <cellStyle name="STYLE1 23" xfId="1078"/>
    <cellStyle name="STYLE1 24" xfId="1079"/>
    <cellStyle name="STYLE1 25" xfId="1080"/>
    <cellStyle name="STYLE1 26" xfId="1081"/>
    <cellStyle name="STYLE1 27" xfId="1082"/>
    <cellStyle name="STYLE1 28" xfId="1083"/>
    <cellStyle name="STYLE1 28 2" xfId="1084"/>
    <cellStyle name="STYLE1 29" xfId="1085"/>
    <cellStyle name="STYLE1 29 2" xfId="1086"/>
    <cellStyle name="STYLE1 3" xfId="1087"/>
    <cellStyle name="STYLE1 4" xfId="1088"/>
    <cellStyle name="STYLE1 4 2" xfId="1089"/>
    <cellStyle name="STYLE1 4_6-10 (with may tb) FIN - Consolidated Financials June 2010" xfId="1090"/>
    <cellStyle name="STYLE1 5" xfId="1091"/>
    <cellStyle name="STYLE1 5 2" xfId="1092"/>
    <cellStyle name="STYLE1 6" xfId="1093"/>
    <cellStyle name="STYLE1 6 2" xfId="1094"/>
    <cellStyle name="STYLE1 7" xfId="1095"/>
    <cellStyle name="STYLE1 7 2" xfId="1096"/>
    <cellStyle name="STYLE1 8" xfId="1097"/>
    <cellStyle name="STYLE1 9" xfId="1098"/>
    <cellStyle name="STYLE1_6-10 trial balances from Simon" xfId="1099"/>
    <cellStyle name="STYLE2" xfId="1100"/>
    <cellStyle name="STYLE2 10" xfId="1101"/>
    <cellStyle name="STYLE2 11" xfId="1102"/>
    <cellStyle name="STYLE2 12" xfId="1103"/>
    <cellStyle name="STYLE2 13" xfId="1104"/>
    <cellStyle name="STYLE2 14" xfId="1105"/>
    <cellStyle name="STYLE2 15" xfId="1106"/>
    <cellStyle name="STYLE2 16" xfId="1107"/>
    <cellStyle name="STYLE2 17" xfId="1108"/>
    <cellStyle name="STYLE2 18" xfId="1109"/>
    <cellStyle name="STYLE2 19" xfId="1110"/>
    <cellStyle name="STYLE2 2" xfId="1111"/>
    <cellStyle name="STYLE2 2 2" xfId="1112"/>
    <cellStyle name="STYLE2 2 2 2" xfId="1113"/>
    <cellStyle name="STYLE2 2 3" xfId="1114"/>
    <cellStyle name="STYLE2 2_6-10 (with may tb) FIN - Consolidated Financials June 2010" xfId="1115"/>
    <cellStyle name="STYLE2 20" xfId="1116"/>
    <cellStyle name="STYLE2 21" xfId="1117"/>
    <cellStyle name="STYLE2 22" xfId="1118"/>
    <cellStyle name="STYLE2 23" xfId="1119"/>
    <cellStyle name="STYLE2 24" xfId="1120"/>
    <cellStyle name="STYLE2 25" xfId="1121"/>
    <cellStyle name="STYLE2 26" xfId="1122"/>
    <cellStyle name="STYLE2 26 2" xfId="1123"/>
    <cellStyle name="STYLE2 27" xfId="1124"/>
    <cellStyle name="STYLE2 27 2" xfId="1125"/>
    <cellStyle name="STYLE2 28" xfId="1126"/>
    <cellStyle name="STYLE2 29" xfId="1127"/>
    <cellStyle name="STYLE2 3" xfId="1128"/>
    <cellStyle name="STYLE2 3 2" xfId="1129"/>
    <cellStyle name="STYLE2 3_6-10 (with may tb) FIN - Consolidated Financials June 2010" xfId="1130"/>
    <cellStyle name="STYLE2 30" xfId="1131"/>
    <cellStyle name="STYLE2 31" xfId="1132"/>
    <cellStyle name="STYLE2 32" xfId="1133"/>
    <cellStyle name="STYLE2 33" xfId="1134"/>
    <cellStyle name="STYLE2 34" xfId="1135"/>
    <cellStyle name="STYLE2 4" xfId="1136"/>
    <cellStyle name="STYLE2 5" xfId="1137"/>
    <cellStyle name="STYLE2 6" xfId="1138"/>
    <cellStyle name="STYLE2 7" xfId="1139"/>
    <cellStyle name="STYLE2 8" xfId="1140"/>
    <cellStyle name="STYLE2 9" xfId="1141"/>
    <cellStyle name="STYLE2_6-10 (with may tb) FIN - Consolidated Financials June 2010" xfId="1142"/>
    <cellStyle name="STYLE3" xfId="1143"/>
    <cellStyle name="STYLE3 10" xfId="1144"/>
    <cellStyle name="STYLE3 11" xfId="1145"/>
    <cellStyle name="STYLE3 12" xfId="1146"/>
    <cellStyle name="STYLE3 13" xfId="1147"/>
    <cellStyle name="STYLE3 14" xfId="1148"/>
    <cellStyle name="STYLE3 15" xfId="1149"/>
    <cellStyle name="STYLE3 16" xfId="1150"/>
    <cellStyle name="STYLE3 17" xfId="1151"/>
    <cellStyle name="STYLE3 18" xfId="1152"/>
    <cellStyle name="STYLE3 19" xfId="1153"/>
    <cellStyle name="STYLE3 2" xfId="1154"/>
    <cellStyle name="STYLE3 20" xfId="1155"/>
    <cellStyle name="STYLE3 20 2" xfId="1156"/>
    <cellStyle name="STYLE3 3" xfId="1157"/>
    <cellStyle name="STYLE3 4" xfId="1158"/>
    <cellStyle name="STYLE3 5" xfId="1159"/>
    <cellStyle name="STYLE3 6" xfId="1160"/>
    <cellStyle name="STYLE3 7" xfId="1161"/>
    <cellStyle name="STYLE3 8" xfId="1162"/>
    <cellStyle name="STYLE3 9" xfId="1163"/>
    <cellStyle name="STYLE3_6-10 trial balances from Simon" xfId="1164"/>
    <cellStyle name="STYLE4" xfId="1165"/>
    <cellStyle name="STYLE4 10" xfId="1166"/>
    <cellStyle name="STYLE4 11" xfId="1167"/>
    <cellStyle name="STYLE4 12" xfId="1168"/>
    <cellStyle name="STYLE4 12 2" xfId="1169"/>
    <cellStyle name="STYLE4 2" xfId="1170"/>
    <cellStyle name="STYLE4 3" xfId="1171"/>
    <cellStyle name="STYLE4 4" xfId="1172"/>
    <cellStyle name="STYLE4 5" xfId="1173"/>
    <cellStyle name="STYLE4 6" xfId="1174"/>
    <cellStyle name="STYLE4 7" xfId="1175"/>
    <cellStyle name="STYLE4 8" xfId="1176"/>
    <cellStyle name="STYLE4 9" xfId="1177"/>
    <cellStyle name="STYLE4_6-10 (with may tb) FIN - Consolidated Financials June 2010" xfId="1178"/>
    <cellStyle name="STYLE5" xfId="1179"/>
    <cellStyle name="STYLE5 2" xfId="1180"/>
    <cellStyle name="STYLE5 2 2" xfId="1181"/>
    <cellStyle name="STYLE5 3" xfId="1182"/>
    <cellStyle name="STYLE5 3 2" xfId="1183"/>
    <cellStyle name="STYLE5 4" xfId="1184"/>
    <cellStyle name="STYLE5 4 2" xfId="1185"/>
    <cellStyle name="STYLE5 5" xfId="1186"/>
    <cellStyle name="STYLE5 5 2" xfId="1187"/>
    <cellStyle name="STYLE5 6" xfId="1188"/>
    <cellStyle name="STYLE5 7" xfId="1189"/>
    <cellStyle name="STYLE5 8" xfId="1190"/>
    <cellStyle name="STYLE5_6-10 (with may tb) FIN - Consolidated Financials June 2010" xfId="1191"/>
    <cellStyle name="STYLE6" xfId="1192"/>
    <cellStyle name="Subtotal" xfId="1193"/>
    <cellStyle name="Table" xfId="1194"/>
    <cellStyle name="Table Head" xfId="1195"/>
    <cellStyle name="Table Head Aligned" xfId="1196"/>
    <cellStyle name="Table Head Blue" xfId="1197"/>
    <cellStyle name="Table Head Green" xfId="1198"/>
    <cellStyle name="Table Head_Val_Sum_Graph" xfId="1199"/>
    <cellStyle name="Table Text" xfId="1200"/>
    <cellStyle name="Table Title" xfId="1201"/>
    <cellStyle name="Table Units" xfId="1202"/>
    <cellStyle name="Table_Header" xfId="1203"/>
    <cellStyle name="taples Plaza" xfId="1204"/>
    <cellStyle name="Test" xfId="1205"/>
    <cellStyle name="Text 1" xfId="1206"/>
    <cellStyle name="Text Head 1" xfId="1207"/>
    <cellStyle name="TextDys0" xfId="1208"/>
    <cellStyle name="TextDys1" xfId="1209"/>
    <cellStyle name="TextYrs0" xfId="1210"/>
    <cellStyle name="TextYrs1" xfId="1211"/>
    <cellStyle name="Tickmark" xfId="1212"/>
    <cellStyle name="Times New Roman" xfId="1213"/>
    <cellStyle name="Tina" xfId="1214"/>
    <cellStyle name="Title 2" xfId="1215"/>
    <cellStyle name="Title 2 2" xfId="1216"/>
    <cellStyle name="Title, Wrap" xfId="1217"/>
    <cellStyle name="TitleII" xfId="1218"/>
    <cellStyle name="Titles" xfId="1219"/>
    <cellStyle name="Top Edge" xfId="1220"/>
    <cellStyle name="Total 2" xfId="1221"/>
    <cellStyle name="Total 3" xfId="1222"/>
    <cellStyle name="Total 3 2" xfId="1223"/>
    <cellStyle name="Total 4" xfId="1224"/>
    <cellStyle name="ubordinated Debt" xfId="1225"/>
    <cellStyle name="uk" xfId="1226"/>
    <cellStyle name="Un" xfId="1227"/>
    <cellStyle name="Un 2" xfId="1228"/>
    <cellStyle name="Underline_Single" xfId="1229"/>
    <cellStyle name="Unprot" xfId="1230"/>
    <cellStyle name="Unprot 2" xfId="1231"/>
    <cellStyle name="Unprot$" xfId="1232"/>
    <cellStyle name="Unprot_'06 Firm Book" xfId="1233"/>
    <cellStyle name="Unprotect" xfId="1234"/>
    <cellStyle name="Upload Only" xfId="1235"/>
    <cellStyle name="Währung [0]_Compiling Utility Macros" xfId="1236"/>
    <cellStyle name="Währung_Compiling Utility Macros" xfId="1237"/>
    <cellStyle name="Warning Text 2" xfId="1238"/>
    <cellStyle name="Warning Text 3" xfId="1239"/>
    <cellStyle name="Warning Text 3 2" xfId="1240"/>
    <cellStyle name="Warning Text 4" xfId="1241"/>
    <cellStyle name="Wrap" xfId="1242"/>
    <cellStyle name="Year" xfId="1243"/>
    <cellStyle name="year 2" xfId="1244"/>
  </cellStyles>
  <dxfs count="3">
    <dxf>
      <numFmt numFmtId="167" formatCode="_(* #,##0_);_(* \(#,##0\);_(* &quot;-&quot;??_);_(@_)"/>
    </dxf>
    <dxf>
      <numFmt numFmtId="167" formatCode="_(* #,##0_);_(* \(#,##0\);_(* &quot;-&quot;??_);_(@_)"/>
    </dxf>
    <dxf>
      <numFmt numFmtId="167"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TES\DOCKETS\GO-2011-0003\workpapers\GO-2011-0003%20Workpap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ATES\DOCKETS\GO-2009-0302\GO-2009-0302%20Workpaper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TES/DOCKETS/GR-2015-0025/MGE%20ISRS%20filing%20Jan%20-%20August%202014-staff%20vers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tility%20Companies/MGE/MGE%20alternative%20PP%20Tax%20Calc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GE As Filed"/>
      <sheetName val="Staff Revenue Calc"/>
      <sheetName val="Comparison"/>
      <sheetName val="Staff Summary"/>
      <sheetName val="Retirements Not Filed"/>
      <sheetName val="Sorted ISRS WO Retirements"/>
      <sheetName val="Sorted ISRS BWO Retirements"/>
      <sheetName val="Depreciation-Deferred Tax"/>
      <sheetName val="Depreciation Rates"/>
      <sheetName val="Capital Structure ROE"/>
      <sheetName val="Staff Property Taxes"/>
      <sheetName val="Staff Reconciliation"/>
      <sheetName val="Work Orders Reviewed"/>
      <sheetName val="Sorted WO &amp; BWO Additions"/>
      <sheetName val="Sorted Cost of Removal (COR)"/>
      <sheetName val="MGE - Summary"/>
      <sheetName val="MGE - Add BWO"/>
      <sheetName val="MGE - Add Specific"/>
      <sheetName val="MGE - ISRS_SpecWO_COR_May10"/>
      <sheetName val="MGE - ISRS BWO Ret"/>
      <sheetName val="MGE - ISRS_Bwo_RetCor_May10"/>
      <sheetName val="MGE - ISRS_SpecWo_Ret_May2010"/>
      <sheetName val="MGE - 7.722% Wtd Total"/>
      <sheetName val="MGE - Link In"/>
      <sheetName val="MGE - Customers"/>
      <sheetName val="MGE - Deferred Taxes"/>
      <sheetName val="MGE - Rate of Return"/>
      <sheetName val="MGE - Rev Req 7.722%"/>
      <sheetName val="MGE - Property Taxes"/>
      <sheetName val="MGE - Reconciliation"/>
      <sheetName val="MGE - DIT Deprec"/>
    </sheetNames>
    <sheetDataSet>
      <sheetData sheetId="0"/>
      <sheetData sheetId="1"/>
      <sheetData sheetId="2"/>
      <sheetData sheetId="3">
        <row r="15">
          <cell r="C15">
            <v>1379846.268739495</v>
          </cell>
        </row>
      </sheetData>
      <sheetData sheetId="4"/>
      <sheetData sheetId="5"/>
      <sheetData sheetId="6"/>
      <sheetData sheetId="7"/>
      <sheetData sheetId="8">
        <row r="1">
          <cell r="A1" t="str">
            <v>37600 - Mains-MGE</v>
          </cell>
          <cell r="B1">
            <v>2.1600000000000001E-2</v>
          </cell>
          <cell r="C1">
            <v>1.8000000000000002E-3</v>
          </cell>
        </row>
        <row r="2">
          <cell r="A2" t="str">
            <v>37800 - M&amp;R Station General-MGE</v>
          </cell>
          <cell r="B2">
            <v>2.86E-2</v>
          </cell>
          <cell r="C2">
            <v>2.3833333333333332E-3</v>
          </cell>
        </row>
        <row r="3">
          <cell r="A3" t="str">
            <v>38000 - Services-MGE</v>
          </cell>
          <cell r="B3">
            <v>3.1300000000000001E-2</v>
          </cell>
          <cell r="C3">
            <v>2.6083333333333336E-3</v>
          </cell>
        </row>
        <row r="4">
          <cell r="A4" t="str">
            <v>38200 - Meter Installations-MGE</v>
          </cell>
          <cell r="B4">
            <v>2.86E-2</v>
          </cell>
          <cell r="C4">
            <v>2.3833333333333332E-3</v>
          </cell>
        </row>
        <row r="5">
          <cell r="A5" t="str">
            <v>38300 - House Regulators-MGE</v>
          </cell>
          <cell r="B5">
            <v>2.4400000000000002E-2</v>
          </cell>
          <cell r="C5">
            <v>2.0333333333333336E-3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GE As Filed"/>
      <sheetName val="Staff Revenue Calc"/>
      <sheetName val="Comparison"/>
      <sheetName val="Staff Summary"/>
      <sheetName val="All Additions by WO"/>
      <sheetName val="Sorted ISRS WO Retirements"/>
      <sheetName val="ISRS BWO Retirements"/>
      <sheetName val="GO-2008-0113 WOs"/>
      <sheetName val="GO-2009-0009 WOs"/>
      <sheetName val="GO-2009-0009 Retired WOs"/>
      <sheetName val="GO-2009-0009 Retired BWOs"/>
      <sheetName val="Depreciation-Deferred Tax"/>
      <sheetName val="Depreciation Rates"/>
      <sheetName val="Capital Structure ROE"/>
      <sheetName val="Staff Property Taxes"/>
      <sheetName val="Staff Reconciliation"/>
      <sheetName val="Work Orders Reviewed"/>
      <sheetName val="Work Orders to Be Reviewed"/>
      <sheetName val="Sorted WO &amp; BWO Additions"/>
      <sheetName val="Sorted ISRS Cost of Removal"/>
      <sheetName val="Summary-A"/>
      <sheetName val="ISRS_BWO_Add_Jan09"/>
      <sheetName val="ISRS_SpecificWO_Additions_Jan09"/>
      <sheetName val="ISRS_COR_Jan09"/>
      <sheetName val="ISRS_Ret_WO_Jan09"/>
      <sheetName val="ISRS_SpecficWO_COR_Jan09"/>
      <sheetName val="ISRS_BWO_Ret_Jan09"/>
      <sheetName val="Summary "/>
      <sheetName val="8.60% Wtd Total"/>
      <sheetName val="GO-2009-0009 rate design"/>
      <sheetName val="Link In"/>
      <sheetName val="Customers"/>
      <sheetName val="Deferred Taxes"/>
      <sheetName val="DIT- GO-2008-0113"/>
      <sheetName val="DIT- GO-2009-0009"/>
      <sheetName val="Rate of Return"/>
      <sheetName val="Rev Req 8.60%"/>
      <sheetName val="Property Taxe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37600 - Mains-MGE</v>
          </cell>
          <cell r="B1">
            <v>2.2700000000000001E-2</v>
          </cell>
          <cell r="C1">
            <v>1.8916666666666667E-3</v>
          </cell>
        </row>
        <row r="2">
          <cell r="A2" t="str">
            <v>37800 - M&amp;R Station General-MGE</v>
          </cell>
          <cell r="B2">
            <v>2.86E-2</v>
          </cell>
          <cell r="C2">
            <v>2.3833333333333332E-3</v>
          </cell>
        </row>
        <row r="3">
          <cell r="A3" t="str">
            <v>38000 - Services-MGE</v>
          </cell>
          <cell r="B3">
            <v>2.5000000000000001E-2</v>
          </cell>
          <cell r="C3">
            <v>2.0833333333333333E-3</v>
          </cell>
        </row>
        <row r="4">
          <cell r="A4" t="str">
            <v>38200 - Meter Installations-MGE</v>
          </cell>
          <cell r="B4">
            <v>2.86E-2</v>
          </cell>
          <cell r="C4">
            <v>2.3833333333333332E-3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epr-DIT Current"/>
      <sheetName val="MGE - Deferred Taxes"/>
      <sheetName val="WO Additions-sorted by AC"/>
      <sheetName val="WO Additions-sorted"/>
      <sheetName val="Additions sorted by WO"/>
      <sheetName val="Work Order Descriptions July 14"/>
      <sheetName val="WO Descriptions Aug 14 Adds"/>
      <sheetName val="Work Order Descriptions"/>
      <sheetName val="Retirements"/>
      <sheetName val="Property Taxes"/>
      <sheetName val="Customers"/>
      <sheetName val="Rate of Return"/>
      <sheetName val="Rev Req 9.75%"/>
      <sheetName val="summary"/>
      <sheetName val="9.75% Wtd Total"/>
      <sheetName val="Reconciliation"/>
      <sheetName val="Sheet3"/>
    </sheetNames>
    <sheetDataSet>
      <sheetData sheetId="0"/>
      <sheetData sheetId="1"/>
      <sheetData sheetId="2"/>
      <sheetData sheetId="3"/>
      <sheetData sheetId="4"/>
      <sheetData sheetId="5"/>
      <sheetData sheetId="6"/>
      <sheetData sheetId="7"/>
      <sheetData sheetId="8"/>
      <sheetData sheetId="9"/>
      <sheetData sheetId="10">
        <row r="6">
          <cell r="D6">
            <v>440372</v>
          </cell>
        </row>
        <row r="7">
          <cell r="D7">
            <v>60087</v>
          </cell>
        </row>
        <row r="8">
          <cell r="D8">
            <v>2939</v>
          </cell>
        </row>
        <row r="9">
          <cell r="D9">
            <v>489</v>
          </cell>
        </row>
      </sheetData>
      <sheetData sheetId="11"/>
      <sheetData sheetId="12">
        <row r="21">
          <cell r="E21">
            <v>1990295.4582998087</v>
          </cell>
        </row>
      </sheetData>
      <sheetData sheetId="13">
        <row r="18">
          <cell r="C18">
            <v>-1322519.3700000001</v>
          </cell>
        </row>
      </sheetData>
      <sheetData sheetId="14"/>
      <sheetData sheetId="15"/>
      <sheetData sheetId="1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SRS Property Taxes"/>
      <sheetName val="MGE"/>
    </sheetNames>
    <sheetDataSet>
      <sheetData sheetId="0"/>
      <sheetData sheetId="1">
        <row r="51">
          <cell r="J51">
            <v>120141488</v>
          </cell>
          <cell r="K51">
            <v>8.1897238778996975E-2</v>
          </cell>
        </row>
      </sheetData>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09221\AppData\Local\Microsoft\Windows\Temporary%20Internet%20Files\Content.Outlook\UXO280VA\MGE%20ISRS%20Additions%20Sept%2014%20to%20Dec%2014%20Revise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eterson, Laura B." refreshedDate="42024.692923148148" createdVersion="4" refreshedVersion="4" minRefreshableVersion="3" recordCount="622">
  <cacheSource type="worksheet">
    <worksheetSource ref="A4:N626" sheet="Sheet1" r:id="rId2"/>
  </cacheSource>
  <cacheFields count="14">
    <cacheField name="Utility Account" numFmtId="0">
      <sharedItems/>
    </cacheField>
    <cacheField name="MGE Work Order No." numFmtId="0">
      <sharedItems/>
    </cacheField>
    <cacheField name="New Work Order No." numFmtId="0">
      <sharedItems/>
    </cacheField>
    <cacheField name="BWO" numFmtId="0">
      <sharedItems containsBlank="1" count="2">
        <m/>
        <s v="BWO"/>
      </sharedItems>
    </cacheField>
    <cacheField name="Work Order Description" numFmtId="0">
      <sharedItems count="318">
        <s v="Cypress &amp; E 43rd Repl Cooper w 45'-"/>
        <s v="Richmond Dr Repl 10'-2in pcs main"/>
        <s v="Short St Repl PBS w 30'-2in CS main"/>
        <s v="Monterey Dr Repl PBS w 600'-4in PE"/>
        <s v="S Walnut Repl PE w 9'-4in PE main"/>
        <s v="NE 50 &amp; N Chelsea Repl PBS w 12'-2i"/>
        <s v="Elm &amp; Halstead Repl PBS w 15'-2in P"/>
        <s v="20th &amp; Ozark Reloc PCS w 370'-4in;5"/>
        <s v="3rd &amp; Arch Repl PBS w 2795'-4;745'-"/>
        <s v="Ky &amp; Sterling Repl PBS w 900'-12 TF"/>
        <s v="11th &amp; Cleveland Repl PBS w 220'-2i"/>
        <s v="BWO SERVICE LINE LEAK RESPONSIVE CO"/>
        <s v="BWO SERVICE LINE LEAK RESPONSIVE"/>
        <s v="BWO SERVICE LINE REPL MODIFIED BLOC"/>
        <s v="BWO SERVICE REPL BLOCK CONTRACTOR S"/>
        <s v="BWO SERVICE LINE REPL BLOCK CONTRAC"/>
        <s v="BWO SERVICE LINE MATERIAL-COMPANY S"/>
        <s v="2nd &amp; Charles Repl PBS w 340'-2in P"/>
        <s v="Wells St Reloc PCS w 660'-2in PE"/>
        <s v="Mayfair Ph2 Repl CS w 8000'-20in TF"/>
        <s v="Alley btw Taylor/Campbell Repl PBS"/>
        <s v="Plaza Dr Repl PBS w 1825'-4in PE"/>
        <s v="Fairview DR#55 Inlet/Outlet Piping"/>
        <s v="Neosho &amp; South St Repl PBS w 135'-4"/>
        <s v="Peterson Road Rectifier &amp; Groundbed"/>
        <s v="35th &amp; Denton Repl PBS w 1220'-2in"/>
        <s v="22nd &amp; Vories REPL PBS w 377-4in PE"/>
        <s v="83rd St Reloc PBS/PCS w 2825'-4in P"/>
        <s v="AOR Brooklyn &amp; Linwood Repl CI w 60"/>
        <s v="Smart Ave Repl PBS w 620'-2in PE Ma"/>
        <s v="Gregory Heights Repl PBS main"/>
        <s v="NE 68th Reloc PCS w 682'-4in PE mai"/>
        <s v="9th &amp; Schifferdecker Reloc 86'-2in"/>
        <s v="McHenry &amp; Main Repl PBS w 890'-2in"/>
        <s v="NW 76th Repl PE w 40'-3in CS main"/>
        <s v="US Rt50 Repl PBS w 310'-4in PE main"/>
        <s v="Repl TB Sta Reg w 2in Mooney"/>
        <s v="24hwy &amp; Salisbury Repl PBS main 334"/>
        <s v="Farm Rd 170 Fuses Repl 1035'- 4in P"/>
        <s v="Pine Repl  Fuses w 100'-2in PE"/>
        <s v="School Ave Reloc PBS w 235'-4in PE"/>
        <s v="13th &amp; Buena Vista Reloc 365'-2in P"/>
        <s v="205 N Forest Repl PCS w 26'-4IN TF"/>
        <s v="Crysler &amp; 35th Repl PBS w 5440'-2in"/>
        <s v="BWO LINE LOCATES-REPL SERVICES ONLY"/>
        <s v="BWO SERVICES REPL MODIFIED BLOCK CO"/>
        <s v="BWO MATERIAL SERV LINE REPL COMP"/>
        <s v="BWO SERVICE LINE REPL CONTRACTOR"/>
        <s v="Murphy Blvd Repl PBS w 3310'-4in PE"/>
        <s v="ENCAPSULATION CAST IRON JOINTS"/>
        <s v="Carondolet &amp; Stateline Reloc 50'-2i"/>
        <s v="Ming St Repl PBS w 245'-2;1500'-4in"/>
        <s v="Olive St Rebuild DRS 13"/>
        <s v="Bannister 20inch Hydro Testing"/>
        <s v="Lexington St Repl PBS w 1460'-4&amp;70'"/>
        <s v="38th &amp; State Line Repl CI w 70'-4in"/>
        <s v="Phelps Rd Repl I/O Drs 159 w 4in CS"/>
        <s v="44th &amp; Phelps Repl I/O DRS 105 w 6i"/>
        <s v="Northern Blvd Repl PBS w 280'-2in P"/>
        <s v="Country Ln Reloc 30'-2in PE main"/>
        <s v="806 S Main Repl PBS w 260'-2in PE m"/>
        <s v="35th &amp; Jackson Repl PBS w 680-4in P"/>
        <s v="107 Ter &amp; Hillcrest Reloc PBS w450'"/>
        <s v="Allendale Lake rd Reloc 15'-4in pe"/>
        <s v="135th Reloc PCS/pe w 167'-6in;2884'"/>
        <s v="Hazel &amp; Airport Repl PBS w 2620'-8;"/>
        <s v="109th Terr Repl Copper w 25'-2in TF"/>
        <s v="24 Hwy &amp; Lynn Repl PBS w 1165'-2in"/>
        <s v="Main &amp; Hillcrest Repl PCS w 180'-2i"/>
        <s v="23rd &amp; Topping Repl CU/BS w 645'-2;"/>
        <s v="AOR 4505 Agnes Repl CI w 35'-4in PE"/>
        <s v="Repl I/O Piping DRS 0182C"/>
        <s v="Pacific Reloc 60'-4in PE"/>
        <s v="Hill Pine Repl PBS w 288'-2in PE ma"/>
        <s v="15th &amp; Indiana Repl PBS/PCS w 590'-"/>
        <s v="Necessity repl 5ft 2in Plastic Main"/>
        <s v="AOR 4937-43 S Benton Repl CI w 140'"/>
        <s v="AOR 2904 E 69th Repl CI w 30'-6in P"/>
        <s v="Kentucky Rectifier &amp; GroundBed I-03"/>
        <s v="Alley at Hickory Repl PBS w 190'-2i"/>
        <s v="119th Ter &amp; N College Repl 200'-2in"/>
        <s v="Lookout &amp; Yale Repl PBS w 414'- 4in"/>
        <s v="Oakland St Repl PBS w 1905'-2in PE"/>
        <s v="291 Hwy &amp; Truman I/O Piping DRS 122"/>
        <s v="Pur Odorant Storage Tank-REX TB Sta"/>
        <s v="11th &amp; Highview Reloc PBS w 510'-6i"/>
        <s v="Glenaire Rectifier/Ground Bed Repl"/>
        <s v="817 W Hurt Repl PCS w 12'-2in TF St"/>
        <s v="Osage &amp; Gudgell Repl PBS w 1855'-2i"/>
        <s v="Rebuild DRS 356 New DRS #757"/>
        <s v="Main &amp; Elm Reloc PBS w 1895'-4in PE"/>
        <s v="113th Ter &amp; Jackson Repl PBS w 10'-"/>
        <s v="Lees Summit Rd 20in Reloc Proj"/>
        <s v="Lees Summit Rd 20in Reloc Proj -Reimb Amt"/>
        <s v="BWO MATERIAL SERV LINE REPL CONT"/>
        <s v="BWO SERVICE LINE REPL CONTRACTOR SL"/>
        <s v="BWO-REPLACE SERVICE"/>
        <s v="26th &amp; Schifferdecker Reloc Main Wi"/>
        <s v="Mill &amp; Cliborne Repl PBS w 165'-2in"/>
        <s v="25th &amp; Claremont Reloc PBSw100'-2TF"/>
        <s v="Leslie Ave Rebuild DRS 308"/>
        <s v="Poplar &amp; Tenn Repl PBS w 585'-2in P"/>
        <s v="50th &amp; Indiana Reloc 5962'-4in PE m"/>
        <s v="Polk &amp; Butler Ter Repl PBS w 500'-2"/>
        <s v="Orange St Reloc CS w 114'-6in TF St"/>
        <s v="AOR 5345 Swope Prky Repl CI w 1090'"/>
        <s v="Elm &amp; Eagon Repl PBS w 1295'-4;505'"/>
        <s v="155th St  Extension to Facilitate H"/>
        <s v="Oak Tree &amp; Adams Reloc 2in PE"/>
        <s v="Purdy &amp; Pine Repl PBS w 315'-2in PE"/>
        <s v="45th &amp; Phelps Repl DRS 188 I/O w 4i"/>
        <s v="4th &amp; Rangeline Repl PBS w 200'-2in"/>
        <s v="4821 Chelsea Repl CS w 62'-2in PE m"/>
        <s v="63rd Repl CI Main w 16078'-PE main"/>
        <s v="Virginia &amp; 2nd St Repl PBS/PCS w 60"/>
        <s v="7th &amp; Illinois Repl PCS w 590'-4in"/>
        <s v="92nd &amp; Tenn REPL PBS w 12'-2in TF S"/>
        <s v="24 Hwy &amp; Allen Repl PBS w 120'-4in"/>
        <s v="12th &amp; Denver Repl Copper w 70'-2in"/>
        <s v="27th &amp; Park Repl CI w 620'-4in PE m"/>
        <s v="HOLLAND 1916 INC-REPL-4IN SERVLINE"/>
        <s v="So Haven Rd Reloc PBS w 1365'-4;255"/>
        <s v="South Town Border DRS45"/>
        <s v="19th &amp; Meadow Ln RELOC 165'- 4IN PC"/>
        <s v="4800 NW Homestead Repl 4'-2IN PE"/>
        <s v="AOR 2552 Chelsea Repl CI with 40'-6"/>
        <s v="Riverview Rectifier 661 Relocation"/>
        <s v="AOR Norton &amp; 52nd St Repl CI w 40'-"/>
        <s v="BWO SERVICE LINE MATERIAL CONTRACTO"/>
        <s v="2nd &amp; St ChralesRepl PBS w 75'-2in"/>
        <s v="27th &amp; Troost Reloc CI w 2198'-6in"/>
        <s v="39th St Bridge  Reloc 1545'-6in PE"/>
        <s v="Leslie Ave DRS 308 I/O Piping"/>
        <s v="Brezendine Rectifier L0043 and Grou"/>
        <s v="Pine &amp; Purdy Repl PBS w 2040'-2in P"/>
        <s v="Monett New Rectifier /Ground Bed #6"/>
        <s v="Drexel Rectifier/Ground Bed #0061"/>
        <s v="AOR 7027 Agnes Blvd Repl CI w 30'-6"/>
        <s v="I-49 Overpass Reloc Main"/>
        <s v="AOR 6111 Forest Repl CI w 30'-4in P"/>
        <s v="Lathrop NEW Rectifier &amp; Groundbed"/>
        <s v="7th &amp; Duquesne Reloc 110'-4in TF St"/>
        <s v="2nd &amp; Hunter Repl PBS w 301'-2in PE"/>
        <s v="Davis St Repl PBS w 730'-2in PE mai"/>
        <s v="AOR 1300 Askew Repl CI w 555'-4in P"/>
        <s v="26th Glendale Windsor 2in PE Pub Im"/>
        <s v="Railroad St Repl BS/CS w 1515'-2in;"/>
        <s v="AOR 5717 Troost Repl CI w 50'-8in T"/>
        <s v="9th &amp; Ridenbaugh Repl B/CS w 558'-4"/>
        <s v="19th &amp; Harlem Repl PBS w 430'-2in P"/>
        <s v="Build DRS 100 LS Rd and GV Lateral"/>
        <s v="14th &amp; Bennington Reloc PBS w 15'-3"/>
        <s v="33rd &amp; Vermont Rectifier/GroundBed"/>
        <s v="74th Ter &amp; Woodson Repl PCS w 50'-2"/>
        <s v="25th &amp; Indiana Repl CI w 500'-4;379"/>
        <s v="22nd &amp; Shelby Repl PBS w 410'-2in P"/>
        <s v="291 &amp; Commercial Reloc CS w 1659'-6"/>
        <s v="Farley Ave Repl PBS w 9325'-2;285'-"/>
        <s v="BWO SERVICE LINE REPL BLOCK COMPANY"/>
        <s v="BWO SERVICE LINE REPL CONTRACT-SLRP"/>
        <s v="41st &amp; Penn Repl PBS w 560'-4in PE"/>
        <s v="Hayward Ave Repl PBS w 5040'-2in PE"/>
        <s v="52nd &amp; Oak Repl PBS with 40'-12in T"/>
        <s v="W0137 Rectifier Groundbed Replaceme"/>
        <s v="7th St Repl PCS w 19'-3in TF Steel"/>
        <s v="AOR Indep Ave Repl CI w 60'-6in PE"/>
        <s v="KANSAS CITY STAR-2IN REPL SERVICE"/>
        <s v="Railroad St Repl PBS w 25'-6;10'-4i"/>
        <s v="20th &amp; Wisconsin Reloc 120'-8;1250'"/>
        <s v="Walnut Repl PCS w 15'-3in TF Steel"/>
        <s v="Geneve Repl PBS w  310'-2in PE main"/>
        <s v="KC Street Car Ph 1 Reloc CI w 2815'"/>
        <s v="24 Hwy &amp; Overton Reloc PBS w 100'-4"/>
        <s v="Texas St Repl CS w 56'- 2in PE Main"/>
        <s v="AOR 33rd &amp; Wayne Repl CI w 120'-4in"/>
        <s v="Replace Fuses on WO 132353 Thistle"/>
        <s v="Country Ln &amp; Columbus Reloc 124'-2i"/>
        <s v="80th Public Impr Reloc CS/BS w 1428"/>
        <s v="Olive Repl PBS w 518'-4in PE main"/>
        <s v="1026 Fredericksburg Repl PCS w 21'-"/>
        <s v="38th &amp; N Brighton Reloc PCS w 20'-8"/>
        <s v="Hwy 97 Repl PCS w 10'-2in TF Steel"/>
        <s v="48th &amp; Oak Repl PBS w 45'-12in TF S"/>
        <s v="Range Line Rd Repl PBS w 105'-2&quot;PE"/>
        <s v="Gardner Ave Reloc DRS 424"/>
        <s v="Ward Pkwy &amp; 62nd St Reloc CI w 3564"/>
        <s v="Askew Repl CI w 1175'-2in PE main"/>
        <s v="34th &amp; Indiana Repl PBS w 2590'-4in"/>
        <s v="AOR 6115 Main Repl CI w 40'-6in PE"/>
        <s v="Alley 7th &amp; Jones Reloc 75'-2in PE"/>
        <s v="55th &amp; Woodland Repl CI w 12in TF S"/>
        <s v="7th &amp; Minnesota Repl PBS w 2350'-4;"/>
        <s v="Butler Repl PBS w 2930'-2in PE main"/>
        <s v="27th &amp; Lawn Repl CI/PBS w 2118'-6in"/>
        <s v="83rd &amp; Raytown Rd Tie 2in PE"/>
        <s v="Lincolnwood Reloc PCS w 20'-4in PE"/>
        <s v="Tie PE mains to C500 System Crysler"/>
        <s v="N Jackson Reloc PBS/PCS w 995'-4;1,"/>
        <s v="AOR CI Repl 240'-6in PE main"/>
        <s v="AOR 425 N Denver Repl CI w 35'-6in"/>
        <s v="Grand &amp; South Reloc PBS w 4270'-2in"/>
        <s v="Jefferson Repl PBS/PCS w 1080'-6;82"/>
        <s v="Doniphan Dr Repl 2in CS Service Lin"/>
        <s v="BWO SERVICE REPL MODIFIED BLOCK CON"/>
        <s v="26th btw Brooklyn/Prospect Repl CI"/>
        <s v="Lexington &amp; Short Repl PBS w 220'-2"/>
        <s v="291 Hwy &amp; Truman Rd Rebuild DRS 122"/>
        <s v="11th&amp;Picher CP Repl PBS w 1095'-4in"/>
        <s v="33rd Terr Reloc PBS w 620'-2in Pe"/>
        <s v="Fairview Rd Rebuild DRS 55"/>
        <s v="113th &amp; Main Rebuild DRS #332"/>
        <s v="31st &amp; Overton Repl PBS w 500'-2in"/>
        <s v="Highland Ave Repl CI w 1330'-2in PE"/>
        <s v="63rd &amp; Indiana Repl CI w PE Main  P"/>
        <s v="Cass County Hydrotest Phase 2"/>
        <s v="Kansas City Street Car Phase 2"/>
        <s v="Kelly Road Main Ext Facilitate Hydr"/>
        <s v="Florida Ave Repl PBS w 588'-2in PE"/>
        <s v="KC Street Car Ph 3 Reloc CI, PBS w"/>
        <s v="Cheynne &amp; Daisy Falls Reloc 290'-4i"/>
        <s v="Highland &amp; College Repl PBS w 330'-"/>
        <s v="84th &amp; Hillcrest Repl PCS w 1235'-2"/>
        <s v="AOR Repl CI w 125'-6in PE main"/>
        <s v="Palmer Repl PCS w 15'-2in PE main"/>
        <s v="16th &amp; Decker Reloc CS w 250'-4in P"/>
        <s v="33rd &amp; Vermont Repl PBS w 22300'-2;"/>
        <s v="71 Ter &amp; Ralston Repl PBS main w 23"/>
        <s v="Colbern &amp; Unity Way Reloc PBS w 550"/>
        <s v="23rd &amp; Walnut Repl PBS w 360'-2in P"/>
        <s v="Broad St Repl PBS w 530'-2in PE mai"/>
        <s v="Folger Repl PBS w 1350'-2in PE main"/>
        <s v="911 Main St Repl 8in Steel Service"/>
        <s v="AOR 1837 E 48th Ter Repl CI w 500'-"/>
        <s v="101 E 9th Repl CS w 2in PE Service"/>
        <s v="84th &amp; Tracy Repl PBS w 24'-TF Stee"/>
        <s v="Cast Iron Repl Proj Ph I Sec0306 KC"/>
        <s v="RD Mize &amp; 7 hwy Repl PCS inlet DRS"/>
        <s v="Market St Repl PBS w 1320'-2in PE m"/>
        <s v="Lexington &amp; Strode Repl PBS w 440'-"/>
        <s v="31st Overton Repl PBS/PCS w 3425'-2"/>
        <s v="W Franklin Repl PBS w 130'-4in PE m"/>
        <s v="Rebuild DRS 1 09-25 RD Mize"/>
        <s v="Middleton Repl CI w 542'-6in PE mai"/>
        <s v="16th &amp; Moss Repl PBS w 450'-4in PE"/>
        <s v="11TH &amp; BROADWAY Repl 103'-2in PE ma"/>
        <s v="14th &amp; Scaramento Repl PBS w 150'-4"/>
        <s v="59th &amp; Kentucky Repl PCS/PBS w 885'"/>
        <s v="Wabash &amp; St John Repl CI w 190'-4in"/>
        <s v="171 &amp; Pearl Repl PBS w 625'-2in PE"/>
        <s v="Blue Pkwy Repl PBS/PE w 2557'-4in;1"/>
        <s v="3rd St &amp; Maple Repl PBS w 139'-2in"/>
        <s v="18th &amp; Lydia Repl CI w 8'-6in PE ma"/>
        <s v="39th &amp; N Spruce Repl PBS w 2400'-2i"/>
        <s v="6th &amp; Sycamore Repl PBS w 150'-2in;"/>
        <s v="13508 Oak St Repl 2in Service Line"/>
        <s v="South St &amp; Oak Ridge Repl PBS w CS/"/>
        <s v="N Overland Dr Repl 16'-8in CS main"/>
        <s v="Riverview Repl PBS w 6011'-4;707'-2"/>
        <s v="43rd/47th Belfontaine CI Repl Proj"/>
        <s v="1511 Brooklyn REPL CI w 101'-4IN PE"/>
        <s v="11th &amp; Broadway Repl PBS w 50'-2in"/>
        <s v="18th St Repl PBS w 303'-2in PE main"/>
        <s v="Sloan Ave Reloc 10'-3in CS main"/>
        <s v="Spratt Ave Repl PBS w 454'- 2in PE"/>
        <s v="Monterey &amp; 16th Repl PBS w 406'-2in"/>
        <s v="Hines &amp; Main Repl PBS/PCS w 5775'-2"/>
        <s v="73rd Crt Reloc PCS w 325'-6in TF St"/>
        <s v="Pleasant Valley Rd Reloc PBSPCS w 1"/>
        <s v="20th &amp; Monroe Repl CI w 1122'-2in P"/>
        <s v="11th &amp; Highview Reloc PBS w 1245'-2"/>
        <s v="Rolla &amp; Brownell Reloc PBS w 1185'-"/>
        <s v="24th &amp; Vernon Repl PBS w/ 410'-8in"/>
        <s v="So HWY 171 &amp; 43 Reloc PCS w 42'-4in"/>
        <s v="4th &amp; Sylvanie St Repl 8in CI w 600"/>
        <s v="1901 S Market Reloc 2in PE Service"/>
        <s v="56 &amp; Troost Repl CU/CI w 175'-2 PE;"/>
        <s v="7th &amp; Orange Reloc pcs w 18'-6in CS"/>
        <s v="CI Repl due to graphitization"/>
        <s v="92nd Ter &amp; Holmes Reloc PBS w 30'-6"/>
        <s v="56th Terr Reloc 20'-2in CS main"/>
        <s v="Wilshire Reloc PCS w 60'-2in;30'-4i"/>
        <s v="Franklin St Reloc PBS w 1402'-4;70'"/>
        <s v="1st &amp; McKinley Reloc PBS w 1215'-2i"/>
        <s v="Pennel &amp; Summit Reloc BS/CS w 485'-"/>
        <s v="NE Kelsey Reloc PCS/PBS w 100'-4in"/>
        <s v="803 Bales Ct Repl CI w 40'-4in PE m"/>
        <s v="NE 45th Ter Repl BS/PE w 6'-2in PE"/>
        <s v="NE 67th Ter &amp; N Euclid Repl 5'-2in"/>
        <s v="2415 Walrond Repl CI w 15'-6in PE m"/>
        <s v="Kensington &amp; E 112 Ter Reloc PB w 1"/>
        <s v="18th Ter Repl CI/CS w 2945'-4;340'-"/>
        <s v="Excelsior Springs Public Improvemen"/>
        <s v="Install 2in PE distribution main Je"/>
        <s v="Northwyck Park Rectifier and Ground"/>
        <s v="Repl 1.25 and 2 in CS Main"/>
        <s v="Stones Corner Main Relocation"/>
        <s v="AOR 6in CI Replacement with 65ft-6i"/>
        <s v="Repl 288ft PBS with 295ft 2in Plast"/>
        <s v="2in PBS REPLACEMENT"/>
        <s v="Relocate 220'-8in PBS with Thin Fil"/>
        <s v="Lower 167ft of 2in PE"/>
        <s v="Repl 391ft BS 86ft CS  with 479ft 2"/>
        <s v="Reactivate Main for Webster Element"/>
        <s v="Replace w/ 210ft of 4in PE due to D"/>
        <s v="Replace 4inch PCS/PBS main"/>
        <s v="2in PE Main Relocation"/>
        <s v="Replace 6in PBS 20th and Arlington"/>
        <s v="CI Replacement w/ 2,430ft-4in PE"/>
        <s v="3in PBS Main Replacement"/>
        <s v="Repl 177ft 2in BS with 180ft 2in Pl"/>
        <s v="Repl with 375ft of 2in PE due to CP"/>
        <s v="Replace 1 1/4 plastic with 2in PE"/>
        <s v="Repl  60ft of 2in PE main with 2inP"/>
        <s v="4in CI Replacement"/>
        <s v="BWO SLRP MTR/REG REPL COMPANY"/>
        <s v="BWO MTR/REG SET REPL CONTRACTOR-SLR"/>
        <s v="BWO MTR/REG SET REPL CONTRACTOR SLR"/>
        <s v="BWO REPL MTR/REG SETTING COMPANY SL"/>
      </sharedItems>
    </cacheField>
    <cacheField name="Funding Proj. No." numFmtId="0">
      <sharedItems count="88">
        <s v="F0613"/>
        <s v="F0580"/>
        <s v="F0592"/>
        <s v="F0504"/>
        <s v="F0547"/>
        <s v="F0663"/>
        <s v="F0634"/>
        <s v="F0664"/>
        <s v="F0544"/>
        <s v="F0604"/>
        <s v="F0484"/>
        <s v="F0558"/>
        <s v="F0581"/>
        <s v="F0568"/>
        <s v="F0552"/>
        <s v="F0522"/>
        <s v="F0487"/>
        <s v="F0578"/>
        <s v="F0636"/>
        <s v="F0646"/>
        <s v="F0621"/>
        <s v="F0549"/>
        <s v="F0599"/>
        <s v="F0600"/>
        <s v="F0598"/>
        <s v="F0655"/>
        <s v="F0520"/>
        <s v="F0486"/>
        <s v="F0637"/>
        <s v="F0576"/>
        <s v="F0572"/>
        <s v="F0524"/>
        <s v="F0624"/>
        <s v="F0494"/>
        <s v="F0515"/>
        <s v="F0502"/>
        <s v="F0672"/>
        <s v="F0575"/>
        <s v="F0503"/>
        <s v="F0545"/>
        <s v="F0623"/>
        <s v="F0650"/>
        <s v="F0517"/>
        <s v="F0559"/>
        <s v="F0608"/>
        <s v="F0513"/>
        <s v="F0546"/>
        <s v="F0665"/>
        <s v="F0500"/>
        <s v="F0587"/>
        <s v="F0586"/>
        <s v="F0607"/>
        <s v="F0541"/>
        <s v="F0626"/>
        <s v="F0497"/>
        <s v="F0605"/>
        <s v="F0648"/>
        <s v="F0594"/>
        <s v="F0618"/>
        <s v="F0555"/>
        <s v="F0561"/>
        <s v="F0631"/>
        <s v="F0527"/>
        <s v="F0526"/>
        <s v="F0659"/>
        <s v="F0501"/>
        <s v="F0668"/>
        <s v="F0506"/>
        <s v="F0632"/>
        <s v="F0567"/>
        <s v="F0669"/>
        <s v="F0591"/>
        <s v="F0649"/>
        <s v="F0514"/>
        <s v="F0612"/>
        <s v="F0595"/>
        <s v="F0678"/>
        <s v="F0633"/>
        <s v="F0573"/>
        <s v="F0516"/>
        <s v="F0652"/>
        <s v="F0535"/>
        <s v="F0543"/>
        <s v="F0666"/>
        <s v="F0583"/>
        <s v="F0519"/>
        <s v="F0596"/>
        <s v="F0629"/>
      </sharedItems>
    </cacheField>
    <cacheField name="Funding Project Description" numFmtId="0">
      <sharedItems count="25">
        <s v="Replace bare steel main - safety re"/>
        <s v="Replace steel &amp; plastic main"/>
        <s v="Street &amp; highway relocates"/>
        <s v="SLRP - immediate response - company"/>
        <s v="SLRP - modified block by block - co"/>
        <s v="SLRP - block by block - contract"/>
        <s v="SLRP - materials - company crews"/>
        <s v="Rectifier Initial Installation"/>
        <s v="Street &amp; highway relocates - safety"/>
        <s v="Replace cast iron main - CPI / prio"/>
        <s v="Station Rebuild &amp; Replacement"/>
        <s v="Service line locates"/>
        <s v="SLRP - immediate response - contrac"/>
        <s v="Encapsulation - cast iron joints"/>
        <s v="34-394-100-PIPESAFE"/>
        <s v="Other main replacements - system re"/>
        <s v="Rectifier Replacements"/>
        <s v="SLRP - materials - contract"/>
        <s v="Replace existing protected steel, p"/>
        <s v="Services - 2&quot; &amp; larger"/>
        <s v="Rectifier initial installations"/>
        <s v="SLRP - block by block - company cre"/>
        <s v="Services - 2&quot; &amp; larger - safety"/>
        <s v="Other relocates"/>
        <s v="SLRP - meter &amp; regulator replacemen"/>
      </sharedItems>
    </cacheField>
    <cacheField name="FERC Activity" numFmtId="0">
      <sharedItems/>
    </cacheField>
    <cacheField name="Month" numFmtId="0">
      <sharedItems containsSemiMixedTypes="0" containsString="0" containsNumber="1" containsInteger="1" minValue="201409" maxValue="201412" count="4">
        <n v="201409"/>
        <n v="201410"/>
        <n v="201411"/>
        <n v="201412"/>
      </sharedItems>
    </cacheField>
    <cacheField name="Addition Amount" numFmtId="43">
      <sharedItems containsSemiMixedTypes="0" containsString="0" containsNumber="1" minValue="-1179275" maxValue="4268934.05"/>
    </cacheField>
    <cacheField name="Months" numFmtId="0">
      <sharedItems containsSemiMixedTypes="0" containsString="0" containsNumber="1" containsInteger="1" minValue="0" maxValue="0"/>
    </cacheField>
    <cacheField name="Depr Mo. Rate" numFmtId="164">
      <sharedItems containsSemiMixedTypes="0" containsString="0" containsNumber="1" minValue="1.4833299999999999E-3" maxValue="2.3833299999999999E-3"/>
    </cacheField>
    <cacheField name="Accum. Depr" numFmtId="43">
      <sharedItems containsSemiMixedTypes="0" containsString="0" containsNumber="1" containsInteger="1" minValue="0" maxValue="0"/>
    </cacheField>
    <cacheField name="Depr Expense" numFmtId="43">
      <sharedItems containsSemiMixedTypes="0" containsString="0" containsNumber="1" minValue="-20991.05" maxValue="75986.8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2">
  <r>
    <s v="376100-Mains - Steel"/>
    <s v="20401133249"/>
    <s v="003788"/>
    <x v="0"/>
    <x v="0"/>
    <x v="0"/>
    <x v="0"/>
    <s v="Addition"/>
    <x v="0"/>
    <n v="-607.88"/>
    <n v="0"/>
    <n v="1.4833299999999999E-3"/>
    <n v="0"/>
    <n v="-10.82"/>
  </r>
  <r>
    <s v="376100-Mains - Steel"/>
    <s v="20909133142"/>
    <s v="003793"/>
    <x v="0"/>
    <x v="1"/>
    <x v="1"/>
    <x v="1"/>
    <s v="Addition"/>
    <x v="0"/>
    <n v="2.6"/>
    <n v="0"/>
    <n v="1.4833299999999999E-3"/>
    <n v="0"/>
    <n v="0.05"/>
  </r>
  <r>
    <s v="376100-Mains - Steel"/>
    <s v="20802132908"/>
    <s v="003795"/>
    <x v="0"/>
    <x v="2"/>
    <x v="2"/>
    <x v="0"/>
    <s v="Addition"/>
    <x v="0"/>
    <n v="-49.61"/>
    <n v="0"/>
    <n v="1.4833299999999999E-3"/>
    <n v="0"/>
    <n v="-0.88"/>
  </r>
  <r>
    <s v="376100-Mains - Steel"/>
    <s v="21001132796"/>
    <s v="003797"/>
    <x v="0"/>
    <x v="3"/>
    <x v="3"/>
    <x v="0"/>
    <s v="Addition"/>
    <x v="0"/>
    <n v="-133.36000000000001"/>
    <n v="0"/>
    <n v="1.4833299999999999E-3"/>
    <n v="0"/>
    <n v="-2.37"/>
  </r>
  <r>
    <s v="376100-Mains - Steel"/>
    <s v="21219132984"/>
    <s v="003801"/>
    <x v="0"/>
    <x v="4"/>
    <x v="4"/>
    <x v="2"/>
    <s v="Addition"/>
    <x v="0"/>
    <n v="10.42"/>
    <n v="0"/>
    <n v="1.4833299999999999E-3"/>
    <n v="0"/>
    <n v="0.19"/>
  </r>
  <r>
    <s v="376100-Mains - Steel"/>
    <s v="21271132955"/>
    <s v="003802"/>
    <x v="0"/>
    <x v="5"/>
    <x v="5"/>
    <x v="0"/>
    <s v="Addition"/>
    <x v="0"/>
    <n v="7.45"/>
    <n v="0"/>
    <n v="1.4833299999999999E-3"/>
    <n v="0"/>
    <n v="0.13"/>
  </r>
  <r>
    <s v="376100-Mains - Steel"/>
    <s v="20802132882"/>
    <s v="003806"/>
    <x v="0"/>
    <x v="6"/>
    <x v="6"/>
    <x v="0"/>
    <s v="Addition"/>
    <x v="0"/>
    <n v="20.05"/>
    <n v="0"/>
    <n v="1.4833299999999999E-3"/>
    <n v="0"/>
    <n v="0.36"/>
  </r>
  <r>
    <s v="376100-Mains - Steel"/>
    <s v="20501132871"/>
    <s v="003807"/>
    <x v="0"/>
    <x v="7"/>
    <x v="7"/>
    <x v="2"/>
    <s v="Addition"/>
    <x v="0"/>
    <n v="24425.73"/>
    <n v="0"/>
    <n v="1.4833299999999999E-3"/>
    <n v="0"/>
    <n v="434.78"/>
  </r>
  <r>
    <s v="376100-Mains - Steel"/>
    <s v="20501132871"/>
    <s v="003807"/>
    <x v="0"/>
    <x v="7"/>
    <x v="7"/>
    <x v="2"/>
    <s v="Addition"/>
    <x v="1"/>
    <n v="-17.78"/>
    <n v="0"/>
    <n v="1.4833299999999999E-3"/>
    <n v="0"/>
    <n v="-0.32"/>
  </r>
  <r>
    <s v="376300-Mains - Plastic"/>
    <s v="20503143406"/>
    <s v="003808"/>
    <x v="0"/>
    <x v="8"/>
    <x v="8"/>
    <x v="0"/>
    <s v="Addition"/>
    <x v="2"/>
    <n v="180848.77"/>
    <n v="0"/>
    <n v="1.4833299999999999E-3"/>
    <n v="0"/>
    <n v="3219.1"/>
  </r>
  <r>
    <s v="376300-Mains - Plastic"/>
    <s v="20503143406"/>
    <s v="003808"/>
    <x v="0"/>
    <x v="8"/>
    <x v="8"/>
    <x v="0"/>
    <s v="Addition"/>
    <x v="3"/>
    <n v="395.39"/>
    <n v="0"/>
    <n v="1.4833299999999999E-3"/>
    <n v="0"/>
    <n v="7.04"/>
  </r>
  <r>
    <s v="376300-Mains - Plastic"/>
    <s v="20201133152"/>
    <s v="003809"/>
    <x v="0"/>
    <x v="9"/>
    <x v="9"/>
    <x v="0"/>
    <s v="Addition"/>
    <x v="0"/>
    <n v="9975.01"/>
    <n v="0"/>
    <n v="1.4833299999999999E-3"/>
    <n v="0"/>
    <n v="177.55"/>
  </r>
  <r>
    <s v="376300-Mains - Plastic"/>
    <s v="20201133152"/>
    <s v="003809"/>
    <x v="0"/>
    <x v="9"/>
    <x v="9"/>
    <x v="0"/>
    <s v="Addition"/>
    <x v="1"/>
    <n v="0"/>
    <n v="0"/>
    <n v="1.4833299999999999E-3"/>
    <n v="0"/>
    <n v="0"/>
  </r>
  <r>
    <s v="376100-Mains - Steel"/>
    <s v="20801133175"/>
    <s v="003810"/>
    <x v="0"/>
    <x v="10"/>
    <x v="2"/>
    <x v="0"/>
    <s v="Addition"/>
    <x v="0"/>
    <n v="3.2"/>
    <n v="0"/>
    <n v="1.4833299999999999E-3"/>
    <n v="0"/>
    <n v="0.06"/>
  </r>
  <r>
    <s v="380200-Services"/>
    <s v="20201050360"/>
    <s v="003815"/>
    <x v="1"/>
    <x v="11"/>
    <x v="10"/>
    <x v="3"/>
    <s v="Addition"/>
    <x v="0"/>
    <n v="33.67"/>
    <n v="0"/>
    <n v="2.23333E-3"/>
    <n v="0"/>
    <n v="0.9"/>
  </r>
  <r>
    <s v="380200-Services"/>
    <s v="20201050360"/>
    <s v="003815"/>
    <x v="1"/>
    <x v="11"/>
    <x v="10"/>
    <x v="3"/>
    <s v="Addition"/>
    <x v="1"/>
    <n v="0"/>
    <n v="0"/>
    <n v="2.23333E-3"/>
    <n v="0"/>
    <n v="0"/>
  </r>
  <r>
    <s v="380200-Services"/>
    <s v="20401050360"/>
    <s v="003816"/>
    <x v="1"/>
    <x v="12"/>
    <x v="11"/>
    <x v="3"/>
    <s v="Addition"/>
    <x v="0"/>
    <n v="29889.97"/>
    <n v="0"/>
    <n v="2.23333E-3"/>
    <n v="0"/>
    <n v="801.05"/>
  </r>
  <r>
    <s v="380200-Services"/>
    <s v="20401050360"/>
    <s v="003816"/>
    <x v="1"/>
    <x v="12"/>
    <x v="11"/>
    <x v="3"/>
    <s v="Addition"/>
    <x v="1"/>
    <n v="170646.25"/>
    <n v="0"/>
    <n v="2.23333E-3"/>
    <n v="0"/>
    <n v="4573.3100000000004"/>
  </r>
  <r>
    <s v="380200-Services"/>
    <s v="20401050360"/>
    <s v="003816"/>
    <x v="1"/>
    <x v="12"/>
    <x v="11"/>
    <x v="3"/>
    <s v="Addition"/>
    <x v="2"/>
    <n v="75040.75"/>
    <n v="0"/>
    <n v="2.23333E-3"/>
    <n v="0"/>
    <n v="2011.09"/>
  </r>
  <r>
    <s v="380200-Services"/>
    <s v="20401050360"/>
    <s v="003816"/>
    <x v="1"/>
    <x v="12"/>
    <x v="11"/>
    <x v="3"/>
    <s v="Addition"/>
    <x v="3"/>
    <n v="137868.63"/>
    <n v="0"/>
    <n v="2.23333E-3"/>
    <n v="0"/>
    <n v="3694.87"/>
  </r>
  <r>
    <s v="380200-Services"/>
    <s v="20901050371"/>
    <s v="003817"/>
    <x v="1"/>
    <x v="13"/>
    <x v="12"/>
    <x v="4"/>
    <s v="Addition"/>
    <x v="0"/>
    <n v="5719.2"/>
    <n v="0"/>
    <n v="2.23333E-3"/>
    <n v="0"/>
    <n v="153.27000000000001"/>
  </r>
  <r>
    <s v="380200-Services"/>
    <s v="20401050372"/>
    <s v="003818"/>
    <x v="1"/>
    <x v="14"/>
    <x v="13"/>
    <x v="5"/>
    <s v="Addition"/>
    <x v="0"/>
    <n v="152025.89000000001"/>
    <n v="0"/>
    <n v="2.23333E-3"/>
    <n v="0"/>
    <n v="4074.29"/>
  </r>
  <r>
    <s v="380200-Services"/>
    <s v="20401050372"/>
    <s v="003818"/>
    <x v="1"/>
    <x v="14"/>
    <x v="13"/>
    <x v="5"/>
    <s v="Addition"/>
    <x v="1"/>
    <n v="28628.69"/>
    <n v="0"/>
    <n v="2.23333E-3"/>
    <n v="0"/>
    <n v="767.25"/>
  </r>
  <r>
    <s v="380200-Services"/>
    <s v="20401050372"/>
    <s v="003818"/>
    <x v="1"/>
    <x v="14"/>
    <x v="13"/>
    <x v="5"/>
    <s v="Addition"/>
    <x v="2"/>
    <n v="18288.689999999999"/>
    <n v="0"/>
    <n v="2.23333E-3"/>
    <n v="0"/>
    <n v="490.14"/>
  </r>
  <r>
    <s v="380200-Services"/>
    <s v="20401050372"/>
    <s v="003818"/>
    <x v="1"/>
    <x v="14"/>
    <x v="13"/>
    <x v="5"/>
    <s v="Addition"/>
    <x v="3"/>
    <n v="21637.919999999998"/>
    <n v="0"/>
    <n v="2.23333E-3"/>
    <n v="0"/>
    <n v="579.9"/>
  </r>
  <r>
    <s v="380200-Services"/>
    <s v="20801050372"/>
    <s v="003819"/>
    <x v="1"/>
    <x v="15"/>
    <x v="14"/>
    <x v="5"/>
    <s v="Addition"/>
    <x v="0"/>
    <n v="5005.29"/>
    <n v="0"/>
    <n v="2.23333E-3"/>
    <n v="0"/>
    <n v="134.13999999999999"/>
  </r>
  <r>
    <s v="380200-Services"/>
    <s v="20801050361"/>
    <s v="003823"/>
    <x v="1"/>
    <x v="13"/>
    <x v="15"/>
    <x v="4"/>
    <s v="Addition"/>
    <x v="0"/>
    <n v="26370.98"/>
    <n v="0"/>
    <n v="2.23333E-3"/>
    <n v="0"/>
    <n v="706.74"/>
  </r>
  <r>
    <s v="380200-Services"/>
    <s v="20801050361"/>
    <s v="003823"/>
    <x v="1"/>
    <x v="13"/>
    <x v="15"/>
    <x v="4"/>
    <s v="Addition"/>
    <x v="1"/>
    <n v="7587.08"/>
    <n v="0"/>
    <n v="2.23333E-3"/>
    <n v="0"/>
    <n v="203.33"/>
  </r>
  <r>
    <s v="380200-Services"/>
    <s v="20801050361"/>
    <s v="003823"/>
    <x v="1"/>
    <x v="13"/>
    <x v="15"/>
    <x v="4"/>
    <s v="Addition"/>
    <x v="2"/>
    <n v="25805.41"/>
    <n v="0"/>
    <n v="2.23333E-3"/>
    <n v="0"/>
    <n v="691.58"/>
  </r>
  <r>
    <s v="380200-Services"/>
    <s v="20801050361"/>
    <s v="003823"/>
    <x v="1"/>
    <x v="13"/>
    <x v="15"/>
    <x v="4"/>
    <s v="Addition"/>
    <x v="3"/>
    <n v="11747.82"/>
    <n v="0"/>
    <n v="2.23333E-3"/>
    <n v="0"/>
    <n v="314.83999999999997"/>
  </r>
  <r>
    <s v="380200-Services"/>
    <s v="20401050367"/>
    <s v="003826"/>
    <x v="1"/>
    <x v="16"/>
    <x v="16"/>
    <x v="6"/>
    <s v="Addition"/>
    <x v="0"/>
    <n v="-596.15"/>
    <n v="0"/>
    <n v="2.23333E-3"/>
    <n v="0"/>
    <n v="-15.98"/>
  </r>
  <r>
    <s v="376100-Mains - Steel"/>
    <s v="20910132661"/>
    <s v="003829"/>
    <x v="0"/>
    <x v="17"/>
    <x v="9"/>
    <x v="0"/>
    <s v="Addition"/>
    <x v="0"/>
    <n v="0.32"/>
    <n v="0"/>
    <n v="1.4833299999999999E-3"/>
    <n v="0"/>
    <n v="0.01"/>
  </r>
  <r>
    <s v="376100-Mains - Steel"/>
    <s v="20928132664"/>
    <s v="003833"/>
    <x v="0"/>
    <x v="18"/>
    <x v="17"/>
    <x v="2"/>
    <s v="Addition"/>
    <x v="0"/>
    <n v="-39.9"/>
    <n v="0"/>
    <n v="1.4833299999999999E-3"/>
    <n v="0"/>
    <n v="-0.71"/>
  </r>
  <r>
    <s v="376100-Mains - Steel"/>
    <s v="20401132322"/>
    <s v="003838"/>
    <x v="0"/>
    <x v="19"/>
    <x v="18"/>
    <x v="1"/>
    <s v="Addition"/>
    <x v="0"/>
    <n v="-10120.82"/>
    <n v="0"/>
    <n v="1.4833299999999999E-3"/>
    <n v="0"/>
    <n v="-180.15"/>
  </r>
  <r>
    <s v="376100-Mains - Steel"/>
    <s v="20401132322"/>
    <s v="003838"/>
    <x v="0"/>
    <x v="19"/>
    <x v="18"/>
    <x v="1"/>
    <s v="Addition"/>
    <x v="1"/>
    <n v="-961.99"/>
    <n v="0"/>
    <n v="1.4833299999999999E-3"/>
    <n v="0"/>
    <n v="-17.12"/>
  </r>
  <r>
    <s v="376100-Mains - Steel"/>
    <s v="20401132322"/>
    <s v="003838"/>
    <x v="0"/>
    <x v="19"/>
    <x v="18"/>
    <x v="1"/>
    <s v="Addition"/>
    <x v="2"/>
    <n v="132.91"/>
    <n v="0"/>
    <n v="1.4833299999999999E-3"/>
    <n v="0"/>
    <n v="2.37"/>
  </r>
  <r>
    <s v="376100-Mains - Steel"/>
    <s v="20909132747"/>
    <s v="003839"/>
    <x v="0"/>
    <x v="20"/>
    <x v="19"/>
    <x v="0"/>
    <s v="Addition"/>
    <x v="0"/>
    <n v="-30.63"/>
    <n v="0"/>
    <n v="1.4833299999999999E-3"/>
    <n v="0"/>
    <n v="-0.55000000000000004"/>
  </r>
  <r>
    <s v="376100-Mains - Steel"/>
    <s v="20501132517"/>
    <s v="003844"/>
    <x v="0"/>
    <x v="21"/>
    <x v="8"/>
    <x v="0"/>
    <s v="Addition"/>
    <x v="0"/>
    <n v="-170.7"/>
    <n v="0"/>
    <n v="1.4833299999999999E-3"/>
    <n v="0"/>
    <n v="-3.04"/>
  </r>
  <r>
    <s v="376100-Mains - Steel"/>
    <s v="20901132505"/>
    <s v="003845"/>
    <x v="0"/>
    <x v="22"/>
    <x v="1"/>
    <x v="1"/>
    <s v="Addition"/>
    <x v="0"/>
    <n v="-586.59"/>
    <n v="0"/>
    <n v="1.4833299999999999E-3"/>
    <n v="0"/>
    <n v="-10.44"/>
  </r>
  <r>
    <s v="376100-Mains - Steel"/>
    <s v="20806132677"/>
    <s v="003846"/>
    <x v="0"/>
    <x v="23"/>
    <x v="2"/>
    <x v="0"/>
    <s v="Addition"/>
    <x v="0"/>
    <n v="-269.26"/>
    <n v="0"/>
    <n v="1.4833299999999999E-3"/>
    <n v="0"/>
    <n v="-4.79"/>
  </r>
  <r>
    <s v="376100-Mains - Steel"/>
    <s v="20806132655"/>
    <s v="003848"/>
    <x v="0"/>
    <x v="24"/>
    <x v="20"/>
    <x v="7"/>
    <s v="Addition"/>
    <x v="0"/>
    <n v="-131.71"/>
    <n v="0"/>
    <n v="1.4833299999999999E-3"/>
    <n v="0"/>
    <n v="-2.34"/>
  </r>
  <r>
    <s v="376100-Mains - Steel"/>
    <s v="20201132800"/>
    <s v="003859"/>
    <x v="0"/>
    <x v="25"/>
    <x v="9"/>
    <x v="0"/>
    <s v="Addition"/>
    <x v="0"/>
    <n v="-1334.18"/>
    <n v="0"/>
    <n v="1.4833299999999999E-3"/>
    <n v="0"/>
    <n v="-23.75"/>
  </r>
  <r>
    <s v="376100-Mains - Steel"/>
    <s v="21001132830"/>
    <s v="003861"/>
    <x v="0"/>
    <x v="26"/>
    <x v="3"/>
    <x v="0"/>
    <s v="Addition"/>
    <x v="0"/>
    <n v="-317.52"/>
    <n v="0"/>
    <n v="1.4833299999999999E-3"/>
    <n v="0"/>
    <n v="-5.65"/>
  </r>
  <r>
    <s v="376100-Mains - Steel"/>
    <s v="20902143310"/>
    <s v="003866"/>
    <x v="0"/>
    <x v="27"/>
    <x v="21"/>
    <x v="8"/>
    <s v="Addition"/>
    <x v="0"/>
    <n v="-3718.06"/>
    <n v="0"/>
    <n v="1.4833299999999999E-3"/>
    <n v="0"/>
    <n v="-66.180000000000007"/>
  </r>
  <r>
    <s v="376300-Mains - Plastic"/>
    <s v="20401133186"/>
    <s v="003869"/>
    <x v="0"/>
    <x v="28"/>
    <x v="22"/>
    <x v="9"/>
    <s v="Addition"/>
    <x v="0"/>
    <n v="-2154.0500000000002"/>
    <n v="0"/>
    <n v="1.4833299999999999E-3"/>
    <n v="0"/>
    <n v="-38.340000000000003"/>
  </r>
  <r>
    <s v="376100-Mains - Steel"/>
    <s v="20201132920"/>
    <s v="003871"/>
    <x v="0"/>
    <x v="29"/>
    <x v="9"/>
    <x v="0"/>
    <s v="Addition"/>
    <x v="0"/>
    <n v="-515.72"/>
    <n v="0"/>
    <n v="1.4833299999999999E-3"/>
    <n v="0"/>
    <n v="-9.18"/>
  </r>
  <r>
    <s v="376300-Mains - Plastic"/>
    <s v="20902133172"/>
    <s v="003874"/>
    <x v="0"/>
    <x v="30"/>
    <x v="9"/>
    <x v="0"/>
    <s v="Addition"/>
    <x v="2"/>
    <n v="800090.36"/>
    <n v="0"/>
    <n v="1.4833299999999999E-3"/>
    <n v="0"/>
    <n v="14241.58"/>
  </r>
  <r>
    <s v="376300-Mains - Plastic"/>
    <s v="20902133172"/>
    <s v="003874"/>
    <x v="0"/>
    <x v="30"/>
    <x v="9"/>
    <x v="0"/>
    <s v="Addition"/>
    <x v="3"/>
    <n v="4971.3500000000004"/>
    <n v="0"/>
    <n v="1.4833299999999999E-3"/>
    <n v="0"/>
    <n v="88.49"/>
  </r>
  <r>
    <s v="376100-Mains - Steel"/>
    <s v="21274132678"/>
    <s v="003876"/>
    <x v="0"/>
    <x v="31"/>
    <x v="4"/>
    <x v="2"/>
    <s v="Addition"/>
    <x v="0"/>
    <n v="-860.78"/>
    <n v="0"/>
    <n v="1.4833299999999999E-3"/>
    <n v="0"/>
    <n v="-15.32"/>
  </r>
  <r>
    <s v="376100-Mains - Steel"/>
    <s v="21274132678"/>
    <s v="003876"/>
    <x v="0"/>
    <x v="31"/>
    <x v="4"/>
    <x v="2"/>
    <s v="Addition"/>
    <x v="3"/>
    <n v="19553.21"/>
    <n v="0"/>
    <n v="1.4833299999999999E-3"/>
    <n v="0"/>
    <n v="348.05"/>
  </r>
  <r>
    <s v="376100-Mains - Steel"/>
    <s v="20501133145"/>
    <s v="003878"/>
    <x v="0"/>
    <x v="32"/>
    <x v="7"/>
    <x v="2"/>
    <s v="Addition"/>
    <x v="0"/>
    <n v="-31.85"/>
    <n v="0"/>
    <n v="1.4833299999999999E-3"/>
    <n v="0"/>
    <n v="-0.56999999999999995"/>
  </r>
  <r>
    <s v="376100-Mains - Steel"/>
    <s v="20813133153"/>
    <s v="003879"/>
    <x v="0"/>
    <x v="33"/>
    <x v="2"/>
    <x v="0"/>
    <s v="Addition"/>
    <x v="0"/>
    <n v="-469.08"/>
    <n v="0"/>
    <n v="1.4833299999999999E-3"/>
    <n v="0"/>
    <n v="-8.35"/>
  </r>
  <r>
    <s v="376100-Mains - Steel"/>
    <s v="21261143281"/>
    <s v="003885"/>
    <x v="0"/>
    <x v="34"/>
    <x v="18"/>
    <x v="1"/>
    <s v="Addition"/>
    <x v="0"/>
    <n v="-217.66"/>
    <n v="0"/>
    <n v="1.4833299999999999E-3"/>
    <n v="0"/>
    <n v="-3.87"/>
  </r>
  <r>
    <s v="376100-Mains - Steel"/>
    <s v="20318132937"/>
    <s v="003887"/>
    <x v="0"/>
    <x v="35"/>
    <x v="9"/>
    <x v="0"/>
    <s v="Addition"/>
    <x v="0"/>
    <n v="-286.58999999999997"/>
    <n v="0"/>
    <n v="1.4833299999999999E-3"/>
    <n v="0"/>
    <n v="-5.0999999999999996"/>
  </r>
  <r>
    <s v="379000-Meas &amp; Reg Station Eqpt-City"/>
    <s v="20830143409"/>
    <s v="003893"/>
    <x v="0"/>
    <x v="36"/>
    <x v="23"/>
    <x v="10"/>
    <s v="Addition"/>
    <x v="0"/>
    <n v="-54"/>
    <n v="0"/>
    <n v="2.1916700000000002E-3"/>
    <n v="0"/>
    <n v="-1.42"/>
  </r>
  <r>
    <s v="376100-Mains - Steel"/>
    <s v="20201133133"/>
    <s v="003903"/>
    <x v="0"/>
    <x v="37"/>
    <x v="9"/>
    <x v="0"/>
    <s v="Addition"/>
    <x v="0"/>
    <n v="-3880.74"/>
    <n v="0"/>
    <n v="1.4833299999999999E-3"/>
    <n v="0"/>
    <n v="-69.08"/>
  </r>
  <r>
    <s v="376300-Mains - Plastic"/>
    <s v="20201133133"/>
    <s v="003903"/>
    <x v="0"/>
    <x v="37"/>
    <x v="9"/>
    <x v="0"/>
    <s v="Addition"/>
    <x v="0"/>
    <n v="-865.45"/>
    <n v="0"/>
    <n v="1.4833299999999999E-3"/>
    <n v="0"/>
    <n v="-15.4"/>
  </r>
  <r>
    <s v="376100-Mains - Steel"/>
    <s v="20812132959"/>
    <s v="003904"/>
    <x v="0"/>
    <x v="38"/>
    <x v="24"/>
    <x v="1"/>
    <s v="Addition"/>
    <x v="0"/>
    <n v="10.59"/>
    <n v="0"/>
    <n v="1.4833299999999999E-3"/>
    <n v="0"/>
    <n v="0.19"/>
  </r>
  <r>
    <s v="376100-Mains - Steel"/>
    <s v="20813132958"/>
    <s v="003905"/>
    <x v="0"/>
    <x v="39"/>
    <x v="24"/>
    <x v="1"/>
    <s v="Addition"/>
    <x v="0"/>
    <n v="28.45"/>
    <n v="0"/>
    <n v="1.4833299999999999E-3"/>
    <n v="0"/>
    <n v="0.51"/>
  </r>
  <r>
    <s v="376100-Mains - Steel"/>
    <s v="20501143427"/>
    <s v="003906"/>
    <x v="0"/>
    <x v="40"/>
    <x v="7"/>
    <x v="2"/>
    <s v="Addition"/>
    <x v="0"/>
    <n v="-243.49"/>
    <n v="0"/>
    <n v="1.4833299999999999E-3"/>
    <n v="0"/>
    <n v="-4.33"/>
  </r>
  <r>
    <s v="376100-Mains - Steel"/>
    <s v="20601132986"/>
    <s v="003910"/>
    <x v="0"/>
    <x v="41"/>
    <x v="7"/>
    <x v="2"/>
    <s v="Addition"/>
    <x v="0"/>
    <n v="-1163.68"/>
    <n v="0"/>
    <n v="1.4833299999999999E-3"/>
    <n v="0"/>
    <n v="-20.71"/>
  </r>
  <r>
    <s v="376100-Mains - Steel"/>
    <s v="21207133243"/>
    <s v="003914"/>
    <x v="0"/>
    <x v="42"/>
    <x v="18"/>
    <x v="1"/>
    <s v="Addition"/>
    <x v="0"/>
    <n v="-23.18"/>
    <n v="0"/>
    <n v="1.4833299999999999E-3"/>
    <n v="0"/>
    <n v="-0.41"/>
  </r>
  <r>
    <s v="376100-Mains - Steel"/>
    <s v="20201133170"/>
    <s v="003921"/>
    <x v="0"/>
    <x v="43"/>
    <x v="9"/>
    <x v="0"/>
    <s v="Addition"/>
    <x v="0"/>
    <n v="-2735.91"/>
    <n v="0"/>
    <n v="1.4833299999999999E-3"/>
    <n v="0"/>
    <n v="-48.7"/>
  </r>
  <r>
    <s v="376100-Mains - Steel"/>
    <s v="20201133170"/>
    <s v="003921"/>
    <x v="0"/>
    <x v="43"/>
    <x v="9"/>
    <x v="0"/>
    <s v="Addition"/>
    <x v="2"/>
    <n v="-151959.22"/>
    <n v="0"/>
    <n v="1.4833299999999999E-3"/>
    <n v="0"/>
    <n v="-2704.87"/>
  </r>
  <r>
    <s v="376300-Mains - Plastic"/>
    <s v="20201133170"/>
    <s v="003921"/>
    <x v="0"/>
    <x v="43"/>
    <x v="9"/>
    <x v="0"/>
    <s v="Addition"/>
    <x v="2"/>
    <n v="151959.22"/>
    <n v="0"/>
    <n v="1.4833299999999999E-3"/>
    <n v="0"/>
    <n v="2704.87"/>
  </r>
  <r>
    <s v="380200-Services"/>
    <s v="20401050309"/>
    <s v="003927"/>
    <x v="1"/>
    <x v="44"/>
    <x v="25"/>
    <x v="11"/>
    <s v="Addition"/>
    <x v="1"/>
    <n v="100.15"/>
    <n v="0"/>
    <n v="2.23333E-3"/>
    <n v="0"/>
    <n v="2.68"/>
  </r>
  <r>
    <s v="380200-Services"/>
    <s v="20401050309"/>
    <s v="003927"/>
    <x v="1"/>
    <x v="44"/>
    <x v="25"/>
    <x v="11"/>
    <s v="Addition"/>
    <x v="2"/>
    <n v="-2.78"/>
    <n v="0"/>
    <n v="2.23333E-3"/>
    <n v="0"/>
    <n v="-7.0000000000000007E-2"/>
  </r>
  <r>
    <s v="380200-Services"/>
    <s v="20401050309"/>
    <s v="003927"/>
    <x v="1"/>
    <x v="44"/>
    <x v="25"/>
    <x v="11"/>
    <s v="Addition"/>
    <x v="3"/>
    <n v="-8.64"/>
    <n v="0"/>
    <n v="2.23333E-3"/>
    <n v="0"/>
    <n v="-0.23"/>
  </r>
  <r>
    <s v="380200-Services"/>
    <s v="20801050360"/>
    <s v="003929"/>
    <x v="1"/>
    <x v="11"/>
    <x v="26"/>
    <x v="3"/>
    <s v="Addition"/>
    <x v="0"/>
    <n v="4610.79"/>
    <n v="0"/>
    <n v="2.23333E-3"/>
    <n v="0"/>
    <n v="123.57"/>
  </r>
  <r>
    <s v="380200-Services"/>
    <s v="20801050360"/>
    <s v="003929"/>
    <x v="1"/>
    <x v="11"/>
    <x v="26"/>
    <x v="3"/>
    <s v="Addition"/>
    <x v="2"/>
    <n v="-444.19"/>
    <n v="0"/>
    <n v="2.23333E-3"/>
    <n v="0"/>
    <n v="-11.9"/>
  </r>
  <r>
    <s v="380200-Services"/>
    <s v="20801050360"/>
    <s v="003929"/>
    <x v="1"/>
    <x v="11"/>
    <x v="26"/>
    <x v="3"/>
    <s v="Addition"/>
    <x v="3"/>
    <n v="28.04"/>
    <n v="0"/>
    <n v="2.23333E-3"/>
    <n v="0"/>
    <n v="0.75"/>
  </r>
  <r>
    <s v="380200-Services"/>
    <s v="20401050361"/>
    <s v="003932"/>
    <x v="1"/>
    <x v="45"/>
    <x v="27"/>
    <x v="4"/>
    <s v="Addition"/>
    <x v="0"/>
    <n v="103697.26"/>
    <n v="0"/>
    <n v="2.23333E-3"/>
    <n v="0"/>
    <n v="2779.08"/>
  </r>
  <r>
    <s v="380200-Services"/>
    <s v="20401050361"/>
    <s v="003932"/>
    <x v="1"/>
    <x v="45"/>
    <x v="27"/>
    <x v="4"/>
    <s v="Addition"/>
    <x v="1"/>
    <n v="64057.599999999999"/>
    <n v="0"/>
    <n v="2.23333E-3"/>
    <n v="0"/>
    <n v="1716.74"/>
  </r>
  <r>
    <s v="380200-Services"/>
    <s v="20401050361"/>
    <s v="003932"/>
    <x v="1"/>
    <x v="45"/>
    <x v="27"/>
    <x v="4"/>
    <s v="Addition"/>
    <x v="2"/>
    <n v="8450.75"/>
    <n v="0"/>
    <n v="2.23333E-3"/>
    <n v="0"/>
    <n v="226.48"/>
  </r>
  <r>
    <s v="380200-Services"/>
    <s v="20401050361"/>
    <s v="003932"/>
    <x v="1"/>
    <x v="45"/>
    <x v="27"/>
    <x v="4"/>
    <s v="Addition"/>
    <x v="3"/>
    <n v="23427.599999999999"/>
    <n v="0"/>
    <n v="2.23333E-3"/>
    <n v="0"/>
    <n v="627.86"/>
  </r>
  <r>
    <s v="380200-Services"/>
    <s v="20801050367"/>
    <s v="003935"/>
    <x v="1"/>
    <x v="46"/>
    <x v="28"/>
    <x v="6"/>
    <s v="Addition"/>
    <x v="0"/>
    <n v="-46.62"/>
    <n v="0"/>
    <n v="2.23333E-3"/>
    <n v="0"/>
    <n v="-1.25"/>
  </r>
  <r>
    <s v="380200-Services"/>
    <s v="20501050370"/>
    <s v="003937"/>
    <x v="1"/>
    <x v="47"/>
    <x v="29"/>
    <x v="12"/>
    <s v="Addition"/>
    <x v="0"/>
    <n v="-620.16"/>
    <n v="0"/>
    <n v="2.23333E-3"/>
    <n v="0"/>
    <n v="-16.62"/>
  </r>
  <r>
    <s v="376100-Mains - Steel"/>
    <s v="20501132715"/>
    <s v="003957"/>
    <x v="0"/>
    <x v="48"/>
    <x v="30"/>
    <x v="0"/>
    <s v="Addition"/>
    <x v="0"/>
    <n v="-587.16999999999996"/>
    <n v="0"/>
    <n v="1.4833299999999999E-3"/>
    <n v="0"/>
    <n v="-10.45"/>
  </r>
  <r>
    <s v="376200-Mains - Cast Iron"/>
    <s v="20401050325"/>
    <s v="003969"/>
    <x v="0"/>
    <x v="49"/>
    <x v="31"/>
    <x v="13"/>
    <s v="Addition"/>
    <x v="0"/>
    <n v="120417.26"/>
    <n v="0"/>
    <n v="1.4833299999999999E-3"/>
    <n v="0"/>
    <n v="2143.42"/>
  </r>
  <r>
    <s v="376200-Mains - Cast Iron"/>
    <s v="20401050325"/>
    <s v="003969"/>
    <x v="0"/>
    <x v="49"/>
    <x v="31"/>
    <x v="13"/>
    <s v="Addition"/>
    <x v="1"/>
    <n v="70665.899999999994"/>
    <n v="0"/>
    <n v="1.4833299999999999E-3"/>
    <n v="0"/>
    <n v="1257.8499999999999"/>
  </r>
  <r>
    <s v="376200-Mains - Cast Iron"/>
    <s v="20401050325"/>
    <s v="003969"/>
    <x v="0"/>
    <x v="49"/>
    <x v="31"/>
    <x v="13"/>
    <s v="Addition"/>
    <x v="2"/>
    <n v="63472.43"/>
    <n v="0"/>
    <n v="1.4833299999999999E-3"/>
    <n v="0"/>
    <n v="1129.81"/>
  </r>
  <r>
    <s v="376200-Mains - Cast Iron"/>
    <s v="20401050325"/>
    <s v="003969"/>
    <x v="0"/>
    <x v="49"/>
    <x v="31"/>
    <x v="13"/>
    <s v="Addition"/>
    <x v="3"/>
    <n v="30904.42"/>
    <n v="0"/>
    <n v="1.4833299999999999E-3"/>
    <n v="0"/>
    <n v="550.1"/>
  </r>
  <r>
    <s v="380200-Services"/>
    <s v="20501050372"/>
    <s v="003972"/>
    <x v="1"/>
    <x v="15"/>
    <x v="32"/>
    <x v="5"/>
    <s v="Addition"/>
    <x v="0"/>
    <n v="6250.26"/>
    <n v="0"/>
    <n v="2.23333E-3"/>
    <n v="0"/>
    <n v="167.51"/>
  </r>
  <r>
    <s v="380200-Services"/>
    <s v="20501050372"/>
    <s v="003972"/>
    <x v="1"/>
    <x v="15"/>
    <x v="32"/>
    <x v="5"/>
    <s v="Addition"/>
    <x v="2"/>
    <n v="-864.28"/>
    <n v="0"/>
    <n v="2.23333E-3"/>
    <n v="0"/>
    <n v="-23.16"/>
  </r>
  <r>
    <s v="380200-Services"/>
    <s v="20501050372"/>
    <s v="003972"/>
    <x v="1"/>
    <x v="15"/>
    <x v="32"/>
    <x v="5"/>
    <s v="Addition"/>
    <x v="3"/>
    <n v="18.05"/>
    <n v="0"/>
    <n v="2.23333E-3"/>
    <n v="0"/>
    <n v="0.48"/>
  </r>
  <r>
    <s v="380200-Services"/>
    <s v="20501050361"/>
    <s v="003975"/>
    <x v="1"/>
    <x v="13"/>
    <x v="33"/>
    <x v="4"/>
    <s v="Addition"/>
    <x v="0"/>
    <n v="16732.5"/>
    <n v="0"/>
    <n v="2.23333E-3"/>
    <n v="0"/>
    <n v="448.43"/>
  </r>
  <r>
    <s v="380200-Services"/>
    <s v="20501050361"/>
    <s v="003975"/>
    <x v="1"/>
    <x v="13"/>
    <x v="33"/>
    <x v="4"/>
    <s v="Addition"/>
    <x v="1"/>
    <n v="955.76"/>
    <n v="0"/>
    <n v="2.23333E-3"/>
    <n v="0"/>
    <n v="25.61"/>
  </r>
  <r>
    <s v="380200-Services"/>
    <s v="20501050361"/>
    <s v="003975"/>
    <x v="1"/>
    <x v="13"/>
    <x v="33"/>
    <x v="4"/>
    <s v="Addition"/>
    <x v="2"/>
    <n v="-783.88"/>
    <n v="0"/>
    <n v="2.23333E-3"/>
    <n v="0"/>
    <n v="-21.01"/>
  </r>
  <r>
    <s v="380200-Services"/>
    <s v="20501050361"/>
    <s v="003975"/>
    <x v="1"/>
    <x v="13"/>
    <x v="33"/>
    <x v="4"/>
    <s v="Addition"/>
    <x v="3"/>
    <n v="148.91"/>
    <n v="0"/>
    <n v="2.23333E-3"/>
    <n v="0"/>
    <n v="3.99"/>
  </r>
  <r>
    <s v="380200-Services"/>
    <s v="20901050361"/>
    <s v="003976"/>
    <x v="1"/>
    <x v="13"/>
    <x v="34"/>
    <x v="4"/>
    <s v="Addition"/>
    <x v="0"/>
    <n v="46346.59"/>
    <n v="0"/>
    <n v="2.23333E-3"/>
    <n v="0"/>
    <n v="1242.0899999999999"/>
  </r>
  <r>
    <s v="380200-Services"/>
    <s v="20901050361"/>
    <s v="003976"/>
    <x v="1"/>
    <x v="13"/>
    <x v="34"/>
    <x v="4"/>
    <s v="Addition"/>
    <x v="1"/>
    <n v="7523.71"/>
    <n v="0"/>
    <n v="2.23333E-3"/>
    <n v="0"/>
    <n v="201.64"/>
  </r>
  <r>
    <s v="380200-Services"/>
    <s v="20901050361"/>
    <s v="003976"/>
    <x v="1"/>
    <x v="13"/>
    <x v="34"/>
    <x v="4"/>
    <s v="Addition"/>
    <x v="2"/>
    <n v="-3450.23"/>
    <n v="0"/>
    <n v="2.23333E-3"/>
    <n v="0"/>
    <n v="-92.47"/>
  </r>
  <r>
    <s v="380200-Services"/>
    <s v="20901050361"/>
    <s v="003976"/>
    <x v="1"/>
    <x v="13"/>
    <x v="34"/>
    <x v="4"/>
    <s v="Addition"/>
    <x v="3"/>
    <n v="4761.8599999999997"/>
    <n v="0"/>
    <n v="2.23333E-3"/>
    <n v="0"/>
    <n v="127.62"/>
  </r>
  <r>
    <s v="376100-Mains - Steel"/>
    <s v="20401132526"/>
    <s v="003988"/>
    <x v="0"/>
    <x v="50"/>
    <x v="4"/>
    <x v="2"/>
    <s v="Addition"/>
    <x v="0"/>
    <n v="34.520000000000003"/>
    <n v="0"/>
    <n v="1.4833299999999999E-3"/>
    <n v="0"/>
    <n v="0.61"/>
  </r>
  <r>
    <s v="376100-Mains - Steel"/>
    <s v="20301132519"/>
    <s v="003991"/>
    <x v="0"/>
    <x v="51"/>
    <x v="9"/>
    <x v="0"/>
    <s v="Addition"/>
    <x v="0"/>
    <n v="16.510000000000002"/>
    <n v="0"/>
    <n v="1.4833299999999999E-3"/>
    <n v="0"/>
    <n v="0.28999999999999998"/>
  </r>
  <r>
    <s v="378000-Meas &amp; Reg Station Equipment"/>
    <s v="20910121696"/>
    <s v="003998"/>
    <x v="0"/>
    <x v="52"/>
    <x v="23"/>
    <x v="10"/>
    <s v="Addition"/>
    <x v="0"/>
    <n v="5.08"/>
    <n v="0"/>
    <n v="2.3833299999999999E-3"/>
    <n v="0"/>
    <n v="0.15"/>
  </r>
  <r>
    <s v="376101-MGE-Mains Steel-Transmission"/>
    <s v="20401132311"/>
    <s v="004000"/>
    <x v="0"/>
    <x v="53"/>
    <x v="35"/>
    <x v="14"/>
    <s v="Addition"/>
    <x v="0"/>
    <n v="-9517.91"/>
    <n v="0"/>
    <n v="1.4833299999999999E-3"/>
    <n v="0"/>
    <n v="-169.42"/>
  </r>
  <r>
    <s v="376100-Mains - Steel"/>
    <s v="20909117602"/>
    <s v="004005"/>
    <x v="0"/>
    <x v="54"/>
    <x v="9"/>
    <x v="0"/>
    <s v="Addition"/>
    <x v="0"/>
    <n v="-0.82"/>
    <n v="0"/>
    <n v="1.4833299999999999E-3"/>
    <n v="0"/>
    <n v="-0.01"/>
  </r>
  <r>
    <s v="376100-Mains - Steel"/>
    <s v="20909132791"/>
    <s v="004005"/>
    <x v="0"/>
    <x v="54"/>
    <x v="9"/>
    <x v="0"/>
    <s v="Addition"/>
    <x v="0"/>
    <n v="-735.35"/>
    <n v="0"/>
    <n v="1.4833299999999999E-3"/>
    <n v="0"/>
    <n v="-13.09"/>
  </r>
  <r>
    <s v="376100-Mains - Steel"/>
    <s v="20401132805"/>
    <s v="004007"/>
    <x v="0"/>
    <x v="55"/>
    <x v="22"/>
    <x v="9"/>
    <s v="Addition"/>
    <x v="0"/>
    <n v="-226.18"/>
    <n v="0"/>
    <n v="1.4833299999999999E-3"/>
    <n v="0"/>
    <n v="-4.03"/>
  </r>
  <r>
    <s v="376100-Mains - Steel"/>
    <s v="20201132785"/>
    <s v="004024"/>
    <x v="0"/>
    <x v="56"/>
    <x v="36"/>
    <x v="15"/>
    <s v="Addition"/>
    <x v="0"/>
    <n v="-257.27"/>
    <n v="0"/>
    <n v="1.4833299999999999E-3"/>
    <n v="0"/>
    <n v="-4.58"/>
  </r>
  <r>
    <s v="376100-Mains - Steel"/>
    <s v="20201132786"/>
    <s v="004025"/>
    <x v="0"/>
    <x v="57"/>
    <x v="36"/>
    <x v="15"/>
    <s v="Addition"/>
    <x v="0"/>
    <n v="-264.56"/>
    <n v="0"/>
    <n v="1.4833299999999999E-3"/>
    <n v="0"/>
    <n v="-4.71"/>
  </r>
  <r>
    <s v="376100-Mains - Steel"/>
    <s v="20902132933"/>
    <s v="004027"/>
    <x v="0"/>
    <x v="58"/>
    <x v="9"/>
    <x v="0"/>
    <s v="Addition"/>
    <x v="0"/>
    <n v="-405.55"/>
    <n v="0"/>
    <n v="1.4833299999999999E-3"/>
    <n v="0"/>
    <n v="-7.22"/>
  </r>
  <r>
    <s v="376100-Mains - Steel"/>
    <s v="20901132945"/>
    <s v="004028"/>
    <x v="0"/>
    <x v="59"/>
    <x v="17"/>
    <x v="2"/>
    <s v="Addition"/>
    <x v="0"/>
    <n v="3"/>
    <n v="0"/>
    <n v="1.4833299999999999E-3"/>
    <n v="0"/>
    <n v="0.05"/>
  </r>
  <r>
    <s v="376100-Mains - Steel"/>
    <s v="20322133096"/>
    <s v="004031"/>
    <x v="0"/>
    <x v="60"/>
    <x v="9"/>
    <x v="0"/>
    <s v="Addition"/>
    <x v="0"/>
    <n v="0.82"/>
    <n v="0"/>
    <n v="1.4833299999999999E-3"/>
    <n v="0"/>
    <n v="0.01"/>
  </r>
  <r>
    <s v="376100-Mains - Steel"/>
    <s v="21001143357"/>
    <s v="004034"/>
    <x v="0"/>
    <x v="61"/>
    <x v="3"/>
    <x v="0"/>
    <s v="Addition"/>
    <x v="0"/>
    <n v="-319.74"/>
    <n v="0"/>
    <n v="1.4833299999999999E-3"/>
    <n v="0"/>
    <n v="-5.69"/>
  </r>
  <r>
    <s v="376100-Mains - Steel"/>
    <s v="21001143357"/>
    <s v="004034"/>
    <x v="0"/>
    <x v="61"/>
    <x v="3"/>
    <x v="0"/>
    <s v="Addition"/>
    <x v="1"/>
    <n v="-30089.42"/>
    <n v="0"/>
    <n v="1.4833299999999999E-3"/>
    <n v="0"/>
    <n v="-535.59"/>
  </r>
  <r>
    <s v="376300-Mains - Plastic"/>
    <s v="21001143357"/>
    <s v="004034"/>
    <x v="0"/>
    <x v="61"/>
    <x v="3"/>
    <x v="0"/>
    <s v="Addition"/>
    <x v="1"/>
    <n v="30089.42"/>
    <n v="0"/>
    <n v="1.4833299999999999E-3"/>
    <n v="0"/>
    <n v="535.59"/>
  </r>
  <r>
    <s v="376100-Mains - Steel"/>
    <s v="20401143311"/>
    <s v="004036"/>
    <x v="0"/>
    <x v="62"/>
    <x v="4"/>
    <x v="2"/>
    <s v="Addition"/>
    <x v="0"/>
    <n v="-955.41"/>
    <n v="0"/>
    <n v="1.4833299999999999E-3"/>
    <n v="0"/>
    <n v="-17.010000000000002"/>
  </r>
  <r>
    <s v="376300-Mains - Plastic"/>
    <s v="20401143311"/>
    <s v="004036"/>
    <x v="0"/>
    <x v="62"/>
    <x v="4"/>
    <x v="2"/>
    <s v="Addition"/>
    <x v="0"/>
    <n v="-211.86"/>
    <n v="0"/>
    <n v="1.4833299999999999E-3"/>
    <n v="0"/>
    <n v="-3.77"/>
  </r>
  <r>
    <s v="376100-Mains - Steel"/>
    <s v="20940143315"/>
    <s v="004037"/>
    <x v="0"/>
    <x v="63"/>
    <x v="17"/>
    <x v="2"/>
    <s v="Addition"/>
    <x v="0"/>
    <n v="-53.52"/>
    <n v="0"/>
    <n v="1.4833299999999999E-3"/>
    <n v="0"/>
    <n v="-0.95"/>
  </r>
  <r>
    <s v="376100-Mains - Steel"/>
    <s v="20940143315"/>
    <s v="004037"/>
    <x v="0"/>
    <x v="63"/>
    <x v="17"/>
    <x v="2"/>
    <s v="Addition"/>
    <x v="3"/>
    <n v="-1972.63"/>
    <n v="0"/>
    <n v="1.4833299999999999E-3"/>
    <n v="0"/>
    <n v="-35.11"/>
  </r>
  <r>
    <s v="376300-Mains - Plastic"/>
    <s v="20940143315"/>
    <s v="004037"/>
    <x v="0"/>
    <x v="63"/>
    <x v="17"/>
    <x v="2"/>
    <s v="Addition"/>
    <x v="3"/>
    <n v="1972.63"/>
    <n v="0"/>
    <n v="1.4833299999999999E-3"/>
    <n v="0"/>
    <n v="35.11"/>
  </r>
  <r>
    <s v="376100-Mains - Steel"/>
    <s v="20401133116"/>
    <s v="004038"/>
    <x v="0"/>
    <x v="64"/>
    <x v="4"/>
    <x v="2"/>
    <s v="Addition"/>
    <x v="0"/>
    <n v="-3433.06"/>
    <n v="0"/>
    <n v="1.4833299999999999E-3"/>
    <n v="0"/>
    <n v="-61.11"/>
  </r>
  <r>
    <s v="376300-Mains - Plastic"/>
    <s v="20601133126"/>
    <s v="004040"/>
    <x v="0"/>
    <x v="65"/>
    <x v="8"/>
    <x v="0"/>
    <s v="Addition"/>
    <x v="1"/>
    <n v="258234.64"/>
    <n v="0"/>
    <n v="1.4833299999999999E-3"/>
    <n v="0"/>
    <n v="4596.57"/>
  </r>
  <r>
    <s v="376100-Mains - Steel"/>
    <s v="20401133219"/>
    <s v="004041"/>
    <x v="0"/>
    <x v="66"/>
    <x v="0"/>
    <x v="0"/>
    <s v="Addition"/>
    <x v="0"/>
    <n v="-258.58"/>
    <n v="0"/>
    <n v="1.4833299999999999E-3"/>
    <n v="0"/>
    <n v="-4.5999999999999996"/>
  </r>
  <r>
    <s v="376100-Mains - Steel"/>
    <s v="20201132794"/>
    <s v="004042"/>
    <x v="0"/>
    <x v="67"/>
    <x v="9"/>
    <x v="0"/>
    <s v="Addition"/>
    <x v="0"/>
    <n v="-309.68"/>
    <n v="0"/>
    <n v="1.4833299999999999E-3"/>
    <n v="0"/>
    <n v="-5.51"/>
  </r>
  <r>
    <s v="376100-Mains - Steel"/>
    <s v="20513133102"/>
    <s v="004044"/>
    <x v="0"/>
    <x v="68"/>
    <x v="37"/>
    <x v="1"/>
    <s v="Addition"/>
    <x v="0"/>
    <n v="-79.17"/>
    <n v="0"/>
    <n v="1.4833299999999999E-3"/>
    <n v="0"/>
    <n v="-1.41"/>
  </r>
  <r>
    <s v="376100-Mains - Steel"/>
    <s v="20401133168"/>
    <s v="004056"/>
    <x v="0"/>
    <x v="69"/>
    <x v="0"/>
    <x v="0"/>
    <s v="Addition"/>
    <x v="0"/>
    <n v="-1027.9100000000001"/>
    <n v="0"/>
    <n v="1.4833299999999999E-3"/>
    <n v="0"/>
    <n v="-18.3"/>
  </r>
  <r>
    <s v="376100-Mains - Steel"/>
    <s v="20401133185"/>
    <s v="004062"/>
    <x v="0"/>
    <x v="70"/>
    <x v="22"/>
    <x v="9"/>
    <s v="Addition"/>
    <x v="0"/>
    <n v="-683.05"/>
    <n v="0"/>
    <n v="1.4833299999999999E-3"/>
    <n v="0"/>
    <n v="-12.16"/>
  </r>
  <r>
    <s v="376100-Mains - Steel"/>
    <s v="20501133125"/>
    <s v="004064"/>
    <x v="0"/>
    <x v="71"/>
    <x v="30"/>
    <x v="0"/>
    <s v="Addition"/>
    <x v="3"/>
    <n v="48840.31"/>
    <n v="0"/>
    <n v="1.4833299999999999E-3"/>
    <n v="0"/>
    <n v="869.36"/>
  </r>
  <r>
    <s v="376300-Mains - Plastic"/>
    <s v="20901143388"/>
    <s v="004070"/>
    <x v="0"/>
    <x v="72"/>
    <x v="17"/>
    <x v="2"/>
    <s v="Addition"/>
    <x v="0"/>
    <n v="-52.25"/>
    <n v="0"/>
    <n v="1.4833299999999999E-3"/>
    <n v="0"/>
    <n v="-0.93"/>
  </r>
  <r>
    <s v="376300-Mains - Plastic"/>
    <s v="20901143388"/>
    <s v="004070"/>
    <x v="0"/>
    <x v="72"/>
    <x v="17"/>
    <x v="2"/>
    <s v="Addition"/>
    <x v="2"/>
    <n v="0"/>
    <n v="0"/>
    <n v="1.4833299999999999E-3"/>
    <n v="0"/>
    <n v="0"/>
  </r>
  <r>
    <s v="376300-Mains - Plastic"/>
    <s v="21001143358"/>
    <s v="004071"/>
    <x v="0"/>
    <x v="73"/>
    <x v="3"/>
    <x v="0"/>
    <s v="Addition"/>
    <x v="0"/>
    <n v="-195.22"/>
    <n v="0"/>
    <n v="1.4833299999999999E-3"/>
    <n v="0"/>
    <n v="-3.47"/>
  </r>
  <r>
    <s v="376300-Mains - Plastic"/>
    <s v="21001143358"/>
    <s v="004071"/>
    <x v="0"/>
    <x v="73"/>
    <x v="3"/>
    <x v="0"/>
    <s v="Addition"/>
    <x v="1"/>
    <n v="0"/>
    <n v="0"/>
    <n v="1.4833299999999999E-3"/>
    <n v="0"/>
    <n v="0"/>
  </r>
  <r>
    <s v="376300-Mains - Plastic"/>
    <s v="20501133207"/>
    <s v="004081"/>
    <x v="0"/>
    <x v="74"/>
    <x v="30"/>
    <x v="0"/>
    <s v="Addition"/>
    <x v="2"/>
    <n v="40780.9"/>
    <n v="0"/>
    <n v="1.4833299999999999E-3"/>
    <n v="0"/>
    <n v="725.9"/>
  </r>
  <r>
    <s v="376300-Mains - Plastic"/>
    <s v="20501133207"/>
    <s v="004081"/>
    <x v="0"/>
    <x v="74"/>
    <x v="30"/>
    <x v="0"/>
    <s v="Addition"/>
    <x v="3"/>
    <n v="-104.47"/>
    <n v="0"/>
    <n v="1.4833299999999999E-3"/>
    <n v="0"/>
    <n v="-1.86"/>
  </r>
  <r>
    <s v="376100-Mains - Steel"/>
    <s v="20810133054"/>
    <s v="004082"/>
    <x v="0"/>
    <x v="75"/>
    <x v="24"/>
    <x v="1"/>
    <s v="Addition"/>
    <x v="0"/>
    <n v="5.0199999999999996"/>
    <n v="0"/>
    <n v="1.4833299999999999E-3"/>
    <n v="0"/>
    <n v="0.09"/>
  </r>
  <r>
    <s v="376100-Mains - Steel"/>
    <s v="20401133187"/>
    <s v="004093"/>
    <x v="0"/>
    <x v="76"/>
    <x v="22"/>
    <x v="9"/>
    <s v="Addition"/>
    <x v="0"/>
    <n v="-417.76"/>
    <n v="0"/>
    <n v="1.4833299999999999E-3"/>
    <n v="0"/>
    <n v="-7.44"/>
  </r>
  <r>
    <s v="376100-Mains - Steel"/>
    <s v="20401133037"/>
    <s v="004096"/>
    <x v="0"/>
    <x v="77"/>
    <x v="22"/>
    <x v="9"/>
    <s v="Addition"/>
    <x v="0"/>
    <n v="-427.59"/>
    <n v="0"/>
    <n v="1.4833299999999999E-3"/>
    <n v="0"/>
    <n v="-7.61"/>
  </r>
  <r>
    <s v="376100-Mains - Steel"/>
    <s v="20201133048"/>
    <s v="004097"/>
    <x v="0"/>
    <x v="78"/>
    <x v="38"/>
    <x v="16"/>
    <s v="Addition"/>
    <x v="0"/>
    <n v="-370.12"/>
    <n v="0"/>
    <n v="1.4833299999999999E-3"/>
    <n v="0"/>
    <n v="-6.59"/>
  </r>
  <r>
    <s v="376300-Mains - Plastic"/>
    <s v="20806133205"/>
    <s v="004100"/>
    <x v="0"/>
    <x v="79"/>
    <x v="2"/>
    <x v="0"/>
    <s v="Addition"/>
    <x v="0"/>
    <n v="-118.82"/>
    <n v="0"/>
    <n v="1.4833299999999999E-3"/>
    <n v="0"/>
    <n v="-2.11"/>
  </r>
  <r>
    <s v="376100-Mains - Steel"/>
    <s v="21271143343"/>
    <s v="004102"/>
    <x v="0"/>
    <x v="80"/>
    <x v="18"/>
    <x v="1"/>
    <s v="Addition"/>
    <x v="0"/>
    <n v="5.61"/>
    <n v="0"/>
    <n v="1.4833299999999999E-3"/>
    <n v="0"/>
    <n v="0.1"/>
  </r>
  <r>
    <s v="376300-Mains - Plastic"/>
    <s v="21001143318"/>
    <s v="004103"/>
    <x v="0"/>
    <x v="81"/>
    <x v="3"/>
    <x v="0"/>
    <s v="Addition"/>
    <x v="0"/>
    <n v="-149.47999999999999"/>
    <n v="0"/>
    <n v="1.4833299999999999E-3"/>
    <n v="0"/>
    <n v="-2.66"/>
  </r>
  <r>
    <s v="376100-Mains - Steel"/>
    <s v="20909132835"/>
    <s v="004113"/>
    <x v="0"/>
    <x v="82"/>
    <x v="9"/>
    <x v="0"/>
    <s v="Addition"/>
    <x v="0"/>
    <n v="-2164.7800000000002"/>
    <n v="0"/>
    <n v="1.4833299999999999E-3"/>
    <n v="0"/>
    <n v="-38.53"/>
  </r>
  <r>
    <s v="376100-Mains - Steel"/>
    <s v="20201132625"/>
    <s v="004114"/>
    <x v="0"/>
    <x v="83"/>
    <x v="9"/>
    <x v="0"/>
    <s v="Addition"/>
    <x v="0"/>
    <n v="-1152.29"/>
    <n v="0"/>
    <n v="1.4833299999999999E-3"/>
    <n v="0"/>
    <n v="-20.51"/>
  </r>
  <r>
    <s v="379000-Meas &amp; Reg Station Eqpt-City"/>
    <s v="21235132901"/>
    <s v="004119"/>
    <x v="0"/>
    <x v="84"/>
    <x v="23"/>
    <x v="10"/>
    <s v="Addition"/>
    <x v="0"/>
    <n v="-787.04"/>
    <n v="0"/>
    <n v="2.1916700000000002E-3"/>
    <n v="0"/>
    <n v="-20.7"/>
  </r>
  <r>
    <s v="376100-Mains - Steel"/>
    <s v="20501132979"/>
    <s v="004121"/>
    <x v="0"/>
    <x v="85"/>
    <x v="7"/>
    <x v="2"/>
    <s v="Addition"/>
    <x v="0"/>
    <n v="-1802.78"/>
    <n v="0"/>
    <n v="1.4833299999999999E-3"/>
    <n v="0"/>
    <n v="-32.090000000000003"/>
  </r>
  <r>
    <s v="376100-Mains - Steel"/>
    <s v="21204133050"/>
    <s v="004126"/>
    <x v="0"/>
    <x v="86"/>
    <x v="38"/>
    <x v="16"/>
    <s v="Addition"/>
    <x v="0"/>
    <n v="478.42"/>
    <n v="0"/>
    <n v="1.4833299999999999E-3"/>
    <n v="0"/>
    <n v="8.52"/>
  </r>
  <r>
    <s v="376100-Mains - Steel"/>
    <s v="21204133050"/>
    <s v="004126"/>
    <x v="0"/>
    <x v="86"/>
    <x v="38"/>
    <x v="16"/>
    <s v="Addition"/>
    <x v="1"/>
    <n v="940.85"/>
    <n v="0"/>
    <n v="1.4833299999999999E-3"/>
    <n v="0"/>
    <n v="16.75"/>
  </r>
  <r>
    <s v="376100-Mains - Steel"/>
    <s v="21204133050"/>
    <s v="004126"/>
    <x v="0"/>
    <x v="86"/>
    <x v="38"/>
    <x v="16"/>
    <s v="Addition"/>
    <x v="2"/>
    <n v="1085.29"/>
    <n v="0"/>
    <n v="1.4833299999999999E-3"/>
    <n v="0"/>
    <n v="19.32"/>
  </r>
  <r>
    <s v="376100-Mains - Steel"/>
    <s v="21204133050"/>
    <s v="004126"/>
    <x v="0"/>
    <x v="86"/>
    <x v="38"/>
    <x v="16"/>
    <s v="Addition"/>
    <x v="3"/>
    <n v="5.46"/>
    <n v="0"/>
    <n v="1.4833299999999999E-3"/>
    <n v="0"/>
    <n v="0.1"/>
  </r>
  <r>
    <s v="376100-Mains - Steel"/>
    <s v="21207132931"/>
    <s v="004128"/>
    <x v="0"/>
    <x v="87"/>
    <x v="18"/>
    <x v="1"/>
    <s v="Addition"/>
    <x v="0"/>
    <n v="8.58"/>
    <n v="0"/>
    <n v="1.4833299999999999E-3"/>
    <n v="0"/>
    <n v="0.15"/>
  </r>
  <r>
    <s v="376100-Mains - Steel"/>
    <s v="20201132807"/>
    <s v="004132"/>
    <x v="0"/>
    <x v="88"/>
    <x v="9"/>
    <x v="0"/>
    <s v="Addition"/>
    <x v="0"/>
    <n v="-1349"/>
    <n v="0"/>
    <n v="1.4833299999999999E-3"/>
    <n v="0"/>
    <n v="-24.01"/>
  </r>
  <r>
    <s v="378000-Meas &amp; Reg Station Equipment"/>
    <s v="20401133040"/>
    <s v="004133"/>
    <x v="0"/>
    <x v="89"/>
    <x v="23"/>
    <x v="10"/>
    <s v="Addition"/>
    <x v="0"/>
    <n v="-2239.5500000000002"/>
    <n v="0"/>
    <n v="2.3833299999999999E-3"/>
    <n v="0"/>
    <n v="-64.05"/>
  </r>
  <r>
    <s v="376300-Mains - Plastic"/>
    <s v="20812143354"/>
    <s v="004134"/>
    <x v="0"/>
    <x v="90"/>
    <x v="39"/>
    <x v="2"/>
    <s v="Addition"/>
    <x v="0"/>
    <n v="-2592.5700000000002"/>
    <n v="0"/>
    <n v="1.4833299999999999E-3"/>
    <n v="0"/>
    <n v="-46.15"/>
  </r>
  <r>
    <s v="376300-Mains - Plastic"/>
    <s v="20812143354"/>
    <s v="004134"/>
    <x v="0"/>
    <x v="90"/>
    <x v="39"/>
    <x v="2"/>
    <s v="Addition"/>
    <x v="1"/>
    <n v="2800.39"/>
    <n v="0"/>
    <n v="1.4833299999999999E-3"/>
    <n v="0"/>
    <n v="49.85"/>
  </r>
  <r>
    <s v="376300-Mains - Plastic"/>
    <s v="20812143354"/>
    <s v="004134"/>
    <x v="0"/>
    <x v="90"/>
    <x v="39"/>
    <x v="2"/>
    <s v="Addition"/>
    <x v="2"/>
    <n v="-76.47"/>
    <n v="0"/>
    <n v="1.4833299999999999E-3"/>
    <n v="0"/>
    <n v="-1.36"/>
  </r>
  <r>
    <s v="376300-Mains - Plastic"/>
    <s v="20812143354"/>
    <s v="004134"/>
    <x v="0"/>
    <x v="90"/>
    <x v="39"/>
    <x v="2"/>
    <s v="Addition"/>
    <x v="3"/>
    <n v="-242.08"/>
    <n v="0"/>
    <n v="1.4833299999999999E-3"/>
    <n v="0"/>
    <n v="-4.3099999999999996"/>
  </r>
  <r>
    <s v="376100-Mains - Steel"/>
    <s v="20401132872"/>
    <s v="004135"/>
    <x v="0"/>
    <x v="91"/>
    <x v="0"/>
    <x v="0"/>
    <s v="Addition"/>
    <x v="0"/>
    <n v="25.47"/>
    <n v="0"/>
    <n v="1.4833299999999999E-3"/>
    <n v="0"/>
    <n v="0.45"/>
  </r>
  <r>
    <s v="376100-Mains - Steel"/>
    <s v="20401132947"/>
    <s v="004141"/>
    <x v="0"/>
    <x v="92"/>
    <x v="40"/>
    <x v="2"/>
    <s v="Addition"/>
    <x v="2"/>
    <n v="3575265.61"/>
    <n v="0"/>
    <n v="1.4833299999999999E-3"/>
    <n v="0"/>
    <n v="63639.58"/>
  </r>
  <r>
    <s v="376100-Mains - Steel"/>
    <s v="20401132947"/>
    <s v="004141"/>
    <x v="0"/>
    <x v="93"/>
    <x v="40"/>
    <x v="2"/>
    <s v="Addition"/>
    <x v="2"/>
    <n v="-1179275"/>
    <n v="0"/>
    <n v="1.4833299999999999E-3"/>
    <n v="0"/>
    <n v="-20991.05"/>
  </r>
  <r>
    <s v="376100-Mains - Steel"/>
    <s v="20401132947"/>
    <s v="004141"/>
    <x v="0"/>
    <x v="92"/>
    <x v="40"/>
    <x v="2"/>
    <s v="Addition"/>
    <x v="3"/>
    <n v="11025.12"/>
    <n v="0"/>
    <n v="1.4833299999999999E-3"/>
    <n v="0"/>
    <n v="196.25"/>
  </r>
  <r>
    <s v="380200-Services"/>
    <s v="20901050372"/>
    <s v="004146"/>
    <x v="1"/>
    <x v="15"/>
    <x v="41"/>
    <x v="5"/>
    <s v="Addition"/>
    <x v="0"/>
    <n v="47214.32"/>
    <n v="0"/>
    <n v="2.23333E-3"/>
    <n v="0"/>
    <n v="1265.3399999999999"/>
  </r>
  <r>
    <s v="380200-Services"/>
    <s v="20901050372"/>
    <s v="004146"/>
    <x v="1"/>
    <x v="15"/>
    <x v="41"/>
    <x v="5"/>
    <s v="Addition"/>
    <x v="1"/>
    <n v="13638.55"/>
    <n v="0"/>
    <n v="2.23333E-3"/>
    <n v="0"/>
    <n v="365.51"/>
  </r>
  <r>
    <s v="380200-Services"/>
    <s v="20901050372"/>
    <s v="004146"/>
    <x v="1"/>
    <x v="15"/>
    <x v="41"/>
    <x v="5"/>
    <s v="Addition"/>
    <x v="2"/>
    <n v="-288.35000000000002"/>
    <n v="0"/>
    <n v="2.23333E-3"/>
    <n v="0"/>
    <n v="-7.73"/>
  </r>
  <r>
    <s v="380200-Services"/>
    <s v="20901050372"/>
    <s v="004146"/>
    <x v="1"/>
    <x v="15"/>
    <x v="41"/>
    <x v="5"/>
    <s v="Addition"/>
    <x v="3"/>
    <n v="2148.71"/>
    <n v="0"/>
    <n v="2.23333E-3"/>
    <n v="0"/>
    <n v="57.59"/>
  </r>
  <r>
    <s v="380200-Services"/>
    <s v="20501050377"/>
    <s v="004148"/>
    <x v="1"/>
    <x v="94"/>
    <x v="42"/>
    <x v="17"/>
    <s v="Addition"/>
    <x v="0"/>
    <n v="23482.38"/>
    <n v="0"/>
    <n v="2.23333E-3"/>
    <n v="0"/>
    <n v="629.33000000000004"/>
  </r>
  <r>
    <s v="380200-Services"/>
    <s v="20501050377"/>
    <s v="004148"/>
    <x v="1"/>
    <x v="94"/>
    <x v="42"/>
    <x v="17"/>
    <s v="Addition"/>
    <x v="1"/>
    <n v="18639.88"/>
    <n v="0"/>
    <n v="2.23333E-3"/>
    <n v="0"/>
    <n v="499.55"/>
  </r>
  <r>
    <s v="380200-Services"/>
    <s v="20501050377"/>
    <s v="004148"/>
    <x v="1"/>
    <x v="94"/>
    <x v="42"/>
    <x v="17"/>
    <s v="Addition"/>
    <x v="2"/>
    <n v="-119.93"/>
    <n v="0"/>
    <n v="2.23333E-3"/>
    <n v="0"/>
    <n v="-3.21"/>
  </r>
  <r>
    <s v="380200-Services"/>
    <s v="20501050377"/>
    <s v="004148"/>
    <x v="1"/>
    <x v="94"/>
    <x v="42"/>
    <x v="17"/>
    <s v="Addition"/>
    <x v="3"/>
    <n v="1572.18"/>
    <n v="0"/>
    <n v="2.23333E-3"/>
    <n v="0"/>
    <n v="42.13"/>
  </r>
  <r>
    <s v="380200-Services"/>
    <s v="20401050370"/>
    <s v="004150"/>
    <x v="1"/>
    <x v="95"/>
    <x v="43"/>
    <x v="12"/>
    <s v="Addition"/>
    <x v="0"/>
    <n v="51541.52"/>
    <n v="0"/>
    <n v="2.23333E-3"/>
    <n v="0"/>
    <n v="1381.31"/>
  </r>
  <r>
    <s v="380200-Services"/>
    <s v="20401050370"/>
    <s v="004150"/>
    <x v="1"/>
    <x v="95"/>
    <x v="43"/>
    <x v="12"/>
    <s v="Addition"/>
    <x v="1"/>
    <n v="44071.92"/>
    <n v="0"/>
    <n v="2.23333E-3"/>
    <n v="0"/>
    <n v="1181.1300000000001"/>
  </r>
  <r>
    <s v="380200-Services"/>
    <s v="20401050370"/>
    <s v="004150"/>
    <x v="1"/>
    <x v="95"/>
    <x v="43"/>
    <x v="12"/>
    <s v="Addition"/>
    <x v="2"/>
    <n v="8632.84"/>
    <n v="0"/>
    <n v="2.23333E-3"/>
    <n v="0"/>
    <n v="231.36"/>
  </r>
  <r>
    <s v="380200-Services"/>
    <s v="20401050370"/>
    <s v="004150"/>
    <x v="1"/>
    <x v="95"/>
    <x v="43"/>
    <x v="12"/>
    <s v="Addition"/>
    <x v="3"/>
    <n v="-3419.01"/>
    <n v="0"/>
    <n v="2.23333E-3"/>
    <n v="0"/>
    <n v="-91.63"/>
  </r>
  <r>
    <s v="380200-Services"/>
    <s v="20401050301"/>
    <s v="004152"/>
    <x v="1"/>
    <x v="96"/>
    <x v="44"/>
    <x v="18"/>
    <s v="Addition"/>
    <x v="0"/>
    <n v="103600.86"/>
    <n v="0"/>
    <n v="2.23333E-3"/>
    <n v="0"/>
    <n v="2776.5"/>
  </r>
  <r>
    <s v="380200-Services"/>
    <s v="20401050301"/>
    <s v="004152"/>
    <x v="1"/>
    <x v="96"/>
    <x v="44"/>
    <x v="18"/>
    <s v="Addition"/>
    <x v="1"/>
    <n v="183813.51"/>
    <n v="0"/>
    <n v="2.23333E-3"/>
    <n v="0"/>
    <n v="4926.1899999999996"/>
  </r>
  <r>
    <s v="380200-Services"/>
    <s v="20401050301"/>
    <s v="004152"/>
    <x v="1"/>
    <x v="96"/>
    <x v="44"/>
    <x v="18"/>
    <s v="Addition"/>
    <x v="2"/>
    <n v="112142.79"/>
    <n v="0"/>
    <n v="2.23333E-3"/>
    <n v="0"/>
    <n v="3005.42"/>
  </r>
  <r>
    <s v="380200-Services"/>
    <s v="20401050301"/>
    <s v="004152"/>
    <x v="1"/>
    <x v="96"/>
    <x v="44"/>
    <x v="18"/>
    <s v="Addition"/>
    <x v="3"/>
    <n v="155294.04"/>
    <n v="0"/>
    <n v="2.23333E-3"/>
    <n v="0"/>
    <n v="4161.87"/>
  </r>
  <r>
    <s v="380200-Services"/>
    <s v="20901050301"/>
    <s v="004153"/>
    <x v="1"/>
    <x v="96"/>
    <x v="45"/>
    <x v="18"/>
    <s v="Addition"/>
    <x v="0"/>
    <n v="42682.33"/>
    <n v="0"/>
    <n v="2.23333E-3"/>
    <n v="0"/>
    <n v="1143.8800000000001"/>
  </r>
  <r>
    <s v="380200-Services"/>
    <s v="20901050301"/>
    <s v="004153"/>
    <x v="1"/>
    <x v="96"/>
    <x v="45"/>
    <x v="18"/>
    <s v="Addition"/>
    <x v="1"/>
    <n v="30625.17"/>
    <n v="0"/>
    <n v="2.23333E-3"/>
    <n v="0"/>
    <n v="820.75"/>
  </r>
  <r>
    <s v="380200-Services"/>
    <s v="20901050301"/>
    <s v="004153"/>
    <x v="1"/>
    <x v="96"/>
    <x v="45"/>
    <x v="18"/>
    <s v="Addition"/>
    <x v="2"/>
    <n v="8594.43"/>
    <n v="0"/>
    <n v="2.23333E-3"/>
    <n v="0"/>
    <n v="230.33"/>
  </r>
  <r>
    <s v="380200-Services"/>
    <s v="20901050301"/>
    <s v="004153"/>
    <x v="1"/>
    <x v="96"/>
    <x v="45"/>
    <x v="18"/>
    <s v="Addition"/>
    <x v="3"/>
    <n v="24453.55"/>
    <n v="0"/>
    <n v="2.23333E-3"/>
    <n v="0"/>
    <n v="655.35"/>
  </r>
  <r>
    <s v="376100-Mains - Steel"/>
    <s v="20501121966"/>
    <s v="004161"/>
    <x v="0"/>
    <x v="97"/>
    <x v="46"/>
    <x v="8"/>
    <s v="Addition"/>
    <x v="0"/>
    <n v="-762.66"/>
    <n v="0"/>
    <n v="1.4833299999999999E-3"/>
    <n v="0"/>
    <n v="-13.58"/>
  </r>
  <r>
    <s v="376100-Mains - Steel"/>
    <s v="20501121966"/>
    <s v="004161"/>
    <x v="0"/>
    <x v="97"/>
    <x v="46"/>
    <x v="8"/>
    <s v="Addition"/>
    <x v="1"/>
    <n v="3963.65"/>
    <n v="0"/>
    <n v="1.4833299999999999E-3"/>
    <n v="0"/>
    <n v="70.55"/>
  </r>
  <r>
    <s v="376100-Mains - Steel"/>
    <s v="20501121966"/>
    <s v="004161"/>
    <x v="0"/>
    <x v="97"/>
    <x v="46"/>
    <x v="8"/>
    <s v="Addition"/>
    <x v="2"/>
    <n v="5763.59"/>
    <n v="0"/>
    <n v="1.4833299999999999E-3"/>
    <n v="0"/>
    <n v="102.59"/>
  </r>
  <r>
    <s v="376100-Mains - Steel"/>
    <s v="20501121966"/>
    <s v="004161"/>
    <x v="0"/>
    <x v="97"/>
    <x v="46"/>
    <x v="8"/>
    <s v="Addition"/>
    <x v="3"/>
    <n v="-583.21"/>
    <n v="0"/>
    <n v="1.4833299999999999E-3"/>
    <n v="0"/>
    <n v="-10.38"/>
  </r>
  <r>
    <s v="376100-Mains - Steel"/>
    <s v="20812132325"/>
    <s v="004162"/>
    <x v="0"/>
    <x v="98"/>
    <x v="6"/>
    <x v="0"/>
    <s v="Addition"/>
    <x v="0"/>
    <n v="-5.66"/>
    <n v="0"/>
    <n v="1.4833299999999999E-3"/>
    <n v="0"/>
    <n v="-0.1"/>
  </r>
  <r>
    <s v="376100-Mains - Steel"/>
    <s v="20201132737"/>
    <s v="004169"/>
    <x v="0"/>
    <x v="99"/>
    <x v="17"/>
    <x v="2"/>
    <s v="Addition"/>
    <x v="0"/>
    <n v="-13.72"/>
    <n v="0"/>
    <n v="1.4833299999999999E-3"/>
    <n v="0"/>
    <n v="-0.24"/>
  </r>
  <r>
    <s v="378000-Meas &amp; Reg Station Equipment"/>
    <s v="20401132456"/>
    <s v="004174"/>
    <x v="0"/>
    <x v="100"/>
    <x v="23"/>
    <x v="10"/>
    <s v="Addition"/>
    <x v="0"/>
    <n v="-304.64"/>
    <n v="0"/>
    <n v="2.3833299999999999E-3"/>
    <n v="0"/>
    <n v="-8.7100000000000009"/>
  </r>
  <r>
    <s v="376100-Mains - Steel"/>
    <s v="20503132433"/>
    <s v="004177"/>
    <x v="0"/>
    <x v="101"/>
    <x v="8"/>
    <x v="0"/>
    <s v="Addition"/>
    <x v="0"/>
    <n v="-346.31"/>
    <n v="0"/>
    <n v="1.4833299999999999E-3"/>
    <n v="0"/>
    <n v="-6.16"/>
  </r>
  <r>
    <s v="376100-Mains - Steel"/>
    <s v="20501121593"/>
    <s v="004179"/>
    <x v="0"/>
    <x v="102"/>
    <x v="7"/>
    <x v="2"/>
    <s v="Addition"/>
    <x v="0"/>
    <n v="-191.38"/>
    <n v="0"/>
    <n v="1.4833299999999999E-3"/>
    <n v="0"/>
    <n v="-3.41"/>
  </r>
  <r>
    <s v="376300-Mains - Plastic"/>
    <s v="20908121857"/>
    <s v="004182"/>
    <x v="0"/>
    <x v="103"/>
    <x v="9"/>
    <x v="0"/>
    <s v="Addition"/>
    <x v="0"/>
    <n v="-363.84"/>
    <n v="0"/>
    <n v="1.4833299999999999E-3"/>
    <n v="0"/>
    <n v="-6.48"/>
  </r>
  <r>
    <s v="376100-Mains - Steel"/>
    <s v="20307132741"/>
    <s v="004195"/>
    <x v="0"/>
    <x v="104"/>
    <x v="17"/>
    <x v="2"/>
    <s v="Addition"/>
    <x v="0"/>
    <n v="-174.39"/>
    <n v="0"/>
    <n v="1.4833299999999999E-3"/>
    <n v="0"/>
    <n v="-3.1"/>
  </r>
  <r>
    <s v="376300-Mains - Plastic"/>
    <s v="20401133189"/>
    <s v="004197"/>
    <x v="0"/>
    <x v="105"/>
    <x v="22"/>
    <x v="9"/>
    <s v="Addition"/>
    <x v="0"/>
    <n v="679.2"/>
    <n v="0"/>
    <n v="1.4833299999999999E-3"/>
    <n v="0"/>
    <n v="12.09"/>
  </r>
  <r>
    <s v="376300-Mains - Plastic"/>
    <s v="20812143289"/>
    <s v="004198"/>
    <x v="0"/>
    <x v="106"/>
    <x v="2"/>
    <x v="0"/>
    <s v="Addition"/>
    <x v="0"/>
    <n v="-1167.31"/>
    <n v="0"/>
    <n v="1.4833299999999999E-3"/>
    <n v="0"/>
    <n v="-20.78"/>
  </r>
  <r>
    <s v="376300-Mains - Plastic"/>
    <s v="20812143289"/>
    <s v="004198"/>
    <x v="0"/>
    <x v="106"/>
    <x v="2"/>
    <x v="0"/>
    <s v="Addition"/>
    <x v="1"/>
    <n v="129.69"/>
    <n v="0"/>
    <n v="1.4833299999999999E-3"/>
    <n v="0"/>
    <n v="2.31"/>
  </r>
  <r>
    <s v="376300-Mains - Plastic"/>
    <s v="20812143289"/>
    <s v="004198"/>
    <x v="0"/>
    <x v="106"/>
    <x v="2"/>
    <x v="0"/>
    <s v="Addition"/>
    <x v="2"/>
    <n v="-3.53"/>
    <n v="0"/>
    <n v="1.4833299999999999E-3"/>
    <n v="0"/>
    <n v="-0.06"/>
  </r>
  <r>
    <s v="376300-Mains - Plastic"/>
    <s v="20812143289"/>
    <s v="004198"/>
    <x v="0"/>
    <x v="106"/>
    <x v="2"/>
    <x v="0"/>
    <s v="Addition"/>
    <x v="3"/>
    <n v="-11.23"/>
    <n v="0"/>
    <n v="1.4833299999999999E-3"/>
    <n v="0"/>
    <n v="-0.2"/>
  </r>
  <r>
    <s v="376100-Mains - Steel"/>
    <s v="20932132895"/>
    <s v="004199"/>
    <x v="0"/>
    <x v="107"/>
    <x v="35"/>
    <x v="14"/>
    <s v="Addition"/>
    <x v="0"/>
    <n v="-418.81"/>
    <n v="0"/>
    <n v="1.4833299999999999E-3"/>
    <n v="0"/>
    <n v="-7.45"/>
  </r>
  <r>
    <s v="376100-Mains - Steel"/>
    <s v="20901133057"/>
    <s v="004204"/>
    <x v="0"/>
    <x v="108"/>
    <x v="17"/>
    <x v="2"/>
    <s v="Addition"/>
    <x v="0"/>
    <n v="1.99"/>
    <n v="0"/>
    <n v="1.4833299999999999E-3"/>
    <n v="0"/>
    <n v="0.04"/>
  </r>
  <r>
    <s v="376100-Mains - Steel"/>
    <s v="20813133154"/>
    <s v="004207"/>
    <x v="0"/>
    <x v="109"/>
    <x v="2"/>
    <x v="0"/>
    <s v="Addition"/>
    <x v="0"/>
    <n v="-61.26"/>
    <n v="0"/>
    <n v="1.4833299999999999E-3"/>
    <n v="0"/>
    <n v="-1.0900000000000001"/>
  </r>
  <r>
    <s v="376100-Mains - Steel"/>
    <s v="20201132787"/>
    <s v="004213"/>
    <x v="0"/>
    <x v="110"/>
    <x v="36"/>
    <x v="15"/>
    <s v="Addition"/>
    <x v="0"/>
    <n v="-175.94"/>
    <n v="0"/>
    <n v="1.4833299999999999E-3"/>
    <n v="0"/>
    <n v="-3.13"/>
  </r>
  <r>
    <s v="376300-Mains - Plastic"/>
    <s v="20501143300"/>
    <s v="004214"/>
    <x v="0"/>
    <x v="111"/>
    <x v="8"/>
    <x v="0"/>
    <s v="Addition"/>
    <x v="0"/>
    <n v="-94.86"/>
    <n v="0"/>
    <n v="1.4833299999999999E-3"/>
    <n v="0"/>
    <n v="-1.69"/>
  </r>
  <r>
    <s v="376100-Mains - Steel"/>
    <s v="20401132928"/>
    <s v="004216"/>
    <x v="0"/>
    <x v="112"/>
    <x v="47"/>
    <x v="1"/>
    <s v="Addition"/>
    <x v="0"/>
    <n v="8.2100000000000009"/>
    <n v="0"/>
    <n v="1.4833299999999999E-3"/>
    <n v="0"/>
    <n v="0.15"/>
  </r>
  <r>
    <s v="376300-Mains - Plastic"/>
    <s v="20401133129"/>
    <s v="004221"/>
    <x v="0"/>
    <x v="113"/>
    <x v="22"/>
    <x v="9"/>
    <s v="Addition"/>
    <x v="0"/>
    <n v="-15549.44"/>
    <n v="0"/>
    <n v="1.4833299999999999E-3"/>
    <n v="0"/>
    <n v="-276.77999999999997"/>
  </r>
  <r>
    <s v="376300-Mains - Plastic"/>
    <s v="20401133129"/>
    <s v="004221"/>
    <x v="0"/>
    <x v="113"/>
    <x v="22"/>
    <x v="9"/>
    <s v="Addition"/>
    <x v="1"/>
    <n v="0"/>
    <n v="0"/>
    <n v="1.4833299999999999E-3"/>
    <n v="0"/>
    <n v="0"/>
  </r>
  <r>
    <s v="376300-Mains - Plastic"/>
    <s v="20312143312"/>
    <s v="004233"/>
    <x v="0"/>
    <x v="114"/>
    <x v="9"/>
    <x v="0"/>
    <s v="Addition"/>
    <x v="0"/>
    <n v="-148.77000000000001"/>
    <n v="0"/>
    <n v="1.4833299999999999E-3"/>
    <n v="0"/>
    <n v="-2.65"/>
  </r>
  <r>
    <s v="376100-Mains - Steel"/>
    <s v="20501132764"/>
    <s v="004240"/>
    <x v="0"/>
    <x v="115"/>
    <x v="37"/>
    <x v="1"/>
    <s v="Addition"/>
    <x v="0"/>
    <n v="-625.21"/>
    <n v="0"/>
    <n v="1.4833299999999999E-3"/>
    <n v="0"/>
    <n v="-11.13"/>
  </r>
  <r>
    <s v="376100-Mains - Steel"/>
    <s v="20401133173"/>
    <s v="004241"/>
    <x v="0"/>
    <x v="116"/>
    <x v="5"/>
    <x v="0"/>
    <s v="Addition"/>
    <x v="0"/>
    <n v="-5.2"/>
    <n v="0"/>
    <n v="1.4833299999999999E-3"/>
    <n v="0"/>
    <n v="-0.09"/>
  </r>
  <r>
    <s v="376300-Mains - Plastic"/>
    <s v="20201143426"/>
    <s v="004248"/>
    <x v="0"/>
    <x v="117"/>
    <x v="9"/>
    <x v="0"/>
    <s v="Addition"/>
    <x v="0"/>
    <n v="-184.89"/>
    <n v="0"/>
    <n v="1.4833299999999999E-3"/>
    <n v="0"/>
    <n v="-3.29"/>
  </r>
  <r>
    <s v="376300-Mains - Plastic"/>
    <s v="20201143426"/>
    <s v="004248"/>
    <x v="0"/>
    <x v="117"/>
    <x v="9"/>
    <x v="0"/>
    <s v="Addition"/>
    <x v="1"/>
    <n v="1085.5999999999999"/>
    <n v="0"/>
    <n v="1.4833299999999999E-3"/>
    <n v="0"/>
    <n v="19.32"/>
  </r>
  <r>
    <s v="376300-Mains - Plastic"/>
    <s v="20201143426"/>
    <s v="004248"/>
    <x v="0"/>
    <x v="117"/>
    <x v="9"/>
    <x v="0"/>
    <s v="Addition"/>
    <x v="2"/>
    <n v="-29.65"/>
    <n v="0"/>
    <n v="1.4833299999999999E-3"/>
    <n v="0"/>
    <n v="-0.53"/>
  </r>
  <r>
    <s v="376300-Mains - Plastic"/>
    <s v="20201143426"/>
    <s v="004248"/>
    <x v="0"/>
    <x v="117"/>
    <x v="9"/>
    <x v="0"/>
    <s v="Addition"/>
    <x v="3"/>
    <n v="-93.8"/>
    <n v="0"/>
    <n v="1.4833299999999999E-3"/>
    <n v="0"/>
    <n v="-1.67"/>
  </r>
  <r>
    <s v="376100-Mains - Steel"/>
    <s v="20401133238"/>
    <s v="004255"/>
    <x v="0"/>
    <x v="118"/>
    <x v="0"/>
    <x v="0"/>
    <s v="Addition"/>
    <x v="0"/>
    <n v="-591.12"/>
    <n v="0"/>
    <n v="1.4833299999999999E-3"/>
    <n v="0"/>
    <n v="-10.52"/>
  </r>
  <r>
    <s v="376300-Mains - Plastic"/>
    <s v="20401132897"/>
    <s v="004257"/>
    <x v="0"/>
    <x v="119"/>
    <x v="48"/>
    <x v="9"/>
    <s v="Addition"/>
    <x v="0"/>
    <n v="-771.19"/>
    <n v="0"/>
    <n v="1.4833299999999999E-3"/>
    <n v="0"/>
    <n v="-13.73"/>
  </r>
  <r>
    <s v="380200-Services"/>
    <s v="21207132922"/>
    <s v="004259"/>
    <x v="0"/>
    <x v="120"/>
    <x v="49"/>
    <x v="19"/>
    <s v="Addition"/>
    <x v="0"/>
    <n v="-442.33"/>
    <n v="0"/>
    <n v="2.23333E-3"/>
    <n v="0"/>
    <n v="-11.85"/>
  </r>
  <r>
    <s v="376300-Mains - Plastic"/>
    <s v="20904143298"/>
    <s v="004262"/>
    <x v="0"/>
    <x v="121"/>
    <x v="21"/>
    <x v="8"/>
    <s v="Addition"/>
    <x v="0"/>
    <n v="-992.83"/>
    <n v="0"/>
    <n v="1.4833299999999999E-3"/>
    <n v="0"/>
    <n v="-17.670000000000002"/>
  </r>
  <r>
    <s v="376100-Mains - Steel"/>
    <s v="20301132993"/>
    <s v="004265"/>
    <x v="0"/>
    <x v="122"/>
    <x v="1"/>
    <x v="1"/>
    <s v="Addition"/>
    <x v="0"/>
    <n v="-48.87"/>
    <n v="0"/>
    <n v="1.4833299999999999E-3"/>
    <n v="0"/>
    <n v="-0.87"/>
  </r>
  <r>
    <s v="376100-Mains - Steel"/>
    <s v="21215143294"/>
    <s v="004266"/>
    <x v="0"/>
    <x v="123"/>
    <x v="4"/>
    <x v="2"/>
    <s v="Addition"/>
    <x v="0"/>
    <n v="-659.04"/>
    <n v="0"/>
    <n v="1.4833299999999999E-3"/>
    <n v="0"/>
    <n v="-11.73"/>
  </r>
  <r>
    <s v="376100-Mains - Steel"/>
    <s v="21215143294"/>
    <s v="004266"/>
    <x v="0"/>
    <x v="123"/>
    <x v="4"/>
    <x v="2"/>
    <s v="Addition"/>
    <x v="1"/>
    <n v="0"/>
    <n v="0"/>
    <n v="1.4833299999999999E-3"/>
    <n v="0"/>
    <n v="0"/>
  </r>
  <r>
    <s v="376100-Mains - Steel"/>
    <s v="21258143346"/>
    <s v="004267"/>
    <x v="0"/>
    <x v="124"/>
    <x v="47"/>
    <x v="1"/>
    <s v="Addition"/>
    <x v="0"/>
    <n v="-15.86"/>
    <n v="0"/>
    <n v="1.4833299999999999E-3"/>
    <n v="0"/>
    <n v="-0.28000000000000003"/>
  </r>
  <r>
    <s v="376100-Mains - Steel"/>
    <s v="20401133039"/>
    <s v="004271"/>
    <x v="0"/>
    <x v="125"/>
    <x v="22"/>
    <x v="9"/>
    <s v="Addition"/>
    <x v="0"/>
    <n v="-482.88"/>
    <n v="0"/>
    <n v="1.4833299999999999E-3"/>
    <n v="0"/>
    <n v="-8.6"/>
  </r>
  <r>
    <s v="376100-Mains - Steel"/>
    <s v="20401133039"/>
    <s v="004271"/>
    <x v="0"/>
    <x v="125"/>
    <x v="22"/>
    <x v="9"/>
    <s v="Addition"/>
    <x v="1"/>
    <n v="307.39"/>
    <n v="0"/>
    <n v="1.4833299999999999E-3"/>
    <n v="0"/>
    <n v="5.47"/>
  </r>
  <r>
    <s v="376100-Mains - Steel"/>
    <s v="20401133039"/>
    <s v="004271"/>
    <x v="0"/>
    <x v="125"/>
    <x v="22"/>
    <x v="9"/>
    <s v="Addition"/>
    <x v="2"/>
    <n v="-143.49"/>
    <n v="0"/>
    <n v="1.4833299999999999E-3"/>
    <n v="0"/>
    <n v="-2.5499999999999998"/>
  </r>
  <r>
    <s v="376100-Mains - Steel"/>
    <s v="20401133039"/>
    <s v="004271"/>
    <x v="0"/>
    <x v="125"/>
    <x v="22"/>
    <x v="9"/>
    <s v="Addition"/>
    <x v="3"/>
    <n v="-12.75"/>
    <n v="0"/>
    <n v="1.4833299999999999E-3"/>
    <n v="0"/>
    <n v="-0.23"/>
  </r>
  <r>
    <s v="376100-Mains - Steel"/>
    <s v="21001133047"/>
    <s v="004272"/>
    <x v="0"/>
    <x v="126"/>
    <x v="38"/>
    <x v="16"/>
    <s v="Addition"/>
    <x v="0"/>
    <n v="-297.13"/>
    <n v="0"/>
    <n v="1.4833299999999999E-3"/>
    <n v="0"/>
    <n v="-5.29"/>
  </r>
  <r>
    <s v="376100-Mains - Steel"/>
    <s v="20401133188"/>
    <s v="004275"/>
    <x v="0"/>
    <x v="127"/>
    <x v="22"/>
    <x v="9"/>
    <s v="Addition"/>
    <x v="0"/>
    <n v="-374.06"/>
    <n v="0"/>
    <n v="1.4833299999999999E-3"/>
    <n v="0"/>
    <n v="-6.66"/>
  </r>
  <r>
    <s v="380200-Services"/>
    <s v="20401050377"/>
    <s v="004279"/>
    <x v="1"/>
    <x v="128"/>
    <x v="50"/>
    <x v="17"/>
    <s v="Addition"/>
    <x v="0"/>
    <n v="-2416.5500000000002"/>
    <n v="0"/>
    <n v="2.23333E-3"/>
    <n v="0"/>
    <n v="-64.760000000000005"/>
  </r>
  <r>
    <s v="380200-Services"/>
    <s v="20401050377"/>
    <s v="004279"/>
    <x v="1"/>
    <x v="128"/>
    <x v="50"/>
    <x v="17"/>
    <s v="Addition"/>
    <x v="2"/>
    <n v="2182.83"/>
    <n v="0"/>
    <n v="2.23333E-3"/>
    <n v="0"/>
    <n v="58.5"/>
  </r>
  <r>
    <s v="380200-Services"/>
    <s v="20401050377"/>
    <s v="004279"/>
    <x v="1"/>
    <x v="128"/>
    <x v="50"/>
    <x v="17"/>
    <s v="Addition"/>
    <x v="3"/>
    <n v="-341.38"/>
    <n v="0"/>
    <n v="2.23333E-3"/>
    <n v="0"/>
    <n v="-9.15"/>
  </r>
  <r>
    <s v="376100-Mains - Steel"/>
    <s v="20910132654"/>
    <s v="004285"/>
    <x v="0"/>
    <x v="129"/>
    <x v="9"/>
    <x v="0"/>
    <s v="Addition"/>
    <x v="0"/>
    <n v="-24.13"/>
    <n v="0"/>
    <n v="1.4833299999999999E-3"/>
    <n v="0"/>
    <n v="-0.43"/>
  </r>
  <r>
    <s v="380200-Services"/>
    <s v="20901050377"/>
    <s v="004287"/>
    <x v="1"/>
    <x v="94"/>
    <x v="51"/>
    <x v="17"/>
    <s v="Addition"/>
    <x v="0"/>
    <n v="55968.13"/>
    <n v="0"/>
    <n v="2.23333E-3"/>
    <n v="0"/>
    <n v="1499.94"/>
  </r>
  <r>
    <s v="380200-Services"/>
    <s v="20901050377"/>
    <s v="004287"/>
    <x v="1"/>
    <x v="94"/>
    <x v="51"/>
    <x v="17"/>
    <s v="Addition"/>
    <x v="1"/>
    <n v="86678.53"/>
    <n v="0"/>
    <n v="2.23333E-3"/>
    <n v="0"/>
    <n v="2322.98"/>
  </r>
  <r>
    <s v="380200-Services"/>
    <s v="20901050377"/>
    <s v="004287"/>
    <x v="1"/>
    <x v="94"/>
    <x v="51"/>
    <x v="17"/>
    <s v="Addition"/>
    <x v="2"/>
    <n v="467"/>
    <n v="0"/>
    <n v="2.23333E-3"/>
    <n v="0"/>
    <n v="12.52"/>
  </r>
  <r>
    <s v="380200-Services"/>
    <s v="20901050377"/>
    <s v="004287"/>
    <x v="1"/>
    <x v="94"/>
    <x v="51"/>
    <x v="17"/>
    <s v="Addition"/>
    <x v="3"/>
    <n v="44688.62"/>
    <n v="0"/>
    <n v="2.23333E-3"/>
    <n v="0"/>
    <n v="1197.6500000000001"/>
  </r>
  <r>
    <s v="380200-Services"/>
    <s v="20501050301"/>
    <s v="004288"/>
    <x v="1"/>
    <x v="96"/>
    <x v="52"/>
    <x v="18"/>
    <s v="Addition"/>
    <x v="0"/>
    <n v="26046.38"/>
    <n v="0"/>
    <n v="2.23333E-3"/>
    <n v="0"/>
    <n v="698.04"/>
  </r>
  <r>
    <s v="380200-Services"/>
    <s v="20501050301"/>
    <s v="004288"/>
    <x v="1"/>
    <x v="96"/>
    <x v="52"/>
    <x v="18"/>
    <s v="Addition"/>
    <x v="1"/>
    <n v="41073.32"/>
    <n v="0"/>
    <n v="2.23333E-3"/>
    <n v="0"/>
    <n v="1100.76"/>
  </r>
  <r>
    <s v="380200-Services"/>
    <s v="20501050301"/>
    <s v="004288"/>
    <x v="1"/>
    <x v="96"/>
    <x v="52"/>
    <x v="18"/>
    <s v="Addition"/>
    <x v="2"/>
    <n v="14235.91"/>
    <n v="0"/>
    <n v="2.23333E-3"/>
    <n v="0"/>
    <n v="381.52"/>
  </r>
  <r>
    <s v="380200-Services"/>
    <s v="20501050301"/>
    <s v="004288"/>
    <x v="1"/>
    <x v="96"/>
    <x v="52"/>
    <x v="18"/>
    <s v="Addition"/>
    <x v="3"/>
    <n v="-1460.39"/>
    <n v="0"/>
    <n v="2.23333E-3"/>
    <n v="0"/>
    <n v="-39.14"/>
  </r>
  <r>
    <s v="376100-Mains - Steel"/>
    <s v="20401121683"/>
    <s v="004298"/>
    <x v="0"/>
    <x v="130"/>
    <x v="4"/>
    <x v="2"/>
    <s v="Addition"/>
    <x v="0"/>
    <n v="-28.62"/>
    <n v="0"/>
    <n v="1.4833299999999999E-3"/>
    <n v="0"/>
    <n v="-0.51"/>
  </r>
  <r>
    <s v="376100-Mains - Steel"/>
    <s v="20201132463"/>
    <s v="004301"/>
    <x v="0"/>
    <x v="131"/>
    <x v="17"/>
    <x v="2"/>
    <s v="Addition"/>
    <x v="0"/>
    <n v="-27.17"/>
    <n v="0"/>
    <n v="1.4833299999999999E-3"/>
    <n v="0"/>
    <n v="-0.48"/>
  </r>
  <r>
    <s v="376100-Mains - Steel"/>
    <s v="20401132458"/>
    <s v="004311"/>
    <x v="0"/>
    <x v="132"/>
    <x v="1"/>
    <x v="1"/>
    <s v="Addition"/>
    <x v="0"/>
    <n v="-147.01"/>
    <n v="0"/>
    <n v="1.4833299999999999E-3"/>
    <n v="0"/>
    <n v="-2.62"/>
  </r>
  <r>
    <s v="376100-Mains - Steel"/>
    <s v="20903121888"/>
    <s v="004315"/>
    <x v="0"/>
    <x v="133"/>
    <x v="38"/>
    <x v="16"/>
    <s v="Addition"/>
    <x v="0"/>
    <n v="-818.02"/>
    <n v="0"/>
    <n v="1.4833299999999999E-3"/>
    <n v="0"/>
    <n v="-14.56"/>
  </r>
  <r>
    <s v="376100-Mains - Steel"/>
    <s v="20903121888"/>
    <s v="004315"/>
    <x v="0"/>
    <x v="133"/>
    <x v="38"/>
    <x v="16"/>
    <s v="Addition"/>
    <x v="1"/>
    <n v="-2800"/>
    <n v="0"/>
    <n v="1.4833299999999999E-3"/>
    <n v="0"/>
    <n v="-49.84"/>
  </r>
  <r>
    <s v="376100-Mains - Steel"/>
    <s v="20813132533"/>
    <s v="004320"/>
    <x v="0"/>
    <x v="134"/>
    <x v="6"/>
    <x v="0"/>
    <s v="Addition"/>
    <x v="0"/>
    <n v="-46.01"/>
    <n v="0"/>
    <n v="1.4833299999999999E-3"/>
    <n v="0"/>
    <n v="-0.82"/>
  </r>
  <r>
    <s v="376100-Mains - Steel"/>
    <s v="20801132712"/>
    <s v="004324"/>
    <x v="0"/>
    <x v="135"/>
    <x v="20"/>
    <x v="7"/>
    <s v="Addition"/>
    <x v="0"/>
    <n v="-94.11"/>
    <n v="0"/>
    <n v="1.4833299999999999E-3"/>
    <n v="0"/>
    <n v="-1.68"/>
  </r>
  <r>
    <s v="376100-Mains - Steel"/>
    <s v="20933132713"/>
    <s v="004325"/>
    <x v="0"/>
    <x v="136"/>
    <x v="20"/>
    <x v="7"/>
    <s v="Addition"/>
    <x v="0"/>
    <n v="-89.47"/>
    <n v="0"/>
    <n v="1.4833299999999999E-3"/>
    <n v="0"/>
    <n v="-1.59"/>
  </r>
  <r>
    <s v="376100-Mains - Steel"/>
    <s v="20401132827"/>
    <s v="004332"/>
    <x v="0"/>
    <x v="137"/>
    <x v="22"/>
    <x v="9"/>
    <s v="Addition"/>
    <x v="0"/>
    <n v="-54.19"/>
    <n v="0"/>
    <n v="1.4833299999999999E-3"/>
    <n v="0"/>
    <n v="-0.96"/>
  </r>
  <r>
    <s v="376100-Mains - Steel"/>
    <s v="20603133197"/>
    <s v="004337"/>
    <x v="0"/>
    <x v="138"/>
    <x v="7"/>
    <x v="2"/>
    <s v="Addition"/>
    <x v="0"/>
    <n v="-4837.0200000000004"/>
    <n v="0"/>
    <n v="1.4833299999999999E-3"/>
    <n v="0"/>
    <n v="-86.1"/>
  </r>
  <r>
    <s v="376100-Mains - Steel"/>
    <s v="20401133036"/>
    <s v="004343"/>
    <x v="0"/>
    <x v="139"/>
    <x v="22"/>
    <x v="9"/>
    <s v="Addition"/>
    <x v="0"/>
    <n v="-450.77"/>
    <n v="0"/>
    <n v="1.4833299999999999E-3"/>
    <n v="0"/>
    <n v="-8.02"/>
  </r>
  <r>
    <s v="376100-Mains - Steel"/>
    <s v="21235133051"/>
    <s v="004354"/>
    <x v="0"/>
    <x v="140"/>
    <x v="53"/>
    <x v="20"/>
    <s v="Addition"/>
    <x v="0"/>
    <n v="-650.67999999999995"/>
    <n v="0"/>
    <n v="1.4833299999999999E-3"/>
    <n v="0"/>
    <n v="-11.58"/>
  </r>
  <r>
    <s v="376100-Mains - Steel"/>
    <s v="20515133033"/>
    <s v="004360"/>
    <x v="0"/>
    <x v="141"/>
    <x v="7"/>
    <x v="2"/>
    <s v="Addition"/>
    <x v="0"/>
    <n v="-295.94"/>
    <n v="0"/>
    <n v="1.4833299999999999E-3"/>
    <n v="0"/>
    <n v="-5.27"/>
  </r>
  <r>
    <s v="376100-Mains - Steel"/>
    <s v="20513133101"/>
    <s v="004362"/>
    <x v="0"/>
    <x v="142"/>
    <x v="30"/>
    <x v="0"/>
    <s v="Addition"/>
    <x v="0"/>
    <n v="-127.22"/>
    <n v="0"/>
    <n v="1.4833299999999999E-3"/>
    <n v="0"/>
    <n v="-2.2599999999999998"/>
  </r>
  <r>
    <s v="376300-Mains - Plastic"/>
    <s v="20317143417"/>
    <s v="004364"/>
    <x v="0"/>
    <x v="143"/>
    <x v="9"/>
    <x v="0"/>
    <s v="Addition"/>
    <x v="2"/>
    <n v="26447.34"/>
    <n v="0"/>
    <n v="1.4833299999999999E-3"/>
    <n v="0"/>
    <n v="470.76"/>
  </r>
  <r>
    <s v="376300-Mains - Plastic"/>
    <s v="20317143417"/>
    <s v="004364"/>
    <x v="0"/>
    <x v="143"/>
    <x v="9"/>
    <x v="0"/>
    <s v="Addition"/>
    <x v="3"/>
    <n v="-151.33000000000001"/>
    <n v="0"/>
    <n v="1.4833299999999999E-3"/>
    <n v="0"/>
    <n v="-2.69"/>
  </r>
  <r>
    <s v="376300-Mains - Plastic"/>
    <s v="20401143391"/>
    <s v="004365"/>
    <x v="0"/>
    <x v="144"/>
    <x v="22"/>
    <x v="9"/>
    <s v="Addition"/>
    <x v="0"/>
    <n v="-1572.84"/>
    <n v="0"/>
    <n v="1.4833299999999999E-3"/>
    <n v="0"/>
    <n v="-28"/>
  </r>
  <r>
    <s v="376300-Mains - Plastic"/>
    <s v="20201133218"/>
    <s v="004369"/>
    <x v="0"/>
    <x v="145"/>
    <x v="21"/>
    <x v="8"/>
    <s v="Addition"/>
    <x v="0"/>
    <n v="-3150.43"/>
    <n v="0"/>
    <n v="1.4833299999999999E-3"/>
    <n v="0"/>
    <n v="-56.08"/>
  </r>
  <r>
    <s v="376300-Mains - Plastic"/>
    <s v="20201133218"/>
    <s v="004369"/>
    <x v="0"/>
    <x v="145"/>
    <x v="21"/>
    <x v="8"/>
    <s v="Addition"/>
    <x v="1"/>
    <n v="0"/>
    <n v="0"/>
    <n v="1.4833299999999999E-3"/>
    <n v="0"/>
    <n v="0"/>
  </r>
  <r>
    <s v="376100-Mains - Steel"/>
    <s v="20902132967"/>
    <s v="004374"/>
    <x v="0"/>
    <x v="146"/>
    <x v="9"/>
    <x v="0"/>
    <s v="Addition"/>
    <x v="0"/>
    <n v="-1309.6400000000001"/>
    <n v="0"/>
    <n v="1.4833299999999999E-3"/>
    <n v="0"/>
    <n v="-23.31"/>
  </r>
  <r>
    <s v="376100-Mains - Steel"/>
    <s v="20902132967"/>
    <s v="004374"/>
    <x v="0"/>
    <x v="146"/>
    <x v="9"/>
    <x v="0"/>
    <s v="Addition"/>
    <x v="1"/>
    <n v="48053.65"/>
    <n v="0"/>
    <n v="1.4833299999999999E-3"/>
    <n v="0"/>
    <n v="855.35"/>
  </r>
  <r>
    <s v="376100-Mains - Steel"/>
    <s v="20902132967"/>
    <s v="004374"/>
    <x v="0"/>
    <x v="146"/>
    <x v="9"/>
    <x v="0"/>
    <s v="Addition"/>
    <x v="2"/>
    <n v="-5700.68"/>
    <n v="0"/>
    <n v="1.4833299999999999E-3"/>
    <n v="0"/>
    <n v="-101.47"/>
  </r>
  <r>
    <s v="376100-Mains - Steel"/>
    <s v="20902132967"/>
    <s v="004374"/>
    <x v="0"/>
    <x v="146"/>
    <x v="9"/>
    <x v="0"/>
    <s v="Addition"/>
    <x v="3"/>
    <n v="2866.12"/>
    <n v="0"/>
    <n v="1.4833299999999999E-3"/>
    <n v="0"/>
    <n v="51.02"/>
  </r>
  <r>
    <s v="376100-Mains - Steel"/>
    <s v="20401143389"/>
    <s v="004375"/>
    <x v="0"/>
    <x v="147"/>
    <x v="22"/>
    <x v="9"/>
    <s v="Addition"/>
    <x v="0"/>
    <n v="-399.68"/>
    <n v="0"/>
    <n v="1.4833299999999999E-3"/>
    <n v="0"/>
    <n v="-7.11"/>
  </r>
  <r>
    <s v="376300-Mains - Plastic"/>
    <s v="21001143303"/>
    <s v="004376"/>
    <x v="0"/>
    <x v="148"/>
    <x v="3"/>
    <x v="0"/>
    <s v="Addition"/>
    <x v="0"/>
    <n v="-480.27"/>
    <n v="0"/>
    <n v="1.4833299999999999E-3"/>
    <n v="0"/>
    <n v="-8.5500000000000007"/>
  </r>
  <r>
    <s v="376300-Mains - Plastic"/>
    <s v="20501133245"/>
    <s v="004379"/>
    <x v="0"/>
    <x v="149"/>
    <x v="8"/>
    <x v="0"/>
    <s v="Addition"/>
    <x v="0"/>
    <n v="-363.06"/>
    <n v="0"/>
    <n v="1.4833299999999999E-3"/>
    <n v="0"/>
    <n v="-6.46"/>
  </r>
  <r>
    <s v="376300-Mains - Plastic"/>
    <s v="20501133245"/>
    <s v="004379"/>
    <x v="0"/>
    <x v="149"/>
    <x v="8"/>
    <x v="0"/>
    <s v="Addition"/>
    <x v="1"/>
    <n v="0"/>
    <n v="0"/>
    <n v="1.4833299999999999E-3"/>
    <n v="0"/>
    <n v="0"/>
  </r>
  <r>
    <s v="378000-Meas &amp; Reg Station Equipment"/>
    <s v="20401132618"/>
    <s v="004380"/>
    <x v="0"/>
    <x v="150"/>
    <x v="17"/>
    <x v="2"/>
    <s v="Addition"/>
    <x v="1"/>
    <n v="162833.78"/>
    <n v="0"/>
    <n v="2.3833299999999999E-3"/>
    <n v="0"/>
    <n v="4657.04"/>
  </r>
  <r>
    <s v="378000-Meas &amp; Reg Station Equipment"/>
    <s v="20401132618"/>
    <s v="004380"/>
    <x v="0"/>
    <x v="150"/>
    <x v="17"/>
    <x v="2"/>
    <s v="Addition"/>
    <x v="2"/>
    <n v="-831.58"/>
    <n v="0"/>
    <n v="2.3833299999999999E-3"/>
    <n v="0"/>
    <n v="-23.78"/>
  </r>
  <r>
    <s v="378000-Meas &amp; Reg Station Equipment"/>
    <s v="20401132618"/>
    <s v="004380"/>
    <x v="0"/>
    <x v="150"/>
    <x v="17"/>
    <x v="2"/>
    <s v="Addition"/>
    <x v="3"/>
    <n v="2739.95"/>
    <n v="0"/>
    <n v="2.3833299999999999E-3"/>
    <n v="0"/>
    <n v="78.36"/>
  </r>
  <r>
    <s v="376100-Mains - Steel"/>
    <s v="20401133242"/>
    <s v="004381"/>
    <x v="0"/>
    <x v="151"/>
    <x v="54"/>
    <x v="8"/>
    <s v="Addition"/>
    <x v="0"/>
    <n v="13.59"/>
    <n v="0"/>
    <n v="1.4833299999999999E-3"/>
    <n v="0"/>
    <n v="0.24"/>
  </r>
  <r>
    <s v="376100-Mains - Steel"/>
    <s v="20201133049"/>
    <s v="004382"/>
    <x v="0"/>
    <x v="152"/>
    <x v="38"/>
    <x v="16"/>
    <s v="Addition"/>
    <x v="0"/>
    <n v="-124.35"/>
    <n v="0"/>
    <n v="1.4833299999999999E-3"/>
    <n v="0"/>
    <n v="-2.21"/>
  </r>
  <r>
    <s v="376100-Mains - Steel"/>
    <s v="20902143326"/>
    <s v="004385"/>
    <x v="0"/>
    <x v="153"/>
    <x v="55"/>
    <x v="1"/>
    <s v="Addition"/>
    <x v="0"/>
    <n v="-89.13"/>
    <n v="0"/>
    <n v="1.4833299999999999E-3"/>
    <n v="0"/>
    <n v="-1.59"/>
  </r>
  <r>
    <s v="376100-Mains - Steel"/>
    <s v="20401143328"/>
    <s v="004387"/>
    <x v="0"/>
    <x v="154"/>
    <x v="48"/>
    <x v="9"/>
    <s v="Addition"/>
    <x v="0"/>
    <n v="-34.44"/>
    <n v="0"/>
    <n v="1.4833299999999999E-3"/>
    <n v="0"/>
    <n v="-0.61"/>
  </r>
  <r>
    <s v="376300-Mains - Plastic"/>
    <s v="20401143328"/>
    <s v="004387"/>
    <x v="0"/>
    <x v="154"/>
    <x v="48"/>
    <x v="9"/>
    <s v="Addition"/>
    <x v="0"/>
    <n v="-1935.85"/>
    <n v="0"/>
    <n v="1.4833299999999999E-3"/>
    <n v="0"/>
    <n v="-34.46"/>
  </r>
  <r>
    <s v="376100-Mains - Steel"/>
    <s v="20401143328"/>
    <s v="004387"/>
    <x v="0"/>
    <x v="154"/>
    <x v="48"/>
    <x v="9"/>
    <s v="Addition"/>
    <x v="1"/>
    <n v="-0.05"/>
    <n v="0"/>
    <n v="1.4833299999999999E-3"/>
    <n v="0"/>
    <n v="0"/>
  </r>
  <r>
    <s v="376300-Mains - Plastic"/>
    <s v="20401143328"/>
    <s v="004387"/>
    <x v="0"/>
    <x v="154"/>
    <x v="48"/>
    <x v="9"/>
    <s v="Addition"/>
    <x v="1"/>
    <n v="0.05"/>
    <n v="0"/>
    <n v="1.4833299999999999E-3"/>
    <n v="0"/>
    <n v="0"/>
  </r>
  <r>
    <s v="376300-Mains - Plastic"/>
    <s v="20308143365"/>
    <s v="004389"/>
    <x v="0"/>
    <x v="155"/>
    <x v="21"/>
    <x v="8"/>
    <s v="Addition"/>
    <x v="0"/>
    <n v="-19.86"/>
    <n v="0"/>
    <n v="1.4833299999999999E-3"/>
    <n v="0"/>
    <n v="-0.35"/>
  </r>
  <r>
    <s v="376300-Mains - Plastic"/>
    <s v="20908143266"/>
    <s v="004394"/>
    <x v="0"/>
    <x v="156"/>
    <x v="17"/>
    <x v="2"/>
    <s v="Addition"/>
    <x v="0"/>
    <n v="97223.13"/>
    <n v="0"/>
    <n v="1.4833299999999999E-3"/>
    <n v="0"/>
    <n v="1730.57"/>
  </r>
  <r>
    <s v="376300-Mains - Plastic"/>
    <s v="20908143266"/>
    <s v="004394"/>
    <x v="0"/>
    <x v="156"/>
    <x v="17"/>
    <x v="2"/>
    <s v="Addition"/>
    <x v="1"/>
    <n v="5658.63"/>
    <n v="0"/>
    <n v="1.4833299999999999E-3"/>
    <n v="0"/>
    <n v="100.72"/>
  </r>
  <r>
    <s v="376300-Mains - Plastic"/>
    <s v="20908143266"/>
    <s v="004394"/>
    <x v="0"/>
    <x v="156"/>
    <x v="17"/>
    <x v="2"/>
    <s v="Addition"/>
    <x v="2"/>
    <n v="-154.51"/>
    <n v="0"/>
    <n v="1.4833299999999999E-3"/>
    <n v="0"/>
    <n v="-2.75"/>
  </r>
  <r>
    <s v="376100-Mains - Steel"/>
    <s v="20908143266"/>
    <s v="004394"/>
    <x v="0"/>
    <x v="156"/>
    <x v="17"/>
    <x v="2"/>
    <s v="Addition"/>
    <x v="3"/>
    <n v="1337.3"/>
    <n v="0"/>
    <n v="1.4833299999999999E-3"/>
    <n v="0"/>
    <n v="23.8"/>
  </r>
  <r>
    <s v="376300-Mains - Plastic"/>
    <s v="20908143266"/>
    <s v="004394"/>
    <x v="0"/>
    <x v="156"/>
    <x v="17"/>
    <x v="2"/>
    <s v="Addition"/>
    <x v="3"/>
    <n v="-1826.47"/>
    <n v="0"/>
    <n v="1.4833299999999999E-3"/>
    <n v="0"/>
    <n v="-32.51"/>
  </r>
  <r>
    <s v="376100-Mains - Steel"/>
    <s v="20201133137"/>
    <s v="004396"/>
    <x v="0"/>
    <x v="157"/>
    <x v="9"/>
    <x v="0"/>
    <s v="Addition"/>
    <x v="0"/>
    <n v="-7974.11"/>
    <n v="0"/>
    <n v="1.4833299999999999E-3"/>
    <n v="0"/>
    <n v="-141.94"/>
  </r>
  <r>
    <s v="380200-Services"/>
    <s v="20901050309"/>
    <s v="004400"/>
    <x v="1"/>
    <x v="44"/>
    <x v="56"/>
    <x v="11"/>
    <s v="Addition"/>
    <x v="3"/>
    <n v="463.42"/>
    <n v="0"/>
    <n v="2.23333E-3"/>
    <n v="0"/>
    <n v="12.42"/>
  </r>
  <r>
    <s v="380200-Services"/>
    <s v="20801050362"/>
    <s v="004407"/>
    <x v="1"/>
    <x v="158"/>
    <x v="57"/>
    <x v="21"/>
    <s v="Addition"/>
    <x v="0"/>
    <n v="-3.04"/>
    <n v="0"/>
    <n v="2.23333E-3"/>
    <n v="0"/>
    <n v="-0.08"/>
  </r>
  <r>
    <s v="380200-Services"/>
    <s v="20801050370"/>
    <s v="004413"/>
    <x v="1"/>
    <x v="95"/>
    <x v="58"/>
    <x v="12"/>
    <s v="Addition"/>
    <x v="0"/>
    <n v="-383.88"/>
    <n v="0"/>
    <n v="2.23333E-3"/>
    <n v="0"/>
    <n v="-10.29"/>
  </r>
  <r>
    <s v="380200-Services"/>
    <s v="20901050370"/>
    <s v="004414"/>
    <x v="1"/>
    <x v="159"/>
    <x v="59"/>
    <x v="12"/>
    <s v="Addition"/>
    <x v="0"/>
    <n v="260099.33"/>
    <n v="0"/>
    <n v="2.23333E-3"/>
    <n v="0"/>
    <n v="6970.65"/>
  </r>
  <r>
    <s v="380200-Services"/>
    <s v="20901050370"/>
    <s v="004414"/>
    <x v="1"/>
    <x v="159"/>
    <x v="59"/>
    <x v="12"/>
    <s v="Addition"/>
    <x v="1"/>
    <n v="100421.51"/>
    <n v="0"/>
    <n v="2.23333E-3"/>
    <n v="0"/>
    <n v="2691.29"/>
  </r>
  <r>
    <s v="380200-Services"/>
    <s v="20901050370"/>
    <s v="004414"/>
    <x v="1"/>
    <x v="159"/>
    <x v="59"/>
    <x v="12"/>
    <s v="Addition"/>
    <x v="2"/>
    <n v="46466.6"/>
    <n v="0"/>
    <n v="2.23333E-3"/>
    <n v="0"/>
    <n v="1245.3"/>
  </r>
  <r>
    <s v="380200-Services"/>
    <s v="20901050370"/>
    <s v="004414"/>
    <x v="1"/>
    <x v="159"/>
    <x v="59"/>
    <x v="12"/>
    <s v="Addition"/>
    <x v="3"/>
    <n v="24356.41"/>
    <n v="0"/>
    <n v="2.23333E-3"/>
    <n v="0"/>
    <n v="652.75"/>
  </r>
  <r>
    <s v="380200-Services"/>
    <s v="21001050301"/>
    <s v="004416"/>
    <x v="1"/>
    <x v="96"/>
    <x v="60"/>
    <x v="18"/>
    <s v="Addition"/>
    <x v="0"/>
    <n v="3438.85"/>
    <n v="0"/>
    <n v="2.23333E-3"/>
    <n v="0"/>
    <n v="92.16"/>
  </r>
  <r>
    <s v="380200-Services"/>
    <s v="21001050301"/>
    <s v="004416"/>
    <x v="1"/>
    <x v="96"/>
    <x v="60"/>
    <x v="18"/>
    <s v="Addition"/>
    <x v="1"/>
    <n v="5829.85"/>
    <n v="0"/>
    <n v="2.23333E-3"/>
    <n v="0"/>
    <n v="156.24"/>
  </r>
  <r>
    <s v="380200-Services"/>
    <s v="21001050301"/>
    <s v="004416"/>
    <x v="1"/>
    <x v="96"/>
    <x v="60"/>
    <x v="18"/>
    <s v="Addition"/>
    <x v="2"/>
    <n v="5494.87"/>
    <n v="0"/>
    <n v="2.23333E-3"/>
    <n v="0"/>
    <n v="147.26"/>
  </r>
  <r>
    <s v="380200-Services"/>
    <s v="21001050301"/>
    <s v="004416"/>
    <x v="1"/>
    <x v="96"/>
    <x v="60"/>
    <x v="18"/>
    <s v="Addition"/>
    <x v="3"/>
    <n v="5423.03"/>
    <n v="0"/>
    <n v="2.23333E-3"/>
    <n v="0"/>
    <n v="145.34"/>
  </r>
  <r>
    <s v="376100-Mains - Steel"/>
    <s v="20501132307"/>
    <s v="004422"/>
    <x v="0"/>
    <x v="160"/>
    <x v="8"/>
    <x v="0"/>
    <s v="Addition"/>
    <x v="0"/>
    <n v="50.89"/>
    <n v="0"/>
    <n v="1.4833299999999999E-3"/>
    <n v="0"/>
    <n v="0.91"/>
  </r>
  <r>
    <s v="376100-Mains - Steel"/>
    <s v="20201132511"/>
    <s v="004427"/>
    <x v="0"/>
    <x v="161"/>
    <x v="9"/>
    <x v="0"/>
    <s v="Addition"/>
    <x v="0"/>
    <n v="-1362.37"/>
    <n v="0"/>
    <n v="1.4833299999999999E-3"/>
    <n v="0"/>
    <n v="-24.25"/>
  </r>
  <r>
    <s v="376100-Mains - Steel"/>
    <s v="20401132518"/>
    <s v="004428"/>
    <x v="0"/>
    <x v="162"/>
    <x v="5"/>
    <x v="0"/>
    <s v="Addition"/>
    <x v="0"/>
    <n v="-283.43"/>
    <n v="0"/>
    <n v="1.4833299999999999E-3"/>
    <n v="0"/>
    <n v="-5.05"/>
  </r>
  <r>
    <s v="376100-Mains - Steel"/>
    <s v="20301118253"/>
    <s v="004430"/>
    <x v="0"/>
    <x v="163"/>
    <x v="38"/>
    <x v="16"/>
    <s v="Addition"/>
    <x v="0"/>
    <n v="-386.84"/>
    <n v="0"/>
    <n v="1.4833299999999999E-3"/>
    <n v="0"/>
    <n v="-6.89"/>
  </r>
  <r>
    <s v="376100-Mains - Steel"/>
    <s v="20301118253"/>
    <s v="004430"/>
    <x v="0"/>
    <x v="163"/>
    <x v="38"/>
    <x v="16"/>
    <s v="Addition"/>
    <x v="1"/>
    <n v="0"/>
    <n v="0"/>
    <n v="1.4833299999999999E-3"/>
    <n v="0"/>
    <n v="0"/>
  </r>
  <r>
    <s v="376100-Mains - Steel"/>
    <s v="21219133193"/>
    <s v="004442"/>
    <x v="0"/>
    <x v="164"/>
    <x v="4"/>
    <x v="2"/>
    <s v="Addition"/>
    <x v="0"/>
    <n v="-6.15"/>
    <n v="0"/>
    <n v="1.4833299999999999E-3"/>
    <n v="0"/>
    <n v="-0.11"/>
  </r>
  <r>
    <s v="376100-Mains - Steel"/>
    <s v="20401132788"/>
    <s v="004443"/>
    <x v="0"/>
    <x v="165"/>
    <x v="22"/>
    <x v="9"/>
    <s v="Addition"/>
    <x v="0"/>
    <n v="-725.84"/>
    <n v="0"/>
    <n v="1.4833299999999999E-3"/>
    <n v="0"/>
    <n v="-12.92"/>
  </r>
  <r>
    <s v="380200-Services"/>
    <s v="20401133204"/>
    <s v="004444"/>
    <x v="0"/>
    <x v="166"/>
    <x v="61"/>
    <x v="22"/>
    <s v="Addition"/>
    <x v="0"/>
    <n v="-176.28"/>
    <n v="0"/>
    <n v="2.23333E-3"/>
    <n v="0"/>
    <n v="-4.72"/>
  </r>
  <r>
    <s v="376100-Mains - Steel"/>
    <s v="20317132851"/>
    <s v="004448"/>
    <x v="0"/>
    <x v="167"/>
    <x v="9"/>
    <x v="0"/>
    <s v="Addition"/>
    <x v="0"/>
    <n v="-536.53"/>
    <n v="0"/>
    <n v="1.4833299999999999E-3"/>
    <n v="0"/>
    <n v="-9.5500000000000007"/>
  </r>
  <r>
    <s v="376100-Mains - Steel"/>
    <s v="20501133062"/>
    <s v="004450"/>
    <x v="0"/>
    <x v="168"/>
    <x v="7"/>
    <x v="2"/>
    <s v="Addition"/>
    <x v="3"/>
    <n v="77100.09"/>
    <n v="0"/>
    <n v="1.4833299999999999E-3"/>
    <n v="0"/>
    <n v="1372.38"/>
  </r>
  <r>
    <s v="376100-Mains - Steel"/>
    <s v="21219132924"/>
    <s v="004453"/>
    <x v="0"/>
    <x v="169"/>
    <x v="47"/>
    <x v="1"/>
    <s v="Addition"/>
    <x v="0"/>
    <n v="24.81"/>
    <n v="0"/>
    <n v="1.4833299999999999E-3"/>
    <n v="0"/>
    <n v="0.44"/>
  </r>
  <r>
    <s v="376100-Mains - Steel"/>
    <s v="20813133159"/>
    <s v="004459"/>
    <x v="0"/>
    <x v="170"/>
    <x v="2"/>
    <x v="0"/>
    <s v="Addition"/>
    <x v="0"/>
    <n v="-175.31"/>
    <n v="0"/>
    <n v="1.4833299999999999E-3"/>
    <n v="0"/>
    <n v="-3.12"/>
  </r>
  <r>
    <s v="376100-Mains - Steel"/>
    <s v="20401132399"/>
    <s v="004460"/>
    <x v="0"/>
    <x v="171"/>
    <x v="54"/>
    <x v="8"/>
    <s v="Addition"/>
    <x v="0"/>
    <n v="-674262.3"/>
    <n v="0"/>
    <n v="1.4833299999999999E-3"/>
    <n v="0"/>
    <n v="-12001.84"/>
  </r>
  <r>
    <s v="376300-Mains - Plastic"/>
    <s v="20401132399"/>
    <s v="004460"/>
    <x v="0"/>
    <x v="171"/>
    <x v="54"/>
    <x v="8"/>
    <s v="Addition"/>
    <x v="0"/>
    <n v="660836.46"/>
    <n v="0"/>
    <n v="1.4833299999999999E-3"/>
    <n v="0"/>
    <n v="11762.86"/>
  </r>
  <r>
    <s v="376100-Mains - Steel"/>
    <s v="20201143317"/>
    <s v="004463"/>
    <x v="0"/>
    <x v="172"/>
    <x v="21"/>
    <x v="8"/>
    <s v="Addition"/>
    <x v="0"/>
    <n v="4065.05"/>
    <n v="0"/>
    <n v="1.4833299999999999E-3"/>
    <n v="0"/>
    <n v="72.36"/>
  </r>
  <r>
    <s v="376100-Mains - Steel"/>
    <s v="20201143317"/>
    <s v="004463"/>
    <x v="0"/>
    <x v="172"/>
    <x v="21"/>
    <x v="8"/>
    <s v="Addition"/>
    <x v="1"/>
    <n v="-14831.49"/>
    <n v="0"/>
    <n v="1.4833299999999999E-3"/>
    <n v="0"/>
    <n v="-264"/>
  </r>
  <r>
    <s v="376300-Mains - Plastic"/>
    <s v="20201143317"/>
    <s v="004463"/>
    <x v="0"/>
    <x v="172"/>
    <x v="21"/>
    <x v="8"/>
    <s v="Addition"/>
    <x v="1"/>
    <n v="14831.49"/>
    <n v="0"/>
    <n v="1.4833299999999999E-3"/>
    <n v="0"/>
    <n v="264"/>
  </r>
  <r>
    <s v="376100-Mains - Steel"/>
    <s v="20816143338"/>
    <s v="004464"/>
    <x v="0"/>
    <x v="173"/>
    <x v="39"/>
    <x v="2"/>
    <s v="Addition"/>
    <x v="0"/>
    <n v="-115.28"/>
    <n v="0"/>
    <n v="1.4833299999999999E-3"/>
    <n v="0"/>
    <n v="-2.0499999999999998"/>
  </r>
  <r>
    <s v="376100-Mains - Steel"/>
    <s v="20401132966"/>
    <s v="004468"/>
    <x v="0"/>
    <x v="174"/>
    <x v="22"/>
    <x v="9"/>
    <s v="Addition"/>
    <x v="0"/>
    <n v="-912.44"/>
    <n v="0"/>
    <n v="1.4833299999999999E-3"/>
    <n v="0"/>
    <n v="-16.239999999999998"/>
  </r>
  <r>
    <s v="376100-Mains - Steel"/>
    <s v="20815132957"/>
    <s v="004474"/>
    <x v="0"/>
    <x v="175"/>
    <x v="24"/>
    <x v="1"/>
    <s v="Addition"/>
    <x v="2"/>
    <n v="18.21"/>
    <n v="0"/>
    <n v="1.4833299999999999E-3"/>
    <n v="0"/>
    <n v="0.32"/>
  </r>
  <r>
    <s v="376100-Mains - Steel"/>
    <s v="20815132957"/>
    <s v="004474"/>
    <x v="0"/>
    <x v="175"/>
    <x v="24"/>
    <x v="1"/>
    <s v="Addition"/>
    <x v="3"/>
    <n v="-0.08"/>
    <n v="0"/>
    <n v="1.4833299999999999E-3"/>
    <n v="0"/>
    <n v="0"/>
  </r>
  <r>
    <s v="376300-Mains - Plastic"/>
    <s v="20901133138"/>
    <s v="004477"/>
    <x v="0"/>
    <x v="176"/>
    <x v="17"/>
    <x v="2"/>
    <s v="Addition"/>
    <x v="0"/>
    <n v="-33.92"/>
    <n v="0"/>
    <n v="1.4833299999999999E-3"/>
    <n v="0"/>
    <n v="-0.6"/>
  </r>
  <r>
    <s v="376100-Mains - Steel"/>
    <s v="20401132728"/>
    <s v="004480"/>
    <x v="0"/>
    <x v="177"/>
    <x v="4"/>
    <x v="2"/>
    <s v="Addition"/>
    <x v="0"/>
    <n v="-1136.6400000000001"/>
    <n v="0"/>
    <n v="1.4833299999999999E-3"/>
    <n v="0"/>
    <n v="-20.23"/>
  </r>
  <r>
    <s v="376100-Mains - Steel"/>
    <s v="21001132797"/>
    <s v="004481"/>
    <x v="0"/>
    <x v="178"/>
    <x v="3"/>
    <x v="0"/>
    <s v="Addition"/>
    <x v="0"/>
    <n v="-42.2"/>
    <n v="0"/>
    <n v="1.4833299999999999E-3"/>
    <n v="0"/>
    <n v="-0.75"/>
  </r>
  <r>
    <s v="376100-Mains - Steel"/>
    <s v="21213132956"/>
    <s v="004483"/>
    <x v="0"/>
    <x v="179"/>
    <x v="47"/>
    <x v="1"/>
    <s v="Addition"/>
    <x v="0"/>
    <n v="10.48"/>
    <n v="0"/>
    <n v="1.4833299999999999E-3"/>
    <n v="0"/>
    <n v="0.19"/>
  </r>
  <r>
    <s v="376100-Mains - Steel"/>
    <s v="21271133034"/>
    <s v="004485"/>
    <x v="0"/>
    <x v="180"/>
    <x v="4"/>
    <x v="2"/>
    <s v="Addition"/>
    <x v="0"/>
    <n v="-187.92"/>
    <n v="0"/>
    <n v="1.4833299999999999E-3"/>
    <n v="0"/>
    <n v="-3.34"/>
  </r>
  <r>
    <s v="376100-Mains - Steel"/>
    <s v="20802132875"/>
    <s v="004486"/>
    <x v="0"/>
    <x v="181"/>
    <x v="62"/>
    <x v="1"/>
    <s v="Addition"/>
    <x v="0"/>
    <n v="5.21"/>
    <n v="0"/>
    <n v="1.4833299999999999E-3"/>
    <n v="0"/>
    <n v="0.09"/>
  </r>
  <r>
    <s v="376100-Mains - Steel"/>
    <s v="20401132756"/>
    <s v="004488"/>
    <x v="0"/>
    <x v="182"/>
    <x v="5"/>
    <x v="0"/>
    <s v="Addition"/>
    <x v="0"/>
    <n v="-193.2"/>
    <n v="0"/>
    <n v="1.4833299999999999E-3"/>
    <n v="0"/>
    <n v="-3.44"/>
  </r>
  <r>
    <s v="380200-Services"/>
    <s v="20501050367"/>
    <s v="004499"/>
    <x v="1"/>
    <x v="46"/>
    <x v="63"/>
    <x v="6"/>
    <s v="Addition"/>
    <x v="0"/>
    <n v="642.49"/>
    <n v="0"/>
    <n v="2.23333E-3"/>
    <n v="0"/>
    <n v="17.22"/>
  </r>
  <r>
    <s v="380200-Services"/>
    <s v="20501050367"/>
    <s v="004499"/>
    <x v="1"/>
    <x v="46"/>
    <x v="63"/>
    <x v="6"/>
    <s v="Addition"/>
    <x v="1"/>
    <n v="-743.2"/>
    <n v="0"/>
    <n v="2.23333E-3"/>
    <n v="0"/>
    <n v="-19.920000000000002"/>
  </r>
  <r>
    <s v="380200-Services"/>
    <s v="20501050367"/>
    <s v="004499"/>
    <x v="1"/>
    <x v="46"/>
    <x v="63"/>
    <x v="6"/>
    <s v="Addition"/>
    <x v="2"/>
    <n v="20.29"/>
    <n v="0"/>
    <n v="2.23333E-3"/>
    <n v="0"/>
    <n v="0.54"/>
  </r>
  <r>
    <s v="380200-Services"/>
    <s v="20501050367"/>
    <s v="004499"/>
    <x v="1"/>
    <x v="46"/>
    <x v="63"/>
    <x v="6"/>
    <s v="Addition"/>
    <x v="3"/>
    <n v="64.27"/>
    <n v="0"/>
    <n v="2.23333E-3"/>
    <n v="0"/>
    <n v="1.72"/>
  </r>
  <r>
    <s v="380200-Services"/>
    <s v="20801050301"/>
    <s v="004501"/>
    <x v="1"/>
    <x v="96"/>
    <x v="64"/>
    <x v="18"/>
    <s v="Addition"/>
    <x v="0"/>
    <n v="16917.41"/>
    <n v="0"/>
    <n v="2.23333E-3"/>
    <n v="0"/>
    <n v="453.39"/>
  </r>
  <r>
    <s v="380200-Services"/>
    <s v="20801050301"/>
    <s v="004501"/>
    <x v="1"/>
    <x v="96"/>
    <x v="64"/>
    <x v="18"/>
    <s v="Addition"/>
    <x v="1"/>
    <n v="14213.17"/>
    <n v="0"/>
    <n v="2.23333E-3"/>
    <n v="0"/>
    <n v="380.91"/>
  </r>
  <r>
    <s v="380200-Services"/>
    <s v="20801050301"/>
    <s v="004501"/>
    <x v="1"/>
    <x v="96"/>
    <x v="64"/>
    <x v="18"/>
    <s v="Addition"/>
    <x v="2"/>
    <n v="-5090.0600000000004"/>
    <n v="0"/>
    <n v="2.23333E-3"/>
    <n v="0"/>
    <n v="-136.41"/>
  </r>
  <r>
    <s v="380200-Services"/>
    <s v="20801050301"/>
    <s v="004501"/>
    <x v="1"/>
    <x v="96"/>
    <x v="64"/>
    <x v="18"/>
    <s v="Addition"/>
    <x v="3"/>
    <n v="4755.1000000000004"/>
    <n v="0"/>
    <n v="2.23333E-3"/>
    <n v="0"/>
    <n v="127.44"/>
  </r>
  <r>
    <s v="376100-Mains - Steel"/>
    <s v="20501132734"/>
    <s v="004510"/>
    <x v="0"/>
    <x v="183"/>
    <x v="30"/>
    <x v="0"/>
    <s v="Addition"/>
    <x v="0"/>
    <n v="6.37"/>
    <n v="0"/>
    <n v="1.4833299999999999E-3"/>
    <n v="0"/>
    <n v="0.11"/>
  </r>
  <r>
    <s v="378000-Meas &amp; Reg Station Equipment"/>
    <s v="20401132379"/>
    <s v="004515"/>
    <x v="0"/>
    <x v="184"/>
    <x v="65"/>
    <x v="10"/>
    <s v="Addition"/>
    <x v="0"/>
    <n v="-215.87"/>
    <n v="0"/>
    <n v="2.3833299999999999E-3"/>
    <n v="0"/>
    <n v="-6.17"/>
  </r>
  <r>
    <s v="376100-Mains - Steel"/>
    <s v="20401132651"/>
    <s v="004523"/>
    <x v="0"/>
    <x v="185"/>
    <x v="4"/>
    <x v="2"/>
    <s v="Addition"/>
    <x v="0"/>
    <n v="-5404.17"/>
    <n v="0"/>
    <n v="1.4833299999999999E-3"/>
    <n v="0"/>
    <n v="-96.19"/>
  </r>
  <r>
    <s v="376100-Mains - Steel"/>
    <s v="20401121835"/>
    <s v="004525"/>
    <x v="0"/>
    <x v="186"/>
    <x v="22"/>
    <x v="9"/>
    <s v="Addition"/>
    <x v="0"/>
    <n v="-919.54"/>
    <n v="0"/>
    <n v="1.4833299999999999E-3"/>
    <n v="0"/>
    <n v="-16.37"/>
  </r>
  <r>
    <s v="376100-Mains - Steel"/>
    <s v="20501132499"/>
    <s v="004531"/>
    <x v="0"/>
    <x v="187"/>
    <x v="8"/>
    <x v="0"/>
    <s v="Addition"/>
    <x v="0"/>
    <n v="-115.71"/>
    <n v="0"/>
    <n v="1.4833299999999999E-3"/>
    <n v="0"/>
    <n v="-2.06"/>
  </r>
  <r>
    <s v="376100-Mains - Steel"/>
    <s v="20401132709"/>
    <s v="004536"/>
    <x v="0"/>
    <x v="188"/>
    <x v="22"/>
    <x v="9"/>
    <s v="Addition"/>
    <x v="0"/>
    <n v="-90.01"/>
    <n v="0"/>
    <n v="1.4833299999999999E-3"/>
    <n v="0"/>
    <n v="-1.6"/>
  </r>
  <r>
    <s v="376100-Mains - Steel"/>
    <s v="20904132968"/>
    <s v="004547"/>
    <x v="0"/>
    <x v="189"/>
    <x v="18"/>
    <x v="1"/>
    <s v="Addition"/>
    <x v="0"/>
    <n v="-61.29"/>
    <n v="0"/>
    <n v="1.4833299999999999E-3"/>
    <n v="0"/>
    <n v="-1.0900000000000001"/>
  </r>
  <r>
    <s v="376100-Mains - Steel"/>
    <s v="20401121900"/>
    <s v="004557"/>
    <x v="0"/>
    <x v="190"/>
    <x v="66"/>
    <x v="9"/>
    <s v="Addition"/>
    <x v="0"/>
    <n v="-1328.44"/>
    <n v="0"/>
    <n v="1.4833299999999999E-3"/>
    <n v="0"/>
    <n v="-23.65"/>
  </r>
  <r>
    <s v="376100-Mains - Steel"/>
    <s v="20501132745"/>
    <s v="004559"/>
    <x v="0"/>
    <x v="191"/>
    <x v="8"/>
    <x v="0"/>
    <s v="Addition"/>
    <x v="0"/>
    <n v="-1908.15"/>
    <n v="0"/>
    <n v="1.4833299999999999E-3"/>
    <n v="0"/>
    <n v="-33.96"/>
  </r>
  <r>
    <s v="376100-Mains - Steel"/>
    <s v="20501132745"/>
    <s v="004559"/>
    <x v="0"/>
    <x v="191"/>
    <x v="8"/>
    <x v="0"/>
    <s v="Addition"/>
    <x v="2"/>
    <n v="5238.34"/>
    <n v="0"/>
    <n v="1.4833299999999999E-3"/>
    <n v="0"/>
    <n v="93.24"/>
  </r>
  <r>
    <s v="376100-Mains - Steel"/>
    <s v="20501132745"/>
    <s v="004559"/>
    <x v="0"/>
    <x v="191"/>
    <x v="8"/>
    <x v="0"/>
    <s v="Addition"/>
    <x v="3"/>
    <n v="7983.95"/>
    <n v="0"/>
    <n v="1.4833299999999999E-3"/>
    <n v="0"/>
    <n v="142.11000000000001"/>
  </r>
  <r>
    <s v="376300-Mains - Plastic"/>
    <s v="20908133165"/>
    <s v="004566"/>
    <x v="0"/>
    <x v="192"/>
    <x v="9"/>
    <x v="0"/>
    <s v="Addition"/>
    <x v="0"/>
    <n v="-1477.33"/>
    <n v="0"/>
    <n v="1.4833299999999999E-3"/>
    <n v="0"/>
    <n v="-26.3"/>
  </r>
  <r>
    <s v="376100-Mains - Steel"/>
    <s v="20401132982"/>
    <s v="004567"/>
    <x v="0"/>
    <x v="193"/>
    <x v="5"/>
    <x v="0"/>
    <s v="Addition"/>
    <x v="0"/>
    <n v="-5845.57"/>
    <n v="0"/>
    <n v="1.4833299999999999E-3"/>
    <n v="0"/>
    <n v="-104.05"/>
  </r>
  <r>
    <s v="376100-Mains - Steel"/>
    <s v="20902132892"/>
    <s v="004571"/>
    <x v="0"/>
    <x v="194"/>
    <x v="36"/>
    <x v="15"/>
    <s v="Addition"/>
    <x v="0"/>
    <n v="-332.16"/>
    <n v="0"/>
    <n v="1.4833299999999999E-3"/>
    <n v="0"/>
    <n v="-5.91"/>
  </r>
  <r>
    <s v="376100-Mains - Steel"/>
    <s v="20901132486"/>
    <s v="004574"/>
    <x v="0"/>
    <x v="195"/>
    <x v="17"/>
    <x v="2"/>
    <s v="Addition"/>
    <x v="0"/>
    <n v="-46.05"/>
    <n v="0"/>
    <n v="1.4833299999999999E-3"/>
    <n v="0"/>
    <n v="-0.82"/>
  </r>
  <r>
    <s v="376300-Mains - Plastic"/>
    <s v="20201133224"/>
    <s v="004575"/>
    <x v="0"/>
    <x v="196"/>
    <x v="1"/>
    <x v="1"/>
    <s v="Addition"/>
    <x v="0"/>
    <n v="-622.91"/>
    <n v="0"/>
    <n v="1.4833299999999999E-3"/>
    <n v="0"/>
    <n v="-11.09"/>
  </r>
  <r>
    <s v="376300-Mains - Plastic"/>
    <s v="20201133224"/>
    <s v="004575"/>
    <x v="0"/>
    <x v="196"/>
    <x v="1"/>
    <x v="1"/>
    <s v="Addition"/>
    <x v="2"/>
    <n v="0"/>
    <n v="0"/>
    <n v="1.4833299999999999E-3"/>
    <n v="0"/>
    <n v="0"/>
  </r>
  <r>
    <s v="376300-Mains - Plastic"/>
    <s v="21271133028"/>
    <s v="004576"/>
    <x v="0"/>
    <x v="197"/>
    <x v="4"/>
    <x v="2"/>
    <s v="Addition"/>
    <x v="0"/>
    <n v="-3374.08"/>
    <n v="0"/>
    <n v="1.4833299999999999E-3"/>
    <n v="0"/>
    <n v="-60.06"/>
  </r>
  <r>
    <s v="376300-Mains - Plastic"/>
    <s v="21271133028"/>
    <s v="004576"/>
    <x v="0"/>
    <x v="197"/>
    <x v="4"/>
    <x v="2"/>
    <s v="Addition"/>
    <x v="1"/>
    <n v="0"/>
    <n v="0"/>
    <n v="1.4833299999999999E-3"/>
    <n v="0"/>
    <n v="0"/>
  </r>
  <r>
    <s v="376100-Mains - Steel"/>
    <s v="20401132828"/>
    <s v="004582"/>
    <x v="0"/>
    <x v="198"/>
    <x v="22"/>
    <x v="9"/>
    <s v="Addition"/>
    <x v="0"/>
    <n v="-1433.54"/>
    <n v="0"/>
    <n v="1.4833299999999999E-3"/>
    <n v="0"/>
    <n v="-25.52"/>
  </r>
  <r>
    <s v="376100-Mains - Steel"/>
    <s v="20401133190"/>
    <s v="004585"/>
    <x v="0"/>
    <x v="199"/>
    <x v="22"/>
    <x v="9"/>
    <s v="Addition"/>
    <x v="0"/>
    <n v="-505.02"/>
    <n v="0"/>
    <n v="1.4833299999999999E-3"/>
    <n v="0"/>
    <n v="-8.99"/>
  </r>
  <r>
    <s v="376300-Mains - Plastic"/>
    <s v="20201143418"/>
    <s v="004587"/>
    <x v="0"/>
    <x v="200"/>
    <x v="17"/>
    <x v="2"/>
    <s v="Addition"/>
    <x v="0"/>
    <n v="-1019.7"/>
    <n v="0"/>
    <n v="1.4833299999999999E-3"/>
    <n v="0"/>
    <n v="-18.149999999999999"/>
  </r>
  <r>
    <s v="376300-Mains - Plastic"/>
    <s v="20201143418"/>
    <s v="004587"/>
    <x v="0"/>
    <x v="200"/>
    <x v="17"/>
    <x v="2"/>
    <s v="Addition"/>
    <x v="1"/>
    <n v="0"/>
    <n v="0"/>
    <n v="1.4833299999999999E-3"/>
    <n v="0"/>
    <n v="0"/>
  </r>
  <r>
    <s v="376100-Mains - Steel"/>
    <s v="20502143412"/>
    <s v="004588"/>
    <x v="0"/>
    <x v="201"/>
    <x v="8"/>
    <x v="0"/>
    <s v="Addition"/>
    <x v="3"/>
    <n v="192036.17"/>
    <n v="0"/>
    <n v="1.4833299999999999E-3"/>
    <n v="0"/>
    <n v="3418.24"/>
  </r>
  <r>
    <s v="380200-Services"/>
    <s v="20806133026"/>
    <s v="004590"/>
    <x v="0"/>
    <x v="202"/>
    <x v="67"/>
    <x v="22"/>
    <s v="Addition"/>
    <x v="0"/>
    <n v="-44.18"/>
    <n v="0"/>
    <n v="2.23333E-3"/>
    <n v="0"/>
    <n v="-1.18"/>
  </r>
  <r>
    <s v="380200-Services"/>
    <s v="20501050360"/>
    <s v="004597"/>
    <x v="1"/>
    <x v="11"/>
    <x v="68"/>
    <x v="3"/>
    <s v="Addition"/>
    <x v="0"/>
    <n v="29.7"/>
    <n v="0"/>
    <n v="2.23333E-3"/>
    <n v="0"/>
    <n v="0.8"/>
  </r>
  <r>
    <s v="380200-Services"/>
    <s v="20901050360"/>
    <s v="004598"/>
    <x v="1"/>
    <x v="11"/>
    <x v="10"/>
    <x v="3"/>
    <s v="Addition"/>
    <x v="0"/>
    <n v="1203.8"/>
    <n v="0"/>
    <n v="2.23333E-3"/>
    <n v="0"/>
    <n v="32.26"/>
  </r>
  <r>
    <s v="380200-Services"/>
    <s v="20901050360"/>
    <s v="004598"/>
    <x v="1"/>
    <x v="11"/>
    <x v="10"/>
    <x v="3"/>
    <s v="Addition"/>
    <x v="2"/>
    <n v="-127.08"/>
    <n v="0"/>
    <n v="2.23333E-3"/>
    <n v="0"/>
    <n v="-3.41"/>
  </r>
  <r>
    <s v="380200-Services"/>
    <s v="20901050360"/>
    <s v="004598"/>
    <x v="1"/>
    <x v="11"/>
    <x v="10"/>
    <x v="3"/>
    <s v="Addition"/>
    <x v="3"/>
    <n v="8.01"/>
    <n v="0"/>
    <n v="2.23333E-3"/>
    <n v="0"/>
    <n v="0.21"/>
  </r>
  <r>
    <s v="380200-Services"/>
    <s v="20401050371"/>
    <s v="004599"/>
    <x v="1"/>
    <x v="203"/>
    <x v="69"/>
    <x v="4"/>
    <s v="Addition"/>
    <x v="0"/>
    <n v="47053.64"/>
    <n v="0"/>
    <n v="2.23333E-3"/>
    <n v="0"/>
    <n v="1261.04"/>
  </r>
  <r>
    <s v="380200-Services"/>
    <s v="20401050371"/>
    <s v="004599"/>
    <x v="1"/>
    <x v="203"/>
    <x v="69"/>
    <x v="4"/>
    <s v="Addition"/>
    <x v="1"/>
    <n v="49038.54"/>
    <n v="0"/>
    <n v="2.23333E-3"/>
    <n v="0"/>
    <n v="1314.23"/>
  </r>
  <r>
    <s v="380200-Services"/>
    <s v="20401050371"/>
    <s v="004599"/>
    <x v="1"/>
    <x v="203"/>
    <x v="69"/>
    <x v="4"/>
    <s v="Addition"/>
    <x v="2"/>
    <n v="8037.46"/>
    <n v="0"/>
    <n v="2.23333E-3"/>
    <n v="0"/>
    <n v="215.4"/>
  </r>
  <r>
    <s v="380200-Services"/>
    <s v="20401050371"/>
    <s v="004599"/>
    <x v="1"/>
    <x v="203"/>
    <x v="69"/>
    <x v="4"/>
    <s v="Addition"/>
    <x v="3"/>
    <n v="-3814.16"/>
    <n v="0"/>
    <n v="2.23333E-3"/>
    <n v="0"/>
    <n v="-102.22"/>
  </r>
  <r>
    <s v="380200-Services"/>
    <s v="20501050371"/>
    <s v="004600"/>
    <x v="1"/>
    <x v="13"/>
    <x v="70"/>
    <x v="4"/>
    <s v="Addition"/>
    <x v="0"/>
    <n v="103995.5"/>
    <n v="0"/>
    <n v="2.23333E-3"/>
    <n v="0"/>
    <n v="2787.08"/>
  </r>
  <r>
    <s v="380200-Services"/>
    <s v="20501050371"/>
    <s v="004600"/>
    <x v="1"/>
    <x v="13"/>
    <x v="70"/>
    <x v="4"/>
    <s v="Addition"/>
    <x v="1"/>
    <n v="26052.94"/>
    <n v="0"/>
    <n v="2.23333E-3"/>
    <n v="0"/>
    <n v="698.22"/>
  </r>
  <r>
    <s v="380200-Services"/>
    <s v="20501050371"/>
    <s v="004600"/>
    <x v="1"/>
    <x v="13"/>
    <x v="70"/>
    <x v="4"/>
    <s v="Addition"/>
    <x v="2"/>
    <n v="-983.36"/>
    <n v="0"/>
    <n v="2.23333E-3"/>
    <n v="0"/>
    <n v="-26.35"/>
  </r>
  <r>
    <s v="380200-Services"/>
    <s v="20501050371"/>
    <s v="004600"/>
    <x v="1"/>
    <x v="13"/>
    <x v="70"/>
    <x v="4"/>
    <s v="Addition"/>
    <x v="3"/>
    <n v="8776.2099999999991"/>
    <n v="0"/>
    <n v="2.23333E-3"/>
    <n v="0"/>
    <n v="235.2"/>
  </r>
  <r>
    <s v="380200-Services"/>
    <s v="21001050371"/>
    <s v="004601"/>
    <x v="1"/>
    <x v="13"/>
    <x v="71"/>
    <x v="4"/>
    <s v="Addition"/>
    <x v="0"/>
    <n v="-0.62"/>
    <n v="0"/>
    <n v="2.23333E-3"/>
    <n v="0"/>
    <n v="-0.02"/>
  </r>
  <r>
    <s v="380200-Services"/>
    <s v="21001050371"/>
    <s v="004601"/>
    <x v="1"/>
    <x v="13"/>
    <x v="71"/>
    <x v="4"/>
    <s v="Addition"/>
    <x v="3"/>
    <n v="48.78"/>
    <n v="0"/>
    <n v="2.23333E-3"/>
    <n v="0"/>
    <n v="1.31"/>
  </r>
  <r>
    <s v="380200-Services"/>
    <s v="20901050367"/>
    <s v="004609"/>
    <x v="1"/>
    <x v="46"/>
    <x v="72"/>
    <x v="6"/>
    <s v="Addition"/>
    <x v="0"/>
    <n v="7053.44"/>
    <n v="0"/>
    <n v="2.23333E-3"/>
    <n v="0"/>
    <n v="189.03"/>
  </r>
  <r>
    <s v="380200-Services"/>
    <s v="20901050367"/>
    <s v="004609"/>
    <x v="1"/>
    <x v="46"/>
    <x v="72"/>
    <x v="6"/>
    <s v="Addition"/>
    <x v="1"/>
    <n v="6651.75"/>
    <n v="0"/>
    <n v="2.23333E-3"/>
    <n v="0"/>
    <n v="178.27"/>
  </r>
  <r>
    <s v="380200-Services"/>
    <s v="20901050367"/>
    <s v="004609"/>
    <x v="1"/>
    <x v="46"/>
    <x v="72"/>
    <x v="6"/>
    <s v="Addition"/>
    <x v="2"/>
    <n v="8010.12"/>
    <n v="0"/>
    <n v="2.23333E-3"/>
    <n v="0"/>
    <n v="214.67"/>
  </r>
  <r>
    <s v="380200-Services"/>
    <s v="20901050367"/>
    <s v="004609"/>
    <x v="1"/>
    <x v="46"/>
    <x v="72"/>
    <x v="6"/>
    <s v="Addition"/>
    <x v="3"/>
    <n v="2824.7"/>
    <n v="0"/>
    <n v="2.23333E-3"/>
    <n v="0"/>
    <n v="75.7"/>
  </r>
  <r>
    <s v="376100-Mains - Steel"/>
    <s v="20401121846"/>
    <s v="004612"/>
    <x v="0"/>
    <x v="204"/>
    <x v="22"/>
    <x v="9"/>
    <s v="Addition"/>
    <x v="0"/>
    <n v="-4641.3900000000003"/>
    <n v="0"/>
    <n v="1.4833299999999999E-3"/>
    <n v="0"/>
    <n v="-82.62"/>
  </r>
  <r>
    <s v="376100-Mains - Steel"/>
    <s v="20201132490"/>
    <s v="004619"/>
    <x v="0"/>
    <x v="205"/>
    <x v="9"/>
    <x v="0"/>
    <s v="Addition"/>
    <x v="0"/>
    <n v="-84.14"/>
    <n v="0"/>
    <n v="1.4833299999999999E-3"/>
    <n v="0"/>
    <n v="-1.5"/>
  </r>
  <r>
    <s v="376100-Mains - Steel"/>
    <s v="20201132490"/>
    <s v="004619"/>
    <x v="0"/>
    <x v="205"/>
    <x v="9"/>
    <x v="0"/>
    <s v="Addition"/>
    <x v="1"/>
    <n v="325.61"/>
    <n v="0"/>
    <n v="1.4833299999999999E-3"/>
    <n v="0"/>
    <n v="5.8"/>
  </r>
  <r>
    <s v="376100-Mains - Steel"/>
    <s v="20201132490"/>
    <s v="004619"/>
    <x v="0"/>
    <x v="205"/>
    <x v="9"/>
    <x v="0"/>
    <s v="Addition"/>
    <x v="2"/>
    <n v="205.63"/>
    <n v="0"/>
    <n v="1.4833299999999999E-3"/>
    <n v="0"/>
    <n v="3.66"/>
  </r>
  <r>
    <s v="376100-Mains - Steel"/>
    <s v="20201132490"/>
    <s v="004619"/>
    <x v="0"/>
    <x v="205"/>
    <x v="9"/>
    <x v="0"/>
    <s v="Addition"/>
    <x v="3"/>
    <n v="-35.33"/>
    <n v="0"/>
    <n v="1.4833299999999999E-3"/>
    <n v="0"/>
    <n v="-0.63"/>
  </r>
  <r>
    <s v="378000-Meas &amp; Reg Station Equipment"/>
    <s v="20201132660"/>
    <s v="004622"/>
    <x v="0"/>
    <x v="206"/>
    <x v="23"/>
    <x v="10"/>
    <s v="Addition"/>
    <x v="0"/>
    <n v="-567.96"/>
    <n v="0"/>
    <n v="2.3833299999999999E-3"/>
    <n v="0"/>
    <n v="-16.239999999999998"/>
  </r>
  <r>
    <s v="376100-Mains - Steel"/>
    <s v="20501132643"/>
    <s v="004623"/>
    <x v="0"/>
    <x v="207"/>
    <x v="30"/>
    <x v="0"/>
    <s v="Addition"/>
    <x v="0"/>
    <n v="-1384.18"/>
    <n v="0"/>
    <n v="1.4833299999999999E-3"/>
    <n v="0"/>
    <n v="-24.64"/>
  </r>
  <r>
    <s v="376100-Mains - Steel"/>
    <s v="20201132733"/>
    <s v="004624"/>
    <x v="0"/>
    <x v="208"/>
    <x v="17"/>
    <x v="2"/>
    <s v="Addition"/>
    <x v="0"/>
    <n v="-630.88"/>
    <n v="0"/>
    <n v="1.4833299999999999E-3"/>
    <n v="0"/>
    <n v="-11.23"/>
  </r>
  <r>
    <s v="378000-Meas &amp; Reg Station Equipment"/>
    <s v="20901132504"/>
    <s v="004626"/>
    <x v="0"/>
    <x v="209"/>
    <x v="23"/>
    <x v="10"/>
    <s v="Addition"/>
    <x v="0"/>
    <n v="-212.27"/>
    <n v="0"/>
    <n v="2.3833299999999999E-3"/>
    <n v="0"/>
    <n v="-6.07"/>
  </r>
  <r>
    <s v="378000-Meas &amp; Reg Station Equipment"/>
    <s v="21271121673"/>
    <s v="004629"/>
    <x v="0"/>
    <x v="210"/>
    <x v="23"/>
    <x v="10"/>
    <s v="Addition"/>
    <x v="0"/>
    <n v="12.14"/>
    <n v="0"/>
    <n v="2.3833299999999999E-3"/>
    <n v="0"/>
    <n v="0.35"/>
  </r>
  <r>
    <s v="376100-Mains - Steel"/>
    <s v="20201132701"/>
    <s v="004630"/>
    <x v="0"/>
    <x v="211"/>
    <x v="9"/>
    <x v="0"/>
    <s v="Addition"/>
    <x v="0"/>
    <n v="-66.150000000000006"/>
    <n v="0"/>
    <n v="1.4833299999999999E-3"/>
    <n v="0"/>
    <n v="-1.18"/>
  </r>
  <r>
    <s v="376100-Mains - Steel"/>
    <s v="21271132604"/>
    <s v="004633"/>
    <x v="0"/>
    <x v="212"/>
    <x v="22"/>
    <x v="9"/>
    <s v="Addition"/>
    <x v="0"/>
    <n v="-1734.87"/>
    <n v="0"/>
    <n v="1.4833299999999999E-3"/>
    <n v="0"/>
    <n v="-30.88"/>
  </r>
  <r>
    <s v="376100-Mains - Steel"/>
    <s v="20401121800"/>
    <s v="004637"/>
    <x v="0"/>
    <x v="213"/>
    <x v="22"/>
    <x v="9"/>
    <s v="Addition"/>
    <x v="0"/>
    <n v="-2330.69"/>
    <n v="0"/>
    <n v="1.4833299999999999E-3"/>
    <n v="0"/>
    <n v="-41.49"/>
  </r>
  <r>
    <s v="376100-Mains - Steel"/>
    <s v="20401132849"/>
    <s v="004638"/>
    <x v="0"/>
    <x v="214"/>
    <x v="35"/>
    <x v="14"/>
    <s v="Addition"/>
    <x v="0"/>
    <n v="-15326.11"/>
    <n v="0"/>
    <n v="1.4833299999999999E-3"/>
    <n v="0"/>
    <n v="-272.8"/>
  </r>
  <r>
    <s v="376100-Mains - Steel"/>
    <s v="20401132400"/>
    <s v="004645"/>
    <x v="0"/>
    <x v="215"/>
    <x v="4"/>
    <x v="2"/>
    <s v="Addition"/>
    <x v="3"/>
    <n v="423003.39"/>
    <n v="0"/>
    <n v="1.4833299999999999E-3"/>
    <n v="0"/>
    <n v="7529.44"/>
  </r>
  <r>
    <s v="376100-Mains - Steel"/>
    <s v="20401132894"/>
    <s v="004647"/>
    <x v="0"/>
    <x v="216"/>
    <x v="35"/>
    <x v="14"/>
    <s v="Addition"/>
    <x v="0"/>
    <n v="-1896.12"/>
    <n v="0"/>
    <n v="1.4833299999999999E-3"/>
    <n v="0"/>
    <n v="-33.75"/>
  </r>
  <r>
    <s v="376300-Mains - Plastic"/>
    <s v="20501133143"/>
    <s v="004648"/>
    <x v="0"/>
    <x v="217"/>
    <x v="8"/>
    <x v="0"/>
    <s v="Addition"/>
    <x v="0"/>
    <n v="-672.99"/>
    <n v="0"/>
    <n v="1.4833299999999999E-3"/>
    <n v="0"/>
    <n v="-11.98"/>
  </r>
  <r>
    <s v="376100-Mains - Steel"/>
    <s v="20401132402"/>
    <s v="004654"/>
    <x v="0"/>
    <x v="218"/>
    <x v="4"/>
    <x v="2"/>
    <s v="Addition"/>
    <x v="3"/>
    <n v="4268934.05"/>
    <n v="0"/>
    <n v="1.4833299999999999E-3"/>
    <n v="0"/>
    <n v="75986.86"/>
  </r>
  <r>
    <s v="376100-Mains - Steel"/>
    <s v="20816133105"/>
    <s v="004662"/>
    <x v="0"/>
    <x v="219"/>
    <x v="24"/>
    <x v="1"/>
    <s v="Addition"/>
    <x v="0"/>
    <n v="-155.05000000000001"/>
    <n v="0"/>
    <n v="1.4833299999999999E-3"/>
    <n v="0"/>
    <n v="-2.76"/>
  </r>
  <r>
    <s v="376100-Mains - Steel"/>
    <s v="20201132874"/>
    <s v="004665"/>
    <x v="0"/>
    <x v="220"/>
    <x v="9"/>
    <x v="0"/>
    <s v="Addition"/>
    <x v="0"/>
    <n v="-228.89"/>
    <n v="0"/>
    <n v="1.4833299999999999E-3"/>
    <n v="0"/>
    <n v="-4.07"/>
  </r>
  <r>
    <s v="376100-Mains - Steel"/>
    <s v="20401132883"/>
    <s v="004669"/>
    <x v="0"/>
    <x v="221"/>
    <x v="47"/>
    <x v="1"/>
    <s v="Addition"/>
    <x v="0"/>
    <n v="-553.08000000000004"/>
    <n v="0"/>
    <n v="1.4833299999999999E-3"/>
    <n v="0"/>
    <n v="-9.84"/>
  </r>
  <r>
    <s v="376100-Mains - Steel"/>
    <s v="20401133038"/>
    <s v="004670"/>
    <x v="0"/>
    <x v="222"/>
    <x v="22"/>
    <x v="9"/>
    <s v="Addition"/>
    <x v="0"/>
    <n v="-540.4"/>
    <n v="0"/>
    <n v="1.4833299999999999E-3"/>
    <n v="0"/>
    <n v="-9.6199999999999992"/>
  </r>
  <r>
    <s v="376100-Mains - Steel"/>
    <s v="20401133121"/>
    <s v="004671"/>
    <x v="0"/>
    <x v="223"/>
    <x v="18"/>
    <x v="1"/>
    <s v="Addition"/>
    <x v="0"/>
    <n v="27.48"/>
    <n v="0"/>
    <n v="1.4833299999999999E-3"/>
    <n v="0"/>
    <n v="0.49"/>
  </r>
  <r>
    <s v="376300-Mains - Plastic"/>
    <s v="20901143327"/>
    <s v="004673"/>
    <x v="0"/>
    <x v="224"/>
    <x v="17"/>
    <x v="2"/>
    <s v="Addition"/>
    <x v="0"/>
    <n v="22317.37"/>
    <n v="0"/>
    <n v="1.4833299999999999E-3"/>
    <n v="0"/>
    <n v="397.25"/>
  </r>
  <r>
    <s v="376100-Mains - Steel"/>
    <s v="20901143327"/>
    <s v="004673"/>
    <x v="0"/>
    <x v="224"/>
    <x v="17"/>
    <x v="2"/>
    <s v="Addition"/>
    <x v="0"/>
    <n v="-22637.86"/>
    <n v="0"/>
    <n v="1.4833299999999999E-3"/>
    <n v="0"/>
    <n v="-402.95"/>
  </r>
  <r>
    <s v="376300-Mains - Plastic"/>
    <s v="20201143450"/>
    <s v="004888"/>
    <x v="0"/>
    <x v="225"/>
    <x v="9"/>
    <x v="0"/>
    <s v="Addition"/>
    <x v="2"/>
    <n v="611627.82999999996"/>
    <n v="0"/>
    <n v="1.4833299999999999E-3"/>
    <n v="0"/>
    <n v="10886.95"/>
  </r>
  <r>
    <s v="376300-Mains - Plastic"/>
    <s v="20201143450"/>
    <s v="004888"/>
    <x v="0"/>
    <x v="225"/>
    <x v="9"/>
    <x v="0"/>
    <s v="Addition"/>
    <x v="3"/>
    <n v="14879.8"/>
    <n v="0"/>
    <n v="1.4833299999999999E-3"/>
    <n v="0"/>
    <n v="264.86"/>
  </r>
  <r>
    <s v="376300-Mains - Plastic"/>
    <s v="20902143419"/>
    <s v="004890"/>
    <x v="0"/>
    <x v="226"/>
    <x v="9"/>
    <x v="0"/>
    <s v="Addition"/>
    <x v="0"/>
    <n v="-900.72"/>
    <n v="0"/>
    <n v="1.4833299999999999E-3"/>
    <n v="0"/>
    <n v="-16.03"/>
  </r>
  <r>
    <s v="376300-Mains - Plastic"/>
    <s v="20902143419"/>
    <s v="004890"/>
    <x v="0"/>
    <x v="226"/>
    <x v="9"/>
    <x v="0"/>
    <s v="Addition"/>
    <x v="1"/>
    <n v="-119.09"/>
    <n v="0"/>
    <n v="1.4833299999999999E-3"/>
    <n v="0"/>
    <n v="-2.12"/>
  </r>
  <r>
    <s v="376100-Mains - Steel"/>
    <s v="20901132732"/>
    <s v="004893"/>
    <x v="0"/>
    <x v="227"/>
    <x v="73"/>
    <x v="23"/>
    <s v="Addition"/>
    <x v="0"/>
    <n v="-1563.62"/>
    <n v="0"/>
    <n v="1.4833299999999999E-3"/>
    <n v="0"/>
    <n v="-27.83"/>
  </r>
  <r>
    <s v="376100-Mains - Steel"/>
    <s v="20901132732"/>
    <s v="004893"/>
    <x v="0"/>
    <x v="227"/>
    <x v="73"/>
    <x v="23"/>
    <s v="Addition"/>
    <x v="1"/>
    <n v="-165.61"/>
    <n v="0"/>
    <n v="1.4833299999999999E-3"/>
    <n v="0"/>
    <n v="-2.95"/>
  </r>
  <r>
    <s v="376100-Mains - Steel"/>
    <s v="20901132732"/>
    <s v="004893"/>
    <x v="0"/>
    <x v="227"/>
    <x v="73"/>
    <x v="23"/>
    <s v="Addition"/>
    <x v="2"/>
    <n v="1769.72"/>
    <n v="0"/>
    <n v="1.4833299999999999E-3"/>
    <n v="0"/>
    <n v="31.5"/>
  </r>
  <r>
    <s v="376100-Mains - Steel"/>
    <s v="20901132732"/>
    <s v="004893"/>
    <x v="0"/>
    <x v="227"/>
    <x v="73"/>
    <x v="23"/>
    <s v="Addition"/>
    <x v="3"/>
    <n v="-166.27"/>
    <n v="0"/>
    <n v="1.4833299999999999E-3"/>
    <n v="0"/>
    <n v="-2.96"/>
  </r>
  <r>
    <s v="376300-Mains - Plastic"/>
    <s v="20308143387"/>
    <s v="004947"/>
    <x v="0"/>
    <x v="228"/>
    <x v="21"/>
    <x v="8"/>
    <s v="Addition"/>
    <x v="1"/>
    <n v="6203.97"/>
    <n v="0"/>
    <n v="1.4833299999999999E-3"/>
    <n v="0"/>
    <n v="110.43"/>
  </r>
  <r>
    <s v="376300-Mains - Plastic"/>
    <s v="20301143470"/>
    <s v="004948"/>
    <x v="0"/>
    <x v="229"/>
    <x v="9"/>
    <x v="0"/>
    <s v="Addition"/>
    <x v="0"/>
    <n v="-72.66"/>
    <n v="0"/>
    <n v="1.4833299999999999E-3"/>
    <n v="0"/>
    <n v="-1.29"/>
  </r>
  <r>
    <s v="376300-Mains - Plastic"/>
    <s v="20301143470"/>
    <s v="004948"/>
    <x v="0"/>
    <x v="229"/>
    <x v="9"/>
    <x v="0"/>
    <s v="Addition"/>
    <x v="1"/>
    <n v="0"/>
    <n v="0"/>
    <n v="1.4833299999999999E-3"/>
    <n v="0"/>
    <n v="0"/>
  </r>
  <r>
    <s v="376300-Mains - Plastic"/>
    <s v="20312143471"/>
    <s v="004949"/>
    <x v="0"/>
    <x v="230"/>
    <x v="9"/>
    <x v="0"/>
    <s v="Addition"/>
    <x v="2"/>
    <n v="35798.080000000002"/>
    <n v="0"/>
    <n v="1.4833299999999999E-3"/>
    <n v="0"/>
    <n v="637.20000000000005"/>
  </r>
  <r>
    <s v="376300-Mains - Plastic"/>
    <s v="20312143471"/>
    <s v="004949"/>
    <x v="0"/>
    <x v="230"/>
    <x v="9"/>
    <x v="0"/>
    <s v="Addition"/>
    <x v="3"/>
    <n v="-96.51"/>
    <n v="0"/>
    <n v="1.4833299999999999E-3"/>
    <n v="0"/>
    <n v="-1.72"/>
  </r>
  <r>
    <s v="380200-Services"/>
    <s v="20401143436"/>
    <s v="004953"/>
    <x v="0"/>
    <x v="231"/>
    <x v="4"/>
    <x v="2"/>
    <s v="Addition"/>
    <x v="0"/>
    <n v="-307.58"/>
    <n v="0"/>
    <n v="2.23333E-3"/>
    <n v="0"/>
    <n v="-8.24"/>
  </r>
  <r>
    <s v="376300-Mains - Plastic"/>
    <s v="20401143390"/>
    <s v="004971"/>
    <x v="0"/>
    <x v="232"/>
    <x v="0"/>
    <x v="0"/>
    <s v="Addition"/>
    <x v="0"/>
    <n v="-828.96"/>
    <n v="0"/>
    <n v="1.4833299999999999E-3"/>
    <n v="0"/>
    <n v="-14.76"/>
  </r>
  <r>
    <s v="376300-Mains - Plastic"/>
    <s v="20401143390"/>
    <s v="004971"/>
    <x v="0"/>
    <x v="232"/>
    <x v="0"/>
    <x v="0"/>
    <s v="Addition"/>
    <x v="1"/>
    <n v="-81.62"/>
    <n v="0"/>
    <n v="1.4833299999999999E-3"/>
    <n v="0"/>
    <n v="-1.45"/>
  </r>
  <r>
    <s v="380200-Services"/>
    <s v="21272143466"/>
    <s v="004972"/>
    <x v="0"/>
    <x v="233"/>
    <x v="74"/>
    <x v="22"/>
    <s v="Addition"/>
    <x v="0"/>
    <n v="-113.44"/>
    <n v="0"/>
    <n v="2.23333E-3"/>
    <n v="0"/>
    <n v="-3.04"/>
  </r>
  <r>
    <s v="376100-Mains - Steel"/>
    <s v="20401143477"/>
    <s v="004973"/>
    <x v="0"/>
    <x v="234"/>
    <x v="5"/>
    <x v="0"/>
    <s v="Addition"/>
    <x v="0"/>
    <n v="149.26"/>
    <n v="0"/>
    <n v="1.4833299999999999E-3"/>
    <n v="0"/>
    <n v="2.66"/>
  </r>
  <r>
    <s v="376100-Mains - Steel"/>
    <s v="20401143477"/>
    <s v="004973"/>
    <x v="0"/>
    <x v="234"/>
    <x v="5"/>
    <x v="0"/>
    <s v="Addition"/>
    <x v="1"/>
    <n v="1828.42"/>
    <n v="0"/>
    <n v="1.4833299999999999E-3"/>
    <n v="0"/>
    <n v="32.549999999999997"/>
  </r>
  <r>
    <s v="376100-Mains - Steel"/>
    <s v="20401143477"/>
    <s v="004973"/>
    <x v="0"/>
    <x v="234"/>
    <x v="5"/>
    <x v="0"/>
    <s v="Addition"/>
    <x v="2"/>
    <n v="-85.84"/>
    <n v="0"/>
    <n v="1.4833299999999999E-3"/>
    <n v="0"/>
    <n v="-1.53"/>
  </r>
  <r>
    <s v="376100-Mains - Steel"/>
    <s v="20401143477"/>
    <s v="004973"/>
    <x v="0"/>
    <x v="234"/>
    <x v="5"/>
    <x v="0"/>
    <s v="Addition"/>
    <x v="3"/>
    <n v="-122.95"/>
    <n v="0"/>
    <n v="1.4833299999999999E-3"/>
    <n v="0"/>
    <n v="-2.19"/>
  </r>
  <r>
    <s v="376300-Mains - Plastic"/>
    <s v="20401143313"/>
    <s v="004986"/>
    <x v="0"/>
    <x v="235"/>
    <x v="22"/>
    <x v="9"/>
    <s v="Addition"/>
    <x v="0"/>
    <n v="1253310.78"/>
    <n v="0"/>
    <n v="1.4833299999999999E-3"/>
    <n v="0"/>
    <n v="22308.880000000001"/>
  </r>
  <r>
    <s v="376300-Mains - Plastic"/>
    <s v="20401143313"/>
    <s v="004986"/>
    <x v="0"/>
    <x v="235"/>
    <x v="22"/>
    <x v="9"/>
    <s v="Addition"/>
    <x v="1"/>
    <n v="15539.61"/>
    <n v="0"/>
    <n v="1.4833299999999999E-3"/>
    <n v="0"/>
    <n v="276.60000000000002"/>
  </r>
  <r>
    <s v="376300-Mains - Plastic"/>
    <s v="20401143313"/>
    <s v="004986"/>
    <x v="0"/>
    <x v="235"/>
    <x v="22"/>
    <x v="9"/>
    <s v="Addition"/>
    <x v="2"/>
    <n v="11927.86"/>
    <n v="0"/>
    <n v="1.4833299999999999E-3"/>
    <n v="0"/>
    <n v="212.32"/>
  </r>
  <r>
    <s v="376300-Mains - Plastic"/>
    <s v="20401143313"/>
    <s v="004986"/>
    <x v="0"/>
    <x v="235"/>
    <x v="22"/>
    <x v="9"/>
    <s v="Addition"/>
    <x v="3"/>
    <n v="-1373.08"/>
    <n v="0"/>
    <n v="1.4833299999999999E-3"/>
    <n v="0"/>
    <n v="-24.44"/>
  </r>
  <r>
    <s v="376100-Mains - Steel"/>
    <s v="20903143508"/>
    <s v="005027"/>
    <x v="0"/>
    <x v="236"/>
    <x v="1"/>
    <x v="1"/>
    <s v="Addition"/>
    <x v="0"/>
    <n v="-269.87"/>
    <n v="0"/>
    <n v="1.4833299999999999E-3"/>
    <n v="0"/>
    <n v="-4.8"/>
  </r>
  <r>
    <s v="376100-Mains - Steel"/>
    <s v="20903143508"/>
    <s v="005027"/>
    <x v="0"/>
    <x v="236"/>
    <x v="1"/>
    <x v="1"/>
    <s v="Addition"/>
    <x v="3"/>
    <n v="58.38"/>
    <n v="0"/>
    <n v="1.4833299999999999E-3"/>
    <n v="0"/>
    <n v="1.04"/>
  </r>
  <r>
    <s v="376300-Mains - Plastic"/>
    <s v="20301143476"/>
    <s v="005028"/>
    <x v="0"/>
    <x v="237"/>
    <x v="9"/>
    <x v="0"/>
    <s v="Addition"/>
    <x v="1"/>
    <n v="27394.7"/>
    <n v="0"/>
    <n v="1.4833299999999999E-3"/>
    <n v="0"/>
    <n v="487.62"/>
  </r>
  <r>
    <s v="376300-Mains - Plastic"/>
    <s v="20301143476"/>
    <s v="005028"/>
    <x v="0"/>
    <x v="237"/>
    <x v="9"/>
    <x v="0"/>
    <s v="Addition"/>
    <x v="2"/>
    <n v="2279.85"/>
    <n v="0"/>
    <n v="1.4833299999999999E-3"/>
    <n v="0"/>
    <n v="40.58"/>
  </r>
  <r>
    <s v="376300-Mains - Plastic"/>
    <s v="20301143476"/>
    <s v="005028"/>
    <x v="0"/>
    <x v="237"/>
    <x v="9"/>
    <x v="0"/>
    <s v="Addition"/>
    <x v="3"/>
    <n v="-428.47"/>
    <n v="0"/>
    <n v="1.4833299999999999E-3"/>
    <n v="0"/>
    <n v="-7.63"/>
  </r>
  <r>
    <s v="376300-Mains - Plastic"/>
    <s v="20201143509"/>
    <s v="005032"/>
    <x v="0"/>
    <x v="238"/>
    <x v="9"/>
    <x v="0"/>
    <s v="Addition"/>
    <x v="0"/>
    <n v="1326.56"/>
    <n v="0"/>
    <n v="1.4833299999999999E-3"/>
    <n v="0"/>
    <n v="23.61"/>
  </r>
  <r>
    <s v="376300-Mains - Plastic"/>
    <s v="20201143509"/>
    <s v="005032"/>
    <x v="0"/>
    <x v="238"/>
    <x v="9"/>
    <x v="0"/>
    <s v="Addition"/>
    <x v="1"/>
    <n v="-19.38"/>
    <n v="0"/>
    <n v="1.4833299999999999E-3"/>
    <n v="0"/>
    <n v="-0.34"/>
  </r>
  <r>
    <s v="376300-Mains - Plastic"/>
    <s v="20201143501"/>
    <s v="005039"/>
    <x v="0"/>
    <x v="239"/>
    <x v="9"/>
    <x v="0"/>
    <s v="Addition"/>
    <x v="0"/>
    <n v="89949.2"/>
    <n v="0"/>
    <n v="1.4833299999999999E-3"/>
    <n v="0"/>
    <n v="1601.09"/>
  </r>
  <r>
    <s v="376300-Mains - Plastic"/>
    <s v="20201143501"/>
    <s v="005039"/>
    <x v="0"/>
    <x v="239"/>
    <x v="9"/>
    <x v="0"/>
    <s v="Addition"/>
    <x v="1"/>
    <n v="3048.22"/>
    <n v="0"/>
    <n v="1.4833299999999999E-3"/>
    <n v="0"/>
    <n v="54.26"/>
  </r>
  <r>
    <s v="376300-Mains - Plastic"/>
    <s v="20201143501"/>
    <s v="005039"/>
    <x v="0"/>
    <x v="239"/>
    <x v="9"/>
    <x v="0"/>
    <s v="Addition"/>
    <x v="2"/>
    <n v="-3013.95"/>
    <n v="0"/>
    <n v="1.4833299999999999E-3"/>
    <n v="0"/>
    <n v="-53.65"/>
  </r>
  <r>
    <s v="376300-Mains - Plastic"/>
    <s v="20201143501"/>
    <s v="005039"/>
    <x v="0"/>
    <x v="239"/>
    <x v="9"/>
    <x v="0"/>
    <s v="Addition"/>
    <x v="3"/>
    <n v="45.84"/>
    <n v="0"/>
    <n v="1.4833299999999999E-3"/>
    <n v="0"/>
    <n v="0.82"/>
  </r>
  <r>
    <s v="376300-Mains - Plastic"/>
    <s v="21207143488"/>
    <s v="005040"/>
    <x v="0"/>
    <x v="240"/>
    <x v="5"/>
    <x v="0"/>
    <s v="Addition"/>
    <x v="0"/>
    <n v="-304.48"/>
    <n v="0"/>
    <n v="1.4833299999999999E-3"/>
    <n v="0"/>
    <n v="-5.42"/>
  </r>
  <r>
    <s v="376300-Mains - Plastic"/>
    <s v="21207143488"/>
    <s v="005040"/>
    <x v="0"/>
    <x v="240"/>
    <x v="5"/>
    <x v="0"/>
    <s v="Addition"/>
    <x v="1"/>
    <n v="-40.68"/>
    <n v="0"/>
    <n v="1.4833299999999999E-3"/>
    <n v="0"/>
    <n v="-0.72"/>
  </r>
  <r>
    <s v="378000-Meas &amp; Reg Station Equipment"/>
    <s v="20925143474"/>
    <s v="005042"/>
    <x v="0"/>
    <x v="241"/>
    <x v="23"/>
    <x v="10"/>
    <s v="Addition"/>
    <x v="3"/>
    <n v="32263.57"/>
    <n v="0"/>
    <n v="2.3833299999999999E-3"/>
    <n v="0"/>
    <n v="922.74"/>
  </r>
  <r>
    <s v="376300-Mains - Plastic"/>
    <s v="21001143360"/>
    <s v="005110"/>
    <x v="0"/>
    <x v="242"/>
    <x v="22"/>
    <x v="9"/>
    <s v="Addition"/>
    <x v="0"/>
    <n v="-738.77"/>
    <n v="0"/>
    <n v="1.4833299999999999E-3"/>
    <n v="0"/>
    <n v="-13.15"/>
  </r>
  <r>
    <s v="376300-Mains - Plastic"/>
    <s v="21001143360"/>
    <s v="005110"/>
    <x v="0"/>
    <x v="242"/>
    <x v="22"/>
    <x v="9"/>
    <s v="Addition"/>
    <x v="1"/>
    <n v="-89.02"/>
    <n v="0"/>
    <n v="1.4833299999999999E-3"/>
    <n v="0"/>
    <n v="-1.58"/>
  </r>
  <r>
    <s v="376300-Mains - Plastic"/>
    <s v="21001143464"/>
    <s v="005111"/>
    <x v="0"/>
    <x v="243"/>
    <x v="3"/>
    <x v="0"/>
    <s v="Addition"/>
    <x v="0"/>
    <n v="-73.569999999999993"/>
    <n v="0"/>
    <n v="1.4833299999999999E-3"/>
    <n v="0"/>
    <n v="-1.31"/>
  </r>
  <r>
    <s v="376300-Mains - Plastic"/>
    <s v="21001143464"/>
    <s v="005111"/>
    <x v="0"/>
    <x v="243"/>
    <x v="3"/>
    <x v="0"/>
    <s v="Addition"/>
    <x v="1"/>
    <n v="-21.63"/>
    <n v="0"/>
    <n v="1.4833299999999999E-3"/>
    <n v="0"/>
    <n v="-0.39"/>
  </r>
  <r>
    <s v="376300-Mains - Plastic"/>
    <s v="21001143359"/>
    <s v="005112"/>
    <x v="0"/>
    <x v="244"/>
    <x v="18"/>
    <x v="1"/>
    <s v="Addition"/>
    <x v="0"/>
    <n v="-159.66"/>
    <n v="0"/>
    <n v="1.4833299999999999E-3"/>
    <n v="0"/>
    <n v="-2.84"/>
  </r>
  <r>
    <s v="376300-Mains - Plastic"/>
    <s v="21001143359"/>
    <s v="005112"/>
    <x v="0"/>
    <x v="244"/>
    <x v="18"/>
    <x v="1"/>
    <s v="Addition"/>
    <x v="1"/>
    <n v="-10.32"/>
    <n v="0"/>
    <n v="1.4833299999999999E-3"/>
    <n v="0"/>
    <n v="-0.18"/>
  </r>
  <r>
    <s v="376300-Mains - Plastic"/>
    <s v="21001143463"/>
    <s v="005113"/>
    <x v="0"/>
    <x v="245"/>
    <x v="3"/>
    <x v="0"/>
    <s v="Addition"/>
    <x v="0"/>
    <n v="-132.54"/>
    <n v="0"/>
    <n v="1.4833299999999999E-3"/>
    <n v="0"/>
    <n v="-2.36"/>
  </r>
  <r>
    <s v="376300-Mains - Plastic"/>
    <s v="21001143463"/>
    <s v="005113"/>
    <x v="0"/>
    <x v="245"/>
    <x v="3"/>
    <x v="0"/>
    <s v="Addition"/>
    <x v="1"/>
    <n v="-14.44"/>
    <n v="0"/>
    <n v="1.4833299999999999E-3"/>
    <n v="0"/>
    <n v="-0.26"/>
  </r>
  <r>
    <s v="376300-Mains - Plastic"/>
    <s v="20902143513"/>
    <s v="005153"/>
    <x v="0"/>
    <x v="246"/>
    <x v="9"/>
    <x v="0"/>
    <s v="Addition"/>
    <x v="1"/>
    <n v="40690.879999999997"/>
    <n v="0"/>
    <n v="1.4833299999999999E-3"/>
    <n v="0"/>
    <n v="724.3"/>
  </r>
  <r>
    <s v="376300-Mains - Plastic"/>
    <s v="20902143513"/>
    <s v="005153"/>
    <x v="0"/>
    <x v="246"/>
    <x v="9"/>
    <x v="0"/>
    <s v="Addition"/>
    <x v="2"/>
    <n v="8478.08"/>
    <n v="0"/>
    <n v="1.4833299999999999E-3"/>
    <n v="0"/>
    <n v="150.91"/>
  </r>
  <r>
    <s v="376300-Mains - Plastic"/>
    <s v="20902143513"/>
    <s v="005153"/>
    <x v="0"/>
    <x v="246"/>
    <x v="9"/>
    <x v="0"/>
    <s v="Addition"/>
    <x v="3"/>
    <n v="-865.92"/>
    <n v="0"/>
    <n v="1.4833299999999999E-3"/>
    <n v="0"/>
    <n v="-15.41"/>
  </r>
  <r>
    <s v="376300-Mains - Plastic"/>
    <s v="20401143422"/>
    <s v="005250"/>
    <x v="0"/>
    <x v="247"/>
    <x v="48"/>
    <x v="9"/>
    <s v="Addition"/>
    <x v="3"/>
    <n v="5321.09"/>
    <n v="0"/>
    <n v="1.4833299999999999E-3"/>
    <n v="0"/>
    <n v="94.72"/>
  </r>
  <r>
    <s v="376300-Mains - Plastic"/>
    <s v="20506143552"/>
    <s v="005251"/>
    <x v="0"/>
    <x v="248"/>
    <x v="7"/>
    <x v="2"/>
    <s v="Addition"/>
    <x v="0"/>
    <n v="-421.12"/>
    <n v="0"/>
    <n v="1.4833299999999999E-3"/>
    <n v="0"/>
    <n v="-7.5"/>
  </r>
  <r>
    <s v="376300-Mains - Plastic"/>
    <s v="20506143552"/>
    <s v="005251"/>
    <x v="0"/>
    <x v="248"/>
    <x v="7"/>
    <x v="2"/>
    <s v="Addition"/>
    <x v="1"/>
    <n v="-7153.05"/>
    <n v="0"/>
    <n v="1.4833299999999999E-3"/>
    <n v="0"/>
    <n v="-127.32"/>
  </r>
  <r>
    <s v="376300-Mains - Plastic"/>
    <s v="20506143552"/>
    <s v="005251"/>
    <x v="0"/>
    <x v="248"/>
    <x v="7"/>
    <x v="2"/>
    <s v="Addition"/>
    <x v="2"/>
    <n v="195.47"/>
    <n v="0"/>
    <n v="1.4833299999999999E-3"/>
    <n v="0"/>
    <n v="3.48"/>
  </r>
  <r>
    <s v="376300-Mains - Plastic"/>
    <s v="20506143552"/>
    <s v="005251"/>
    <x v="0"/>
    <x v="248"/>
    <x v="7"/>
    <x v="2"/>
    <s v="Addition"/>
    <x v="3"/>
    <n v="544.26"/>
    <n v="0"/>
    <n v="1.4833299999999999E-3"/>
    <n v="0"/>
    <n v="9.69"/>
  </r>
  <r>
    <s v="376300-Mains - Plastic"/>
    <s v="20401143309"/>
    <s v="005270"/>
    <x v="0"/>
    <x v="249"/>
    <x v="75"/>
    <x v="2"/>
    <s v="Addition"/>
    <x v="3"/>
    <n v="310904.90000000002"/>
    <n v="0"/>
    <n v="1.4833299999999999E-3"/>
    <n v="0"/>
    <n v="5534.09"/>
  </r>
  <r>
    <s v="376300-Mains - Plastic"/>
    <s v="20507143505"/>
    <s v="005271"/>
    <x v="0"/>
    <x v="250"/>
    <x v="30"/>
    <x v="0"/>
    <s v="Addition"/>
    <x v="0"/>
    <n v="-114.88"/>
    <n v="0"/>
    <n v="1.4833299999999999E-3"/>
    <n v="0"/>
    <n v="-2.04"/>
  </r>
  <r>
    <s v="376100-Mains - Steel"/>
    <s v="20507143505"/>
    <s v="005271"/>
    <x v="0"/>
    <x v="250"/>
    <x v="30"/>
    <x v="0"/>
    <s v="Addition"/>
    <x v="0"/>
    <n v="-0.43"/>
    <n v="0"/>
    <n v="1.4833299999999999E-3"/>
    <n v="0"/>
    <n v="-0.01"/>
  </r>
  <r>
    <s v="376100-Mains - Steel"/>
    <s v="20507143505"/>
    <s v="005271"/>
    <x v="0"/>
    <x v="250"/>
    <x v="30"/>
    <x v="0"/>
    <s v="Addition"/>
    <x v="1"/>
    <n v="-23.54"/>
    <n v="0"/>
    <n v="1.4833299999999999E-3"/>
    <n v="0"/>
    <n v="-0.42"/>
  </r>
  <r>
    <s v="376300-Mains - Plastic"/>
    <s v="20507143505"/>
    <s v="005271"/>
    <x v="0"/>
    <x v="250"/>
    <x v="30"/>
    <x v="0"/>
    <s v="Addition"/>
    <x v="1"/>
    <n v="5.81"/>
    <n v="0"/>
    <n v="1.4833299999999999E-3"/>
    <n v="0"/>
    <n v="0.1"/>
  </r>
  <r>
    <s v="376300-Mains - Plastic"/>
    <s v="20401143555"/>
    <s v="005294"/>
    <x v="0"/>
    <x v="251"/>
    <x v="22"/>
    <x v="9"/>
    <s v="Addition"/>
    <x v="0"/>
    <n v="45.46"/>
    <n v="0"/>
    <n v="1.4833299999999999E-3"/>
    <n v="0"/>
    <n v="0.81"/>
  </r>
  <r>
    <s v="376300-Mains - Plastic"/>
    <s v="20401143555"/>
    <s v="005294"/>
    <x v="0"/>
    <x v="251"/>
    <x v="22"/>
    <x v="9"/>
    <s v="Addition"/>
    <x v="1"/>
    <n v="9.77"/>
    <n v="0"/>
    <n v="1.4833299999999999E-3"/>
    <n v="0"/>
    <n v="0.17"/>
  </r>
  <r>
    <s v="376300-Mains - Plastic"/>
    <s v="21271143517"/>
    <s v="005295"/>
    <x v="0"/>
    <x v="252"/>
    <x v="5"/>
    <x v="0"/>
    <s v="Addition"/>
    <x v="3"/>
    <n v="74180.240000000005"/>
    <n v="0"/>
    <n v="1.4833299999999999E-3"/>
    <n v="0"/>
    <n v="1320.41"/>
  </r>
  <r>
    <s v="376300-Mains - Plastic"/>
    <s v="20801143551"/>
    <s v="005296"/>
    <x v="0"/>
    <x v="253"/>
    <x v="2"/>
    <x v="0"/>
    <s v="Addition"/>
    <x v="0"/>
    <n v="-1910.67"/>
    <n v="0"/>
    <n v="1.4833299999999999E-3"/>
    <n v="0"/>
    <n v="-34.01"/>
  </r>
  <r>
    <s v="380200-Services"/>
    <s v="20401143575"/>
    <s v="005332"/>
    <x v="0"/>
    <x v="254"/>
    <x v="49"/>
    <x v="19"/>
    <s v="Addition"/>
    <x v="0"/>
    <n v="4582.03"/>
    <n v="0"/>
    <n v="2.23333E-3"/>
    <n v="0"/>
    <n v="122.8"/>
  </r>
  <r>
    <s v="380200-Services"/>
    <s v="20401143575"/>
    <s v="005332"/>
    <x v="0"/>
    <x v="254"/>
    <x v="49"/>
    <x v="19"/>
    <s v="Addition"/>
    <x v="1"/>
    <n v="-0.01"/>
    <n v="0"/>
    <n v="2.23333E-3"/>
    <n v="0"/>
    <n v="0"/>
  </r>
  <r>
    <s v="376100-Mains - Steel"/>
    <s v="20806143587"/>
    <s v="005342"/>
    <x v="0"/>
    <x v="255"/>
    <x v="2"/>
    <x v="0"/>
    <s v="Addition"/>
    <x v="0"/>
    <n v="946.06"/>
    <n v="0"/>
    <n v="1.4833299999999999E-3"/>
    <n v="0"/>
    <n v="16.84"/>
  </r>
  <r>
    <s v="376100-Mains - Steel"/>
    <s v="20806143587"/>
    <s v="005342"/>
    <x v="0"/>
    <x v="255"/>
    <x v="2"/>
    <x v="0"/>
    <s v="Addition"/>
    <x v="3"/>
    <n v="-568.53"/>
    <n v="0"/>
    <n v="1.4833299999999999E-3"/>
    <n v="0"/>
    <n v="-10.119999999999999"/>
  </r>
  <r>
    <s v="376300-Mains - Plastic"/>
    <s v="20806143587"/>
    <s v="005342"/>
    <x v="0"/>
    <x v="255"/>
    <x v="2"/>
    <x v="0"/>
    <s v="Addition"/>
    <x v="3"/>
    <n v="446.02"/>
    <n v="0"/>
    <n v="1.4833299999999999E-3"/>
    <n v="0"/>
    <n v="7.94"/>
  </r>
  <r>
    <s v="376100-Mains - Steel"/>
    <s v="21251143578"/>
    <s v="005394"/>
    <x v="0"/>
    <x v="256"/>
    <x v="47"/>
    <x v="1"/>
    <s v="Addition"/>
    <x v="0"/>
    <n v="-159.26"/>
    <n v="0"/>
    <n v="1.4833299999999999E-3"/>
    <n v="0"/>
    <n v="-2.83"/>
  </r>
  <r>
    <s v="376100-Mains - Steel"/>
    <s v="21251143578"/>
    <s v="005394"/>
    <x v="0"/>
    <x v="256"/>
    <x v="47"/>
    <x v="1"/>
    <s v="Addition"/>
    <x v="1"/>
    <n v="0"/>
    <n v="0"/>
    <n v="1.4833299999999999E-3"/>
    <n v="0"/>
    <n v="0"/>
  </r>
  <r>
    <s v="376100-Mains - Steel"/>
    <s v="21251143578"/>
    <s v="005394"/>
    <x v="0"/>
    <x v="256"/>
    <x v="47"/>
    <x v="1"/>
    <s v="Addition"/>
    <x v="2"/>
    <n v="63.81"/>
    <n v="0"/>
    <n v="1.4833299999999999E-3"/>
    <n v="0"/>
    <n v="1.1399999999999999"/>
  </r>
  <r>
    <s v="376300-Mains - Plastic"/>
    <s v="21001143577"/>
    <s v="005396"/>
    <x v="0"/>
    <x v="257"/>
    <x v="5"/>
    <x v="0"/>
    <s v="Addition"/>
    <x v="0"/>
    <n v="-4885.22"/>
    <n v="0"/>
    <n v="1.4833299999999999E-3"/>
    <n v="0"/>
    <n v="-86.96"/>
  </r>
  <r>
    <s v="376300-Mains - Plastic"/>
    <s v="21001143577"/>
    <s v="005396"/>
    <x v="0"/>
    <x v="257"/>
    <x v="5"/>
    <x v="0"/>
    <s v="Addition"/>
    <x v="1"/>
    <n v="422.88"/>
    <n v="0"/>
    <n v="1.4833299999999999E-3"/>
    <n v="0"/>
    <n v="7.53"/>
  </r>
  <r>
    <s v="376300-Mains - Plastic"/>
    <s v="20401143489"/>
    <s v="005432"/>
    <x v="0"/>
    <x v="258"/>
    <x v="22"/>
    <x v="9"/>
    <s v="Addition"/>
    <x v="3"/>
    <n v="887506.89"/>
    <n v="0"/>
    <n v="1.4833299999999999E-3"/>
    <n v="0"/>
    <n v="15797.59"/>
  </r>
  <r>
    <s v="376300-Mains - Plastic"/>
    <s v="20401143480"/>
    <s v="005433"/>
    <x v="0"/>
    <x v="259"/>
    <x v="48"/>
    <x v="9"/>
    <s v="Addition"/>
    <x v="0"/>
    <n v="1294.2"/>
    <n v="0"/>
    <n v="1.4833299999999999E-3"/>
    <n v="0"/>
    <n v="23.04"/>
  </r>
  <r>
    <s v="376300-Mains - Plastic"/>
    <s v="20401143480"/>
    <s v="005433"/>
    <x v="0"/>
    <x v="259"/>
    <x v="48"/>
    <x v="9"/>
    <s v="Addition"/>
    <x v="1"/>
    <n v="8.59"/>
    <n v="0"/>
    <n v="1.4833299999999999E-3"/>
    <n v="0"/>
    <n v="0.15"/>
  </r>
  <r>
    <s v="376100-Mains - Steel"/>
    <s v="20801143585"/>
    <s v="005451"/>
    <x v="0"/>
    <x v="260"/>
    <x v="6"/>
    <x v="0"/>
    <s v="Addition"/>
    <x v="0"/>
    <n v="2797.11"/>
    <n v="0"/>
    <n v="1.4833299999999999E-3"/>
    <n v="0"/>
    <n v="49.79"/>
  </r>
  <r>
    <s v="376100-Mains - Steel"/>
    <s v="20801143585"/>
    <s v="005451"/>
    <x v="0"/>
    <x v="260"/>
    <x v="6"/>
    <x v="0"/>
    <s v="Addition"/>
    <x v="1"/>
    <n v="343.32"/>
    <n v="0"/>
    <n v="1.4833299999999999E-3"/>
    <n v="0"/>
    <n v="6.11"/>
  </r>
  <r>
    <s v="376100-Mains - Steel"/>
    <s v="20801143585"/>
    <s v="005451"/>
    <x v="0"/>
    <x v="260"/>
    <x v="6"/>
    <x v="0"/>
    <s v="Addition"/>
    <x v="2"/>
    <n v="-25.51"/>
    <n v="0"/>
    <n v="1.4833299999999999E-3"/>
    <n v="0"/>
    <n v="-0.45"/>
  </r>
  <r>
    <s v="376100-Mains - Steel"/>
    <s v="20801143585"/>
    <s v="005451"/>
    <x v="0"/>
    <x v="260"/>
    <x v="6"/>
    <x v="0"/>
    <s v="Addition"/>
    <x v="3"/>
    <n v="-20.71"/>
    <n v="0"/>
    <n v="1.4833299999999999E-3"/>
    <n v="0"/>
    <n v="-0.37"/>
  </r>
  <r>
    <s v="376300-Mains - Plastic"/>
    <s v="21001143534"/>
    <s v="005462"/>
    <x v="0"/>
    <x v="261"/>
    <x v="76"/>
    <x v="0"/>
    <s v="Addition"/>
    <x v="0"/>
    <n v="-193.96"/>
    <n v="0"/>
    <n v="1.4833299999999999E-3"/>
    <n v="0"/>
    <n v="-3.45"/>
  </r>
  <r>
    <s v="376300-Mains - Plastic"/>
    <s v="21001143534"/>
    <s v="005462"/>
    <x v="0"/>
    <x v="261"/>
    <x v="76"/>
    <x v="0"/>
    <s v="Addition"/>
    <x v="2"/>
    <n v="0"/>
    <n v="0"/>
    <n v="1.4833299999999999E-3"/>
    <n v="0"/>
    <n v="0"/>
  </r>
  <r>
    <s v="376300-Mains - Plastic"/>
    <s v="21001143534"/>
    <s v="005462"/>
    <x v="0"/>
    <x v="261"/>
    <x v="76"/>
    <x v="0"/>
    <s v="Addition"/>
    <x v="3"/>
    <n v="1.08"/>
    <n v="0"/>
    <n v="1.4833299999999999E-3"/>
    <n v="0"/>
    <n v="0.02"/>
  </r>
  <r>
    <s v="376100-Mains - Steel"/>
    <s v="20804143597"/>
    <s v="005463"/>
    <x v="0"/>
    <x v="262"/>
    <x v="39"/>
    <x v="2"/>
    <s v="Addition"/>
    <x v="0"/>
    <n v="-58.71"/>
    <n v="0"/>
    <n v="1.4833299999999999E-3"/>
    <n v="0"/>
    <n v="-1.05"/>
  </r>
  <r>
    <s v="376100-Mains - Steel"/>
    <s v="20804143597"/>
    <s v="005463"/>
    <x v="0"/>
    <x v="262"/>
    <x v="39"/>
    <x v="2"/>
    <s v="Addition"/>
    <x v="1"/>
    <n v="0"/>
    <n v="0"/>
    <n v="1.4833299999999999E-3"/>
    <n v="0"/>
    <n v="0"/>
  </r>
  <r>
    <s v="376100-Mains - Steel"/>
    <s v="20804143597"/>
    <s v="005463"/>
    <x v="0"/>
    <x v="262"/>
    <x v="39"/>
    <x v="2"/>
    <s v="Addition"/>
    <x v="2"/>
    <n v="0.95"/>
    <n v="0"/>
    <n v="1.4833299999999999E-3"/>
    <n v="0"/>
    <n v="0.02"/>
  </r>
  <r>
    <s v="376300-Mains - Plastic"/>
    <s v="21001143532"/>
    <s v="005466"/>
    <x v="0"/>
    <x v="263"/>
    <x v="3"/>
    <x v="0"/>
    <s v="Addition"/>
    <x v="0"/>
    <n v="10702.77"/>
    <n v="0"/>
    <n v="1.4833299999999999E-3"/>
    <n v="0"/>
    <n v="190.51"/>
  </r>
  <r>
    <s v="376300-Mains - Plastic"/>
    <s v="21001143532"/>
    <s v="005466"/>
    <x v="0"/>
    <x v="263"/>
    <x v="3"/>
    <x v="0"/>
    <s v="Addition"/>
    <x v="1"/>
    <n v="38.01"/>
    <n v="0"/>
    <n v="1.4833299999999999E-3"/>
    <n v="0"/>
    <n v="0.68"/>
  </r>
  <r>
    <s v="376300-Mains - Plastic"/>
    <s v="21001143532"/>
    <s v="005466"/>
    <x v="0"/>
    <x v="263"/>
    <x v="3"/>
    <x v="0"/>
    <s v="Addition"/>
    <x v="2"/>
    <n v="-1080.8800000000001"/>
    <n v="0"/>
    <n v="1.4833299999999999E-3"/>
    <n v="0"/>
    <n v="-19.239999999999998"/>
  </r>
  <r>
    <s v="376300-Mains - Plastic"/>
    <s v="21001143532"/>
    <s v="005466"/>
    <x v="0"/>
    <x v="263"/>
    <x v="3"/>
    <x v="0"/>
    <s v="Addition"/>
    <x v="3"/>
    <n v="136.69"/>
    <n v="0"/>
    <n v="1.4833299999999999E-3"/>
    <n v="0"/>
    <n v="2.4300000000000002"/>
  </r>
  <r>
    <s v="376300-Mains - Plastic"/>
    <s v="21001143536"/>
    <s v="005467"/>
    <x v="0"/>
    <x v="264"/>
    <x v="76"/>
    <x v="0"/>
    <s v="Addition"/>
    <x v="0"/>
    <n v="6119.67"/>
    <n v="0"/>
    <n v="1.4833299999999999E-3"/>
    <n v="0"/>
    <n v="108.93"/>
  </r>
  <r>
    <s v="376300-Mains - Plastic"/>
    <s v="21001143536"/>
    <s v="005467"/>
    <x v="0"/>
    <x v="264"/>
    <x v="76"/>
    <x v="0"/>
    <s v="Addition"/>
    <x v="1"/>
    <n v="0.82"/>
    <n v="0"/>
    <n v="1.4833299999999999E-3"/>
    <n v="0"/>
    <n v="0.01"/>
  </r>
  <r>
    <s v="376300-Mains - Plastic"/>
    <s v="20812143611"/>
    <s v="005492"/>
    <x v="0"/>
    <x v="265"/>
    <x v="39"/>
    <x v="2"/>
    <s v="Addition"/>
    <x v="2"/>
    <n v="156809.47"/>
    <n v="0"/>
    <n v="1.4833299999999999E-3"/>
    <n v="0"/>
    <n v="2791.2"/>
  </r>
  <r>
    <s v="376300-Mains - Plastic"/>
    <s v="20812143611"/>
    <s v="005492"/>
    <x v="0"/>
    <x v="265"/>
    <x v="39"/>
    <x v="2"/>
    <s v="Addition"/>
    <x v="3"/>
    <n v="-653.91"/>
    <n v="0"/>
    <n v="1.4833299999999999E-3"/>
    <n v="0"/>
    <n v="-11.64"/>
  </r>
  <r>
    <s v="376100-Mains - Steel"/>
    <s v="21207143502"/>
    <s v="005515"/>
    <x v="0"/>
    <x v="266"/>
    <x v="75"/>
    <x v="2"/>
    <s v="Addition"/>
    <x v="3"/>
    <n v="37991.93"/>
    <n v="0"/>
    <n v="1.4833299999999999E-3"/>
    <n v="0"/>
    <n v="676.25"/>
  </r>
  <r>
    <s v="376300-Mains - Plastic"/>
    <s v="21205143503"/>
    <s v="005516"/>
    <x v="0"/>
    <x v="267"/>
    <x v="75"/>
    <x v="2"/>
    <s v="Addition"/>
    <x v="2"/>
    <n v="100429.48"/>
    <n v="0"/>
    <n v="1.4833299999999999E-3"/>
    <n v="0"/>
    <n v="1787.64"/>
  </r>
  <r>
    <s v="376300-Mains - Plastic"/>
    <s v="21205143503"/>
    <s v="005516"/>
    <x v="0"/>
    <x v="267"/>
    <x v="75"/>
    <x v="2"/>
    <s v="Addition"/>
    <x v="3"/>
    <n v="1865.84"/>
    <n v="0"/>
    <n v="1.4833299999999999E-3"/>
    <n v="0"/>
    <n v="33.21"/>
  </r>
  <r>
    <s v="376300-Mains - Plastic"/>
    <s v="20401143560"/>
    <s v="005517"/>
    <x v="0"/>
    <x v="268"/>
    <x v="22"/>
    <x v="9"/>
    <s v="Addition"/>
    <x v="0"/>
    <n v="10991.12"/>
    <n v="0"/>
    <n v="1.4833299999999999E-3"/>
    <n v="0"/>
    <n v="195.64"/>
  </r>
  <r>
    <s v="376300-Mains - Plastic"/>
    <s v="20401143560"/>
    <s v="005517"/>
    <x v="0"/>
    <x v="268"/>
    <x v="22"/>
    <x v="9"/>
    <s v="Addition"/>
    <x v="1"/>
    <n v="129.80000000000001"/>
    <n v="0"/>
    <n v="1.4833299999999999E-3"/>
    <n v="0"/>
    <n v="2.31"/>
  </r>
  <r>
    <s v="376300-Mains - Plastic"/>
    <s v="20501143621"/>
    <s v="005551"/>
    <x v="0"/>
    <x v="269"/>
    <x v="46"/>
    <x v="8"/>
    <s v="Addition"/>
    <x v="2"/>
    <n v="37016.21"/>
    <n v="0"/>
    <n v="1.4833299999999999E-3"/>
    <n v="0"/>
    <n v="658.89"/>
  </r>
  <r>
    <s v="376300-Mains - Plastic"/>
    <s v="20501143621"/>
    <s v="005551"/>
    <x v="0"/>
    <x v="269"/>
    <x v="46"/>
    <x v="8"/>
    <s v="Addition"/>
    <x v="3"/>
    <n v="237.88"/>
    <n v="0"/>
    <n v="1.4833299999999999E-3"/>
    <n v="0"/>
    <n v="4.2300000000000004"/>
  </r>
  <r>
    <s v="376300-Mains - Plastic"/>
    <s v="20501143622"/>
    <s v="005555"/>
    <x v="0"/>
    <x v="270"/>
    <x v="7"/>
    <x v="2"/>
    <s v="Addition"/>
    <x v="3"/>
    <n v="116872.01"/>
    <n v="0"/>
    <n v="1.4833299999999999E-3"/>
    <n v="0"/>
    <n v="2080.3200000000002"/>
  </r>
  <r>
    <s v="376100-Mains - Steel"/>
    <s v="21272143478"/>
    <s v="005556"/>
    <x v="0"/>
    <x v="271"/>
    <x v="75"/>
    <x v="2"/>
    <s v="Addition"/>
    <x v="0"/>
    <n v="72544.160000000003"/>
    <n v="0"/>
    <n v="1.4833299999999999E-3"/>
    <n v="0"/>
    <n v="1291.28"/>
  </r>
  <r>
    <s v="376100-Mains - Steel"/>
    <s v="21272143478"/>
    <s v="005556"/>
    <x v="0"/>
    <x v="271"/>
    <x v="75"/>
    <x v="2"/>
    <s v="Addition"/>
    <x v="1"/>
    <n v="163.34"/>
    <n v="0"/>
    <n v="1.4833299999999999E-3"/>
    <n v="0"/>
    <n v="2.91"/>
  </r>
  <r>
    <s v="376100-Mains - Steel"/>
    <s v="20506143648"/>
    <s v="005577"/>
    <x v="0"/>
    <x v="272"/>
    <x v="7"/>
    <x v="2"/>
    <s v="Addition"/>
    <x v="0"/>
    <n v="319.49"/>
    <n v="0"/>
    <n v="1.4833299999999999E-3"/>
    <n v="0"/>
    <n v="5.69"/>
  </r>
  <r>
    <s v="376300-Mains - Plastic"/>
    <s v="21001143533"/>
    <s v="005592"/>
    <x v="0"/>
    <x v="273"/>
    <x v="22"/>
    <x v="9"/>
    <s v="Addition"/>
    <x v="0"/>
    <n v="32210.09"/>
    <n v="0"/>
    <n v="1.4833299999999999E-3"/>
    <n v="0"/>
    <n v="573.34"/>
  </r>
  <r>
    <s v="376300-Mains - Plastic"/>
    <s v="21001143533"/>
    <s v="005592"/>
    <x v="0"/>
    <x v="273"/>
    <x v="22"/>
    <x v="9"/>
    <s v="Addition"/>
    <x v="1"/>
    <n v="9145.27"/>
    <n v="0"/>
    <n v="1.4833299999999999E-3"/>
    <n v="0"/>
    <n v="162.79"/>
  </r>
  <r>
    <s v="376300-Mains - Plastic"/>
    <s v="21001143533"/>
    <s v="005592"/>
    <x v="0"/>
    <x v="273"/>
    <x v="22"/>
    <x v="9"/>
    <s v="Addition"/>
    <x v="2"/>
    <n v="-767.04"/>
    <n v="0"/>
    <n v="1.4833299999999999E-3"/>
    <n v="0"/>
    <n v="-13.65"/>
  </r>
  <r>
    <s v="376300-Mains - Plastic"/>
    <s v="21001143533"/>
    <s v="005592"/>
    <x v="0"/>
    <x v="273"/>
    <x v="22"/>
    <x v="9"/>
    <s v="Addition"/>
    <x v="3"/>
    <n v="-683.61"/>
    <n v="0"/>
    <n v="1.4833299999999999E-3"/>
    <n v="0"/>
    <n v="-12.17"/>
  </r>
  <r>
    <s v="380200-Services"/>
    <s v="20910143640"/>
    <s v="005610"/>
    <x v="0"/>
    <x v="274"/>
    <x v="40"/>
    <x v="2"/>
    <s v="Addition"/>
    <x v="0"/>
    <n v="-49.67"/>
    <n v="0"/>
    <n v="2.23333E-3"/>
    <n v="0"/>
    <n v="-1.33"/>
  </r>
  <r>
    <s v="376300-Mains - Plastic"/>
    <s v="20401143344"/>
    <s v="005630"/>
    <x v="0"/>
    <x v="275"/>
    <x v="5"/>
    <x v="0"/>
    <s v="Addition"/>
    <x v="3"/>
    <n v="4871.9399999999996"/>
    <n v="0"/>
    <n v="1.4833299999999999E-3"/>
    <n v="0"/>
    <n v="86.72"/>
  </r>
  <r>
    <s v="376100-Mains - Steel"/>
    <s v="20307143658"/>
    <s v="005633"/>
    <x v="0"/>
    <x v="276"/>
    <x v="17"/>
    <x v="2"/>
    <s v="Addition"/>
    <x v="0"/>
    <n v="3364.94"/>
    <n v="0"/>
    <n v="1.4833299999999999E-3"/>
    <n v="0"/>
    <n v="59.9"/>
  </r>
  <r>
    <s v="376100-Mains - Steel"/>
    <s v="20307143658"/>
    <s v="005633"/>
    <x v="0"/>
    <x v="276"/>
    <x v="17"/>
    <x v="2"/>
    <s v="Addition"/>
    <x v="1"/>
    <n v="904.96"/>
    <n v="0"/>
    <n v="1.4833299999999999E-3"/>
    <n v="0"/>
    <n v="16.11"/>
  </r>
  <r>
    <s v="376100-Mains - Steel"/>
    <s v="20307143658"/>
    <s v="005633"/>
    <x v="0"/>
    <x v="276"/>
    <x v="17"/>
    <x v="2"/>
    <s v="Addition"/>
    <x v="2"/>
    <n v="-42.39"/>
    <n v="0"/>
    <n v="1.4833299999999999E-3"/>
    <n v="0"/>
    <n v="-0.75"/>
  </r>
  <r>
    <s v="376100-Mains - Steel"/>
    <s v="20307143658"/>
    <s v="005633"/>
    <x v="0"/>
    <x v="276"/>
    <x v="17"/>
    <x v="2"/>
    <s v="Addition"/>
    <x v="3"/>
    <n v="-69.72"/>
    <n v="0"/>
    <n v="1.4833299999999999E-3"/>
    <n v="0"/>
    <n v="-1.24"/>
  </r>
  <r>
    <s v="376300-Mains - Plastic"/>
    <s v="20401143586"/>
    <s v="005677"/>
    <x v="0"/>
    <x v="277"/>
    <x v="22"/>
    <x v="9"/>
    <s v="Addition"/>
    <x v="1"/>
    <n v="110798.91"/>
    <n v="0"/>
    <n v="1.4833299999999999E-3"/>
    <n v="0"/>
    <n v="1972.22"/>
  </r>
  <r>
    <s v="376300-Mains - Plastic"/>
    <s v="20401143586"/>
    <s v="005677"/>
    <x v="0"/>
    <x v="277"/>
    <x v="22"/>
    <x v="9"/>
    <s v="Addition"/>
    <x v="2"/>
    <n v="88675.88"/>
    <n v="0"/>
    <n v="1.4833299999999999E-3"/>
    <n v="0"/>
    <n v="1578.43"/>
  </r>
  <r>
    <s v="376300-Mains - Plastic"/>
    <s v="20401143586"/>
    <s v="005677"/>
    <x v="0"/>
    <x v="277"/>
    <x v="22"/>
    <x v="9"/>
    <s v="Addition"/>
    <x v="3"/>
    <n v="18827.39"/>
    <n v="0"/>
    <n v="1.4833299999999999E-3"/>
    <n v="0"/>
    <n v="335.13"/>
  </r>
  <r>
    <s v="376300-Mains - Plastic"/>
    <s v="20401143569"/>
    <s v="005679"/>
    <x v="0"/>
    <x v="277"/>
    <x v="22"/>
    <x v="9"/>
    <s v="Addition"/>
    <x v="0"/>
    <n v="84619.839999999997"/>
    <n v="0"/>
    <n v="1.4833299999999999E-3"/>
    <n v="0"/>
    <n v="1506.23"/>
  </r>
  <r>
    <s v="376300-Mains - Plastic"/>
    <s v="20401143569"/>
    <s v="005679"/>
    <x v="0"/>
    <x v="277"/>
    <x v="22"/>
    <x v="9"/>
    <s v="Addition"/>
    <x v="1"/>
    <n v="15389.95"/>
    <n v="0"/>
    <n v="1.4833299999999999E-3"/>
    <n v="0"/>
    <n v="273.94"/>
  </r>
  <r>
    <s v="376300-Mains - Plastic"/>
    <s v="20401143569"/>
    <s v="005679"/>
    <x v="0"/>
    <x v="277"/>
    <x v="22"/>
    <x v="9"/>
    <s v="Addition"/>
    <x v="2"/>
    <n v="11910.35"/>
    <n v="0"/>
    <n v="1.4833299999999999E-3"/>
    <n v="0"/>
    <n v="212"/>
  </r>
  <r>
    <s v="376300-Mains - Plastic"/>
    <s v="20401143569"/>
    <s v="005679"/>
    <x v="0"/>
    <x v="277"/>
    <x v="22"/>
    <x v="9"/>
    <s v="Addition"/>
    <x v="3"/>
    <n v="-2384.0100000000002"/>
    <n v="0"/>
    <n v="1.4833299999999999E-3"/>
    <n v="0"/>
    <n v="-42.44"/>
  </r>
  <r>
    <s v="376100-Mains - Steel"/>
    <s v="20401143656"/>
    <s v="005683"/>
    <x v="0"/>
    <x v="278"/>
    <x v="4"/>
    <x v="2"/>
    <s v="Addition"/>
    <x v="0"/>
    <n v="-925.65"/>
    <n v="0"/>
    <n v="1.4833299999999999E-3"/>
    <n v="0"/>
    <n v="-16.48"/>
  </r>
  <r>
    <s v="376100-Mains - Steel"/>
    <s v="20401143656"/>
    <s v="005683"/>
    <x v="0"/>
    <x v="278"/>
    <x v="4"/>
    <x v="2"/>
    <s v="Addition"/>
    <x v="2"/>
    <n v="0"/>
    <n v="0"/>
    <n v="1.4833299999999999E-3"/>
    <n v="0"/>
    <n v="0"/>
  </r>
  <r>
    <s v="376100-Mains - Steel"/>
    <s v="20401143656"/>
    <s v="005683"/>
    <x v="0"/>
    <x v="278"/>
    <x v="4"/>
    <x v="2"/>
    <s v="Addition"/>
    <x v="3"/>
    <n v="73.510000000000005"/>
    <n v="0"/>
    <n v="1.4833299999999999E-3"/>
    <n v="0"/>
    <n v="1.31"/>
  </r>
  <r>
    <s v="376100-Mains - Steel"/>
    <s v="21274143634"/>
    <s v="005687"/>
    <x v="0"/>
    <x v="279"/>
    <x v="4"/>
    <x v="2"/>
    <s v="Addition"/>
    <x v="0"/>
    <n v="2817.01"/>
    <n v="0"/>
    <n v="1.4833299999999999E-3"/>
    <n v="0"/>
    <n v="50.14"/>
  </r>
  <r>
    <s v="376100-Mains - Steel"/>
    <s v="21274143634"/>
    <s v="005687"/>
    <x v="0"/>
    <x v="279"/>
    <x v="4"/>
    <x v="2"/>
    <s v="Addition"/>
    <x v="1"/>
    <n v="977.06"/>
    <n v="0"/>
    <n v="1.4833299999999999E-3"/>
    <n v="0"/>
    <n v="17.39"/>
  </r>
  <r>
    <s v="376100-Mains - Steel"/>
    <s v="21274143634"/>
    <s v="005687"/>
    <x v="0"/>
    <x v="279"/>
    <x v="4"/>
    <x v="2"/>
    <s v="Addition"/>
    <x v="2"/>
    <n v="-45.74"/>
    <n v="0"/>
    <n v="1.4833299999999999E-3"/>
    <n v="0"/>
    <n v="-0.81"/>
  </r>
  <r>
    <s v="376100-Mains - Steel"/>
    <s v="21274143634"/>
    <s v="005687"/>
    <x v="0"/>
    <x v="279"/>
    <x v="4"/>
    <x v="2"/>
    <s v="Addition"/>
    <x v="3"/>
    <n v="-75.260000000000005"/>
    <n v="0"/>
    <n v="1.4833299999999999E-3"/>
    <n v="0"/>
    <n v="-1.34"/>
  </r>
  <r>
    <s v="376100-Mains - Steel"/>
    <s v="21207143665"/>
    <s v="005730"/>
    <x v="0"/>
    <x v="280"/>
    <x v="4"/>
    <x v="2"/>
    <s v="Addition"/>
    <x v="0"/>
    <n v="94.14"/>
    <n v="0"/>
    <n v="1.4833299999999999E-3"/>
    <n v="0"/>
    <n v="1.68"/>
  </r>
  <r>
    <s v="376100-Mains - Steel"/>
    <s v="21207143665"/>
    <s v="005730"/>
    <x v="0"/>
    <x v="280"/>
    <x v="4"/>
    <x v="2"/>
    <s v="Addition"/>
    <x v="1"/>
    <n v="-0.49"/>
    <n v="0"/>
    <n v="1.4833299999999999E-3"/>
    <n v="0"/>
    <n v="-0.01"/>
  </r>
  <r>
    <s v="376300-Mains - Plastic"/>
    <s v="21207143620"/>
    <s v="005732"/>
    <x v="0"/>
    <x v="281"/>
    <x v="4"/>
    <x v="2"/>
    <s v="Addition"/>
    <x v="0"/>
    <n v="77244.5"/>
    <n v="0"/>
    <n v="1.4833299999999999E-3"/>
    <n v="0"/>
    <n v="1374.95"/>
  </r>
  <r>
    <s v="376300-Mains - Plastic"/>
    <s v="21207143620"/>
    <s v="005732"/>
    <x v="0"/>
    <x v="281"/>
    <x v="4"/>
    <x v="2"/>
    <s v="Addition"/>
    <x v="1"/>
    <n v="190.86"/>
    <n v="0"/>
    <n v="1.4833299999999999E-3"/>
    <n v="0"/>
    <n v="3.4"/>
  </r>
  <r>
    <s v="376300-Mains - Plastic"/>
    <s v="21207143620"/>
    <s v="005732"/>
    <x v="0"/>
    <x v="281"/>
    <x v="4"/>
    <x v="2"/>
    <s v="Addition"/>
    <x v="2"/>
    <n v="1379.28"/>
    <n v="0"/>
    <n v="1.4833299999999999E-3"/>
    <n v="0"/>
    <n v="24.55"/>
  </r>
  <r>
    <s v="376300-Mains - Plastic"/>
    <s v="21207143620"/>
    <s v="005732"/>
    <x v="0"/>
    <x v="281"/>
    <x v="4"/>
    <x v="2"/>
    <s v="Addition"/>
    <x v="3"/>
    <n v="-145.08000000000001"/>
    <n v="0"/>
    <n v="1.4833299999999999E-3"/>
    <n v="0"/>
    <n v="-2.58"/>
  </r>
  <r>
    <s v="376300-Mains - Plastic"/>
    <s v="20501143667"/>
    <s v="005733"/>
    <x v="0"/>
    <x v="282"/>
    <x v="7"/>
    <x v="2"/>
    <s v="Addition"/>
    <x v="0"/>
    <n v="8672.4699999999993"/>
    <n v="0"/>
    <n v="1.4833299999999999E-3"/>
    <n v="0"/>
    <n v="154.37"/>
  </r>
  <r>
    <s v="376300-Mains - Plastic"/>
    <s v="20501143667"/>
    <s v="005733"/>
    <x v="0"/>
    <x v="282"/>
    <x v="7"/>
    <x v="2"/>
    <s v="Addition"/>
    <x v="1"/>
    <n v="-9961.83"/>
    <n v="0"/>
    <n v="1.4833299999999999E-3"/>
    <n v="0"/>
    <n v="-177.32"/>
  </r>
  <r>
    <s v="376300-Mains - Plastic"/>
    <s v="20501143667"/>
    <s v="005733"/>
    <x v="0"/>
    <x v="282"/>
    <x v="7"/>
    <x v="2"/>
    <s v="Addition"/>
    <x v="2"/>
    <n v="-10648.99"/>
    <n v="0"/>
    <n v="1.4833299999999999E-3"/>
    <n v="0"/>
    <n v="-189.55"/>
  </r>
  <r>
    <s v="376300-Mains - Plastic"/>
    <s v="20501143667"/>
    <s v="005733"/>
    <x v="0"/>
    <x v="282"/>
    <x v="7"/>
    <x v="2"/>
    <s v="Addition"/>
    <x v="3"/>
    <n v="1538.04"/>
    <n v="0"/>
    <n v="1.4833299999999999E-3"/>
    <n v="0"/>
    <n v="27.38"/>
  </r>
  <r>
    <s v="376300-Mains - Plastic"/>
    <s v="20513143661"/>
    <s v="005737"/>
    <x v="0"/>
    <x v="283"/>
    <x v="46"/>
    <x v="8"/>
    <s v="Addition"/>
    <x v="2"/>
    <n v="46130.239999999998"/>
    <n v="0"/>
    <n v="1.4833299999999999E-3"/>
    <n v="0"/>
    <n v="821.12"/>
  </r>
  <r>
    <s v="376300-Mains - Plastic"/>
    <s v="20513143661"/>
    <s v="005737"/>
    <x v="0"/>
    <x v="283"/>
    <x v="46"/>
    <x v="8"/>
    <s v="Addition"/>
    <x v="3"/>
    <n v="-820.13"/>
    <n v="0"/>
    <n v="1.4833299999999999E-3"/>
    <n v="0"/>
    <n v="-14.6"/>
  </r>
  <r>
    <s v="376300-Mains - Plastic"/>
    <s v="21271143554"/>
    <s v="005772"/>
    <x v="0"/>
    <x v="284"/>
    <x v="54"/>
    <x v="8"/>
    <s v="Addition"/>
    <x v="2"/>
    <n v="35042.230000000003"/>
    <n v="0"/>
    <n v="1.4833299999999999E-3"/>
    <n v="0"/>
    <n v="623.75"/>
  </r>
  <r>
    <s v="376300-Mains - Plastic"/>
    <s v="21271143554"/>
    <s v="005772"/>
    <x v="0"/>
    <x v="284"/>
    <x v="54"/>
    <x v="8"/>
    <s v="Addition"/>
    <x v="3"/>
    <n v="3488.6"/>
    <n v="0"/>
    <n v="1.4833299999999999E-3"/>
    <n v="0"/>
    <n v="62.1"/>
  </r>
  <r>
    <s v="376300-Mains - Plastic"/>
    <s v="20401143601"/>
    <s v="005773"/>
    <x v="0"/>
    <x v="285"/>
    <x v="22"/>
    <x v="9"/>
    <s v="Addition"/>
    <x v="0"/>
    <n v="1598.77"/>
    <n v="0"/>
    <n v="1.4833299999999999E-3"/>
    <n v="0"/>
    <n v="28.46"/>
  </r>
  <r>
    <s v="376300-Mains - Plastic"/>
    <s v="20401143601"/>
    <s v="005773"/>
    <x v="0"/>
    <x v="285"/>
    <x v="22"/>
    <x v="9"/>
    <s v="Addition"/>
    <x v="1"/>
    <n v="4514.09"/>
    <n v="0"/>
    <n v="1.4833299999999999E-3"/>
    <n v="0"/>
    <n v="80.349999999999994"/>
  </r>
  <r>
    <s v="376300-Mains - Plastic"/>
    <s v="20401143601"/>
    <s v="005773"/>
    <x v="0"/>
    <x v="285"/>
    <x v="22"/>
    <x v="9"/>
    <s v="Addition"/>
    <x v="2"/>
    <n v="-208.96"/>
    <n v="0"/>
    <n v="1.4833299999999999E-3"/>
    <n v="0"/>
    <n v="-3.72"/>
  </r>
  <r>
    <s v="376300-Mains - Plastic"/>
    <s v="20401143601"/>
    <s v="005773"/>
    <x v="0"/>
    <x v="285"/>
    <x v="22"/>
    <x v="9"/>
    <s v="Addition"/>
    <x v="3"/>
    <n v="-298.91000000000003"/>
    <n v="0"/>
    <n v="1.4833299999999999E-3"/>
    <n v="0"/>
    <n v="-5.32"/>
  </r>
  <r>
    <s v="376300-Mains - Plastic"/>
    <s v="21271143699"/>
    <s v="005791"/>
    <x v="0"/>
    <x v="286"/>
    <x v="77"/>
    <x v="15"/>
    <s v="Addition"/>
    <x v="0"/>
    <n v="502.39"/>
    <n v="0"/>
    <n v="1.4833299999999999E-3"/>
    <n v="0"/>
    <n v="8.94"/>
  </r>
  <r>
    <s v="376300-Mains - Plastic"/>
    <s v="21271143699"/>
    <s v="005791"/>
    <x v="0"/>
    <x v="286"/>
    <x v="77"/>
    <x v="15"/>
    <s v="Addition"/>
    <x v="1"/>
    <n v="0.51"/>
    <n v="0"/>
    <n v="1.4833299999999999E-3"/>
    <n v="0"/>
    <n v="0.01"/>
  </r>
  <r>
    <s v="376300-Mains - Plastic"/>
    <s v="21271143699"/>
    <s v="005791"/>
    <x v="0"/>
    <x v="286"/>
    <x v="77"/>
    <x v="15"/>
    <s v="Addition"/>
    <x v="3"/>
    <n v="640.08000000000004"/>
    <n v="0"/>
    <n v="1.4833299999999999E-3"/>
    <n v="0"/>
    <n v="11.39"/>
  </r>
  <r>
    <s v="376100-Mains - Steel"/>
    <s v="21271143686"/>
    <s v="005850"/>
    <x v="0"/>
    <x v="287"/>
    <x v="47"/>
    <x v="1"/>
    <s v="Addition"/>
    <x v="0"/>
    <n v="53.69"/>
    <n v="0"/>
    <n v="1.4833299999999999E-3"/>
    <n v="0"/>
    <n v="0.96"/>
  </r>
  <r>
    <s v="376300-Mains - Plastic"/>
    <s v="20401143687"/>
    <s v="005852"/>
    <x v="0"/>
    <x v="288"/>
    <x v="22"/>
    <x v="9"/>
    <s v="Addition"/>
    <x v="0"/>
    <n v="76.45"/>
    <n v="0"/>
    <n v="1.4833299999999999E-3"/>
    <n v="0"/>
    <n v="1.36"/>
  </r>
  <r>
    <s v="376300-Mains - Plastic"/>
    <s v="20401143687"/>
    <s v="005852"/>
    <x v="0"/>
    <x v="288"/>
    <x v="22"/>
    <x v="9"/>
    <s v="Addition"/>
    <x v="3"/>
    <n v="1481.62"/>
    <n v="0"/>
    <n v="1.4833299999999999E-3"/>
    <n v="0"/>
    <n v="26.37"/>
  </r>
  <r>
    <s v="376100-Mains - Steel"/>
    <s v="20401143682"/>
    <s v="005854"/>
    <x v="0"/>
    <x v="289"/>
    <x v="5"/>
    <x v="0"/>
    <s v="Addition"/>
    <x v="0"/>
    <n v="92.14"/>
    <n v="0"/>
    <n v="1.4833299999999999E-3"/>
    <n v="0"/>
    <n v="1.64"/>
  </r>
  <r>
    <s v="376100-Mains - Steel"/>
    <s v="20401143682"/>
    <s v="005854"/>
    <x v="0"/>
    <x v="289"/>
    <x v="5"/>
    <x v="0"/>
    <s v="Addition"/>
    <x v="1"/>
    <n v="0.63"/>
    <n v="0"/>
    <n v="1.4833299999999999E-3"/>
    <n v="0"/>
    <n v="0.01"/>
  </r>
  <r>
    <s v="376100-Mains - Steel"/>
    <s v="20401143682"/>
    <s v="005854"/>
    <x v="0"/>
    <x v="289"/>
    <x v="5"/>
    <x v="0"/>
    <s v="Addition"/>
    <x v="3"/>
    <n v="445.28"/>
    <n v="0"/>
    <n v="1.4833299999999999E-3"/>
    <n v="0"/>
    <n v="7.93"/>
  </r>
  <r>
    <s v="376300-Mains - Plastic"/>
    <s v="20401143602"/>
    <s v="005917"/>
    <x v="0"/>
    <x v="290"/>
    <x v="22"/>
    <x v="9"/>
    <s v="Addition"/>
    <x v="1"/>
    <n v="123284.96"/>
    <n v="0"/>
    <n v="1.4833299999999999E-3"/>
    <n v="0"/>
    <n v="2194.4699999999998"/>
  </r>
  <r>
    <s v="376300-Mains - Plastic"/>
    <s v="20401143602"/>
    <s v="005917"/>
    <x v="0"/>
    <x v="290"/>
    <x v="22"/>
    <x v="9"/>
    <s v="Addition"/>
    <x v="2"/>
    <n v="-8191.63"/>
    <n v="0"/>
    <n v="1.4833299999999999E-3"/>
    <n v="0"/>
    <n v="-145.81"/>
  </r>
  <r>
    <s v="376300-Mains - Plastic"/>
    <s v="20401143602"/>
    <s v="005917"/>
    <x v="0"/>
    <x v="290"/>
    <x v="22"/>
    <x v="9"/>
    <s v="Addition"/>
    <x v="3"/>
    <n v="3203.04"/>
    <n v="0"/>
    <n v="1.4833299999999999E-3"/>
    <n v="0"/>
    <n v="57.01"/>
  </r>
  <r>
    <s v="376300-Mains - Plastic"/>
    <s v="21213143676"/>
    <s v="006075"/>
    <x v="0"/>
    <x v="291"/>
    <x v="4"/>
    <x v="2"/>
    <s v="Addition"/>
    <x v="2"/>
    <n v="19878.39"/>
    <n v="0"/>
    <n v="1.4833299999999999E-3"/>
    <n v="0"/>
    <n v="353.83"/>
  </r>
  <r>
    <s v="376300-Mains - Plastic"/>
    <s v="21213143676"/>
    <s v="006075"/>
    <x v="0"/>
    <x v="291"/>
    <x v="4"/>
    <x v="2"/>
    <s v="Addition"/>
    <x v="3"/>
    <n v="829.19"/>
    <n v="0"/>
    <n v="1.4833299999999999E-3"/>
    <n v="0"/>
    <n v="14.76"/>
  </r>
  <r>
    <s v="376300-Mains - Plastic"/>
    <s v="20925143749"/>
    <s v="006080"/>
    <x v="0"/>
    <x v="292"/>
    <x v="1"/>
    <x v="1"/>
    <s v="Addition"/>
    <x v="2"/>
    <n v="20478.060000000001"/>
    <n v="0"/>
    <n v="1.4833299999999999E-3"/>
    <n v="0"/>
    <n v="364.51"/>
  </r>
  <r>
    <s v="376300-Mains - Plastic"/>
    <s v="20925143749"/>
    <s v="006080"/>
    <x v="0"/>
    <x v="292"/>
    <x v="1"/>
    <x v="1"/>
    <s v="Addition"/>
    <x v="3"/>
    <n v="-628.98"/>
    <n v="0"/>
    <n v="1.4833299999999999E-3"/>
    <n v="0"/>
    <n v="-11.2"/>
  </r>
  <r>
    <s v="376100-Mains - Steel"/>
    <s v="21207143744"/>
    <s v="006111"/>
    <x v="0"/>
    <x v="293"/>
    <x v="20"/>
    <x v="7"/>
    <s v="Addition"/>
    <x v="3"/>
    <n v="21760.85"/>
    <n v="0"/>
    <n v="1.4833299999999999E-3"/>
    <n v="0"/>
    <n v="387.34"/>
  </r>
  <r>
    <s v="376100-Mains - Steel"/>
    <s v="20828143755"/>
    <s v="006113"/>
    <x v="0"/>
    <x v="294"/>
    <x v="24"/>
    <x v="1"/>
    <s v="Addition"/>
    <x v="0"/>
    <n v="167.22"/>
    <n v="0"/>
    <n v="1.4833299999999999E-3"/>
    <n v="0"/>
    <n v="2.98"/>
  </r>
  <r>
    <s v="376100-Mains - Steel"/>
    <s v="20828143755"/>
    <s v="006113"/>
    <x v="0"/>
    <x v="294"/>
    <x v="24"/>
    <x v="1"/>
    <s v="Addition"/>
    <x v="1"/>
    <n v="2626.89"/>
    <n v="0"/>
    <n v="1.4833299999999999E-3"/>
    <n v="0"/>
    <n v="46.76"/>
  </r>
  <r>
    <s v="376100-Mains - Steel"/>
    <s v="20828143755"/>
    <s v="006113"/>
    <x v="0"/>
    <x v="294"/>
    <x v="24"/>
    <x v="1"/>
    <s v="Addition"/>
    <x v="2"/>
    <n v="-626"/>
    <n v="0"/>
    <n v="1.4833299999999999E-3"/>
    <n v="0"/>
    <n v="-11.14"/>
  </r>
  <r>
    <s v="376100-Mains - Steel"/>
    <s v="20828143755"/>
    <s v="006113"/>
    <x v="0"/>
    <x v="294"/>
    <x v="24"/>
    <x v="1"/>
    <s v="Addition"/>
    <x v="3"/>
    <n v="203.95"/>
    <n v="0"/>
    <n v="1.4833299999999999E-3"/>
    <n v="0"/>
    <n v="3.63"/>
  </r>
  <r>
    <s v="376300-Mains - Plastic"/>
    <s v="20506143761"/>
    <s v="006201"/>
    <x v="0"/>
    <x v="295"/>
    <x v="30"/>
    <x v="0"/>
    <s v="Addition"/>
    <x v="2"/>
    <n v="19239.02"/>
    <n v="0"/>
    <n v="1.4833299999999999E-3"/>
    <n v="0"/>
    <n v="342.45"/>
  </r>
  <r>
    <s v="376300-Mains - Plastic"/>
    <s v="20506143761"/>
    <s v="006201"/>
    <x v="0"/>
    <x v="295"/>
    <x v="30"/>
    <x v="0"/>
    <s v="Addition"/>
    <x v="3"/>
    <n v="2460.33"/>
    <n v="0"/>
    <n v="1.4833299999999999E-3"/>
    <n v="0"/>
    <n v="43.79"/>
  </r>
  <r>
    <s v="376300-Mains - Plastic"/>
    <s v="20401143705"/>
    <s v="006351"/>
    <x v="0"/>
    <x v="296"/>
    <x v="22"/>
    <x v="9"/>
    <s v="Addition"/>
    <x v="1"/>
    <n v="28474.67"/>
    <n v="0"/>
    <n v="1.4833299999999999E-3"/>
    <n v="0"/>
    <n v="506.85"/>
  </r>
  <r>
    <s v="376300-Mains - Plastic"/>
    <s v="20401143705"/>
    <s v="006351"/>
    <x v="0"/>
    <x v="296"/>
    <x v="22"/>
    <x v="9"/>
    <s v="Addition"/>
    <x v="2"/>
    <n v="8538.86"/>
    <n v="0"/>
    <n v="1.4833299999999999E-3"/>
    <n v="0"/>
    <n v="151.99"/>
  </r>
  <r>
    <s v="376300-Mains - Plastic"/>
    <s v="20401143705"/>
    <s v="006351"/>
    <x v="0"/>
    <x v="296"/>
    <x v="22"/>
    <x v="9"/>
    <s v="Addition"/>
    <x v="3"/>
    <n v="-2188.61"/>
    <n v="0"/>
    <n v="1.4833299999999999E-3"/>
    <n v="0"/>
    <n v="-38.96"/>
  </r>
  <r>
    <s v="376300-Mains - Plastic"/>
    <s v="20806143791"/>
    <s v="006356"/>
    <x v="0"/>
    <x v="297"/>
    <x v="6"/>
    <x v="0"/>
    <s v="Addition"/>
    <x v="0"/>
    <n v="428.36"/>
    <n v="0"/>
    <n v="1.4833299999999999E-3"/>
    <n v="0"/>
    <n v="7.62"/>
  </r>
  <r>
    <s v="376300-Mains - Plastic"/>
    <s v="20806143791"/>
    <s v="006356"/>
    <x v="0"/>
    <x v="297"/>
    <x v="6"/>
    <x v="0"/>
    <s v="Addition"/>
    <x v="1"/>
    <n v="19575.849999999999"/>
    <n v="0"/>
    <n v="1.4833299999999999E-3"/>
    <n v="0"/>
    <n v="348.45"/>
  </r>
  <r>
    <s v="376300-Mains - Plastic"/>
    <s v="20806143791"/>
    <s v="006356"/>
    <x v="0"/>
    <x v="297"/>
    <x v="6"/>
    <x v="0"/>
    <s v="Addition"/>
    <x v="2"/>
    <n v="-4489.25"/>
    <n v="0"/>
    <n v="1.4833299999999999E-3"/>
    <n v="0"/>
    <n v="-79.91"/>
  </r>
  <r>
    <s v="376300-Mains - Plastic"/>
    <s v="20806143791"/>
    <s v="006356"/>
    <x v="0"/>
    <x v="297"/>
    <x v="6"/>
    <x v="0"/>
    <s v="Addition"/>
    <x v="3"/>
    <n v="2556.02"/>
    <n v="0"/>
    <n v="1.4833299999999999E-3"/>
    <n v="0"/>
    <n v="45.5"/>
  </r>
  <r>
    <s v="376300-Mains - Plastic"/>
    <s v="21271143754"/>
    <s v="006419"/>
    <x v="0"/>
    <x v="298"/>
    <x v="0"/>
    <x v="0"/>
    <s v="Addition"/>
    <x v="0"/>
    <n v="4250.08"/>
    <n v="0"/>
    <n v="1.4833299999999999E-3"/>
    <n v="0"/>
    <n v="75.650000000000006"/>
  </r>
  <r>
    <s v="376100-Mains - Steel"/>
    <s v="20401143774"/>
    <s v="006433"/>
    <x v="0"/>
    <x v="299"/>
    <x v="54"/>
    <x v="8"/>
    <s v="Addition"/>
    <x v="3"/>
    <n v="105895.42"/>
    <n v="0"/>
    <n v="1.4833299999999999E-3"/>
    <n v="0"/>
    <n v="1884.93"/>
  </r>
  <r>
    <s v="376300-Mains - Plastic"/>
    <s v="20501143720"/>
    <s v="006435"/>
    <x v="0"/>
    <x v="300"/>
    <x v="37"/>
    <x v="1"/>
    <s v="Addition"/>
    <x v="1"/>
    <n v="8804.85"/>
    <n v="0"/>
    <n v="1.4833299999999999E-3"/>
    <n v="0"/>
    <n v="156.72999999999999"/>
  </r>
  <r>
    <s v="376300-Mains - Plastic"/>
    <s v="20501143720"/>
    <s v="006435"/>
    <x v="0"/>
    <x v="300"/>
    <x v="37"/>
    <x v="1"/>
    <s v="Addition"/>
    <x v="2"/>
    <n v="-4496.3500000000004"/>
    <n v="0"/>
    <n v="1.4833299999999999E-3"/>
    <n v="0"/>
    <n v="-80.03"/>
  </r>
  <r>
    <s v="376300-Mains - Plastic"/>
    <s v="20501143720"/>
    <s v="006435"/>
    <x v="0"/>
    <x v="300"/>
    <x v="37"/>
    <x v="1"/>
    <s v="Addition"/>
    <x v="3"/>
    <n v="133.1"/>
    <n v="0"/>
    <n v="1.4833299999999999E-3"/>
    <n v="0"/>
    <n v="2.37"/>
  </r>
  <r>
    <s v="376300-Mains - Plastic"/>
    <s v="20813143792"/>
    <s v="006473"/>
    <x v="0"/>
    <x v="301"/>
    <x v="78"/>
    <x v="0"/>
    <s v="Addition"/>
    <x v="1"/>
    <n v="6323.2"/>
    <n v="0"/>
    <n v="1.4833299999999999E-3"/>
    <n v="0"/>
    <n v="112.55"/>
  </r>
  <r>
    <s v="376300-Mains - Plastic"/>
    <s v="20813143792"/>
    <s v="006473"/>
    <x v="0"/>
    <x v="301"/>
    <x v="78"/>
    <x v="0"/>
    <s v="Addition"/>
    <x v="2"/>
    <n v="5145.3999999999996"/>
    <n v="0"/>
    <n v="1.4833299999999999E-3"/>
    <n v="0"/>
    <n v="91.59"/>
  </r>
  <r>
    <s v="376300-Mains - Plastic"/>
    <s v="20813143792"/>
    <s v="006473"/>
    <x v="0"/>
    <x v="301"/>
    <x v="78"/>
    <x v="0"/>
    <s v="Addition"/>
    <x v="3"/>
    <n v="2679.48"/>
    <n v="0"/>
    <n v="1.4833299999999999E-3"/>
    <n v="0"/>
    <n v="47.69"/>
  </r>
  <r>
    <s v="376300-Mains - Plastic"/>
    <s v="20502143706"/>
    <s v="006511"/>
    <x v="0"/>
    <x v="302"/>
    <x v="37"/>
    <x v="1"/>
    <s v="Addition"/>
    <x v="3"/>
    <n v="-310.58999999999997"/>
    <n v="0"/>
    <n v="1.4833299999999999E-3"/>
    <n v="0"/>
    <n v="-5.53"/>
  </r>
  <r>
    <s v="376300-Mains - Plastic"/>
    <s v="20502143823"/>
    <s v="006512"/>
    <x v="0"/>
    <x v="303"/>
    <x v="37"/>
    <x v="1"/>
    <s v="Addition"/>
    <x v="3"/>
    <n v="24647.69"/>
    <n v="0"/>
    <n v="1.4833299999999999E-3"/>
    <n v="0"/>
    <n v="438.73"/>
  </r>
  <r>
    <s v="376300-Mains - Plastic"/>
    <s v="20901143822"/>
    <s v="006551"/>
    <x v="0"/>
    <x v="304"/>
    <x v="9"/>
    <x v="0"/>
    <s v="Addition"/>
    <x v="3"/>
    <n v="25101.279999999999"/>
    <n v="0"/>
    <n v="1.4833299999999999E-3"/>
    <n v="0"/>
    <n v="446.8"/>
  </r>
  <r>
    <s v="376300-Mains - Plastic"/>
    <s v="21207143819"/>
    <s v="006552"/>
    <x v="0"/>
    <x v="305"/>
    <x v="18"/>
    <x v="1"/>
    <s v="Addition"/>
    <x v="0"/>
    <n v="906.93"/>
    <n v="0"/>
    <n v="1.4833299999999999E-3"/>
    <n v="0"/>
    <n v="16.14"/>
  </r>
  <r>
    <s v="376300-Mains - Plastic"/>
    <s v="21207143819"/>
    <s v="006552"/>
    <x v="0"/>
    <x v="305"/>
    <x v="18"/>
    <x v="1"/>
    <s v="Addition"/>
    <x v="1"/>
    <n v="293.01"/>
    <n v="0"/>
    <n v="1.4833299999999999E-3"/>
    <n v="0"/>
    <n v="5.22"/>
  </r>
  <r>
    <s v="376300-Mains - Plastic"/>
    <s v="21207143819"/>
    <s v="006552"/>
    <x v="0"/>
    <x v="305"/>
    <x v="18"/>
    <x v="1"/>
    <s v="Addition"/>
    <x v="2"/>
    <n v="-13.74"/>
    <n v="0"/>
    <n v="1.4833299999999999E-3"/>
    <n v="0"/>
    <n v="-0.24"/>
  </r>
  <r>
    <s v="376300-Mains - Plastic"/>
    <s v="21207143819"/>
    <s v="006552"/>
    <x v="0"/>
    <x v="305"/>
    <x v="18"/>
    <x v="1"/>
    <s v="Addition"/>
    <x v="3"/>
    <n v="-22.55"/>
    <n v="0"/>
    <n v="1.4833299999999999E-3"/>
    <n v="0"/>
    <n v="-0.4"/>
  </r>
  <r>
    <s v="376300-Mains - Plastic"/>
    <s v="20201143853"/>
    <s v="006594"/>
    <x v="0"/>
    <x v="306"/>
    <x v="9"/>
    <x v="0"/>
    <s v="Addition"/>
    <x v="3"/>
    <n v="5227.7"/>
    <n v="0"/>
    <n v="1.4833299999999999E-3"/>
    <n v="0"/>
    <n v="93.05"/>
  </r>
  <r>
    <s v="376300-Mains - Plastic"/>
    <s v="20401143816"/>
    <s v="006597"/>
    <x v="0"/>
    <x v="307"/>
    <x v="22"/>
    <x v="9"/>
    <s v="Addition"/>
    <x v="3"/>
    <n v="75631.14"/>
    <n v="0"/>
    <n v="1.4833299999999999E-3"/>
    <n v="0"/>
    <n v="1346.23"/>
  </r>
  <r>
    <s v="376300-Mains - Plastic"/>
    <s v="20401143826"/>
    <s v="006603"/>
    <x v="0"/>
    <x v="308"/>
    <x v="0"/>
    <x v="0"/>
    <s v="Addition"/>
    <x v="3"/>
    <n v="36271.120000000003"/>
    <n v="0"/>
    <n v="1.4833299999999999E-3"/>
    <n v="0"/>
    <n v="645.62"/>
  </r>
  <r>
    <s v="376300-Mains - Plastic"/>
    <s v="20801143783"/>
    <s v="006666"/>
    <x v="0"/>
    <x v="309"/>
    <x v="78"/>
    <x v="0"/>
    <s v="Addition"/>
    <x v="3"/>
    <n v="6257.37"/>
    <n v="0"/>
    <n v="1.4833299999999999E-3"/>
    <n v="0"/>
    <n v="111.38"/>
  </r>
  <r>
    <s v="376300-Mains - Plastic"/>
    <s v="20501143697"/>
    <s v="006667"/>
    <x v="0"/>
    <x v="310"/>
    <x v="30"/>
    <x v="0"/>
    <s v="Addition"/>
    <x v="3"/>
    <n v="11632.66"/>
    <n v="0"/>
    <n v="1.4833299999999999E-3"/>
    <n v="0"/>
    <n v="207.06"/>
  </r>
  <r>
    <s v="380200-Services"/>
    <s v="21001143881"/>
    <s v="006714"/>
    <x v="0"/>
    <x v="311"/>
    <x v="49"/>
    <x v="19"/>
    <s v="Addition"/>
    <x v="1"/>
    <n v="1314.76"/>
    <n v="0"/>
    <n v="2.23333E-3"/>
    <n v="0"/>
    <n v="35.24"/>
  </r>
  <r>
    <s v="380200-Services"/>
    <s v="21001143881"/>
    <s v="006714"/>
    <x v="0"/>
    <x v="311"/>
    <x v="49"/>
    <x v="19"/>
    <s v="Addition"/>
    <x v="2"/>
    <n v="-35.93"/>
    <n v="0"/>
    <n v="2.23333E-3"/>
    <n v="0"/>
    <n v="-0.96"/>
  </r>
  <r>
    <s v="380200-Services"/>
    <s v="21001143881"/>
    <s v="006714"/>
    <x v="0"/>
    <x v="311"/>
    <x v="49"/>
    <x v="19"/>
    <s v="Addition"/>
    <x v="3"/>
    <n v="1948.51"/>
    <n v="0"/>
    <n v="2.23333E-3"/>
    <n v="0"/>
    <n v="52.22"/>
  </r>
  <r>
    <s v="376300-Mains - Plastic"/>
    <s v="21001143907"/>
    <s v="006800"/>
    <x v="0"/>
    <x v="312"/>
    <x v="1"/>
    <x v="1"/>
    <s v="Addition"/>
    <x v="3"/>
    <n v="134.33000000000001"/>
    <n v="0"/>
    <n v="1.4833299999999999E-3"/>
    <n v="0"/>
    <n v="2.39"/>
  </r>
  <r>
    <s v="376300-Mains - Plastic"/>
    <s v="20401143936"/>
    <s v="006910"/>
    <x v="0"/>
    <x v="313"/>
    <x v="48"/>
    <x v="9"/>
    <s v="Addition"/>
    <x v="3"/>
    <n v="16814.27"/>
    <n v="0"/>
    <n v="1.4833299999999999E-3"/>
    <n v="0"/>
    <n v="299.29000000000002"/>
  </r>
  <r>
    <s v="382000 Meter Installations-MGE"/>
    <s v="20901050363"/>
    <s v="003825"/>
    <x v="1"/>
    <x v="314"/>
    <x v="79"/>
    <x v="24"/>
    <s v="Addition"/>
    <x v="0"/>
    <n v="3649.84"/>
    <n v="0"/>
    <n v="2.0333333000000001E-3"/>
    <n v="0"/>
    <n v="89.06"/>
  </r>
  <r>
    <s v="382000 Meter Installations-MGE"/>
    <s v="20901050363"/>
    <s v="003825"/>
    <x v="1"/>
    <x v="314"/>
    <x v="79"/>
    <x v="24"/>
    <s v="Addition"/>
    <x v="1"/>
    <n v="10750.98"/>
    <n v="0"/>
    <n v="2.0333333000000001E-3"/>
    <n v="0"/>
    <n v="262.32"/>
  </r>
  <r>
    <s v="382000 Meter Installations-MGE"/>
    <s v="20901050363"/>
    <s v="003825"/>
    <x v="1"/>
    <x v="314"/>
    <x v="79"/>
    <x v="24"/>
    <s v="Addition"/>
    <x v="2"/>
    <n v="3556.67"/>
    <n v="0"/>
    <n v="2.0333333000000001E-3"/>
    <n v="0"/>
    <n v="86.78"/>
  </r>
  <r>
    <s v="382000 Meter Installations-MGE"/>
    <s v="20901050363"/>
    <s v="003825"/>
    <x v="1"/>
    <x v="314"/>
    <x v="79"/>
    <x v="24"/>
    <s v="Addition"/>
    <x v="3"/>
    <n v="2193.1"/>
    <n v="0"/>
    <n v="2.0333333000000001E-3"/>
    <n v="0"/>
    <n v="53.51"/>
  </r>
  <r>
    <s v="382000 Meter Installations-MGE"/>
    <s v="20801050373"/>
    <s v="003930"/>
    <x v="1"/>
    <x v="315"/>
    <x v="80"/>
    <x v="24"/>
    <s v="Addition"/>
    <x v="0"/>
    <n v="1343.76"/>
    <n v="0"/>
    <n v="2.0333333000000001E-3"/>
    <n v="0"/>
    <n v="32.79"/>
  </r>
  <r>
    <s v="382000 Meter Installations-MGE"/>
    <s v="20801050373"/>
    <s v="003930"/>
    <x v="1"/>
    <x v="315"/>
    <x v="80"/>
    <x v="24"/>
    <s v="Addition"/>
    <x v="1"/>
    <n v="2397.15"/>
    <n v="0"/>
    <n v="2.0333333000000001E-3"/>
    <n v="0"/>
    <n v="58.49"/>
  </r>
  <r>
    <s v="382000 Meter Installations-MGE"/>
    <s v="20801050373"/>
    <s v="003930"/>
    <x v="1"/>
    <x v="315"/>
    <x v="80"/>
    <x v="24"/>
    <s v="Addition"/>
    <x v="2"/>
    <n v="-65.48"/>
    <n v="0"/>
    <n v="2.0333333000000001E-3"/>
    <n v="0"/>
    <n v="-1.6"/>
  </r>
  <r>
    <s v="382000 Meter Installations-MGE"/>
    <s v="20801050373"/>
    <s v="003930"/>
    <x v="1"/>
    <x v="315"/>
    <x v="80"/>
    <x v="24"/>
    <s v="Addition"/>
    <x v="3"/>
    <n v="-207.19"/>
    <n v="0"/>
    <n v="2.0333333000000001E-3"/>
    <n v="0"/>
    <n v="-5.0599999999999996"/>
  </r>
  <r>
    <s v="382000 Meter Installations-MGE"/>
    <s v="20901050373"/>
    <s v="003931"/>
    <x v="1"/>
    <x v="315"/>
    <x v="81"/>
    <x v="24"/>
    <s v="Addition"/>
    <x v="0"/>
    <n v="34137.56"/>
    <n v="0"/>
    <n v="2.0333333000000001E-3"/>
    <n v="0"/>
    <n v="832.96"/>
  </r>
  <r>
    <s v="382000 Meter Installations-MGE"/>
    <s v="20901050373"/>
    <s v="003931"/>
    <x v="1"/>
    <x v="315"/>
    <x v="81"/>
    <x v="24"/>
    <s v="Addition"/>
    <x v="1"/>
    <n v="26051.41"/>
    <n v="0"/>
    <n v="2.0333333000000001E-3"/>
    <n v="0"/>
    <n v="635.65"/>
  </r>
  <r>
    <s v="382000 Meter Installations-MGE"/>
    <s v="20901050373"/>
    <s v="003931"/>
    <x v="1"/>
    <x v="315"/>
    <x v="81"/>
    <x v="24"/>
    <s v="Addition"/>
    <x v="2"/>
    <n v="12942.18"/>
    <n v="0"/>
    <n v="2.0333333000000001E-3"/>
    <n v="0"/>
    <n v="315.79000000000002"/>
  </r>
  <r>
    <s v="382000 Meter Installations-MGE"/>
    <s v="20901050373"/>
    <s v="003931"/>
    <x v="1"/>
    <x v="315"/>
    <x v="81"/>
    <x v="24"/>
    <s v="Addition"/>
    <x v="3"/>
    <n v="24376.35"/>
    <n v="0"/>
    <n v="2.0333333000000001E-3"/>
    <n v="0"/>
    <n v="594.78"/>
  </r>
  <r>
    <s v="382000 Meter Installations-MGE"/>
    <s v="20401050373"/>
    <s v="003974"/>
    <x v="1"/>
    <x v="316"/>
    <x v="82"/>
    <x v="24"/>
    <s v="Addition"/>
    <x v="0"/>
    <n v="34733.839999999997"/>
    <n v="0"/>
    <n v="2.0333333000000001E-3"/>
    <n v="0"/>
    <n v="847.51"/>
  </r>
  <r>
    <s v="382000 Meter Installations-MGE"/>
    <s v="20401050373"/>
    <s v="003974"/>
    <x v="1"/>
    <x v="316"/>
    <x v="82"/>
    <x v="24"/>
    <s v="Addition"/>
    <x v="1"/>
    <n v="8169.02"/>
    <n v="0"/>
    <n v="2.0333333000000001E-3"/>
    <n v="0"/>
    <n v="199.32"/>
  </r>
  <r>
    <s v="382000 Meter Installations-MGE"/>
    <s v="20401050373"/>
    <s v="003974"/>
    <x v="1"/>
    <x v="316"/>
    <x v="82"/>
    <x v="24"/>
    <s v="Addition"/>
    <x v="2"/>
    <n v="7279.43"/>
    <n v="0"/>
    <n v="2.0333333000000001E-3"/>
    <n v="0"/>
    <n v="177.62"/>
  </r>
  <r>
    <s v="382000 Meter Installations-MGE"/>
    <s v="20401050373"/>
    <s v="003974"/>
    <x v="1"/>
    <x v="316"/>
    <x v="82"/>
    <x v="24"/>
    <s v="Addition"/>
    <x v="3"/>
    <n v="23241.21"/>
    <n v="0"/>
    <n v="2.0333333000000001E-3"/>
    <n v="0"/>
    <n v="567.09"/>
  </r>
  <r>
    <s v="382000 Meter Installations-MGE"/>
    <s v="20801050363"/>
    <s v="003980"/>
    <x v="1"/>
    <x v="314"/>
    <x v="83"/>
    <x v="24"/>
    <s v="Addition"/>
    <x v="0"/>
    <n v="-4.0199999999999996"/>
    <n v="0"/>
    <n v="2.0333333000000001E-3"/>
    <n v="0"/>
    <n v="-0.1"/>
  </r>
  <r>
    <s v="382000 Meter Installations-MGE"/>
    <s v="20401050363"/>
    <s v="004282"/>
    <x v="1"/>
    <x v="317"/>
    <x v="84"/>
    <x v="24"/>
    <s v="Addition"/>
    <x v="0"/>
    <n v="14022.68"/>
    <n v="0"/>
    <n v="2.0333333000000001E-3"/>
    <n v="0"/>
    <n v="342.15"/>
  </r>
  <r>
    <s v="382000 Meter Installations-MGE"/>
    <s v="20401050363"/>
    <s v="004282"/>
    <x v="1"/>
    <x v="317"/>
    <x v="84"/>
    <x v="24"/>
    <s v="Addition"/>
    <x v="1"/>
    <n v="18008.71"/>
    <n v="0"/>
    <n v="2.0333333000000001E-3"/>
    <n v="0"/>
    <n v="439.41"/>
  </r>
  <r>
    <s v="382000 Meter Installations-MGE"/>
    <s v="20401050363"/>
    <s v="004282"/>
    <x v="1"/>
    <x v="317"/>
    <x v="84"/>
    <x v="24"/>
    <s v="Addition"/>
    <x v="2"/>
    <n v="13521.65"/>
    <n v="0"/>
    <n v="2.0333333000000001E-3"/>
    <n v="0"/>
    <n v="329.93"/>
  </r>
  <r>
    <s v="382000 Meter Installations-MGE"/>
    <s v="20401050363"/>
    <s v="004282"/>
    <x v="1"/>
    <x v="317"/>
    <x v="84"/>
    <x v="24"/>
    <s v="Addition"/>
    <x v="3"/>
    <n v="11008.76"/>
    <n v="0"/>
    <n v="2.0333333000000001E-3"/>
    <n v="0"/>
    <n v="268.61"/>
  </r>
  <r>
    <s v="382000 Meter Installations-MGE"/>
    <s v="21001050363"/>
    <s v="004408"/>
    <x v="1"/>
    <x v="314"/>
    <x v="85"/>
    <x v="24"/>
    <s v="Addition"/>
    <x v="0"/>
    <n v="-5.08"/>
    <n v="0"/>
    <n v="2.0333333000000001E-3"/>
    <n v="0"/>
    <n v="-0.12"/>
  </r>
  <r>
    <s v="382000 Meter Installations-MGE"/>
    <s v="20501050363"/>
    <s v="004498"/>
    <x v="1"/>
    <x v="314"/>
    <x v="86"/>
    <x v="24"/>
    <s v="Addition"/>
    <x v="0"/>
    <n v="453.16"/>
    <n v="0"/>
    <n v="2.0333333000000001E-3"/>
    <n v="0"/>
    <n v="11.06"/>
  </r>
  <r>
    <s v="382000 Meter Installations-MGE"/>
    <s v="20501050363"/>
    <s v="004498"/>
    <x v="1"/>
    <x v="314"/>
    <x v="86"/>
    <x v="24"/>
    <s v="Addition"/>
    <x v="1"/>
    <n v="434.13"/>
    <n v="0"/>
    <n v="2.0333333000000001E-3"/>
    <n v="0"/>
    <n v="10.59"/>
  </r>
  <r>
    <s v="382000 Meter Installations-MGE"/>
    <s v="20501050363"/>
    <s v="004498"/>
    <x v="1"/>
    <x v="314"/>
    <x v="86"/>
    <x v="24"/>
    <s v="Addition"/>
    <x v="2"/>
    <n v="425.66"/>
    <n v="0"/>
    <n v="2.0333333000000001E-3"/>
    <n v="0"/>
    <n v="10.39"/>
  </r>
  <r>
    <s v="382000 Meter Installations-MGE"/>
    <s v="20501050363"/>
    <s v="004498"/>
    <x v="1"/>
    <x v="314"/>
    <x v="86"/>
    <x v="24"/>
    <s v="Addition"/>
    <x v="3"/>
    <n v="332.2"/>
    <n v="0"/>
    <n v="2.0333333000000001E-3"/>
    <n v="0"/>
    <n v="8.11"/>
  </r>
  <r>
    <s v="382000 Meter Installations-MGE"/>
    <s v="20501050373"/>
    <s v="004602"/>
    <x v="1"/>
    <x v="315"/>
    <x v="87"/>
    <x v="24"/>
    <s v="Addition"/>
    <x v="0"/>
    <n v="13225.13"/>
    <n v="0"/>
    <n v="2.0333333000000001E-3"/>
    <n v="0"/>
    <n v="322.69"/>
  </r>
  <r>
    <s v="382000 Meter Installations-MGE"/>
    <s v="20501050373"/>
    <s v="004602"/>
    <x v="1"/>
    <x v="315"/>
    <x v="87"/>
    <x v="24"/>
    <s v="Addition"/>
    <x v="1"/>
    <n v="4029.73"/>
    <n v="0"/>
    <n v="2.0333333000000001E-3"/>
    <n v="0"/>
    <n v="98.33"/>
  </r>
  <r>
    <s v="382000 Meter Installations-MGE"/>
    <s v="20501050373"/>
    <s v="004602"/>
    <x v="1"/>
    <x v="315"/>
    <x v="87"/>
    <x v="24"/>
    <s v="Addition"/>
    <x v="2"/>
    <n v="4.0199999999999996"/>
    <n v="0"/>
    <n v="2.0333333000000001E-3"/>
    <n v="0"/>
    <n v="0.1"/>
  </r>
  <r>
    <s v="382000 Meter Installations-MGE"/>
    <s v="20501050373"/>
    <s v="004602"/>
    <x v="1"/>
    <x v="315"/>
    <x v="87"/>
    <x v="24"/>
    <s v="Addition"/>
    <x v="3"/>
    <n v="-275.81"/>
    <n v="0"/>
    <n v="2.0333333000000001E-3"/>
    <n v="0"/>
    <n v="-6.7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F49" firstHeaderRow="1" firstDataRow="2" firstDataCol="1" rowPageCount="1" colPageCount="1"/>
  <pivotFields count="14">
    <pivotField showAll="0"/>
    <pivotField showAll="0"/>
    <pivotField showAll="0"/>
    <pivotField axis="axisPage" multipleItemSelectionAllowed="1" showAll="0" defaultSubtotal="0">
      <items count="2">
        <item x="1"/>
        <item h="1" x="0"/>
      </items>
    </pivotField>
    <pivotField showAll="0"/>
    <pivotField axis="axisRow" showAll="0">
      <items count="89">
        <item x="10"/>
        <item x="27"/>
        <item x="16"/>
        <item x="33"/>
        <item x="54"/>
        <item x="48"/>
        <item x="65"/>
        <item x="35"/>
        <item x="38"/>
        <item x="3"/>
        <item x="67"/>
        <item x="45"/>
        <item x="73"/>
        <item x="34"/>
        <item x="79"/>
        <item x="42"/>
        <item x="85"/>
        <item x="26"/>
        <item x="15"/>
        <item x="31"/>
        <item x="63"/>
        <item x="62"/>
        <item x="81"/>
        <item x="52"/>
        <item x="82"/>
        <item x="8"/>
        <item x="39"/>
        <item x="46"/>
        <item x="4"/>
        <item x="21"/>
        <item x="14"/>
        <item x="59"/>
        <item x="11"/>
        <item x="43"/>
        <item x="60"/>
        <item x="69"/>
        <item x="13"/>
        <item x="30"/>
        <item x="78"/>
        <item x="37"/>
        <item x="29"/>
        <item x="17"/>
        <item x="1"/>
        <item x="12"/>
        <item x="84"/>
        <item x="50"/>
        <item x="49"/>
        <item x="71"/>
        <item x="2"/>
        <item x="57"/>
        <item x="75"/>
        <item x="86"/>
        <item x="24"/>
        <item x="22"/>
        <item x="23"/>
        <item x="9"/>
        <item x="55"/>
        <item x="51"/>
        <item x="44"/>
        <item x="74"/>
        <item x="0"/>
        <item x="58"/>
        <item x="20"/>
        <item x="40"/>
        <item x="32"/>
        <item x="53"/>
        <item x="87"/>
        <item x="61"/>
        <item x="68"/>
        <item x="77"/>
        <item x="6"/>
        <item x="18"/>
        <item x="28"/>
        <item x="19"/>
        <item x="56"/>
        <item x="72"/>
        <item x="41"/>
        <item x="80"/>
        <item x="25"/>
        <item x="64"/>
        <item x="5"/>
        <item x="7"/>
        <item x="47"/>
        <item x="83"/>
        <item x="66"/>
        <item x="70"/>
        <item x="36"/>
        <item x="76"/>
        <item t="default"/>
      </items>
    </pivotField>
    <pivotField showAll="0">
      <items count="26">
        <item x="14"/>
        <item x="13"/>
        <item x="15"/>
        <item x="23"/>
        <item x="7"/>
        <item x="20"/>
        <item x="16"/>
        <item x="0"/>
        <item x="9"/>
        <item x="18"/>
        <item x="1"/>
        <item x="11"/>
        <item x="19"/>
        <item x="22"/>
        <item x="21"/>
        <item x="5"/>
        <item x="3"/>
        <item x="12"/>
        <item x="6"/>
        <item x="17"/>
        <item x="24"/>
        <item x="4"/>
        <item x="10"/>
        <item x="2"/>
        <item x="8"/>
        <item t="default"/>
      </items>
    </pivotField>
    <pivotField showAll="0"/>
    <pivotField axis="axisCol" showAll="0">
      <items count="5">
        <item x="0"/>
        <item x="1"/>
        <item x="2"/>
        <item x="3"/>
        <item t="default"/>
      </items>
    </pivotField>
    <pivotField dataField="1" numFmtId="43" showAll="0"/>
    <pivotField showAll="0"/>
    <pivotField numFmtId="164" showAll="0"/>
    <pivotField numFmtId="43" showAll="0"/>
    <pivotField numFmtId="43" showAll="0"/>
  </pivotFields>
  <rowFields count="1">
    <field x="5"/>
  </rowFields>
  <rowItems count="45">
    <i>
      <x/>
    </i>
    <i>
      <x v="1"/>
    </i>
    <i>
      <x v="2"/>
    </i>
    <i>
      <x v="3"/>
    </i>
    <i>
      <x v="11"/>
    </i>
    <i>
      <x v="13"/>
    </i>
    <i>
      <x v="14"/>
    </i>
    <i>
      <x v="15"/>
    </i>
    <i>
      <x v="16"/>
    </i>
    <i>
      <x v="17"/>
    </i>
    <i>
      <x v="18"/>
    </i>
    <i>
      <x v="20"/>
    </i>
    <i>
      <x v="22"/>
    </i>
    <i>
      <x v="23"/>
    </i>
    <i>
      <x v="24"/>
    </i>
    <i>
      <x v="30"/>
    </i>
    <i>
      <x v="31"/>
    </i>
    <i>
      <x v="32"/>
    </i>
    <i>
      <x v="33"/>
    </i>
    <i>
      <x v="34"/>
    </i>
    <i>
      <x v="35"/>
    </i>
    <i>
      <x v="36"/>
    </i>
    <i>
      <x v="40"/>
    </i>
    <i>
      <x v="43"/>
    </i>
    <i>
      <x v="44"/>
    </i>
    <i>
      <x v="45"/>
    </i>
    <i>
      <x v="47"/>
    </i>
    <i>
      <x v="49"/>
    </i>
    <i>
      <x v="51"/>
    </i>
    <i>
      <x v="57"/>
    </i>
    <i>
      <x v="58"/>
    </i>
    <i>
      <x v="61"/>
    </i>
    <i>
      <x v="64"/>
    </i>
    <i>
      <x v="66"/>
    </i>
    <i>
      <x v="68"/>
    </i>
    <i>
      <x v="72"/>
    </i>
    <i>
      <x v="74"/>
    </i>
    <i>
      <x v="75"/>
    </i>
    <i>
      <x v="76"/>
    </i>
    <i>
      <x v="77"/>
    </i>
    <i>
      <x v="78"/>
    </i>
    <i>
      <x v="79"/>
    </i>
    <i>
      <x v="83"/>
    </i>
    <i>
      <x v="85"/>
    </i>
    <i t="grand">
      <x/>
    </i>
  </rowItems>
  <colFields count="1">
    <field x="8"/>
  </colFields>
  <colItems count="5">
    <i>
      <x/>
    </i>
    <i>
      <x v="1"/>
    </i>
    <i>
      <x v="2"/>
    </i>
    <i>
      <x v="3"/>
    </i>
    <i t="grand">
      <x/>
    </i>
  </colItems>
  <pageFields count="1">
    <pageField fld="3" hier="-1"/>
  </pageFields>
  <dataFields count="1">
    <dataField name="Sum of Addition Amount" fld="9" baseField="0" baseItem="0" numFmtId="167"/>
  </dataFields>
  <formats count="3">
    <format dxfId="2">
      <pivotArea collapsedLevelsAreSubtotals="1" fieldPosition="0">
        <references count="2">
          <reference field="3" count="1" selected="0">
            <x v="0"/>
          </reference>
          <reference field="5" count="43">
            <x v="0"/>
            <x v="1"/>
            <x v="2"/>
            <x v="3"/>
            <x v="11"/>
            <x v="13"/>
            <x v="14"/>
            <x v="15"/>
            <x v="16"/>
            <x v="17"/>
            <x v="18"/>
            <x v="20"/>
            <x v="22"/>
            <x v="23"/>
            <x v="24"/>
            <x v="30"/>
            <x v="31"/>
            <x v="32"/>
            <x v="33"/>
            <x v="34"/>
            <x v="35"/>
            <x v="36"/>
            <x v="40"/>
            <x v="43"/>
            <x v="44"/>
            <x v="45"/>
            <x v="47"/>
            <x v="49"/>
            <x v="51"/>
            <x v="57"/>
            <x v="58"/>
            <x v="61"/>
            <x v="64"/>
            <x v="66"/>
            <x v="68"/>
            <x v="72"/>
            <x v="74"/>
            <x v="75"/>
            <x v="76"/>
            <x v="77"/>
            <x v="78"/>
            <x v="79"/>
            <x v="83"/>
          </reference>
        </references>
      </pivotArea>
    </format>
    <format dxfId="1">
      <pivotArea collapsedLevelsAreSubtotals="1" fieldPosition="0">
        <references count="2">
          <reference field="3" count="1" selected="0">
            <x v="0"/>
          </reference>
          <reference field="5" count="1">
            <x v="85"/>
          </reference>
        </references>
      </pivotArea>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9.bin"/><Relationship Id="rId1" Type="http://schemas.openxmlformats.org/officeDocument/2006/relationships/hyperlink" Target="http://stc.mo.gov/definitions/" TargetMode="External"/><Relationship Id="rId4" Type="http://schemas.openxmlformats.org/officeDocument/2006/relationships/comments" Target="../comments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R627"/>
  <sheetViews>
    <sheetView tabSelected="1" topLeftCell="E1" zoomScale="85" zoomScaleNormal="85" workbookViewId="0">
      <pane ySplit="4" topLeftCell="A555" activePane="bottomLeft" state="frozen"/>
      <selection pane="bottomLeft" activeCell="J627" sqref="J627"/>
    </sheetView>
  </sheetViews>
  <sheetFormatPr defaultRowHeight="15"/>
  <cols>
    <col min="1" max="1" width="25.5703125" style="3" customWidth="1"/>
    <col min="2" max="2" width="16.42578125" style="2" customWidth="1"/>
    <col min="3" max="3" width="13.140625" style="2" customWidth="1"/>
    <col min="4" max="4" width="40.85546875" style="3" customWidth="1"/>
    <col min="5" max="5" width="9.42578125" style="2" customWidth="1"/>
    <col min="6" max="6" width="34.85546875" style="3" customWidth="1"/>
    <col min="7" max="7" width="12.42578125" style="2" customWidth="1"/>
    <col min="8" max="8" width="14.5703125" style="2" customWidth="1"/>
    <col min="9" max="9" width="9.28515625" style="2" customWidth="1"/>
    <col min="10" max="10" width="14.7109375" style="6" customWidth="1"/>
    <col min="11" max="11" width="10.140625" style="3" customWidth="1"/>
    <col min="12" max="12" width="14.7109375" style="3" customWidth="1"/>
    <col min="13" max="13" width="15.5703125" style="3" customWidth="1"/>
    <col min="14" max="14" width="16" style="3" customWidth="1"/>
    <col min="15" max="15" width="24.5703125" style="3" customWidth="1"/>
    <col min="16" max="16384" width="9.140625" style="3"/>
  </cols>
  <sheetData>
    <row r="1" spans="1:18">
      <c r="A1" s="1" t="s">
        <v>0</v>
      </c>
      <c r="E1" s="4" t="s">
        <v>1</v>
      </c>
      <c r="F1" s="5"/>
      <c r="L1" s="7"/>
    </row>
    <row r="2" spans="1:18">
      <c r="A2" s="1" t="s">
        <v>2</v>
      </c>
    </row>
    <row r="4" spans="1:18" s="13" customFormat="1" ht="35.25" customHeight="1">
      <c r="A4" s="8" t="s">
        <v>3</v>
      </c>
      <c r="B4" s="9" t="s">
        <v>4</v>
      </c>
      <c r="C4" s="9" t="s">
        <v>5</v>
      </c>
      <c r="D4" s="8" t="s">
        <v>6</v>
      </c>
      <c r="E4" s="9" t="s">
        <v>7</v>
      </c>
      <c r="F4" s="8" t="s">
        <v>8</v>
      </c>
      <c r="G4" s="10" t="s">
        <v>9</v>
      </c>
      <c r="H4" s="10" t="s">
        <v>1529</v>
      </c>
      <c r="I4" s="9" t="s">
        <v>10</v>
      </c>
      <c r="J4" s="11" t="s">
        <v>11</v>
      </c>
      <c r="K4" s="12" t="s">
        <v>12</v>
      </c>
      <c r="L4" s="12" t="s">
        <v>13</v>
      </c>
      <c r="M4" s="12" t="s">
        <v>14</v>
      </c>
      <c r="N4" s="12" t="s">
        <v>15</v>
      </c>
      <c r="O4" s="12" t="s">
        <v>16</v>
      </c>
    </row>
    <row r="5" spans="1:18">
      <c r="A5" s="14" t="s">
        <v>17</v>
      </c>
      <c r="B5" s="15" t="s">
        <v>18</v>
      </c>
      <c r="C5" s="15" t="s">
        <v>19</v>
      </c>
      <c r="D5" s="14" t="s">
        <v>20</v>
      </c>
      <c r="E5" s="15" t="s">
        <v>21</v>
      </c>
      <c r="F5" s="14" t="s">
        <v>22</v>
      </c>
      <c r="G5" s="15" t="s">
        <v>23</v>
      </c>
      <c r="H5" s="15" t="s">
        <v>1525</v>
      </c>
      <c r="I5" s="15">
        <v>201409</v>
      </c>
      <c r="J5" s="16">
        <v>-607.88</v>
      </c>
      <c r="K5" s="171">
        <f t="shared" ref="K5:K68" si="0">VLOOKUP(I5,$Q$7:$R$15,2)</f>
        <v>8</v>
      </c>
      <c r="L5" s="17">
        <v>1.4833299999999999E-3</v>
      </c>
      <c r="M5" s="16">
        <f t="shared" ref="M5:M68" si="1">ROUND(J5*K5*L5,2)</f>
        <v>-7.21</v>
      </c>
      <c r="N5" s="16">
        <f t="shared" ref="N5:N68" si="2">ROUND(J5*L5*12,2)</f>
        <v>-10.82</v>
      </c>
      <c r="O5" s="14"/>
    </row>
    <row r="6" spans="1:18">
      <c r="A6" s="14" t="s">
        <v>17</v>
      </c>
      <c r="B6" s="15" t="s">
        <v>24</v>
      </c>
      <c r="C6" s="15" t="s">
        <v>25</v>
      </c>
      <c r="D6" s="14" t="s">
        <v>26</v>
      </c>
      <c r="E6" s="15" t="s">
        <v>27</v>
      </c>
      <c r="F6" s="14" t="s">
        <v>28</v>
      </c>
      <c r="G6" s="15" t="s">
        <v>23</v>
      </c>
      <c r="H6" s="15" t="s">
        <v>1525</v>
      </c>
      <c r="I6" s="15">
        <v>201409</v>
      </c>
      <c r="J6" s="16">
        <v>2.6</v>
      </c>
      <c r="K6" s="171">
        <f t="shared" si="0"/>
        <v>8</v>
      </c>
      <c r="L6" s="17">
        <v>1.4833299999999999E-3</v>
      </c>
      <c r="M6" s="16">
        <f t="shared" si="1"/>
        <v>0.03</v>
      </c>
      <c r="N6" s="16">
        <f t="shared" si="2"/>
        <v>0.05</v>
      </c>
      <c r="O6" s="14"/>
      <c r="Q6" s="171" t="s">
        <v>1542</v>
      </c>
      <c r="R6" s="171" t="s">
        <v>12</v>
      </c>
    </row>
    <row r="7" spans="1:18">
      <c r="A7" s="14" t="s">
        <v>17</v>
      </c>
      <c r="B7" s="15" t="s">
        <v>29</v>
      </c>
      <c r="C7" s="15" t="s">
        <v>30</v>
      </c>
      <c r="D7" s="14" t="s">
        <v>31</v>
      </c>
      <c r="E7" s="15" t="s">
        <v>32</v>
      </c>
      <c r="F7" s="14" t="s">
        <v>22</v>
      </c>
      <c r="G7" s="15" t="s">
        <v>23</v>
      </c>
      <c r="H7" s="15" t="s">
        <v>1525</v>
      </c>
      <c r="I7" s="15">
        <v>201409</v>
      </c>
      <c r="J7" s="16">
        <v>-49.61</v>
      </c>
      <c r="K7" s="171">
        <f t="shared" si="0"/>
        <v>8</v>
      </c>
      <c r="L7" s="17">
        <v>1.4833299999999999E-3</v>
      </c>
      <c r="M7" s="16">
        <f t="shared" si="1"/>
        <v>-0.59</v>
      </c>
      <c r="N7" s="16">
        <f t="shared" si="2"/>
        <v>-0.88</v>
      </c>
      <c r="O7" s="14"/>
      <c r="Q7" s="172">
        <v>201409</v>
      </c>
      <c r="R7" s="171">
        <v>8</v>
      </c>
    </row>
    <row r="8" spans="1:18">
      <c r="A8" s="14" t="s">
        <v>17</v>
      </c>
      <c r="B8" s="15" t="s">
        <v>33</v>
      </c>
      <c r="C8" s="15" t="s">
        <v>34</v>
      </c>
      <c r="D8" s="14" t="s">
        <v>35</v>
      </c>
      <c r="E8" s="15" t="s">
        <v>36</v>
      </c>
      <c r="F8" s="14" t="s">
        <v>22</v>
      </c>
      <c r="G8" s="15" t="s">
        <v>23</v>
      </c>
      <c r="H8" s="15" t="s">
        <v>1525</v>
      </c>
      <c r="I8" s="15">
        <v>201409</v>
      </c>
      <c r="J8" s="16">
        <v>-133.36000000000001</v>
      </c>
      <c r="K8" s="171">
        <f t="shared" si="0"/>
        <v>8</v>
      </c>
      <c r="L8" s="17">
        <v>1.4833299999999999E-3</v>
      </c>
      <c r="M8" s="16">
        <f t="shared" si="1"/>
        <v>-1.58</v>
      </c>
      <c r="N8" s="16">
        <f t="shared" si="2"/>
        <v>-2.37</v>
      </c>
      <c r="O8" s="14"/>
      <c r="Q8" s="172">
        <v>201410</v>
      </c>
      <c r="R8" s="171">
        <v>7</v>
      </c>
    </row>
    <row r="9" spans="1:18">
      <c r="A9" s="14" t="s">
        <v>17</v>
      </c>
      <c r="B9" s="15" t="s">
        <v>37</v>
      </c>
      <c r="C9" s="15" t="s">
        <v>38</v>
      </c>
      <c r="D9" s="14" t="s">
        <v>39</v>
      </c>
      <c r="E9" s="15" t="s">
        <v>40</v>
      </c>
      <c r="F9" s="14" t="s">
        <v>41</v>
      </c>
      <c r="G9" s="15" t="s">
        <v>23</v>
      </c>
      <c r="H9" s="15" t="s">
        <v>1526</v>
      </c>
      <c r="I9" s="15">
        <v>201409</v>
      </c>
      <c r="J9" s="16">
        <v>10.42</v>
      </c>
      <c r="K9" s="171">
        <f t="shared" si="0"/>
        <v>8</v>
      </c>
      <c r="L9" s="17">
        <v>1.4833299999999999E-3</v>
      </c>
      <c r="M9" s="16">
        <f t="shared" si="1"/>
        <v>0.12</v>
      </c>
      <c r="N9" s="16">
        <f t="shared" si="2"/>
        <v>0.19</v>
      </c>
      <c r="O9" s="14"/>
      <c r="Q9" s="172">
        <v>201411</v>
      </c>
      <c r="R9" s="171">
        <v>6</v>
      </c>
    </row>
    <row r="10" spans="1:18">
      <c r="A10" s="14" t="s">
        <v>17</v>
      </c>
      <c r="B10" s="15" t="s">
        <v>42</v>
      </c>
      <c r="C10" s="15" t="s">
        <v>43</v>
      </c>
      <c r="D10" s="14" t="s">
        <v>44</v>
      </c>
      <c r="E10" s="15" t="s">
        <v>45</v>
      </c>
      <c r="F10" s="14" t="s">
        <v>22</v>
      </c>
      <c r="G10" s="15" t="s">
        <v>23</v>
      </c>
      <c r="H10" s="15" t="s">
        <v>1525</v>
      </c>
      <c r="I10" s="15">
        <v>201409</v>
      </c>
      <c r="J10" s="16">
        <v>7.45</v>
      </c>
      <c r="K10" s="171">
        <f t="shared" si="0"/>
        <v>8</v>
      </c>
      <c r="L10" s="17">
        <v>1.4833299999999999E-3</v>
      </c>
      <c r="M10" s="16">
        <f t="shared" si="1"/>
        <v>0.09</v>
      </c>
      <c r="N10" s="16">
        <f t="shared" si="2"/>
        <v>0.13</v>
      </c>
      <c r="O10" s="14"/>
      <c r="Q10" s="172">
        <v>201412</v>
      </c>
      <c r="R10" s="171">
        <v>5</v>
      </c>
    </row>
    <row r="11" spans="1:18">
      <c r="A11" s="14" t="s">
        <v>17</v>
      </c>
      <c r="B11" s="15" t="s">
        <v>46</v>
      </c>
      <c r="C11" s="15" t="s">
        <v>47</v>
      </c>
      <c r="D11" s="14" t="s">
        <v>48</v>
      </c>
      <c r="E11" s="15" t="s">
        <v>49</v>
      </c>
      <c r="F11" s="14" t="s">
        <v>22</v>
      </c>
      <c r="G11" s="15" t="s">
        <v>23</v>
      </c>
      <c r="H11" s="15" t="s">
        <v>1525</v>
      </c>
      <c r="I11" s="15">
        <v>201409</v>
      </c>
      <c r="J11" s="16">
        <v>20.05</v>
      </c>
      <c r="K11" s="171">
        <f t="shared" si="0"/>
        <v>8</v>
      </c>
      <c r="L11" s="17">
        <v>1.4833299999999999E-3</v>
      </c>
      <c r="M11" s="16">
        <f t="shared" si="1"/>
        <v>0.24</v>
      </c>
      <c r="N11" s="16">
        <f t="shared" si="2"/>
        <v>0.36</v>
      </c>
      <c r="O11" s="14"/>
      <c r="Q11" s="172">
        <v>201501</v>
      </c>
      <c r="R11" s="171">
        <v>4</v>
      </c>
    </row>
    <row r="12" spans="1:18">
      <c r="A12" s="14" t="s">
        <v>17</v>
      </c>
      <c r="B12" s="15" t="s">
        <v>50</v>
      </c>
      <c r="C12" s="15" t="s">
        <v>51</v>
      </c>
      <c r="D12" s="14" t="s">
        <v>52</v>
      </c>
      <c r="E12" s="15" t="s">
        <v>53</v>
      </c>
      <c r="F12" s="14" t="s">
        <v>41</v>
      </c>
      <c r="G12" s="15" t="s">
        <v>23</v>
      </c>
      <c r="H12" s="15" t="s">
        <v>1526</v>
      </c>
      <c r="I12" s="15">
        <v>201409</v>
      </c>
      <c r="J12" s="16">
        <v>24425.73</v>
      </c>
      <c r="K12" s="171">
        <f t="shared" si="0"/>
        <v>8</v>
      </c>
      <c r="L12" s="17">
        <v>1.4833299999999999E-3</v>
      </c>
      <c r="M12" s="16">
        <f t="shared" si="1"/>
        <v>289.85000000000002</v>
      </c>
      <c r="N12" s="16">
        <f t="shared" si="2"/>
        <v>434.78</v>
      </c>
      <c r="O12" s="14"/>
      <c r="Q12" s="172">
        <v>201502</v>
      </c>
      <c r="R12" s="171">
        <v>3</v>
      </c>
    </row>
    <row r="13" spans="1:18">
      <c r="A13" s="14" t="s">
        <v>54</v>
      </c>
      <c r="B13" s="15" t="s">
        <v>59</v>
      </c>
      <c r="C13" s="15" t="s">
        <v>60</v>
      </c>
      <c r="D13" s="14" t="s">
        <v>61</v>
      </c>
      <c r="E13" s="15" t="s">
        <v>62</v>
      </c>
      <c r="F13" s="14" t="s">
        <v>22</v>
      </c>
      <c r="G13" s="15" t="s">
        <v>23</v>
      </c>
      <c r="H13" s="15" t="s">
        <v>1525</v>
      </c>
      <c r="I13" s="15">
        <v>201409</v>
      </c>
      <c r="J13" s="16">
        <v>9975.01</v>
      </c>
      <c r="K13" s="171">
        <f t="shared" si="0"/>
        <v>8</v>
      </c>
      <c r="L13" s="17">
        <v>1.4833299999999999E-3</v>
      </c>
      <c r="M13" s="16">
        <f t="shared" si="1"/>
        <v>118.37</v>
      </c>
      <c r="N13" s="16">
        <f t="shared" si="2"/>
        <v>177.55</v>
      </c>
      <c r="O13" s="14"/>
      <c r="Q13" s="172">
        <v>201503</v>
      </c>
      <c r="R13" s="171">
        <v>2</v>
      </c>
    </row>
    <row r="14" spans="1:18">
      <c r="A14" s="14" t="s">
        <v>17</v>
      </c>
      <c r="B14" s="15" t="s">
        <v>63</v>
      </c>
      <c r="C14" s="15" t="s">
        <v>64</v>
      </c>
      <c r="D14" s="14" t="s">
        <v>65</v>
      </c>
      <c r="E14" s="15" t="s">
        <v>32</v>
      </c>
      <c r="F14" s="14" t="s">
        <v>22</v>
      </c>
      <c r="G14" s="15" t="s">
        <v>23</v>
      </c>
      <c r="H14" s="15" t="s">
        <v>1525</v>
      </c>
      <c r="I14" s="15">
        <v>201409</v>
      </c>
      <c r="J14" s="16">
        <v>3.2</v>
      </c>
      <c r="K14" s="171">
        <f t="shared" si="0"/>
        <v>8</v>
      </c>
      <c r="L14" s="17">
        <v>1.4833299999999999E-3</v>
      </c>
      <c r="M14" s="16">
        <f t="shared" si="1"/>
        <v>0.04</v>
      </c>
      <c r="N14" s="16">
        <f t="shared" si="2"/>
        <v>0.06</v>
      </c>
      <c r="O14" s="14"/>
      <c r="Q14" s="172">
        <v>201504</v>
      </c>
      <c r="R14" s="171">
        <v>1</v>
      </c>
    </row>
    <row r="15" spans="1:18">
      <c r="A15" s="14" t="s">
        <v>66</v>
      </c>
      <c r="B15" s="15" t="s">
        <v>67</v>
      </c>
      <c r="C15" s="15" t="s">
        <v>68</v>
      </c>
      <c r="D15" s="14" t="s">
        <v>69</v>
      </c>
      <c r="E15" s="15" t="s">
        <v>70</v>
      </c>
      <c r="F15" s="14" t="s">
        <v>71</v>
      </c>
      <c r="G15" s="15" t="s">
        <v>23</v>
      </c>
      <c r="H15" s="15" t="s">
        <v>1530</v>
      </c>
      <c r="I15" s="15">
        <v>201409</v>
      </c>
      <c r="J15" s="16">
        <v>33.67</v>
      </c>
      <c r="K15" s="171">
        <f t="shared" si="0"/>
        <v>8</v>
      </c>
      <c r="L15" s="17">
        <v>2.23333E-3</v>
      </c>
      <c r="M15" s="16">
        <f t="shared" si="1"/>
        <v>0.6</v>
      </c>
      <c r="N15" s="16">
        <f t="shared" si="2"/>
        <v>0.9</v>
      </c>
      <c r="O15" s="14"/>
      <c r="Q15" s="172">
        <v>201505</v>
      </c>
      <c r="R15" s="171">
        <v>0</v>
      </c>
    </row>
    <row r="16" spans="1:18">
      <c r="A16" s="14" t="s">
        <v>66</v>
      </c>
      <c r="B16" s="15" t="s">
        <v>72</v>
      </c>
      <c r="C16" s="15" t="s">
        <v>73</v>
      </c>
      <c r="D16" s="14" t="s">
        <v>74</v>
      </c>
      <c r="E16" s="15" t="s">
        <v>75</v>
      </c>
      <c r="F16" s="14" t="s">
        <v>71</v>
      </c>
      <c r="G16" s="15" t="s">
        <v>23</v>
      </c>
      <c r="H16" s="15" t="s">
        <v>1530</v>
      </c>
      <c r="I16" s="15">
        <v>201409</v>
      </c>
      <c r="J16" s="16">
        <v>29889.97</v>
      </c>
      <c r="K16" s="171">
        <f t="shared" si="0"/>
        <v>8</v>
      </c>
      <c r="L16" s="17">
        <v>2.23333E-3</v>
      </c>
      <c r="M16" s="16">
        <f t="shared" si="1"/>
        <v>534.03</v>
      </c>
      <c r="N16" s="16">
        <f t="shared" si="2"/>
        <v>801.05</v>
      </c>
      <c r="O16" s="14"/>
      <c r="Q16" s="172"/>
      <c r="R16" s="171"/>
    </row>
    <row r="17" spans="1:15">
      <c r="A17" s="14" t="s">
        <v>66</v>
      </c>
      <c r="B17" s="15" t="s">
        <v>76</v>
      </c>
      <c r="C17" s="15" t="s">
        <v>77</v>
      </c>
      <c r="D17" s="14" t="s">
        <v>78</v>
      </c>
      <c r="E17" s="15" t="s">
        <v>79</v>
      </c>
      <c r="F17" s="14" t="s">
        <v>80</v>
      </c>
      <c r="G17" s="15" t="s">
        <v>23</v>
      </c>
      <c r="H17" s="15" t="s">
        <v>1531</v>
      </c>
      <c r="I17" s="15">
        <v>201409</v>
      </c>
      <c r="J17" s="16">
        <v>5719.2</v>
      </c>
      <c r="K17" s="171">
        <f t="shared" si="0"/>
        <v>8</v>
      </c>
      <c r="L17" s="17">
        <v>2.23333E-3</v>
      </c>
      <c r="M17" s="16">
        <f t="shared" si="1"/>
        <v>102.18</v>
      </c>
      <c r="N17" s="16">
        <f t="shared" si="2"/>
        <v>153.27000000000001</v>
      </c>
      <c r="O17" s="14"/>
    </row>
    <row r="18" spans="1:15">
      <c r="A18" s="14" t="s">
        <v>66</v>
      </c>
      <c r="B18" s="15" t="s">
        <v>81</v>
      </c>
      <c r="C18" s="15" t="s">
        <v>82</v>
      </c>
      <c r="D18" s="14" t="s">
        <v>83</v>
      </c>
      <c r="E18" s="15" t="s">
        <v>84</v>
      </c>
      <c r="F18" s="14" t="s">
        <v>85</v>
      </c>
      <c r="G18" s="15" t="s">
        <v>23</v>
      </c>
      <c r="H18" s="15" t="s">
        <v>1530</v>
      </c>
      <c r="I18" s="15">
        <v>201409</v>
      </c>
      <c r="J18" s="16">
        <v>152025.89000000001</v>
      </c>
      <c r="K18" s="171">
        <f t="shared" si="0"/>
        <v>8</v>
      </c>
      <c r="L18" s="17">
        <v>2.23333E-3</v>
      </c>
      <c r="M18" s="16">
        <f t="shared" si="1"/>
        <v>2716.19</v>
      </c>
      <c r="N18" s="16">
        <f t="shared" si="2"/>
        <v>4074.29</v>
      </c>
      <c r="O18" s="14"/>
    </row>
    <row r="19" spans="1:15">
      <c r="A19" s="14" t="s">
        <v>66</v>
      </c>
      <c r="B19" s="15" t="s">
        <v>86</v>
      </c>
      <c r="C19" s="15" t="s">
        <v>87</v>
      </c>
      <c r="D19" s="14" t="s">
        <v>88</v>
      </c>
      <c r="E19" s="15" t="s">
        <v>89</v>
      </c>
      <c r="F19" s="14" t="s">
        <v>85</v>
      </c>
      <c r="G19" s="15" t="s">
        <v>23</v>
      </c>
      <c r="H19" s="15" t="s">
        <v>1530</v>
      </c>
      <c r="I19" s="15">
        <v>201409</v>
      </c>
      <c r="J19" s="16">
        <v>5005.29</v>
      </c>
      <c r="K19" s="171">
        <f t="shared" si="0"/>
        <v>8</v>
      </c>
      <c r="L19" s="17">
        <v>2.23333E-3</v>
      </c>
      <c r="M19" s="16">
        <f t="shared" si="1"/>
        <v>89.43</v>
      </c>
      <c r="N19" s="16">
        <f t="shared" si="2"/>
        <v>134.13999999999999</v>
      </c>
      <c r="O19" s="14"/>
    </row>
    <row r="20" spans="1:15">
      <c r="A20" s="14" t="s">
        <v>66</v>
      </c>
      <c r="B20" s="15" t="s">
        <v>90</v>
      </c>
      <c r="C20" s="15" t="s">
        <v>91</v>
      </c>
      <c r="D20" s="14" t="s">
        <v>78</v>
      </c>
      <c r="E20" s="15" t="s">
        <v>92</v>
      </c>
      <c r="F20" s="14" t="s">
        <v>80</v>
      </c>
      <c r="G20" s="15" t="s">
        <v>23</v>
      </c>
      <c r="H20" s="15" t="s">
        <v>1530</v>
      </c>
      <c r="I20" s="15">
        <v>201409</v>
      </c>
      <c r="J20" s="16">
        <v>26370.98</v>
      </c>
      <c r="K20" s="171">
        <f t="shared" si="0"/>
        <v>8</v>
      </c>
      <c r="L20" s="17">
        <v>2.23333E-3</v>
      </c>
      <c r="M20" s="16">
        <f t="shared" si="1"/>
        <v>471.16</v>
      </c>
      <c r="N20" s="16">
        <f t="shared" si="2"/>
        <v>706.74</v>
      </c>
      <c r="O20" s="14"/>
    </row>
    <row r="21" spans="1:15">
      <c r="A21" s="14" t="s">
        <v>66</v>
      </c>
      <c r="B21" s="15" t="s">
        <v>93</v>
      </c>
      <c r="C21" s="15" t="s">
        <v>94</v>
      </c>
      <c r="D21" s="14" t="s">
        <v>95</v>
      </c>
      <c r="E21" s="15" t="s">
        <v>96</v>
      </c>
      <c r="F21" s="14" t="s">
        <v>97</v>
      </c>
      <c r="G21" s="15" t="s">
        <v>23</v>
      </c>
      <c r="H21" s="15" t="s">
        <v>1530</v>
      </c>
      <c r="I21" s="15">
        <v>201409</v>
      </c>
      <c r="J21" s="16">
        <v>-596.15</v>
      </c>
      <c r="K21" s="171">
        <f t="shared" si="0"/>
        <v>8</v>
      </c>
      <c r="L21" s="17">
        <v>2.23333E-3</v>
      </c>
      <c r="M21" s="16">
        <f t="shared" si="1"/>
        <v>-10.65</v>
      </c>
      <c r="N21" s="16">
        <f t="shared" si="2"/>
        <v>-15.98</v>
      </c>
      <c r="O21" s="14"/>
    </row>
    <row r="22" spans="1:15">
      <c r="A22" s="14" t="s">
        <v>17</v>
      </c>
      <c r="B22" s="15" t="s">
        <v>98</v>
      </c>
      <c r="C22" s="15" t="s">
        <v>99</v>
      </c>
      <c r="D22" s="14" t="s">
        <v>100</v>
      </c>
      <c r="E22" s="15" t="s">
        <v>62</v>
      </c>
      <c r="F22" s="14" t="s">
        <v>22</v>
      </c>
      <c r="G22" s="15" t="s">
        <v>23</v>
      </c>
      <c r="H22" s="15" t="s">
        <v>1525</v>
      </c>
      <c r="I22" s="15">
        <v>201409</v>
      </c>
      <c r="J22" s="16">
        <v>0.32</v>
      </c>
      <c r="K22" s="171">
        <f t="shared" si="0"/>
        <v>8</v>
      </c>
      <c r="L22" s="17">
        <v>1.4833299999999999E-3</v>
      </c>
      <c r="M22" s="16">
        <f t="shared" si="1"/>
        <v>0</v>
      </c>
      <c r="N22" s="16">
        <f t="shared" si="2"/>
        <v>0.01</v>
      </c>
      <c r="O22" s="14"/>
    </row>
    <row r="23" spans="1:15">
      <c r="A23" s="14" t="s">
        <v>17</v>
      </c>
      <c r="B23" s="15" t="s">
        <v>101</v>
      </c>
      <c r="C23" s="15" t="s">
        <v>102</v>
      </c>
      <c r="D23" s="14" t="s">
        <v>103</v>
      </c>
      <c r="E23" s="15" t="s">
        <v>104</v>
      </c>
      <c r="F23" s="14" t="s">
        <v>41</v>
      </c>
      <c r="G23" s="15" t="s">
        <v>23</v>
      </c>
      <c r="H23" s="15" t="s">
        <v>1526</v>
      </c>
      <c r="I23" s="15">
        <v>201409</v>
      </c>
      <c r="J23" s="16">
        <v>-39.9</v>
      </c>
      <c r="K23" s="171">
        <f t="shared" si="0"/>
        <v>8</v>
      </c>
      <c r="L23" s="17">
        <v>1.4833299999999999E-3</v>
      </c>
      <c r="M23" s="16">
        <f t="shared" si="1"/>
        <v>-0.47</v>
      </c>
      <c r="N23" s="16">
        <f t="shared" si="2"/>
        <v>-0.71</v>
      </c>
      <c r="O23" s="14"/>
    </row>
    <row r="24" spans="1:15">
      <c r="A24" s="14" t="s">
        <v>17</v>
      </c>
      <c r="B24" s="15" t="s">
        <v>105</v>
      </c>
      <c r="C24" s="15" t="s">
        <v>106</v>
      </c>
      <c r="D24" s="14" t="s">
        <v>107</v>
      </c>
      <c r="E24" s="15" t="s">
        <v>108</v>
      </c>
      <c r="F24" s="14" t="s">
        <v>28</v>
      </c>
      <c r="G24" s="15" t="s">
        <v>23</v>
      </c>
      <c r="H24" s="15" t="s">
        <v>1525</v>
      </c>
      <c r="I24" s="15">
        <v>201409</v>
      </c>
      <c r="J24" s="16">
        <v>-10120.82</v>
      </c>
      <c r="K24" s="171">
        <f t="shared" si="0"/>
        <v>8</v>
      </c>
      <c r="L24" s="17">
        <v>1.4833299999999999E-3</v>
      </c>
      <c r="M24" s="16">
        <f t="shared" si="1"/>
        <v>-120.1</v>
      </c>
      <c r="N24" s="16">
        <f t="shared" si="2"/>
        <v>-180.15</v>
      </c>
      <c r="O24" s="14"/>
    </row>
    <row r="25" spans="1:15">
      <c r="A25" s="14" t="s">
        <v>17</v>
      </c>
      <c r="B25" s="15" t="s">
        <v>109</v>
      </c>
      <c r="C25" s="15" t="s">
        <v>110</v>
      </c>
      <c r="D25" s="14" t="s">
        <v>111</v>
      </c>
      <c r="E25" s="15" t="s">
        <v>112</v>
      </c>
      <c r="F25" s="14" t="s">
        <v>22</v>
      </c>
      <c r="G25" s="15" t="s">
        <v>23</v>
      </c>
      <c r="H25" s="15" t="s">
        <v>1525</v>
      </c>
      <c r="I25" s="15">
        <v>201409</v>
      </c>
      <c r="J25" s="16">
        <v>-30.63</v>
      </c>
      <c r="K25" s="171">
        <f t="shared" si="0"/>
        <v>8</v>
      </c>
      <c r="L25" s="17">
        <v>1.4833299999999999E-3</v>
      </c>
      <c r="M25" s="16">
        <f t="shared" si="1"/>
        <v>-0.36</v>
      </c>
      <c r="N25" s="16">
        <f t="shared" si="2"/>
        <v>-0.55000000000000004</v>
      </c>
      <c r="O25" s="14"/>
    </row>
    <row r="26" spans="1:15">
      <c r="A26" s="14" t="s">
        <v>17</v>
      </c>
      <c r="B26" s="15" t="s">
        <v>113</v>
      </c>
      <c r="C26" s="15" t="s">
        <v>114</v>
      </c>
      <c r="D26" s="14" t="s">
        <v>115</v>
      </c>
      <c r="E26" s="15" t="s">
        <v>58</v>
      </c>
      <c r="F26" s="14" t="s">
        <v>22</v>
      </c>
      <c r="G26" s="15" t="s">
        <v>23</v>
      </c>
      <c r="H26" s="15" t="s">
        <v>1525</v>
      </c>
      <c r="I26" s="15">
        <v>201409</v>
      </c>
      <c r="J26" s="16">
        <v>-170.7</v>
      </c>
      <c r="K26" s="171">
        <f t="shared" si="0"/>
        <v>8</v>
      </c>
      <c r="L26" s="17">
        <v>1.4833299999999999E-3</v>
      </c>
      <c r="M26" s="16">
        <f t="shared" si="1"/>
        <v>-2.0299999999999998</v>
      </c>
      <c r="N26" s="16">
        <f t="shared" si="2"/>
        <v>-3.04</v>
      </c>
      <c r="O26" s="14"/>
    </row>
    <row r="27" spans="1:15">
      <c r="A27" s="14" t="s">
        <v>17</v>
      </c>
      <c r="B27" s="15" t="s">
        <v>116</v>
      </c>
      <c r="C27" s="15" t="s">
        <v>117</v>
      </c>
      <c r="D27" s="14" t="s">
        <v>118</v>
      </c>
      <c r="E27" s="15" t="s">
        <v>27</v>
      </c>
      <c r="F27" s="14" t="s">
        <v>28</v>
      </c>
      <c r="G27" s="15" t="s">
        <v>23</v>
      </c>
      <c r="H27" s="15" t="s">
        <v>1525</v>
      </c>
      <c r="I27" s="15">
        <v>201409</v>
      </c>
      <c r="J27" s="16">
        <v>-586.59</v>
      </c>
      <c r="K27" s="171">
        <f t="shared" si="0"/>
        <v>8</v>
      </c>
      <c r="L27" s="17">
        <v>1.4833299999999999E-3</v>
      </c>
      <c r="M27" s="16">
        <f t="shared" si="1"/>
        <v>-6.96</v>
      </c>
      <c r="N27" s="16">
        <f t="shared" si="2"/>
        <v>-10.44</v>
      </c>
      <c r="O27" s="14"/>
    </row>
    <row r="28" spans="1:15">
      <c r="A28" s="14" t="s">
        <v>17</v>
      </c>
      <c r="B28" s="15" t="s">
        <v>119</v>
      </c>
      <c r="C28" s="15" t="s">
        <v>120</v>
      </c>
      <c r="D28" s="14" t="s">
        <v>121</v>
      </c>
      <c r="E28" s="15" t="s">
        <v>32</v>
      </c>
      <c r="F28" s="14" t="s">
        <v>22</v>
      </c>
      <c r="G28" s="15" t="s">
        <v>23</v>
      </c>
      <c r="H28" s="15" t="s">
        <v>1525</v>
      </c>
      <c r="I28" s="15">
        <v>201409</v>
      </c>
      <c r="J28" s="16">
        <v>-269.26</v>
      </c>
      <c r="K28" s="171">
        <f t="shared" si="0"/>
        <v>8</v>
      </c>
      <c r="L28" s="17">
        <v>1.4833299999999999E-3</v>
      </c>
      <c r="M28" s="16">
        <f t="shared" si="1"/>
        <v>-3.2</v>
      </c>
      <c r="N28" s="16">
        <f t="shared" si="2"/>
        <v>-4.79</v>
      </c>
      <c r="O28" s="14"/>
    </row>
    <row r="29" spans="1:15">
      <c r="A29" s="14" t="s">
        <v>17</v>
      </c>
      <c r="B29" s="15" t="s">
        <v>122</v>
      </c>
      <c r="C29" s="15" t="s">
        <v>123</v>
      </c>
      <c r="D29" s="14" t="s">
        <v>124</v>
      </c>
      <c r="E29" s="15" t="s">
        <v>125</v>
      </c>
      <c r="F29" s="14" t="s">
        <v>126</v>
      </c>
      <c r="G29" s="15" t="s">
        <v>23</v>
      </c>
      <c r="H29" s="15" t="s">
        <v>1525</v>
      </c>
      <c r="I29" s="15">
        <v>201409</v>
      </c>
      <c r="J29" s="16">
        <v>-131.71</v>
      </c>
      <c r="K29" s="171">
        <f t="shared" si="0"/>
        <v>8</v>
      </c>
      <c r="L29" s="17">
        <v>1.4833299999999999E-3</v>
      </c>
      <c r="M29" s="16">
        <f t="shared" si="1"/>
        <v>-1.56</v>
      </c>
      <c r="N29" s="16">
        <f t="shared" si="2"/>
        <v>-2.34</v>
      </c>
      <c r="O29" s="14"/>
    </row>
    <row r="30" spans="1:15">
      <c r="A30" s="14" t="s">
        <v>17</v>
      </c>
      <c r="B30" s="15" t="s">
        <v>127</v>
      </c>
      <c r="C30" s="15" t="s">
        <v>128</v>
      </c>
      <c r="D30" s="14" t="s">
        <v>129</v>
      </c>
      <c r="E30" s="15" t="s">
        <v>62</v>
      </c>
      <c r="F30" s="14" t="s">
        <v>22</v>
      </c>
      <c r="G30" s="15" t="s">
        <v>23</v>
      </c>
      <c r="H30" s="15" t="s">
        <v>1525</v>
      </c>
      <c r="I30" s="15">
        <v>201409</v>
      </c>
      <c r="J30" s="16">
        <v>-1334.18</v>
      </c>
      <c r="K30" s="171">
        <f t="shared" si="0"/>
        <v>8</v>
      </c>
      <c r="L30" s="17">
        <v>1.4833299999999999E-3</v>
      </c>
      <c r="M30" s="16">
        <f t="shared" si="1"/>
        <v>-15.83</v>
      </c>
      <c r="N30" s="16">
        <f t="shared" si="2"/>
        <v>-23.75</v>
      </c>
      <c r="O30" s="14"/>
    </row>
    <row r="31" spans="1:15">
      <c r="A31" s="14" t="s">
        <v>17</v>
      </c>
      <c r="B31" s="15" t="s">
        <v>130</v>
      </c>
      <c r="C31" s="15" t="s">
        <v>131</v>
      </c>
      <c r="D31" s="14" t="s">
        <v>132</v>
      </c>
      <c r="E31" s="15" t="s">
        <v>36</v>
      </c>
      <c r="F31" s="14" t="s">
        <v>22</v>
      </c>
      <c r="G31" s="15" t="s">
        <v>23</v>
      </c>
      <c r="H31" s="15" t="s">
        <v>1525</v>
      </c>
      <c r="I31" s="15">
        <v>201409</v>
      </c>
      <c r="J31" s="16">
        <v>-317.52</v>
      </c>
      <c r="K31" s="171">
        <f t="shared" si="0"/>
        <v>8</v>
      </c>
      <c r="L31" s="17">
        <v>1.4833299999999999E-3</v>
      </c>
      <c r="M31" s="16">
        <f t="shared" si="1"/>
        <v>-3.77</v>
      </c>
      <c r="N31" s="16">
        <f t="shared" si="2"/>
        <v>-5.65</v>
      </c>
      <c r="O31" s="14"/>
    </row>
    <row r="32" spans="1:15">
      <c r="A32" s="14" t="s">
        <v>17</v>
      </c>
      <c r="B32" s="15" t="s">
        <v>133</v>
      </c>
      <c r="C32" s="15" t="s">
        <v>134</v>
      </c>
      <c r="D32" s="14" t="s">
        <v>135</v>
      </c>
      <c r="E32" s="15" t="s">
        <v>136</v>
      </c>
      <c r="F32" s="14" t="s">
        <v>137</v>
      </c>
      <c r="G32" s="15" t="s">
        <v>23</v>
      </c>
      <c r="H32" s="15" t="s">
        <v>1526</v>
      </c>
      <c r="I32" s="15">
        <v>201409</v>
      </c>
      <c r="J32" s="16">
        <v>-3718.06</v>
      </c>
      <c r="K32" s="171">
        <f t="shared" si="0"/>
        <v>8</v>
      </c>
      <c r="L32" s="17">
        <v>1.4833299999999999E-3</v>
      </c>
      <c r="M32" s="16">
        <f t="shared" si="1"/>
        <v>-44.12</v>
      </c>
      <c r="N32" s="16">
        <f t="shared" si="2"/>
        <v>-66.180000000000007</v>
      </c>
      <c r="O32" s="14"/>
    </row>
    <row r="33" spans="1:15">
      <c r="A33" s="14" t="s">
        <v>54</v>
      </c>
      <c r="B33" s="15" t="s">
        <v>138</v>
      </c>
      <c r="C33" s="15" t="s">
        <v>139</v>
      </c>
      <c r="D33" s="14" t="s">
        <v>140</v>
      </c>
      <c r="E33" s="15" t="s">
        <v>141</v>
      </c>
      <c r="F33" s="14" t="s">
        <v>142</v>
      </c>
      <c r="G33" s="15" t="s">
        <v>23</v>
      </c>
      <c r="H33" s="15" t="s">
        <v>1525</v>
      </c>
      <c r="I33" s="15">
        <v>201409</v>
      </c>
      <c r="J33" s="16">
        <v>-2154.0500000000002</v>
      </c>
      <c r="K33" s="171">
        <f t="shared" si="0"/>
        <v>8</v>
      </c>
      <c r="L33" s="17">
        <v>1.4833299999999999E-3</v>
      </c>
      <c r="M33" s="16">
        <f t="shared" si="1"/>
        <v>-25.56</v>
      </c>
      <c r="N33" s="16">
        <f t="shared" si="2"/>
        <v>-38.340000000000003</v>
      </c>
      <c r="O33" s="14"/>
    </row>
    <row r="34" spans="1:15">
      <c r="A34" s="14" t="s">
        <v>17</v>
      </c>
      <c r="B34" s="15" t="s">
        <v>143</v>
      </c>
      <c r="C34" s="15" t="s">
        <v>144</v>
      </c>
      <c r="D34" s="14" t="s">
        <v>145</v>
      </c>
      <c r="E34" s="15" t="s">
        <v>62</v>
      </c>
      <c r="F34" s="14" t="s">
        <v>22</v>
      </c>
      <c r="G34" s="15" t="s">
        <v>23</v>
      </c>
      <c r="H34" s="15" t="s">
        <v>1525</v>
      </c>
      <c r="I34" s="15">
        <v>201409</v>
      </c>
      <c r="J34" s="16">
        <v>-515.72</v>
      </c>
      <c r="K34" s="171">
        <f t="shared" si="0"/>
        <v>8</v>
      </c>
      <c r="L34" s="17">
        <v>1.4833299999999999E-3</v>
      </c>
      <c r="M34" s="16">
        <f t="shared" si="1"/>
        <v>-6.12</v>
      </c>
      <c r="N34" s="16">
        <f t="shared" si="2"/>
        <v>-9.18</v>
      </c>
      <c r="O34" s="14"/>
    </row>
    <row r="35" spans="1:15">
      <c r="A35" s="14" t="s">
        <v>17</v>
      </c>
      <c r="B35" s="15" t="s">
        <v>149</v>
      </c>
      <c r="C35" s="15" t="s">
        <v>150</v>
      </c>
      <c r="D35" s="14" t="s">
        <v>151</v>
      </c>
      <c r="E35" s="15" t="s">
        <v>40</v>
      </c>
      <c r="F35" s="14" t="s">
        <v>41</v>
      </c>
      <c r="G35" s="15" t="s">
        <v>23</v>
      </c>
      <c r="H35" s="15" t="s">
        <v>1526</v>
      </c>
      <c r="I35" s="15">
        <v>201409</v>
      </c>
      <c r="J35" s="16">
        <v>-860.78</v>
      </c>
      <c r="K35" s="171">
        <f t="shared" si="0"/>
        <v>8</v>
      </c>
      <c r="L35" s="17">
        <v>1.4833299999999999E-3</v>
      </c>
      <c r="M35" s="16">
        <f t="shared" si="1"/>
        <v>-10.210000000000001</v>
      </c>
      <c r="N35" s="16">
        <f t="shared" si="2"/>
        <v>-15.32</v>
      </c>
      <c r="O35" s="14"/>
    </row>
    <row r="36" spans="1:15">
      <c r="A36" s="18" t="s">
        <v>17</v>
      </c>
      <c r="B36" s="15" t="s">
        <v>152</v>
      </c>
      <c r="C36" s="15" t="s">
        <v>153</v>
      </c>
      <c r="D36" s="14" t="s">
        <v>154</v>
      </c>
      <c r="E36" s="15" t="s">
        <v>53</v>
      </c>
      <c r="F36" s="14" t="s">
        <v>41</v>
      </c>
      <c r="G36" s="15" t="s">
        <v>23</v>
      </c>
      <c r="H36" s="15" t="s">
        <v>1526</v>
      </c>
      <c r="I36" s="15">
        <v>201409</v>
      </c>
      <c r="J36" s="16">
        <v>-31.85</v>
      </c>
      <c r="K36" s="171">
        <f t="shared" si="0"/>
        <v>8</v>
      </c>
      <c r="L36" s="17">
        <v>1.4833299999999999E-3</v>
      </c>
      <c r="M36" s="16">
        <f t="shared" si="1"/>
        <v>-0.38</v>
      </c>
      <c r="N36" s="16">
        <f t="shared" si="2"/>
        <v>-0.56999999999999995</v>
      </c>
      <c r="O36" s="14"/>
    </row>
    <row r="37" spans="1:15">
      <c r="A37" s="18" t="s">
        <v>17</v>
      </c>
      <c r="B37" s="15" t="s">
        <v>155</v>
      </c>
      <c r="C37" s="15" t="s">
        <v>156</v>
      </c>
      <c r="D37" s="14" t="s">
        <v>157</v>
      </c>
      <c r="E37" s="15" t="s">
        <v>32</v>
      </c>
      <c r="F37" s="14" t="s">
        <v>22</v>
      </c>
      <c r="G37" s="15" t="s">
        <v>23</v>
      </c>
      <c r="H37" s="15" t="s">
        <v>1525</v>
      </c>
      <c r="I37" s="15">
        <v>201409</v>
      </c>
      <c r="J37" s="16">
        <v>-469.08</v>
      </c>
      <c r="K37" s="171">
        <f t="shared" si="0"/>
        <v>8</v>
      </c>
      <c r="L37" s="17">
        <v>1.4833299999999999E-3</v>
      </c>
      <c r="M37" s="16">
        <f t="shared" si="1"/>
        <v>-5.57</v>
      </c>
      <c r="N37" s="16">
        <f t="shared" si="2"/>
        <v>-8.35</v>
      </c>
      <c r="O37" s="14"/>
    </row>
    <row r="38" spans="1:15">
      <c r="A38" s="14" t="s">
        <v>17</v>
      </c>
      <c r="B38" s="15" t="s">
        <v>158</v>
      </c>
      <c r="C38" s="15" t="s">
        <v>159</v>
      </c>
      <c r="D38" s="14" t="s">
        <v>160</v>
      </c>
      <c r="E38" s="15" t="s">
        <v>108</v>
      </c>
      <c r="F38" s="14" t="s">
        <v>28</v>
      </c>
      <c r="G38" s="15" t="s">
        <v>23</v>
      </c>
      <c r="H38" s="15" t="s">
        <v>1525</v>
      </c>
      <c r="I38" s="15">
        <v>201409</v>
      </c>
      <c r="J38" s="16">
        <v>-217.66</v>
      </c>
      <c r="K38" s="171">
        <f t="shared" si="0"/>
        <v>8</v>
      </c>
      <c r="L38" s="17">
        <v>1.4833299999999999E-3</v>
      </c>
      <c r="M38" s="16">
        <f t="shared" si="1"/>
        <v>-2.58</v>
      </c>
      <c r="N38" s="16">
        <f t="shared" si="2"/>
        <v>-3.87</v>
      </c>
      <c r="O38" s="14"/>
    </row>
    <row r="39" spans="1:15">
      <c r="A39" s="18" t="s">
        <v>17</v>
      </c>
      <c r="B39" s="15" t="s">
        <v>161</v>
      </c>
      <c r="C39" s="15" t="s">
        <v>162</v>
      </c>
      <c r="D39" s="14" t="s">
        <v>163</v>
      </c>
      <c r="E39" s="15" t="s">
        <v>62</v>
      </c>
      <c r="F39" s="14" t="s">
        <v>22</v>
      </c>
      <c r="G39" s="15" t="s">
        <v>23</v>
      </c>
      <c r="H39" s="15" t="s">
        <v>1525</v>
      </c>
      <c r="I39" s="15">
        <v>201409</v>
      </c>
      <c r="J39" s="16">
        <v>-286.58999999999997</v>
      </c>
      <c r="K39" s="171">
        <f t="shared" si="0"/>
        <v>8</v>
      </c>
      <c r="L39" s="17">
        <v>1.4833299999999999E-3</v>
      </c>
      <c r="M39" s="16">
        <f t="shared" si="1"/>
        <v>-3.4</v>
      </c>
      <c r="N39" s="16">
        <f t="shared" si="2"/>
        <v>-5.0999999999999996</v>
      </c>
      <c r="O39" s="14"/>
    </row>
    <row r="40" spans="1:15">
      <c r="A40" s="18" t="s">
        <v>164</v>
      </c>
      <c r="B40" s="15" t="s">
        <v>165</v>
      </c>
      <c r="C40" s="15" t="s">
        <v>166</v>
      </c>
      <c r="D40" s="14" t="s">
        <v>167</v>
      </c>
      <c r="E40" s="15" t="s">
        <v>168</v>
      </c>
      <c r="F40" s="14" t="s">
        <v>169</v>
      </c>
      <c r="G40" s="15" t="s">
        <v>23</v>
      </c>
      <c r="H40" s="15" t="s">
        <v>1528</v>
      </c>
      <c r="I40" s="15">
        <v>201409</v>
      </c>
      <c r="J40" s="16">
        <v>-54</v>
      </c>
      <c r="K40" s="171">
        <f t="shared" si="0"/>
        <v>8</v>
      </c>
      <c r="L40" s="17">
        <v>2.1916700000000002E-3</v>
      </c>
      <c r="M40" s="16">
        <f t="shared" si="1"/>
        <v>-0.95</v>
      </c>
      <c r="N40" s="16">
        <f t="shared" si="2"/>
        <v>-1.42</v>
      </c>
      <c r="O40" s="14"/>
    </row>
    <row r="41" spans="1:15">
      <c r="A41" s="18" t="s">
        <v>17</v>
      </c>
      <c r="B41" s="15" t="s">
        <v>170</v>
      </c>
      <c r="C41" s="15" t="s">
        <v>171</v>
      </c>
      <c r="D41" s="14" t="s">
        <v>172</v>
      </c>
      <c r="E41" s="15" t="s">
        <v>62</v>
      </c>
      <c r="F41" s="14" t="s">
        <v>22</v>
      </c>
      <c r="G41" s="15" t="s">
        <v>23</v>
      </c>
      <c r="H41" s="15" t="s">
        <v>1525</v>
      </c>
      <c r="I41" s="15">
        <v>201409</v>
      </c>
      <c r="J41" s="16">
        <v>-3880.74</v>
      </c>
      <c r="K41" s="171">
        <f t="shared" si="0"/>
        <v>8</v>
      </c>
      <c r="L41" s="17">
        <v>1.4833299999999999E-3</v>
      </c>
      <c r="M41" s="16">
        <f t="shared" si="1"/>
        <v>-46.05</v>
      </c>
      <c r="N41" s="16">
        <f t="shared" si="2"/>
        <v>-69.08</v>
      </c>
      <c r="O41" s="14"/>
    </row>
    <row r="42" spans="1:15">
      <c r="A42" s="18" t="s">
        <v>54</v>
      </c>
      <c r="B42" s="15" t="s">
        <v>170</v>
      </c>
      <c r="C42" s="15" t="s">
        <v>171</v>
      </c>
      <c r="D42" s="14" t="s">
        <v>172</v>
      </c>
      <c r="E42" s="15" t="s">
        <v>62</v>
      </c>
      <c r="F42" s="14" t="s">
        <v>22</v>
      </c>
      <c r="G42" s="15" t="s">
        <v>23</v>
      </c>
      <c r="H42" s="15" t="s">
        <v>1525</v>
      </c>
      <c r="I42" s="15">
        <v>201409</v>
      </c>
      <c r="J42" s="16">
        <v>-865.45</v>
      </c>
      <c r="K42" s="171">
        <f t="shared" si="0"/>
        <v>8</v>
      </c>
      <c r="L42" s="17">
        <v>1.4833299999999999E-3</v>
      </c>
      <c r="M42" s="16">
        <f t="shared" si="1"/>
        <v>-10.27</v>
      </c>
      <c r="N42" s="16">
        <f t="shared" si="2"/>
        <v>-15.4</v>
      </c>
      <c r="O42" s="14"/>
    </row>
    <row r="43" spans="1:15">
      <c r="A43" s="18" t="s">
        <v>17</v>
      </c>
      <c r="B43" s="15" t="s">
        <v>173</v>
      </c>
      <c r="C43" s="15" t="s">
        <v>174</v>
      </c>
      <c r="D43" s="14" t="s">
        <v>175</v>
      </c>
      <c r="E43" s="15" t="s">
        <v>176</v>
      </c>
      <c r="F43" s="14" t="s">
        <v>28</v>
      </c>
      <c r="G43" s="15" t="s">
        <v>23</v>
      </c>
      <c r="H43" s="15" t="s">
        <v>1525</v>
      </c>
      <c r="I43" s="15">
        <v>201409</v>
      </c>
      <c r="J43" s="16">
        <v>10.59</v>
      </c>
      <c r="K43" s="171">
        <f t="shared" si="0"/>
        <v>8</v>
      </c>
      <c r="L43" s="17">
        <v>1.4833299999999999E-3</v>
      </c>
      <c r="M43" s="16">
        <f t="shared" si="1"/>
        <v>0.13</v>
      </c>
      <c r="N43" s="16">
        <f t="shared" si="2"/>
        <v>0.19</v>
      </c>
      <c r="O43" s="14"/>
    </row>
    <row r="44" spans="1:15">
      <c r="A44" s="18" t="s">
        <v>17</v>
      </c>
      <c r="B44" s="15" t="s">
        <v>177</v>
      </c>
      <c r="C44" s="15" t="s">
        <v>178</v>
      </c>
      <c r="D44" s="14" t="s">
        <v>179</v>
      </c>
      <c r="E44" s="15" t="s">
        <v>176</v>
      </c>
      <c r="F44" s="14" t="s">
        <v>28</v>
      </c>
      <c r="G44" s="15" t="s">
        <v>23</v>
      </c>
      <c r="H44" s="15" t="s">
        <v>1525</v>
      </c>
      <c r="I44" s="15">
        <v>201409</v>
      </c>
      <c r="J44" s="16">
        <v>28.45</v>
      </c>
      <c r="K44" s="171">
        <f t="shared" si="0"/>
        <v>8</v>
      </c>
      <c r="L44" s="17">
        <v>1.4833299999999999E-3</v>
      </c>
      <c r="M44" s="16">
        <f t="shared" si="1"/>
        <v>0.34</v>
      </c>
      <c r="N44" s="16">
        <f t="shared" si="2"/>
        <v>0.51</v>
      </c>
      <c r="O44" s="14"/>
    </row>
    <row r="45" spans="1:15">
      <c r="A45" s="18" t="s">
        <v>17</v>
      </c>
      <c r="B45" s="15" t="s">
        <v>180</v>
      </c>
      <c r="C45" s="15" t="s">
        <v>181</v>
      </c>
      <c r="D45" s="14" t="s">
        <v>182</v>
      </c>
      <c r="E45" s="15" t="s">
        <v>53</v>
      </c>
      <c r="F45" s="14" t="s">
        <v>41</v>
      </c>
      <c r="G45" s="15" t="s">
        <v>23</v>
      </c>
      <c r="H45" s="15" t="s">
        <v>1526</v>
      </c>
      <c r="I45" s="15">
        <v>201409</v>
      </c>
      <c r="J45" s="16">
        <v>-243.49</v>
      </c>
      <c r="K45" s="171">
        <f t="shared" si="0"/>
        <v>8</v>
      </c>
      <c r="L45" s="17">
        <v>1.4833299999999999E-3</v>
      </c>
      <c r="M45" s="16">
        <f t="shared" si="1"/>
        <v>-2.89</v>
      </c>
      <c r="N45" s="16">
        <f t="shared" si="2"/>
        <v>-4.33</v>
      </c>
      <c r="O45" s="14"/>
    </row>
    <row r="46" spans="1:15">
      <c r="A46" s="14" t="s">
        <v>17</v>
      </c>
      <c r="B46" s="15" t="s">
        <v>183</v>
      </c>
      <c r="C46" s="15" t="s">
        <v>184</v>
      </c>
      <c r="D46" s="14" t="s">
        <v>185</v>
      </c>
      <c r="E46" s="15" t="s">
        <v>53</v>
      </c>
      <c r="F46" s="14" t="s">
        <v>41</v>
      </c>
      <c r="G46" s="15" t="s">
        <v>23</v>
      </c>
      <c r="H46" s="15" t="s">
        <v>1526</v>
      </c>
      <c r="I46" s="15">
        <v>201409</v>
      </c>
      <c r="J46" s="16">
        <v>-1163.68</v>
      </c>
      <c r="K46" s="171">
        <f t="shared" si="0"/>
        <v>8</v>
      </c>
      <c r="L46" s="17">
        <v>1.4833299999999999E-3</v>
      </c>
      <c r="M46" s="16">
        <f t="shared" si="1"/>
        <v>-13.81</v>
      </c>
      <c r="N46" s="16">
        <f t="shared" si="2"/>
        <v>-20.71</v>
      </c>
      <c r="O46" s="14"/>
    </row>
    <row r="47" spans="1:15">
      <c r="A47" s="18" t="s">
        <v>17</v>
      </c>
      <c r="B47" s="15" t="s">
        <v>186</v>
      </c>
      <c r="C47" s="15" t="s">
        <v>187</v>
      </c>
      <c r="D47" s="14" t="s">
        <v>188</v>
      </c>
      <c r="E47" s="15" t="s">
        <v>108</v>
      </c>
      <c r="F47" s="14" t="s">
        <v>28</v>
      </c>
      <c r="G47" s="15" t="s">
        <v>23</v>
      </c>
      <c r="H47" s="15" t="s">
        <v>1525</v>
      </c>
      <c r="I47" s="15">
        <v>201409</v>
      </c>
      <c r="J47" s="16">
        <v>-23.18</v>
      </c>
      <c r="K47" s="171">
        <f t="shared" si="0"/>
        <v>8</v>
      </c>
      <c r="L47" s="17">
        <v>1.4833299999999999E-3</v>
      </c>
      <c r="M47" s="16">
        <f t="shared" si="1"/>
        <v>-0.28000000000000003</v>
      </c>
      <c r="N47" s="16">
        <f t="shared" si="2"/>
        <v>-0.41</v>
      </c>
      <c r="O47" s="14"/>
    </row>
    <row r="48" spans="1:15">
      <c r="A48" s="18" t="s">
        <v>17</v>
      </c>
      <c r="B48" s="15" t="s">
        <v>189</v>
      </c>
      <c r="C48" s="15" t="s">
        <v>190</v>
      </c>
      <c r="D48" s="14" t="s">
        <v>191</v>
      </c>
      <c r="E48" s="15" t="s">
        <v>62</v>
      </c>
      <c r="F48" s="14" t="s">
        <v>22</v>
      </c>
      <c r="G48" s="15" t="s">
        <v>23</v>
      </c>
      <c r="H48" s="15" t="s">
        <v>1525</v>
      </c>
      <c r="I48" s="15">
        <v>201409</v>
      </c>
      <c r="J48" s="16">
        <v>-2735.91</v>
      </c>
      <c r="K48" s="171">
        <f t="shared" si="0"/>
        <v>8</v>
      </c>
      <c r="L48" s="17">
        <v>1.4833299999999999E-3</v>
      </c>
      <c r="M48" s="16">
        <f t="shared" si="1"/>
        <v>-32.47</v>
      </c>
      <c r="N48" s="16">
        <f t="shared" si="2"/>
        <v>-48.7</v>
      </c>
      <c r="O48" s="14"/>
    </row>
    <row r="49" spans="1:15">
      <c r="A49" s="14" t="s">
        <v>66</v>
      </c>
      <c r="B49" s="15" t="s">
        <v>197</v>
      </c>
      <c r="C49" s="15" t="s">
        <v>198</v>
      </c>
      <c r="D49" s="14" t="s">
        <v>69</v>
      </c>
      <c r="E49" s="15" t="s">
        <v>199</v>
      </c>
      <c r="F49" s="14" t="s">
        <v>71</v>
      </c>
      <c r="G49" s="15" t="s">
        <v>23</v>
      </c>
      <c r="H49" s="15" t="s">
        <v>1530</v>
      </c>
      <c r="I49" s="15">
        <v>201409</v>
      </c>
      <c r="J49" s="16">
        <v>4610.79</v>
      </c>
      <c r="K49" s="171">
        <f t="shared" si="0"/>
        <v>8</v>
      </c>
      <c r="L49" s="17">
        <v>2.23333E-3</v>
      </c>
      <c r="M49" s="16">
        <f t="shared" si="1"/>
        <v>82.38</v>
      </c>
      <c r="N49" s="16">
        <f t="shared" si="2"/>
        <v>123.57</v>
      </c>
      <c r="O49" s="14"/>
    </row>
    <row r="50" spans="1:15">
      <c r="A50" s="14" t="s">
        <v>66</v>
      </c>
      <c r="B50" s="15" t="s">
        <v>200</v>
      </c>
      <c r="C50" s="15" t="s">
        <v>201</v>
      </c>
      <c r="D50" s="14" t="s">
        <v>202</v>
      </c>
      <c r="E50" s="15" t="s">
        <v>203</v>
      </c>
      <c r="F50" s="14" t="s">
        <v>80</v>
      </c>
      <c r="G50" s="15" t="s">
        <v>23</v>
      </c>
      <c r="H50" s="15" t="s">
        <v>1530</v>
      </c>
      <c r="I50" s="15">
        <v>201409</v>
      </c>
      <c r="J50" s="16">
        <v>103697.26</v>
      </c>
      <c r="K50" s="171">
        <f t="shared" si="0"/>
        <v>8</v>
      </c>
      <c r="L50" s="17">
        <v>2.23333E-3</v>
      </c>
      <c r="M50" s="16">
        <f t="shared" si="1"/>
        <v>1852.72</v>
      </c>
      <c r="N50" s="16">
        <f t="shared" si="2"/>
        <v>2779.08</v>
      </c>
      <c r="O50" s="14"/>
    </row>
    <row r="51" spans="1:15">
      <c r="A51" s="14" t="s">
        <v>66</v>
      </c>
      <c r="B51" s="15" t="s">
        <v>204</v>
      </c>
      <c r="C51" s="15" t="s">
        <v>205</v>
      </c>
      <c r="D51" s="14" t="s">
        <v>206</v>
      </c>
      <c r="E51" s="15" t="s">
        <v>207</v>
      </c>
      <c r="F51" s="14" t="s">
        <v>97</v>
      </c>
      <c r="G51" s="15" t="s">
        <v>23</v>
      </c>
      <c r="H51" s="15" t="s">
        <v>1530</v>
      </c>
      <c r="I51" s="15">
        <v>201409</v>
      </c>
      <c r="J51" s="16">
        <v>-46.62</v>
      </c>
      <c r="K51" s="171">
        <f t="shared" si="0"/>
        <v>8</v>
      </c>
      <c r="L51" s="17">
        <v>2.23333E-3</v>
      </c>
      <c r="M51" s="16">
        <f t="shared" si="1"/>
        <v>-0.83</v>
      </c>
      <c r="N51" s="16">
        <f t="shared" si="2"/>
        <v>-1.25</v>
      </c>
      <c r="O51" s="14"/>
    </row>
    <row r="52" spans="1:15">
      <c r="A52" s="14" t="s">
        <v>66</v>
      </c>
      <c r="B52" s="15" t="s">
        <v>208</v>
      </c>
      <c r="C52" s="15" t="s">
        <v>209</v>
      </c>
      <c r="D52" s="14" t="s">
        <v>210</v>
      </c>
      <c r="E52" s="15" t="s">
        <v>211</v>
      </c>
      <c r="F52" s="14" t="s">
        <v>212</v>
      </c>
      <c r="G52" s="15" t="s">
        <v>23</v>
      </c>
      <c r="H52" s="15" t="s">
        <v>1530</v>
      </c>
      <c r="I52" s="15">
        <v>201409</v>
      </c>
      <c r="J52" s="16">
        <v>-620.16</v>
      </c>
      <c r="K52" s="171">
        <f t="shared" si="0"/>
        <v>8</v>
      </c>
      <c r="L52" s="17">
        <v>2.23333E-3</v>
      </c>
      <c r="M52" s="16">
        <f t="shared" si="1"/>
        <v>-11.08</v>
      </c>
      <c r="N52" s="16">
        <f t="shared" si="2"/>
        <v>-16.62</v>
      </c>
      <c r="O52" s="14"/>
    </row>
    <row r="53" spans="1:15">
      <c r="A53" s="18" t="s">
        <v>17</v>
      </c>
      <c r="B53" s="15" t="s">
        <v>213</v>
      </c>
      <c r="C53" s="15" t="s">
        <v>214</v>
      </c>
      <c r="D53" s="14" t="s">
        <v>215</v>
      </c>
      <c r="E53" s="15" t="s">
        <v>216</v>
      </c>
      <c r="F53" s="14" t="s">
        <v>22</v>
      </c>
      <c r="G53" s="15" t="s">
        <v>23</v>
      </c>
      <c r="H53" s="15" t="s">
        <v>1525</v>
      </c>
      <c r="I53" s="15">
        <v>201409</v>
      </c>
      <c r="J53" s="16">
        <v>-587.16999999999996</v>
      </c>
      <c r="K53" s="171">
        <f t="shared" si="0"/>
        <v>8</v>
      </c>
      <c r="L53" s="17">
        <v>1.4833299999999999E-3</v>
      </c>
      <c r="M53" s="16">
        <f t="shared" si="1"/>
        <v>-6.97</v>
      </c>
      <c r="N53" s="16">
        <f t="shared" si="2"/>
        <v>-10.45</v>
      </c>
      <c r="O53" s="14"/>
    </row>
    <row r="54" spans="1:15">
      <c r="A54" s="18" t="s">
        <v>217</v>
      </c>
      <c r="B54" s="15" t="s">
        <v>218</v>
      </c>
      <c r="C54" s="15" t="s">
        <v>219</v>
      </c>
      <c r="D54" s="14" t="s">
        <v>220</v>
      </c>
      <c r="E54" s="15" t="s">
        <v>221</v>
      </c>
      <c r="F54" s="14" t="s">
        <v>222</v>
      </c>
      <c r="G54" s="15" t="s">
        <v>23</v>
      </c>
      <c r="H54" s="15" t="s">
        <v>1524</v>
      </c>
      <c r="I54" s="15">
        <v>201409</v>
      </c>
      <c r="J54" s="16">
        <v>120417.26</v>
      </c>
      <c r="K54" s="171">
        <f t="shared" si="0"/>
        <v>8</v>
      </c>
      <c r="L54" s="17">
        <v>1.4833299999999999E-3</v>
      </c>
      <c r="M54" s="16">
        <f t="shared" si="1"/>
        <v>1428.95</v>
      </c>
      <c r="N54" s="16">
        <f t="shared" si="2"/>
        <v>2143.42</v>
      </c>
      <c r="O54" s="14"/>
    </row>
    <row r="55" spans="1:15">
      <c r="A55" s="14" t="s">
        <v>66</v>
      </c>
      <c r="B55" s="15" t="s">
        <v>223</v>
      </c>
      <c r="C55" s="15" t="s">
        <v>224</v>
      </c>
      <c r="D55" s="14" t="s">
        <v>88</v>
      </c>
      <c r="E55" s="15" t="s">
        <v>225</v>
      </c>
      <c r="F55" s="14" t="s">
        <v>85</v>
      </c>
      <c r="G55" s="15" t="s">
        <v>23</v>
      </c>
      <c r="H55" s="15" t="s">
        <v>1530</v>
      </c>
      <c r="I55" s="15">
        <v>201409</v>
      </c>
      <c r="J55" s="16">
        <v>6250.26</v>
      </c>
      <c r="K55" s="171">
        <f t="shared" si="0"/>
        <v>8</v>
      </c>
      <c r="L55" s="17">
        <v>2.23333E-3</v>
      </c>
      <c r="M55" s="16">
        <f t="shared" si="1"/>
        <v>111.67</v>
      </c>
      <c r="N55" s="16">
        <f t="shared" si="2"/>
        <v>167.51</v>
      </c>
      <c r="O55" s="14"/>
    </row>
    <row r="56" spans="1:15">
      <c r="A56" s="14" t="s">
        <v>66</v>
      </c>
      <c r="B56" s="15" t="s">
        <v>226</v>
      </c>
      <c r="C56" s="15" t="s">
        <v>227</v>
      </c>
      <c r="D56" s="14" t="s">
        <v>78</v>
      </c>
      <c r="E56" s="15" t="s">
        <v>228</v>
      </c>
      <c r="F56" s="14" t="s">
        <v>80</v>
      </c>
      <c r="G56" s="15" t="s">
        <v>23</v>
      </c>
      <c r="H56" s="15" t="s">
        <v>1530</v>
      </c>
      <c r="I56" s="15">
        <v>201409</v>
      </c>
      <c r="J56" s="16">
        <v>16732.5</v>
      </c>
      <c r="K56" s="171">
        <f t="shared" si="0"/>
        <v>8</v>
      </c>
      <c r="L56" s="17">
        <v>2.23333E-3</v>
      </c>
      <c r="M56" s="16">
        <f t="shared" si="1"/>
        <v>298.95</v>
      </c>
      <c r="N56" s="16">
        <f t="shared" si="2"/>
        <v>448.43</v>
      </c>
      <c r="O56" s="14"/>
    </row>
    <row r="57" spans="1:15">
      <c r="A57" s="14" t="s">
        <v>66</v>
      </c>
      <c r="B57" s="15" t="s">
        <v>229</v>
      </c>
      <c r="C57" s="15" t="s">
        <v>230</v>
      </c>
      <c r="D57" s="14" t="s">
        <v>78</v>
      </c>
      <c r="E57" s="15" t="s">
        <v>231</v>
      </c>
      <c r="F57" s="14" t="s">
        <v>80</v>
      </c>
      <c r="G57" s="15" t="s">
        <v>23</v>
      </c>
      <c r="H57" s="15" t="s">
        <v>1530</v>
      </c>
      <c r="I57" s="15">
        <v>201409</v>
      </c>
      <c r="J57" s="16">
        <v>46346.59</v>
      </c>
      <c r="K57" s="171">
        <f t="shared" si="0"/>
        <v>8</v>
      </c>
      <c r="L57" s="17">
        <v>2.23333E-3</v>
      </c>
      <c r="M57" s="16">
        <f t="shared" si="1"/>
        <v>828.06</v>
      </c>
      <c r="N57" s="16">
        <f t="shared" si="2"/>
        <v>1242.0899999999999</v>
      </c>
      <c r="O57" s="14"/>
    </row>
    <row r="58" spans="1:15">
      <c r="A58" s="18" t="s">
        <v>17</v>
      </c>
      <c r="B58" s="15" t="s">
        <v>232</v>
      </c>
      <c r="C58" s="15" t="s">
        <v>233</v>
      </c>
      <c r="D58" s="14" t="s">
        <v>234</v>
      </c>
      <c r="E58" s="15" t="s">
        <v>40</v>
      </c>
      <c r="F58" s="14" t="s">
        <v>41</v>
      </c>
      <c r="G58" s="15" t="s">
        <v>23</v>
      </c>
      <c r="H58" s="15" t="s">
        <v>1526</v>
      </c>
      <c r="I58" s="15">
        <v>201409</v>
      </c>
      <c r="J58" s="16">
        <v>34.520000000000003</v>
      </c>
      <c r="K58" s="171">
        <f t="shared" si="0"/>
        <v>8</v>
      </c>
      <c r="L58" s="17">
        <v>1.4833299999999999E-3</v>
      </c>
      <c r="M58" s="16">
        <f t="shared" si="1"/>
        <v>0.41</v>
      </c>
      <c r="N58" s="16">
        <f t="shared" si="2"/>
        <v>0.61</v>
      </c>
      <c r="O58" s="14"/>
    </row>
    <row r="59" spans="1:15">
      <c r="A59" s="14" t="s">
        <v>17</v>
      </c>
      <c r="B59" s="15" t="s">
        <v>235</v>
      </c>
      <c r="C59" s="15" t="s">
        <v>236</v>
      </c>
      <c r="D59" s="14" t="s">
        <v>237</v>
      </c>
      <c r="E59" s="15" t="s">
        <v>62</v>
      </c>
      <c r="F59" s="14" t="s">
        <v>22</v>
      </c>
      <c r="G59" s="15" t="s">
        <v>23</v>
      </c>
      <c r="H59" s="15" t="s">
        <v>1525</v>
      </c>
      <c r="I59" s="15">
        <v>201409</v>
      </c>
      <c r="J59" s="16">
        <v>16.510000000000002</v>
      </c>
      <c r="K59" s="171">
        <f t="shared" si="0"/>
        <v>8</v>
      </c>
      <c r="L59" s="17">
        <v>1.4833299999999999E-3</v>
      </c>
      <c r="M59" s="16">
        <f t="shared" si="1"/>
        <v>0.2</v>
      </c>
      <c r="N59" s="16">
        <f t="shared" si="2"/>
        <v>0.28999999999999998</v>
      </c>
      <c r="O59" s="14"/>
    </row>
    <row r="60" spans="1:15">
      <c r="A60" s="18" t="s">
        <v>238</v>
      </c>
      <c r="B60" s="15" t="s">
        <v>239</v>
      </c>
      <c r="C60" s="15" t="s">
        <v>240</v>
      </c>
      <c r="D60" s="14" t="s">
        <v>241</v>
      </c>
      <c r="E60" s="15" t="s">
        <v>168</v>
      </c>
      <c r="F60" s="14" t="s">
        <v>169</v>
      </c>
      <c r="G60" s="15" t="s">
        <v>23</v>
      </c>
      <c r="H60" s="15" t="s">
        <v>1528</v>
      </c>
      <c r="I60" s="15">
        <v>201409</v>
      </c>
      <c r="J60" s="16">
        <v>5.08</v>
      </c>
      <c r="K60" s="171">
        <f t="shared" si="0"/>
        <v>8</v>
      </c>
      <c r="L60" s="17">
        <v>2.3833299999999999E-3</v>
      </c>
      <c r="M60" s="16">
        <f t="shared" si="1"/>
        <v>0.1</v>
      </c>
      <c r="N60" s="16">
        <f t="shared" si="2"/>
        <v>0.15</v>
      </c>
      <c r="O60" s="14"/>
    </row>
    <row r="61" spans="1:15">
      <c r="A61" s="18" t="s">
        <v>242</v>
      </c>
      <c r="B61" s="15" t="s">
        <v>243</v>
      </c>
      <c r="C61" s="15" t="s">
        <v>244</v>
      </c>
      <c r="D61" s="14" t="s">
        <v>245</v>
      </c>
      <c r="E61" s="15" t="s">
        <v>246</v>
      </c>
      <c r="F61" s="14" t="s">
        <v>247</v>
      </c>
      <c r="G61" s="15" t="s">
        <v>23</v>
      </c>
      <c r="H61" s="15" t="s">
        <v>1525</v>
      </c>
      <c r="I61" s="15">
        <v>201409</v>
      </c>
      <c r="J61" s="16">
        <v>-9517.91</v>
      </c>
      <c r="K61" s="171">
        <f t="shared" si="0"/>
        <v>8</v>
      </c>
      <c r="L61" s="17">
        <v>1.4833299999999999E-3</v>
      </c>
      <c r="M61" s="16">
        <f t="shared" si="1"/>
        <v>-112.95</v>
      </c>
      <c r="N61" s="16">
        <f t="shared" si="2"/>
        <v>-169.42</v>
      </c>
      <c r="O61" s="14"/>
    </row>
    <row r="62" spans="1:15">
      <c r="A62" s="18" t="s">
        <v>17</v>
      </c>
      <c r="B62" s="15" t="s">
        <v>248</v>
      </c>
      <c r="C62" s="15" t="s">
        <v>249</v>
      </c>
      <c r="D62" s="14" t="s">
        <v>250</v>
      </c>
      <c r="E62" s="15" t="s">
        <v>62</v>
      </c>
      <c r="F62" s="14" t="s">
        <v>22</v>
      </c>
      <c r="G62" s="15" t="s">
        <v>23</v>
      </c>
      <c r="H62" s="15" t="s">
        <v>1525</v>
      </c>
      <c r="I62" s="15">
        <v>201409</v>
      </c>
      <c r="J62" s="16">
        <v>-0.82</v>
      </c>
      <c r="K62" s="171">
        <f t="shared" si="0"/>
        <v>8</v>
      </c>
      <c r="L62" s="17">
        <v>1.4833299999999999E-3</v>
      </c>
      <c r="M62" s="16">
        <f t="shared" si="1"/>
        <v>-0.01</v>
      </c>
      <c r="N62" s="16">
        <f t="shared" si="2"/>
        <v>-0.01</v>
      </c>
      <c r="O62" s="14"/>
    </row>
    <row r="63" spans="1:15">
      <c r="A63" s="18" t="s">
        <v>17</v>
      </c>
      <c r="B63" s="15" t="s">
        <v>251</v>
      </c>
      <c r="C63" s="15" t="s">
        <v>249</v>
      </c>
      <c r="D63" s="14" t="s">
        <v>250</v>
      </c>
      <c r="E63" s="15" t="s">
        <v>62</v>
      </c>
      <c r="F63" s="14" t="s">
        <v>22</v>
      </c>
      <c r="G63" s="15" t="s">
        <v>23</v>
      </c>
      <c r="H63" s="15" t="s">
        <v>1525</v>
      </c>
      <c r="I63" s="15">
        <v>201409</v>
      </c>
      <c r="J63" s="16">
        <v>-735.35</v>
      </c>
      <c r="K63" s="171">
        <f t="shared" si="0"/>
        <v>8</v>
      </c>
      <c r="L63" s="17">
        <v>1.4833299999999999E-3</v>
      </c>
      <c r="M63" s="16">
        <f t="shared" si="1"/>
        <v>-8.73</v>
      </c>
      <c r="N63" s="16">
        <f t="shared" si="2"/>
        <v>-13.09</v>
      </c>
      <c r="O63" s="14"/>
    </row>
    <row r="64" spans="1:15">
      <c r="A64" s="18" t="s">
        <v>17</v>
      </c>
      <c r="B64" s="15" t="s">
        <v>252</v>
      </c>
      <c r="C64" s="15" t="s">
        <v>253</v>
      </c>
      <c r="D64" s="14" t="s">
        <v>254</v>
      </c>
      <c r="E64" s="15" t="s">
        <v>141</v>
      </c>
      <c r="F64" s="14" t="s">
        <v>142</v>
      </c>
      <c r="G64" s="15" t="s">
        <v>23</v>
      </c>
      <c r="H64" s="15" t="s">
        <v>1525</v>
      </c>
      <c r="I64" s="15">
        <v>201409</v>
      </c>
      <c r="J64" s="16">
        <v>-226.18</v>
      </c>
      <c r="K64" s="171">
        <f t="shared" si="0"/>
        <v>8</v>
      </c>
      <c r="L64" s="17">
        <v>1.4833299999999999E-3</v>
      </c>
      <c r="M64" s="16">
        <f t="shared" si="1"/>
        <v>-2.68</v>
      </c>
      <c r="N64" s="16">
        <f t="shared" si="2"/>
        <v>-4.03</v>
      </c>
      <c r="O64" s="14"/>
    </row>
    <row r="65" spans="1:15">
      <c r="A65" s="18" t="s">
        <v>17</v>
      </c>
      <c r="B65" s="15" t="s">
        <v>255</v>
      </c>
      <c r="C65" s="15" t="s">
        <v>256</v>
      </c>
      <c r="D65" s="14" t="s">
        <v>257</v>
      </c>
      <c r="E65" s="15" t="s">
        <v>258</v>
      </c>
      <c r="F65" s="14" t="s">
        <v>259</v>
      </c>
      <c r="G65" s="15" t="s">
        <v>23</v>
      </c>
      <c r="H65" s="15" t="s">
        <v>1525</v>
      </c>
      <c r="I65" s="15">
        <v>201409</v>
      </c>
      <c r="J65" s="16">
        <v>-257.27</v>
      </c>
      <c r="K65" s="171">
        <f t="shared" si="0"/>
        <v>8</v>
      </c>
      <c r="L65" s="17">
        <v>1.4833299999999999E-3</v>
      </c>
      <c r="M65" s="16">
        <f t="shared" si="1"/>
        <v>-3.05</v>
      </c>
      <c r="N65" s="16">
        <f t="shared" si="2"/>
        <v>-4.58</v>
      </c>
      <c r="O65" s="14"/>
    </row>
    <row r="66" spans="1:15">
      <c r="A66" s="18" t="s">
        <v>17</v>
      </c>
      <c r="B66" s="15" t="s">
        <v>260</v>
      </c>
      <c r="C66" s="15" t="s">
        <v>261</v>
      </c>
      <c r="D66" s="14" t="s">
        <v>262</v>
      </c>
      <c r="E66" s="15" t="s">
        <v>258</v>
      </c>
      <c r="F66" s="14" t="s">
        <v>259</v>
      </c>
      <c r="G66" s="15" t="s">
        <v>23</v>
      </c>
      <c r="H66" s="15" t="s">
        <v>1525</v>
      </c>
      <c r="I66" s="15">
        <v>201409</v>
      </c>
      <c r="J66" s="16">
        <v>-264.56</v>
      </c>
      <c r="K66" s="171">
        <f t="shared" si="0"/>
        <v>8</v>
      </c>
      <c r="L66" s="17">
        <v>1.4833299999999999E-3</v>
      </c>
      <c r="M66" s="16">
        <f t="shared" si="1"/>
        <v>-3.14</v>
      </c>
      <c r="N66" s="16">
        <f t="shared" si="2"/>
        <v>-4.71</v>
      </c>
      <c r="O66" s="14"/>
    </row>
    <row r="67" spans="1:15">
      <c r="A67" s="14" t="s">
        <v>17</v>
      </c>
      <c r="B67" s="15" t="s">
        <v>263</v>
      </c>
      <c r="C67" s="15" t="s">
        <v>264</v>
      </c>
      <c r="D67" s="14" t="s">
        <v>265</v>
      </c>
      <c r="E67" s="15" t="s">
        <v>62</v>
      </c>
      <c r="F67" s="14" t="s">
        <v>22</v>
      </c>
      <c r="G67" s="15" t="s">
        <v>23</v>
      </c>
      <c r="H67" s="15" t="s">
        <v>1525</v>
      </c>
      <c r="I67" s="15">
        <v>201409</v>
      </c>
      <c r="J67" s="16">
        <v>-405.55</v>
      </c>
      <c r="K67" s="171">
        <f t="shared" si="0"/>
        <v>8</v>
      </c>
      <c r="L67" s="17">
        <v>1.4833299999999999E-3</v>
      </c>
      <c r="M67" s="16">
        <f t="shared" si="1"/>
        <v>-4.8099999999999996</v>
      </c>
      <c r="N67" s="16">
        <f t="shared" si="2"/>
        <v>-7.22</v>
      </c>
      <c r="O67" s="14"/>
    </row>
    <row r="68" spans="1:15">
      <c r="A68" s="14" t="s">
        <v>17</v>
      </c>
      <c r="B68" s="15" t="s">
        <v>266</v>
      </c>
      <c r="C68" s="15" t="s">
        <v>267</v>
      </c>
      <c r="D68" s="14" t="s">
        <v>268</v>
      </c>
      <c r="E68" s="15" t="s">
        <v>104</v>
      </c>
      <c r="F68" s="14" t="s">
        <v>41</v>
      </c>
      <c r="G68" s="15" t="s">
        <v>23</v>
      </c>
      <c r="H68" s="15" t="s">
        <v>1526</v>
      </c>
      <c r="I68" s="15">
        <v>201409</v>
      </c>
      <c r="J68" s="16">
        <v>3</v>
      </c>
      <c r="K68" s="171">
        <f t="shared" si="0"/>
        <v>8</v>
      </c>
      <c r="L68" s="17">
        <v>1.4833299999999999E-3</v>
      </c>
      <c r="M68" s="16">
        <f t="shared" si="1"/>
        <v>0.04</v>
      </c>
      <c r="N68" s="16">
        <f t="shared" si="2"/>
        <v>0.05</v>
      </c>
      <c r="O68" s="14"/>
    </row>
    <row r="69" spans="1:15">
      <c r="A69" s="14" t="s">
        <v>17</v>
      </c>
      <c r="B69" s="15" t="s">
        <v>269</v>
      </c>
      <c r="C69" s="15" t="s">
        <v>270</v>
      </c>
      <c r="D69" s="14" t="s">
        <v>271</v>
      </c>
      <c r="E69" s="15" t="s">
        <v>62</v>
      </c>
      <c r="F69" s="14" t="s">
        <v>22</v>
      </c>
      <c r="G69" s="15" t="s">
        <v>23</v>
      </c>
      <c r="H69" s="15" t="s">
        <v>1525</v>
      </c>
      <c r="I69" s="15">
        <v>201409</v>
      </c>
      <c r="J69" s="16">
        <v>0.82</v>
      </c>
      <c r="K69" s="171">
        <f t="shared" ref="K69:K132" si="3">VLOOKUP(I69,$Q$7:$R$15,2)</f>
        <v>8</v>
      </c>
      <c r="L69" s="17">
        <v>1.4833299999999999E-3</v>
      </c>
      <c r="M69" s="16">
        <f t="shared" ref="M69:M132" si="4">ROUND(J69*K69*L69,2)</f>
        <v>0.01</v>
      </c>
      <c r="N69" s="16">
        <f t="shared" ref="N69:N132" si="5">ROUND(J69*L69*12,2)</f>
        <v>0.01</v>
      </c>
      <c r="O69" s="14"/>
    </row>
    <row r="70" spans="1:15">
      <c r="A70" s="14" t="s">
        <v>17</v>
      </c>
      <c r="B70" s="15" t="s">
        <v>272</v>
      </c>
      <c r="C70" s="15" t="s">
        <v>273</v>
      </c>
      <c r="D70" s="14" t="s">
        <v>274</v>
      </c>
      <c r="E70" s="15" t="s">
        <v>36</v>
      </c>
      <c r="F70" s="14" t="s">
        <v>22</v>
      </c>
      <c r="G70" s="15" t="s">
        <v>23</v>
      </c>
      <c r="H70" s="15" t="s">
        <v>1525</v>
      </c>
      <c r="I70" s="15">
        <v>201409</v>
      </c>
      <c r="J70" s="16">
        <v>-319.74</v>
      </c>
      <c r="K70" s="171">
        <f t="shared" si="3"/>
        <v>8</v>
      </c>
      <c r="L70" s="17">
        <v>1.4833299999999999E-3</v>
      </c>
      <c r="M70" s="16">
        <f t="shared" si="4"/>
        <v>-3.79</v>
      </c>
      <c r="N70" s="16">
        <f t="shared" si="5"/>
        <v>-5.69</v>
      </c>
      <c r="O70" s="14"/>
    </row>
    <row r="71" spans="1:15">
      <c r="A71" s="14" t="s">
        <v>17</v>
      </c>
      <c r="B71" s="15" t="s">
        <v>275</v>
      </c>
      <c r="C71" s="15" t="s">
        <v>276</v>
      </c>
      <c r="D71" s="14" t="s">
        <v>277</v>
      </c>
      <c r="E71" s="15" t="s">
        <v>40</v>
      </c>
      <c r="F71" s="14" t="s">
        <v>41</v>
      </c>
      <c r="G71" s="15" t="s">
        <v>23</v>
      </c>
      <c r="H71" s="15" t="s">
        <v>1526</v>
      </c>
      <c r="I71" s="15">
        <v>201409</v>
      </c>
      <c r="J71" s="16">
        <v>-955.41</v>
      </c>
      <c r="K71" s="171">
        <f t="shared" si="3"/>
        <v>8</v>
      </c>
      <c r="L71" s="17">
        <v>1.4833299999999999E-3</v>
      </c>
      <c r="M71" s="16">
        <f t="shared" si="4"/>
        <v>-11.34</v>
      </c>
      <c r="N71" s="16">
        <f t="shared" si="5"/>
        <v>-17.010000000000002</v>
      </c>
      <c r="O71" s="14"/>
    </row>
    <row r="72" spans="1:15">
      <c r="A72" s="14" t="s">
        <v>54</v>
      </c>
      <c r="B72" s="15" t="s">
        <v>275</v>
      </c>
      <c r="C72" s="15" t="s">
        <v>276</v>
      </c>
      <c r="D72" s="14" t="s">
        <v>277</v>
      </c>
      <c r="E72" s="15" t="s">
        <v>40</v>
      </c>
      <c r="F72" s="14" t="s">
        <v>41</v>
      </c>
      <c r="G72" s="15" t="s">
        <v>23</v>
      </c>
      <c r="H72" s="15" t="s">
        <v>1526</v>
      </c>
      <c r="I72" s="15">
        <v>201409</v>
      </c>
      <c r="J72" s="16">
        <v>-211.86</v>
      </c>
      <c r="K72" s="171">
        <f t="shared" si="3"/>
        <v>8</v>
      </c>
      <c r="L72" s="17">
        <v>1.4833299999999999E-3</v>
      </c>
      <c r="M72" s="16">
        <f t="shared" si="4"/>
        <v>-2.5099999999999998</v>
      </c>
      <c r="N72" s="16">
        <f t="shared" si="5"/>
        <v>-3.77</v>
      </c>
      <c r="O72" s="14"/>
    </row>
    <row r="73" spans="1:15">
      <c r="A73" s="14" t="s">
        <v>17</v>
      </c>
      <c r="B73" s="15" t="s">
        <v>278</v>
      </c>
      <c r="C73" s="15" t="s">
        <v>279</v>
      </c>
      <c r="D73" s="14" t="s">
        <v>280</v>
      </c>
      <c r="E73" s="15" t="s">
        <v>104</v>
      </c>
      <c r="F73" s="14" t="s">
        <v>41</v>
      </c>
      <c r="G73" s="15" t="s">
        <v>23</v>
      </c>
      <c r="H73" s="15" t="s">
        <v>1526</v>
      </c>
      <c r="I73" s="15">
        <v>201409</v>
      </c>
      <c r="J73" s="16">
        <v>-53.52</v>
      </c>
      <c r="K73" s="171">
        <f t="shared" si="3"/>
        <v>8</v>
      </c>
      <c r="L73" s="17">
        <v>1.4833299999999999E-3</v>
      </c>
      <c r="M73" s="16">
        <f t="shared" si="4"/>
        <v>-0.64</v>
      </c>
      <c r="N73" s="16">
        <f t="shared" si="5"/>
        <v>-0.95</v>
      </c>
      <c r="O73" s="14"/>
    </row>
    <row r="74" spans="1:15">
      <c r="A74" s="14" t="s">
        <v>17</v>
      </c>
      <c r="B74" s="15" t="s">
        <v>281</v>
      </c>
      <c r="C74" s="15" t="s">
        <v>282</v>
      </c>
      <c r="D74" s="14" t="s">
        <v>283</v>
      </c>
      <c r="E74" s="15" t="s">
        <v>40</v>
      </c>
      <c r="F74" s="14" t="s">
        <v>41</v>
      </c>
      <c r="G74" s="15" t="s">
        <v>23</v>
      </c>
      <c r="H74" s="15" t="s">
        <v>1526</v>
      </c>
      <c r="I74" s="15">
        <v>201409</v>
      </c>
      <c r="J74" s="16">
        <v>-3433.06</v>
      </c>
      <c r="K74" s="171">
        <f t="shared" si="3"/>
        <v>8</v>
      </c>
      <c r="L74" s="17">
        <v>1.4833299999999999E-3</v>
      </c>
      <c r="M74" s="16">
        <f t="shared" si="4"/>
        <v>-40.74</v>
      </c>
      <c r="N74" s="16">
        <f t="shared" si="5"/>
        <v>-61.11</v>
      </c>
      <c r="O74" s="14"/>
    </row>
    <row r="75" spans="1:15">
      <c r="A75" s="14" t="s">
        <v>17</v>
      </c>
      <c r="B75" s="15" t="s">
        <v>287</v>
      </c>
      <c r="C75" s="15" t="s">
        <v>288</v>
      </c>
      <c r="D75" s="14" t="s">
        <v>289</v>
      </c>
      <c r="E75" s="15" t="s">
        <v>21</v>
      </c>
      <c r="F75" s="14" t="s">
        <v>22</v>
      </c>
      <c r="G75" s="15" t="s">
        <v>23</v>
      </c>
      <c r="H75" s="15" t="s">
        <v>1525</v>
      </c>
      <c r="I75" s="15">
        <v>201409</v>
      </c>
      <c r="J75" s="16">
        <v>-258.58</v>
      </c>
      <c r="K75" s="171">
        <f t="shared" si="3"/>
        <v>8</v>
      </c>
      <c r="L75" s="17">
        <v>1.4833299999999999E-3</v>
      </c>
      <c r="M75" s="16">
        <f t="shared" si="4"/>
        <v>-3.07</v>
      </c>
      <c r="N75" s="16">
        <f t="shared" si="5"/>
        <v>-4.5999999999999996</v>
      </c>
      <c r="O75" s="14"/>
    </row>
    <row r="76" spans="1:15">
      <c r="A76" s="14" t="s">
        <v>17</v>
      </c>
      <c r="B76" s="15" t="s">
        <v>290</v>
      </c>
      <c r="C76" s="15" t="s">
        <v>291</v>
      </c>
      <c r="D76" s="14" t="s">
        <v>292</v>
      </c>
      <c r="E76" s="15" t="s">
        <v>62</v>
      </c>
      <c r="F76" s="14" t="s">
        <v>22</v>
      </c>
      <c r="G76" s="15" t="s">
        <v>23</v>
      </c>
      <c r="H76" s="15" t="s">
        <v>1525</v>
      </c>
      <c r="I76" s="15">
        <v>201409</v>
      </c>
      <c r="J76" s="16">
        <v>-309.68</v>
      </c>
      <c r="K76" s="171">
        <f t="shared" si="3"/>
        <v>8</v>
      </c>
      <c r="L76" s="17">
        <v>1.4833299999999999E-3</v>
      </c>
      <c r="M76" s="16">
        <f t="shared" si="4"/>
        <v>-3.67</v>
      </c>
      <c r="N76" s="16">
        <f t="shared" si="5"/>
        <v>-5.51</v>
      </c>
      <c r="O76" s="14"/>
    </row>
    <row r="77" spans="1:15">
      <c r="A77" s="14" t="s">
        <v>17</v>
      </c>
      <c r="B77" s="15" t="s">
        <v>293</v>
      </c>
      <c r="C77" s="15" t="s">
        <v>294</v>
      </c>
      <c r="D77" s="14" t="s">
        <v>295</v>
      </c>
      <c r="E77" s="15" t="s">
        <v>296</v>
      </c>
      <c r="F77" s="14" t="s">
        <v>28</v>
      </c>
      <c r="G77" s="15" t="s">
        <v>23</v>
      </c>
      <c r="H77" s="15" t="s">
        <v>1525</v>
      </c>
      <c r="I77" s="15">
        <v>201409</v>
      </c>
      <c r="J77" s="16">
        <v>-79.17</v>
      </c>
      <c r="K77" s="171">
        <f t="shared" si="3"/>
        <v>8</v>
      </c>
      <c r="L77" s="17">
        <v>1.4833299999999999E-3</v>
      </c>
      <c r="M77" s="16">
        <f t="shared" si="4"/>
        <v>-0.94</v>
      </c>
      <c r="N77" s="16">
        <f t="shared" si="5"/>
        <v>-1.41</v>
      </c>
      <c r="O77" s="14"/>
    </row>
    <row r="78" spans="1:15">
      <c r="A78" s="14" t="s">
        <v>17</v>
      </c>
      <c r="B78" s="15" t="s">
        <v>297</v>
      </c>
      <c r="C78" s="15" t="s">
        <v>298</v>
      </c>
      <c r="D78" s="14" t="s">
        <v>299</v>
      </c>
      <c r="E78" s="15" t="s">
        <v>21</v>
      </c>
      <c r="F78" s="14" t="s">
        <v>22</v>
      </c>
      <c r="G78" s="15" t="s">
        <v>23</v>
      </c>
      <c r="H78" s="15" t="s">
        <v>1525</v>
      </c>
      <c r="I78" s="15">
        <v>201409</v>
      </c>
      <c r="J78" s="16">
        <v>-1027.9100000000001</v>
      </c>
      <c r="K78" s="171">
        <f t="shared" si="3"/>
        <v>8</v>
      </c>
      <c r="L78" s="17">
        <v>1.4833299999999999E-3</v>
      </c>
      <c r="M78" s="16">
        <f t="shared" si="4"/>
        <v>-12.2</v>
      </c>
      <c r="N78" s="16">
        <f t="shared" si="5"/>
        <v>-18.3</v>
      </c>
      <c r="O78" s="14"/>
    </row>
    <row r="79" spans="1:15">
      <c r="A79" s="14" t="s">
        <v>17</v>
      </c>
      <c r="B79" s="15" t="s">
        <v>300</v>
      </c>
      <c r="C79" s="15" t="s">
        <v>301</v>
      </c>
      <c r="D79" s="14" t="s">
        <v>302</v>
      </c>
      <c r="E79" s="15" t="s">
        <v>141</v>
      </c>
      <c r="F79" s="14" t="s">
        <v>142</v>
      </c>
      <c r="G79" s="15" t="s">
        <v>23</v>
      </c>
      <c r="H79" s="15" t="s">
        <v>1525</v>
      </c>
      <c r="I79" s="15">
        <v>201409</v>
      </c>
      <c r="J79" s="16">
        <v>-683.05</v>
      </c>
      <c r="K79" s="171">
        <f t="shared" si="3"/>
        <v>8</v>
      </c>
      <c r="L79" s="17">
        <v>1.4833299999999999E-3</v>
      </c>
      <c r="M79" s="16">
        <f t="shared" si="4"/>
        <v>-8.11</v>
      </c>
      <c r="N79" s="16">
        <f t="shared" si="5"/>
        <v>-12.16</v>
      </c>
      <c r="O79" s="14"/>
    </row>
    <row r="80" spans="1:15">
      <c r="A80" s="14" t="s">
        <v>54</v>
      </c>
      <c r="B80" s="15" t="s">
        <v>303</v>
      </c>
      <c r="C80" s="15" t="s">
        <v>304</v>
      </c>
      <c r="D80" s="14" t="s">
        <v>305</v>
      </c>
      <c r="E80" s="15" t="s">
        <v>104</v>
      </c>
      <c r="F80" s="14" t="s">
        <v>41</v>
      </c>
      <c r="G80" s="15" t="s">
        <v>23</v>
      </c>
      <c r="H80" s="15" t="s">
        <v>1526</v>
      </c>
      <c r="I80" s="15">
        <v>201409</v>
      </c>
      <c r="J80" s="16">
        <v>-52.25</v>
      </c>
      <c r="K80" s="171">
        <f t="shared" si="3"/>
        <v>8</v>
      </c>
      <c r="L80" s="17">
        <v>1.4833299999999999E-3</v>
      </c>
      <c r="M80" s="16">
        <f t="shared" si="4"/>
        <v>-0.62</v>
      </c>
      <c r="N80" s="16">
        <f t="shared" si="5"/>
        <v>-0.93</v>
      </c>
      <c r="O80" s="14"/>
    </row>
    <row r="81" spans="1:15">
      <c r="A81" s="14" t="s">
        <v>54</v>
      </c>
      <c r="B81" s="15" t="s">
        <v>306</v>
      </c>
      <c r="C81" s="15" t="s">
        <v>307</v>
      </c>
      <c r="D81" s="14" t="s">
        <v>308</v>
      </c>
      <c r="E81" s="15" t="s">
        <v>36</v>
      </c>
      <c r="F81" s="14" t="s">
        <v>22</v>
      </c>
      <c r="G81" s="15" t="s">
        <v>23</v>
      </c>
      <c r="H81" s="15" t="s">
        <v>1525</v>
      </c>
      <c r="I81" s="15">
        <v>201409</v>
      </c>
      <c r="J81" s="16">
        <v>-195.22</v>
      </c>
      <c r="K81" s="171">
        <f t="shared" si="3"/>
        <v>8</v>
      </c>
      <c r="L81" s="17">
        <v>1.4833299999999999E-3</v>
      </c>
      <c r="M81" s="16">
        <f t="shared" si="4"/>
        <v>-2.3199999999999998</v>
      </c>
      <c r="N81" s="16">
        <f t="shared" si="5"/>
        <v>-3.47</v>
      </c>
      <c r="O81" s="14"/>
    </row>
    <row r="82" spans="1:15">
      <c r="A82" s="14" t="s">
        <v>17</v>
      </c>
      <c r="B82" s="15" t="s">
        <v>312</v>
      </c>
      <c r="C82" s="15" t="s">
        <v>313</v>
      </c>
      <c r="D82" s="14" t="s">
        <v>314</v>
      </c>
      <c r="E82" s="15" t="s">
        <v>176</v>
      </c>
      <c r="F82" s="14" t="s">
        <v>28</v>
      </c>
      <c r="G82" s="15" t="s">
        <v>23</v>
      </c>
      <c r="H82" s="15" t="s">
        <v>1525</v>
      </c>
      <c r="I82" s="15">
        <v>201409</v>
      </c>
      <c r="J82" s="16">
        <v>5.0199999999999996</v>
      </c>
      <c r="K82" s="171">
        <f t="shared" si="3"/>
        <v>8</v>
      </c>
      <c r="L82" s="17">
        <v>1.4833299999999999E-3</v>
      </c>
      <c r="M82" s="16">
        <f t="shared" si="4"/>
        <v>0.06</v>
      </c>
      <c r="N82" s="16">
        <f t="shared" si="5"/>
        <v>0.09</v>
      </c>
      <c r="O82" s="14"/>
    </row>
    <row r="83" spans="1:15">
      <c r="A83" s="14" t="s">
        <v>17</v>
      </c>
      <c r="B83" s="15" t="s">
        <v>315</v>
      </c>
      <c r="C83" s="15" t="s">
        <v>316</v>
      </c>
      <c r="D83" s="14" t="s">
        <v>317</v>
      </c>
      <c r="E83" s="15" t="s">
        <v>141</v>
      </c>
      <c r="F83" s="14" t="s">
        <v>142</v>
      </c>
      <c r="G83" s="15" t="s">
        <v>23</v>
      </c>
      <c r="H83" s="15" t="s">
        <v>1525</v>
      </c>
      <c r="I83" s="15">
        <v>201409</v>
      </c>
      <c r="J83" s="16">
        <v>-417.76</v>
      </c>
      <c r="K83" s="171">
        <f t="shared" si="3"/>
        <v>8</v>
      </c>
      <c r="L83" s="17">
        <v>1.4833299999999999E-3</v>
      </c>
      <c r="M83" s="16">
        <f t="shared" si="4"/>
        <v>-4.96</v>
      </c>
      <c r="N83" s="16">
        <f t="shared" si="5"/>
        <v>-7.44</v>
      </c>
      <c r="O83" s="14"/>
    </row>
    <row r="84" spans="1:15">
      <c r="A84" s="14" t="s">
        <v>17</v>
      </c>
      <c r="B84" s="15" t="s">
        <v>318</v>
      </c>
      <c r="C84" s="15" t="s">
        <v>319</v>
      </c>
      <c r="D84" s="14" t="s">
        <v>320</v>
      </c>
      <c r="E84" s="15" t="s">
        <v>141</v>
      </c>
      <c r="F84" s="14" t="s">
        <v>142</v>
      </c>
      <c r="G84" s="15" t="s">
        <v>23</v>
      </c>
      <c r="H84" s="15" t="s">
        <v>1525</v>
      </c>
      <c r="I84" s="15">
        <v>201409</v>
      </c>
      <c r="J84" s="16">
        <v>-427.59</v>
      </c>
      <c r="K84" s="171">
        <f t="shared" si="3"/>
        <v>8</v>
      </c>
      <c r="L84" s="17">
        <v>1.4833299999999999E-3</v>
      </c>
      <c r="M84" s="16">
        <f t="shared" si="4"/>
        <v>-5.07</v>
      </c>
      <c r="N84" s="16">
        <f t="shared" si="5"/>
        <v>-7.61</v>
      </c>
      <c r="O84" s="14"/>
    </row>
    <row r="85" spans="1:15">
      <c r="A85" s="14" t="s">
        <v>17</v>
      </c>
      <c r="B85" s="15" t="s">
        <v>321</v>
      </c>
      <c r="C85" s="15" t="s">
        <v>322</v>
      </c>
      <c r="D85" s="14" t="s">
        <v>323</v>
      </c>
      <c r="E85" s="15" t="s">
        <v>324</v>
      </c>
      <c r="F85" s="14" t="s">
        <v>325</v>
      </c>
      <c r="G85" s="15" t="s">
        <v>23</v>
      </c>
      <c r="H85" s="15" t="s">
        <v>1525</v>
      </c>
      <c r="I85" s="15">
        <v>201409</v>
      </c>
      <c r="J85" s="16">
        <v>-370.12</v>
      </c>
      <c r="K85" s="171">
        <f t="shared" si="3"/>
        <v>8</v>
      </c>
      <c r="L85" s="17">
        <v>1.4833299999999999E-3</v>
      </c>
      <c r="M85" s="16">
        <f t="shared" si="4"/>
        <v>-4.3899999999999997</v>
      </c>
      <c r="N85" s="16">
        <f t="shared" si="5"/>
        <v>-6.59</v>
      </c>
      <c r="O85" s="14"/>
    </row>
    <row r="86" spans="1:15">
      <c r="A86" s="14" t="s">
        <v>54</v>
      </c>
      <c r="B86" s="15" t="s">
        <v>326</v>
      </c>
      <c r="C86" s="15" t="s">
        <v>327</v>
      </c>
      <c r="D86" s="14" t="s">
        <v>328</v>
      </c>
      <c r="E86" s="15" t="s">
        <v>32</v>
      </c>
      <c r="F86" s="14" t="s">
        <v>22</v>
      </c>
      <c r="G86" s="15" t="s">
        <v>23</v>
      </c>
      <c r="H86" s="15" t="s">
        <v>1525</v>
      </c>
      <c r="I86" s="15">
        <v>201409</v>
      </c>
      <c r="J86" s="16">
        <v>-118.82</v>
      </c>
      <c r="K86" s="171">
        <f t="shared" si="3"/>
        <v>8</v>
      </c>
      <c r="L86" s="17">
        <v>1.4833299999999999E-3</v>
      </c>
      <c r="M86" s="16">
        <f t="shared" si="4"/>
        <v>-1.41</v>
      </c>
      <c r="N86" s="16">
        <f t="shared" si="5"/>
        <v>-2.11</v>
      </c>
      <c r="O86" s="14"/>
    </row>
    <row r="87" spans="1:15">
      <c r="A87" s="14" t="s">
        <v>17</v>
      </c>
      <c r="B87" s="15" t="s">
        <v>329</v>
      </c>
      <c r="C87" s="15" t="s">
        <v>330</v>
      </c>
      <c r="D87" s="14" t="s">
        <v>331</v>
      </c>
      <c r="E87" s="15" t="s">
        <v>108</v>
      </c>
      <c r="F87" s="14" t="s">
        <v>28</v>
      </c>
      <c r="G87" s="15" t="s">
        <v>23</v>
      </c>
      <c r="H87" s="15" t="s">
        <v>1525</v>
      </c>
      <c r="I87" s="15">
        <v>201409</v>
      </c>
      <c r="J87" s="16">
        <v>5.61</v>
      </c>
      <c r="K87" s="171">
        <f t="shared" si="3"/>
        <v>8</v>
      </c>
      <c r="L87" s="17">
        <v>1.4833299999999999E-3</v>
      </c>
      <c r="M87" s="16">
        <f t="shared" si="4"/>
        <v>7.0000000000000007E-2</v>
      </c>
      <c r="N87" s="16">
        <f t="shared" si="5"/>
        <v>0.1</v>
      </c>
      <c r="O87" s="14"/>
    </row>
    <row r="88" spans="1:15">
      <c r="A88" s="14" t="s">
        <v>54</v>
      </c>
      <c r="B88" s="15" t="s">
        <v>332</v>
      </c>
      <c r="C88" s="15" t="s">
        <v>333</v>
      </c>
      <c r="D88" s="14" t="s">
        <v>334</v>
      </c>
      <c r="E88" s="15" t="s">
        <v>36</v>
      </c>
      <c r="F88" s="14" t="s">
        <v>22</v>
      </c>
      <c r="G88" s="15" t="s">
        <v>23</v>
      </c>
      <c r="H88" s="15" t="s">
        <v>1525</v>
      </c>
      <c r="I88" s="15">
        <v>201409</v>
      </c>
      <c r="J88" s="16">
        <v>-149.47999999999999</v>
      </c>
      <c r="K88" s="171">
        <f t="shared" si="3"/>
        <v>8</v>
      </c>
      <c r="L88" s="17">
        <v>1.4833299999999999E-3</v>
      </c>
      <c r="M88" s="16">
        <f t="shared" si="4"/>
        <v>-1.77</v>
      </c>
      <c r="N88" s="16">
        <f t="shared" si="5"/>
        <v>-2.66</v>
      </c>
      <c r="O88" s="14"/>
    </row>
    <row r="89" spans="1:15">
      <c r="A89" s="14" t="s">
        <v>17</v>
      </c>
      <c r="B89" s="15" t="s">
        <v>335</v>
      </c>
      <c r="C89" s="15" t="s">
        <v>336</v>
      </c>
      <c r="D89" s="14" t="s">
        <v>337</v>
      </c>
      <c r="E89" s="15" t="s">
        <v>62</v>
      </c>
      <c r="F89" s="14" t="s">
        <v>22</v>
      </c>
      <c r="G89" s="15" t="s">
        <v>23</v>
      </c>
      <c r="H89" s="15" t="s">
        <v>1525</v>
      </c>
      <c r="I89" s="15">
        <v>201409</v>
      </c>
      <c r="J89" s="16">
        <v>-2164.7800000000002</v>
      </c>
      <c r="K89" s="171">
        <f t="shared" si="3"/>
        <v>8</v>
      </c>
      <c r="L89" s="17">
        <v>1.4833299999999999E-3</v>
      </c>
      <c r="M89" s="16">
        <f t="shared" si="4"/>
        <v>-25.69</v>
      </c>
      <c r="N89" s="16">
        <f t="shared" si="5"/>
        <v>-38.53</v>
      </c>
      <c r="O89" s="14"/>
    </row>
    <row r="90" spans="1:15">
      <c r="A90" s="14" t="s">
        <v>17</v>
      </c>
      <c r="B90" s="15" t="s">
        <v>338</v>
      </c>
      <c r="C90" s="15" t="s">
        <v>339</v>
      </c>
      <c r="D90" s="14" t="s">
        <v>340</v>
      </c>
      <c r="E90" s="15" t="s">
        <v>62</v>
      </c>
      <c r="F90" s="14" t="s">
        <v>22</v>
      </c>
      <c r="G90" s="15" t="s">
        <v>23</v>
      </c>
      <c r="H90" s="15" t="s">
        <v>1525</v>
      </c>
      <c r="I90" s="15">
        <v>201409</v>
      </c>
      <c r="J90" s="16">
        <v>-1152.29</v>
      </c>
      <c r="K90" s="171">
        <f t="shared" si="3"/>
        <v>8</v>
      </c>
      <c r="L90" s="17">
        <v>1.4833299999999999E-3</v>
      </c>
      <c r="M90" s="16">
        <f t="shared" si="4"/>
        <v>-13.67</v>
      </c>
      <c r="N90" s="16">
        <f t="shared" si="5"/>
        <v>-20.51</v>
      </c>
      <c r="O90" s="14"/>
    </row>
    <row r="91" spans="1:15">
      <c r="A91" s="14" t="s">
        <v>164</v>
      </c>
      <c r="B91" s="15" t="s">
        <v>341</v>
      </c>
      <c r="C91" s="15" t="s">
        <v>342</v>
      </c>
      <c r="D91" s="14" t="s">
        <v>343</v>
      </c>
      <c r="E91" s="15" t="s">
        <v>168</v>
      </c>
      <c r="F91" s="14" t="s">
        <v>169</v>
      </c>
      <c r="G91" s="15" t="s">
        <v>23</v>
      </c>
      <c r="H91" s="15" t="s">
        <v>1528</v>
      </c>
      <c r="I91" s="15">
        <v>201409</v>
      </c>
      <c r="J91" s="16">
        <v>-787.04</v>
      </c>
      <c r="K91" s="171">
        <f t="shared" si="3"/>
        <v>8</v>
      </c>
      <c r="L91" s="17">
        <v>2.1916700000000002E-3</v>
      </c>
      <c r="M91" s="16">
        <f t="shared" si="4"/>
        <v>-13.8</v>
      </c>
      <c r="N91" s="16">
        <f t="shared" si="5"/>
        <v>-20.7</v>
      </c>
      <c r="O91" s="14"/>
    </row>
    <row r="92" spans="1:15">
      <c r="A92" s="14" t="s">
        <v>17</v>
      </c>
      <c r="B92" s="15" t="s">
        <v>344</v>
      </c>
      <c r="C92" s="15" t="s">
        <v>345</v>
      </c>
      <c r="D92" s="14" t="s">
        <v>346</v>
      </c>
      <c r="E92" s="15" t="s">
        <v>53</v>
      </c>
      <c r="F92" s="14" t="s">
        <v>41</v>
      </c>
      <c r="G92" s="15" t="s">
        <v>23</v>
      </c>
      <c r="H92" s="15" t="s">
        <v>1526</v>
      </c>
      <c r="I92" s="15">
        <v>201409</v>
      </c>
      <c r="J92" s="16">
        <v>-1802.78</v>
      </c>
      <c r="K92" s="171">
        <f t="shared" si="3"/>
        <v>8</v>
      </c>
      <c r="L92" s="17">
        <v>1.4833299999999999E-3</v>
      </c>
      <c r="M92" s="16">
        <f t="shared" si="4"/>
        <v>-21.39</v>
      </c>
      <c r="N92" s="16">
        <f t="shared" si="5"/>
        <v>-32.090000000000003</v>
      </c>
      <c r="O92" s="14"/>
    </row>
    <row r="93" spans="1:15">
      <c r="A93" s="14" t="s">
        <v>17</v>
      </c>
      <c r="B93" s="15" t="s">
        <v>347</v>
      </c>
      <c r="C93" s="15" t="s">
        <v>348</v>
      </c>
      <c r="D93" s="14" t="s">
        <v>349</v>
      </c>
      <c r="E93" s="15" t="s">
        <v>324</v>
      </c>
      <c r="F93" s="14" t="s">
        <v>325</v>
      </c>
      <c r="G93" s="15" t="s">
        <v>23</v>
      </c>
      <c r="H93" s="15" t="s">
        <v>1525</v>
      </c>
      <c r="I93" s="15">
        <v>201409</v>
      </c>
      <c r="J93" s="16">
        <v>478.42</v>
      </c>
      <c r="K93" s="171">
        <f t="shared" si="3"/>
        <v>8</v>
      </c>
      <c r="L93" s="17">
        <v>1.4833299999999999E-3</v>
      </c>
      <c r="M93" s="16">
        <f t="shared" si="4"/>
        <v>5.68</v>
      </c>
      <c r="N93" s="16">
        <f t="shared" si="5"/>
        <v>8.52</v>
      </c>
      <c r="O93" s="14"/>
    </row>
    <row r="94" spans="1:15">
      <c r="A94" s="14" t="s">
        <v>17</v>
      </c>
      <c r="B94" s="15" t="s">
        <v>350</v>
      </c>
      <c r="C94" s="15" t="s">
        <v>351</v>
      </c>
      <c r="D94" s="14" t="s">
        <v>352</v>
      </c>
      <c r="E94" s="15" t="s">
        <v>108</v>
      </c>
      <c r="F94" s="14" t="s">
        <v>28</v>
      </c>
      <c r="G94" s="15" t="s">
        <v>23</v>
      </c>
      <c r="H94" s="15" t="s">
        <v>1525</v>
      </c>
      <c r="I94" s="15">
        <v>201409</v>
      </c>
      <c r="J94" s="16">
        <v>8.58</v>
      </c>
      <c r="K94" s="171">
        <f t="shared" si="3"/>
        <v>8</v>
      </c>
      <c r="L94" s="17">
        <v>1.4833299999999999E-3</v>
      </c>
      <c r="M94" s="16">
        <f t="shared" si="4"/>
        <v>0.1</v>
      </c>
      <c r="N94" s="16">
        <f t="shared" si="5"/>
        <v>0.15</v>
      </c>
      <c r="O94" s="14"/>
    </row>
    <row r="95" spans="1:15">
      <c r="A95" s="14" t="s">
        <v>17</v>
      </c>
      <c r="B95" s="15" t="s">
        <v>353</v>
      </c>
      <c r="C95" s="15" t="s">
        <v>354</v>
      </c>
      <c r="D95" s="14" t="s">
        <v>355</v>
      </c>
      <c r="E95" s="15" t="s">
        <v>62</v>
      </c>
      <c r="F95" s="14" t="s">
        <v>22</v>
      </c>
      <c r="G95" s="15" t="s">
        <v>23</v>
      </c>
      <c r="H95" s="15" t="s">
        <v>1525</v>
      </c>
      <c r="I95" s="15">
        <v>201409</v>
      </c>
      <c r="J95" s="16">
        <v>-1349</v>
      </c>
      <c r="K95" s="171">
        <f t="shared" si="3"/>
        <v>8</v>
      </c>
      <c r="L95" s="17">
        <v>1.4833299999999999E-3</v>
      </c>
      <c r="M95" s="16">
        <f t="shared" si="4"/>
        <v>-16.010000000000002</v>
      </c>
      <c r="N95" s="16">
        <f t="shared" si="5"/>
        <v>-24.01</v>
      </c>
      <c r="O95" s="14"/>
    </row>
    <row r="96" spans="1:15">
      <c r="A96" s="14" t="s">
        <v>238</v>
      </c>
      <c r="B96" s="15" t="s">
        <v>356</v>
      </c>
      <c r="C96" s="15" t="s">
        <v>357</v>
      </c>
      <c r="D96" s="14" t="s">
        <v>358</v>
      </c>
      <c r="E96" s="15" t="s">
        <v>168</v>
      </c>
      <c r="F96" s="14" t="s">
        <v>169</v>
      </c>
      <c r="G96" s="15" t="s">
        <v>23</v>
      </c>
      <c r="H96" s="15" t="s">
        <v>1528</v>
      </c>
      <c r="I96" s="15">
        <v>201409</v>
      </c>
      <c r="J96" s="16">
        <v>-2239.5500000000002</v>
      </c>
      <c r="K96" s="171">
        <f t="shared" si="3"/>
        <v>8</v>
      </c>
      <c r="L96" s="17">
        <v>2.3833299999999999E-3</v>
      </c>
      <c r="M96" s="16">
        <f t="shared" si="4"/>
        <v>-42.7</v>
      </c>
      <c r="N96" s="16">
        <f t="shared" si="5"/>
        <v>-64.05</v>
      </c>
      <c r="O96" s="14"/>
    </row>
    <row r="97" spans="1:15">
      <c r="A97" s="14" t="s">
        <v>54</v>
      </c>
      <c r="B97" s="15" t="s">
        <v>359</v>
      </c>
      <c r="C97" s="15" t="s">
        <v>360</v>
      </c>
      <c r="D97" s="14" t="s">
        <v>361</v>
      </c>
      <c r="E97" s="15" t="s">
        <v>362</v>
      </c>
      <c r="F97" s="14" t="s">
        <v>41</v>
      </c>
      <c r="G97" s="15" t="s">
        <v>23</v>
      </c>
      <c r="H97" s="15" t="s">
        <v>1526</v>
      </c>
      <c r="I97" s="15">
        <v>201409</v>
      </c>
      <c r="J97" s="16">
        <v>-2592.5700000000002</v>
      </c>
      <c r="K97" s="171">
        <f t="shared" si="3"/>
        <v>8</v>
      </c>
      <c r="L97" s="17">
        <v>1.4833299999999999E-3</v>
      </c>
      <c r="M97" s="16">
        <f t="shared" si="4"/>
        <v>-30.77</v>
      </c>
      <c r="N97" s="16">
        <f t="shared" si="5"/>
        <v>-46.15</v>
      </c>
      <c r="O97" s="14"/>
    </row>
    <row r="98" spans="1:15">
      <c r="A98" s="14" t="s">
        <v>17</v>
      </c>
      <c r="B98" s="15" t="s">
        <v>363</v>
      </c>
      <c r="C98" s="15" t="s">
        <v>364</v>
      </c>
      <c r="D98" s="14" t="s">
        <v>365</v>
      </c>
      <c r="E98" s="15" t="s">
        <v>21</v>
      </c>
      <c r="F98" s="14" t="s">
        <v>22</v>
      </c>
      <c r="G98" s="15" t="s">
        <v>23</v>
      </c>
      <c r="H98" s="15" t="s">
        <v>1525</v>
      </c>
      <c r="I98" s="15">
        <v>201409</v>
      </c>
      <c r="J98" s="16">
        <v>25.47</v>
      </c>
      <c r="K98" s="171">
        <f t="shared" si="3"/>
        <v>8</v>
      </c>
      <c r="L98" s="17">
        <v>1.4833299999999999E-3</v>
      </c>
      <c r="M98" s="16">
        <f t="shared" si="4"/>
        <v>0.3</v>
      </c>
      <c r="N98" s="16">
        <f t="shared" si="5"/>
        <v>0.45</v>
      </c>
      <c r="O98" s="14"/>
    </row>
    <row r="99" spans="1:15">
      <c r="A99" s="14" t="s">
        <v>66</v>
      </c>
      <c r="B99" s="15" t="s">
        <v>371</v>
      </c>
      <c r="C99" s="15" t="s">
        <v>372</v>
      </c>
      <c r="D99" s="14" t="s">
        <v>88</v>
      </c>
      <c r="E99" s="15" t="s">
        <v>373</v>
      </c>
      <c r="F99" s="14" t="s">
        <v>85</v>
      </c>
      <c r="G99" s="15" t="s">
        <v>23</v>
      </c>
      <c r="H99" s="15" t="s">
        <v>1530</v>
      </c>
      <c r="I99" s="15">
        <v>201409</v>
      </c>
      <c r="J99" s="16">
        <v>47214.32</v>
      </c>
      <c r="K99" s="171">
        <f t="shared" si="3"/>
        <v>8</v>
      </c>
      <c r="L99" s="17">
        <v>2.23333E-3</v>
      </c>
      <c r="M99" s="16">
        <f t="shared" si="4"/>
        <v>843.56</v>
      </c>
      <c r="N99" s="16">
        <f t="shared" si="5"/>
        <v>1265.3399999999999</v>
      </c>
      <c r="O99" s="14"/>
    </row>
    <row r="100" spans="1:15">
      <c r="A100" s="14" t="s">
        <v>66</v>
      </c>
      <c r="B100" s="15" t="s">
        <v>374</v>
      </c>
      <c r="C100" s="15" t="s">
        <v>375</v>
      </c>
      <c r="D100" s="14" t="s">
        <v>376</v>
      </c>
      <c r="E100" s="15" t="s">
        <v>377</v>
      </c>
      <c r="F100" s="14" t="s">
        <v>378</v>
      </c>
      <c r="G100" s="15" t="s">
        <v>23</v>
      </c>
      <c r="H100" s="15" t="s">
        <v>1530</v>
      </c>
      <c r="I100" s="15">
        <v>201409</v>
      </c>
      <c r="J100" s="16">
        <v>23482.38</v>
      </c>
      <c r="K100" s="171">
        <f t="shared" si="3"/>
        <v>8</v>
      </c>
      <c r="L100" s="17">
        <v>2.23333E-3</v>
      </c>
      <c r="M100" s="16">
        <f t="shared" si="4"/>
        <v>419.55</v>
      </c>
      <c r="N100" s="16">
        <f t="shared" si="5"/>
        <v>629.33000000000004</v>
      </c>
      <c r="O100" s="14"/>
    </row>
    <row r="101" spans="1:15">
      <c r="A101" s="14" t="s">
        <v>66</v>
      </c>
      <c r="B101" s="15" t="s">
        <v>379</v>
      </c>
      <c r="C101" s="15" t="s">
        <v>380</v>
      </c>
      <c r="D101" s="14" t="s">
        <v>381</v>
      </c>
      <c r="E101" s="15" t="s">
        <v>382</v>
      </c>
      <c r="F101" s="14" t="s">
        <v>212</v>
      </c>
      <c r="G101" s="15" t="s">
        <v>23</v>
      </c>
      <c r="H101" s="15" t="s">
        <v>1530</v>
      </c>
      <c r="I101" s="15">
        <v>201409</v>
      </c>
      <c r="J101" s="16">
        <v>51541.52</v>
      </c>
      <c r="K101" s="171">
        <f t="shared" si="3"/>
        <v>8</v>
      </c>
      <c r="L101" s="17">
        <v>2.23333E-3</v>
      </c>
      <c r="M101" s="16">
        <f t="shared" si="4"/>
        <v>920.87</v>
      </c>
      <c r="N101" s="16">
        <f t="shared" si="5"/>
        <v>1381.31</v>
      </c>
      <c r="O101" s="14"/>
    </row>
    <row r="102" spans="1:15">
      <c r="A102" s="14" t="s">
        <v>66</v>
      </c>
      <c r="B102" s="15" t="s">
        <v>383</v>
      </c>
      <c r="C102" s="15" t="s">
        <v>384</v>
      </c>
      <c r="D102" s="14" t="s">
        <v>385</v>
      </c>
      <c r="E102" s="15" t="s">
        <v>386</v>
      </c>
      <c r="F102" s="14" t="s">
        <v>387</v>
      </c>
      <c r="G102" s="15" t="s">
        <v>23</v>
      </c>
      <c r="H102" s="15" t="s">
        <v>1530</v>
      </c>
      <c r="I102" s="15">
        <v>201409</v>
      </c>
      <c r="J102" s="16">
        <v>103600.86</v>
      </c>
      <c r="K102" s="171">
        <f t="shared" si="3"/>
        <v>8</v>
      </c>
      <c r="L102" s="17">
        <v>2.23333E-3</v>
      </c>
      <c r="M102" s="16">
        <f t="shared" si="4"/>
        <v>1851</v>
      </c>
      <c r="N102" s="16">
        <f t="shared" si="5"/>
        <v>2776.5</v>
      </c>
      <c r="O102" s="14"/>
    </row>
    <row r="103" spans="1:15">
      <c r="A103" s="14" t="s">
        <v>66</v>
      </c>
      <c r="B103" s="15" t="s">
        <v>388</v>
      </c>
      <c r="C103" s="15" t="s">
        <v>389</v>
      </c>
      <c r="D103" s="14" t="s">
        <v>385</v>
      </c>
      <c r="E103" s="15" t="s">
        <v>390</v>
      </c>
      <c r="F103" s="14" t="s">
        <v>387</v>
      </c>
      <c r="G103" s="15" t="s">
        <v>23</v>
      </c>
      <c r="H103" s="15" t="s">
        <v>1530</v>
      </c>
      <c r="I103" s="15">
        <v>201409</v>
      </c>
      <c r="J103" s="16">
        <v>42682.33</v>
      </c>
      <c r="K103" s="171">
        <f t="shared" si="3"/>
        <v>8</v>
      </c>
      <c r="L103" s="17">
        <v>2.23333E-3</v>
      </c>
      <c r="M103" s="16">
        <f t="shared" si="4"/>
        <v>762.59</v>
      </c>
      <c r="N103" s="16">
        <f t="shared" si="5"/>
        <v>1143.8800000000001</v>
      </c>
      <c r="O103" s="14"/>
    </row>
    <row r="104" spans="1:15">
      <c r="A104" s="14" t="s">
        <v>17</v>
      </c>
      <c r="B104" s="15" t="s">
        <v>391</v>
      </c>
      <c r="C104" s="15" t="s">
        <v>392</v>
      </c>
      <c r="D104" s="14" t="s">
        <v>393</v>
      </c>
      <c r="E104" s="15" t="s">
        <v>394</v>
      </c>
      <c r="F104" s="14" t="s">
        <v>137</v>
      </c>
      <c r="G104" s="15" t="s">
        <v>23</v>
      </c>
      <c r="H104" s="15" t="s">
        <v>1526</v>
      </c>
      <c r="I104" s="15">
        <v>201409</v>
      </c>
      <c r="J104" s="16">
        <v>-762.66</v>
      </c>
      <c r="K104" s="171">
        <f t="shared" si="3"/>
        <v>8</v>
      </c>
      <c r="L104" s="17">
        <v>1.4833299999999999E-3</v>
      </c>
      <c r="M104" s="16">
        <f t="shared" si="4"/>
        <v>-9.0500000000000007</v>
      </c>
      <c r="N104" s="16">
        <f t="shared" si="5"/>
        <v>-13.58</v>
      </c>
      <c r="O104" s="14"/>
    </row>
    <row r="105" spans="1:15">
      <c r="A105" s="14" t="s">
        <v>17</v>
      </c>
      <c r="B105" s="15" t="s">
        <v>395</v>
      </c>
      <c r="C105" s="15" t="s">
        <v>396</v>
      </c>
      <c r="D105" s="14" t="s">
        <v>397</v>
      </c>
      <c r="E105" s="15" t="s">
        <v>49</v>
      </c>
      <c r="F105" s="14" t="s">
        <v>22</v>
      </c>
      <c r="G105" s="15" t="s">
        <v>23</v>
      </c>
      <c r="H105" s="15" t="s">
        <v>1525</v>
      </c>
      <c r="I105" s="15">
        <v>201409</v>
      </c>
      <c r="J105" s="16">
        <v>-5.66</v>
      </c>
      <c r="K105" s="171">
        <f t="shared" si="3"/>
        <v>8</v>
      </c>
      <c r="L105" s="17">
        <v>1.4833299999999999E-3</v>
      </c>
      <c r="M105" s="16">
        <f t="shared" si="4"/>
        <v>-7.0000000000000007E-2</v>
      </c>
      <c r="N105" s="16">
        <f t="shared" si="5"/>
        <v>-0.1</v>
      </c>
      <c r="O105" s="14"/>
    </row>
    <row r="106" spans="1:15">
      <c r="A106" s="14" t="s">
        <v>17</v>
      </c>
      <c r="B106" s="15" t="s">
        <v>398</v>
      </c>
      <c r="C106" s="15" t="s">
        <v>399</v>
      </c>
      <c r="D106" s="14" t="s">
        <v>400</v>
      </c>
      <c r="E106" s="15" t="s">
        <v>104</v>
      </c>
      <c r="F106" s="14" t="s">
        <v>41</v>
      </c>
      <c r="G106" s="15" t="s">
        <v>23</v>
      </c>
      <c r="H106" s="15" t="s">
        <v>1526</v>
      </c>
      <c r="I106" s="15">
        <v>201409</v>
      </c>
      <c r="J106" s="16">
        <v>-13.72</v>
      </c>
      <c r="K106" s="171">
        <f t="shared" si="3"/>
        <v>8</v>
      </c>
      <c r="L106" s="17">
        <v>1.4833299999999999E-3</v>
      </c>
      <c r="M106" s="16">
        <f t="shared" si="4"/>
        <v>-0.16</v>
      </c>
      <c r="N106" s="16">
        <f t="shared" si="5"/>
        <v>-0.24</v>
      </c>
      <c r="O106" s="14"/>
    </row>
    <row r="107" spans="1:15">
      <c r="A107" s="14" t="s">
        <v>238</v>
      </c>
      <c r="B107" s="15" t="s">
        <v>401</v>
      </c>
      <c r="C107" s="15" t="s">
        <v>402</v>
      </c>
      <c r="D107" s="14" t="s">
        <v>403</v>
      </c>
      <c r="E107" s="15" t="s">
        <v>168</v>
      </c>
      <c r="F107" s="14" t="s">
        <v>169</v>
      </c>
      <c r="G107" s="15" t="s">
        <v>23</v>
      </c>
      <c r="H107" s="15" t="s">
        <v>1528</v>
      </c>
      <c r="I107" s="15">
        <v>201409</v>
      </c>
      <c r="J107" s="16">
        <v>-304.64</v>
      </c>
      <c r="K107" s="171">
        <f t="shared" si="3"/>
        <v>8</v>
      </c>
      <c r="L107" s="17">
        <v>2.3833299999999999E-3</v>
      </c>
      <c r="M107" s="16">
        <f t="shared" si="4"/>
        <v>-5.81</v>
      </c>
      <c r="N107" s="16">
        <f t="shared" si="5"/>
        <v>-8.7100000000000009</v>
      </c>
      <c r="O107" s="14"/>
    </row>
    <row r="108" spans="1:15">
      <c r="A108" s="14" t="s">
        <v>17</v>
      </c>
      <c r="B108" s="15" t="s">
        <v>404</v>
      </c>
      <c r="C108" s="15" t="s">
        <v>405</v>
      </c>
      <c r="D108" s="14" t="s">
        <v>406</v>
      </c>
      <c r="E108" s="15" t="s">
        <v>58</v>
      </c>
      <c r="F108" s="14" t="s">
        <v>22</v>
      </c>
      <c r="G108" s="15" t="s">
        <v>23</v>
      </c>
      <c r="H108" s="15" t="s">
        <v>1525</v>
      </c>
      <c r="I108" s="15">
        <v>201409</v>
      </c>
      <c r="J108" s="16">
        <v>-346.31</v>
      </c>
      <c r="K108" s="171">
        <f t="shared" si="3"/>
        <v>8</v>
      </c>
      <c r="L108" s="17">
        <v>1.4833299999999999E-3</v>
      </c>
      <c r="M108" s="16">
        <f t="shared" si="4"/>
        <v>-4.1100000000000003</v>
      </c>
      <c r="N108" s="16">
        <f t="shared" si="5"/>
        <v>-6.16</v>
      </c>
      <c r="O108" s="14"/>
    </row>
    <row r="109" spans="1:15">
      <c r="A109" s="14" t="s">
        <v>17</v>
      </c>
      <c r="B109" s="15" t="s">
        <v>407</v>
      </c>
      <c r="C109" s="15" t="s">
        <v>408</v>
      </c>
      <c r="D109" s="14" t="s">
        <v>409</v>
      </c>
      <c r="E109" s="15" t="s">
        <v>53</v>
      </c>
      <c r="F109" s="14" t="s">
        <v>41</v>
      </c>
      <c r="G109" s="15" t="s">
        <v>23</v>
      </c>
      <c r="H109" s="15" t="s">
        <v>1526</v>
      </c>
      <c r="I109" s="15">
        <v>201409</v>
      </c>
      <c r="J109" s="16">
        <v>-191.38</v>
      </c>
      <c r="K109" s="171">
        <f t="shared" si="3"/>
        <v>8</v>
      </c>
      <c r="L109" s="17">
        <v>1.4833299999999999E-3</v>
      </c>
      <c r="M109" s="16">
        <f t="shared" si="4"/>
        <v>-2.27</v>
      </c>
      <c r="N109" s="16">
        <f t="shared" si="5"/>
        <v>-3.41</v>
      </c>
      <c r="O109" s="14"/>
    </row>
    <row r="110" spans="1:15">
      <c r="A110" s="14" t="s">
        <v>54</v>
      </c>
      <c r="B110" s="15" t="s">
        <v>410</v>
      </c>
      <c r="C110" s="15" t="s">
        <v>411</v>
      </c>
      <c r="D110" s="14" t="s">
        <v>412</v>
      </c>
      <c r="E110" s="15" t="s">
        <v>62</v>
      </c>
      <c r="F110" s="14" t="s">
        <v>22</v>
      </c>
      <c r="G110" s="15" t="s">
        <v>23</v>
      </c>
      <c r="H110" s="15" t="s">
        <v>1525</v>
      </c>
      <c r="I110" s="15">
        <v>201409</v>
      </c>
      <c r="J110" s="16">
        <v>-363.84</v>
      </c>
      <c r="K110" s="171">
        <f t="shared" si="3"/>
        <v>8</v>
      </c>
      <c r="L110" s="17">
        <v>1.4833299999999999E-3</v>
      </c>
      <c r="M110" s="16">
        <f t="shared" si="4"/>
        <v>-4.32</v>
      </c>
      <c r="N110" s="16">
        <f t="shared" si="5"/>
        <v>-6.48</v>
      </c>
      <c r="O110" s="14"/>
    </row>
    <row r="111" spans="1:15">
      <c r="A111" s="14" t="s">
        <v>17</v>
      </c>
      <c r="B111" s="15" t="s">
        <v>413</v>
      </c>
      <c r="C111" s="15" t="s">
        <v>414</v>
      </c>
      <c r="D111" s="14" t="s">
        <v>415</v>
      </c>
      <c r="E111" s="15" t="s">
        <v>104</v>
      </c>
      <c r="F111" s="14" t="s">
        <v>41</v>
      </c>
      <c r="G111" s="15" t="s">
        <v>23</v>
      </c>
      <c r="H111" s="15" t="s">
        <v>1526</v>
      </c>
      <c r="I111" s="15">
        <v>201409</v>
      </c>
      <c r="J111" s="16">
        <v>-174.39</v>
      </c>
      <c r="K111" s="171">
        <f t="shared" si="3"/>
        <v>8</v>
      </c>
      <c r="L111" s="17">
        <v>1.4833299999999999E-3</v>
      </c>
      <c r="M111" s="16">
        <f t="shared" si="4"/>
        <v>-2.0699999999999998</v>
      </c>
      <c r="N111" s="16">
        <f t="shared" si="5"/>
        <v>-3.1</v>
      </c>
      <c r="O111" s="14"/>
    </row>
    <row r="112" spans="1:15">
      <c r="A112" s="14" t="s">
        <v>54</v>
      </c>
      <c r="B112" s="15" t="s">
        <v>416</v>
      </c>
      <c r="C112" s="15" t="s">
        <v>417</v>
      </c>
      <c r="D112" s="14" t="s">
        <v>418</v>
      </c>
      <c r="E112" s="15" t="s">
        <v>141</v>
      </c>
      <c r="F112" s="14" t="s">
        <v>142</v>
      </c>
      <c r="G112" s="15" t="s">
        <v>23</v>
      </c>
      <c r="H112" s="15" t="s">
        <v>1525</v>
      </c>
      <c r="I112" s="15">
        <v>201409</v>
      </c>
      <c r="J112" s="16">
        <v>679.2</v>
      </c>
      <c r="K112" s="171">
        <f t="shared" si="3"/>
        <v>8</v>
      </c>
      <c r="L112" s="17">
        <v>1.4833299999999999E-3</v>
      </c>
      <c r="M112" s="16">
        <f t="shared" si="4"/>
        <v>8.06</v>
      </c>
      <c r="N112" s="16">
        <f t="shared" si="5"/>
        <v>12.09</v>
      </c>
      <c r="O112" s="14"/>
    </row>
    <row r="113" spans="1:15">
      <c r="A113" s="14" t="s">
        <v>54</v>
      </c>
      <c r="B113" s="15" t="s">
        <v>419</v>
      </c>
      <c r="C113" s="15" t="s">
        <v>420</v>
      </c>
      <c r="D113" s="14" t="s">
        <v>421</v>
      </c>
      <c r="E113" s="15" t="s">
        <v>32</v>
      </c>
      <c r="F113" s="14" t="s">
        <v>22</v>
      </c>
      <c r="G113" s="15" t="s">
        <v>23</v>
      </c>
      <c r="H113" s="15" t="s">
        <v>1525</v>
      </c>
      <c r="I113" s="15">
        <v>201409</v>
      </c>
      <c r="J113" s="16">
        <v>-1167.31</v>
      </c>
      <c r="K113" s="171">
        <f t="shared" si="3"/>
        <v>8</v>
      </c>
      <c r="L113" s="17">
        <v>1.4833299999999999E-3</v>
      </c>
      <c r="M113" s="16">
        <f t="shared" si="4"/>
        <v>-13.85</v>
      </c>
      <c r="N113" s="16">
        <f t="shared" si="5"/>
        <v>-20.78</v>
      </c>
      <c r="O113" s="14"/>
    </row>
    <row r="114" spans="1:15">
      <c r="A114" s="14" t="s">
        <v>17</v>
      </c>
      <c r="B114" s="15" t="s">
        <v>422</v>
      </c>
      <c r="C114" s="15" t="s">
        <v>423</v>
      </c>
      <c r="D114" s="14" t="s">
        <v>424</v>
      </c>
      <c r="E114" s="15" t="s">
        <v>246</v>
      </c>
      <c r="F114" s="14" t="s">
        <v>247</v>
      </c>
      <c r="G114" s="15" t="s">
        <v>23</v>
      </c>
      <c r="H114" s="15" t="s">
        <v>1525</v>
      </c>
      <c r="I114" s="15">
        <v>201409</v>
      </c>
      <c r="J114" s="16">
        <v>-418.81</v>
      </c>
      <c r="K114" s="171">
        <f t="shared" si="3"/>
        <v>8</v>
      </c>
      <c r="L114" s="17">
        <v>1.4833299999999999E-3</v>
      </c>
      <c r="M114" s="16">
        <f t="shared" si="4"/>
        <v>-4.97</v>
      </c>
      <c r="N114" s="16">
        <f t="shared" si="5"/>
        <v>-7.45</v>
      </c>
      <c r="O114" s="14"/>
    </row>
    <row r="115" spans="1:15">
      <c r="A115" s="14" t="s">
        <v>17</v>
      </c>
      <c r="B115" s="15" t="s">
        <v>425</v>
      </c>
      <c r="C115" s="15" t="s">
        <v>426</v>
      </c>
      <c r="D115" s="14" t="s">
        <v>427</v>
      </c>
      <c r="E115" s="15" t="s">
        <v>104</v>
      </c>
      <c r="F115" s="14" t="s">
        <v>41</v>
      </c>
      <c r="G115" s="15" t="s">
        <v>23</v>
      </c>
      <c r="H115" s="15" t="s">
        <v>1526</v>
      </c>
      <c r="I115" s="15">
        <v>201409</v>
      </c>
      <c r="J115" s="16">
        <v>1.99</v>
      </c>
      <c r="K115" s="171">
        <f t="shared" si="3"/>
        <v>8</v>
      </c>
      <c r="L115" s="17">
        <v>1.4833299999999999E-3</v>
      </c>
      <c r="M115" s="16">
        <f t="shared" si="4"/>
        <v>0.02</v>
      </c>
      <c r="N115" s="16">
        <f t="shared" si="5"/>
        <v>0.04</v>
      </c>
      <c r="O115" s="14"/>
    </row>
    <row r="116" spans="1:15">
      <c r="A116" s="14" t="s">
        <v>17</v>
      </c>
      <c r="B116" s="15" t="s">
        <v>428</v>
      </c>
      <c r="C116" s="15" t="s">
        <v>429</v>
      </c>
      <c r="D116" s="14" t="s">
        <v>430</v>
      </c>
      <c r="E116" s="15" t="s">
        <v>32</v>
      </c>
      <c r="F116" s="14" t="s">
        <v>22</v>
      </c>
      <c r="G116" s="15" t="s">
        <v>23</v>
      </c>
      <c r="H116" s="15" t="s">
        <v>1525</v>
      </c>
      <c r="I116" s="15">
        <v>201409</v>
      </c>
      <c r="J116" s="16">
        <v>-61.26</v>
      </c>
      <c r="K116" s="171">
        <f t="shared" si="3"/>
        <v>8</v>
      </c>
      <c r="L116" s="17">
        <v>1.4833299999999999E-3</v>
      </c>
      <c r="M116" s="16">
        <f t="shared" si="4"/>
        <v>-0.73</v>
      </c>
      <c r="N116" s="16">
        <f t="shared" si="5"/>
        <v>-1.0900000000000001</v>
      </c>
      <c r="O116" s="14"/>
    </row>
    <row r="117" spans="1:15">
      <c r="A117" s="14" t="s">
        <v>17</v>
      </c>
      <c r="B117" s="15" t="s">
        <v>431</v>
      </c>
      <c r="C117" s="15" t="s">
        <v>432</v>
      </c>
      <c r="D117" s="14" t="s">
        <v>433</v>
      </c>
      <c r="E117" s="15" t="s">
        <v>258</v>
      </c>
      <c r="F117" s="14" t="s">
        <v>259</v>
      </c>
      <c r="G117" s="15" t="s">
        <v>23</v>
      </c>
      <c r="H117" s="15" t="s">
        <v>1525</v>
      </c>
      <c r="I117" s="15">
        <v>201409</v>
      </c>
      <c r="J117" s="16">
        <v>-175.94</v>
      </c>
      <c r="K117" s="171">
        <f t="shared" si="3"/>
        <v>8</v>
      </c>
      <c r="L117" s="17">
        <v>1.4833299999999999E-3</v>
      </c>
      <c r="M117" s="16">
        <f t="shared" si="4"/>
        <v>-2.09</v>
      </c>
      <c r="N117" s="16">
        <f t="shared" si="5"/>
        <v>-3.13</v>
      </c>
      <c r="O117" s="14"/>
    </row>
    <row r="118" spans="1:15">
      <c r="A118" s="14" t="s">
        <v>54</v>
      </c>
      <c r="B118" s="15" t="s">
        <v>434</v>
      </c>
      <c r="C118" s="15" t="s">
        <v>435</v>
      </c>
      <c r="D118" s="14" t="s">
        <v>436</v>
      </c>
      <c r="E118" s="15" t="s">
        <v>58</v>
      </c>
      <c r="F118" s="14" t="s">
        <v>22</v>
      </c>
      <c r="G118" s="15" t="s">
        <v>23</v>
      </c>
      <c r="H118" s="15" t="s">
        <v>1525</v>
      </c>
      <c r="I118" s="15">
        <v>201409</v>
      </c>
      <c r="J118" s="16">
        <v>-94.86</v>
      </c>
      <c r="K118" s="171">
        <f t="shared" si="3"/>
        <v>8</v>
      </c>
      <c r="L118" s="17">
        <v>1.4833299999999999E-3</v>
      </c>
      <c r="M118" s="16">
        <f t="shared" si="4"/>
        <v>-1.1299999999999999</v>
      </c>
      <c r="N118" s="16">
        <f t="shared" si="5"/>
        <v>-1.69</v>
      </c>
      <c r="O118" s="14"/>
    </row>
    <row r="119" spans="1:15">
      <c r="A119" s="14" t="s">
        <v>17</v>
      </c>
      <c r="B119" s="15" t="s">
        <v>437</v>
      </c>
      <c r="C119" s="15" t="s">
        <v>438</v>
      </c>
      <c r="D119" s="14" t="s">
        <v>439</v>
      </c>
      <c r="E119" s="15" t="s">
        <v>440</v>
      </c>
      <c r="F119" s="14" t="s">
        <v>28</v>
      </c>
      <c r="G119" s="15" t="s">
        <v>23</v>
      </c>
      <c r="H119" s="15" t="s">
        <v>1525</v>
      </c>
      <c r="I119" s="15">
        <v>201409</v>
      </c>
      <c r="J119" s="16">
        <v>8.2100000000000009</v>
      </c>
      <c r="K119" s="171">
        <f t="shared" si="3"/>
        <v>8</v>
      </c>
      <c r="L119" s="17">
        <v>1.4833299999999999E-3</v>
      </c>
      <c r="M119" s="16">
        <f t="shared" si="4"/>
        <v>0.1</v>
      </c>
      <c r="N119" s="16">
        <f t="shared" si="5"/>
        <v>0.15</v>
      </c>
      <c r="O119" s="14"/>
    </row>
    <row r="120" spans="1:15">
      <c r="A120" s="14" t="s">
        <v>54</v>
      </c>
      <c r="B120" s="15" t="s">
        <v>441</v>
      </c>
      <c r="C120" s="15" t="s">
        <v>442</v>
      </c>
      <c r="D120" s="14" t="s">
        <v>443</v>
      </c>
      <c r="E120" s="15" t="s">
        <v>141</v>
      </c>
      <c r="F120" s="14" t="s">
        <v>142</v>
      </c>
      <c r="G120" s="15" t="s">
        <v>23</v>
      </c>
      <c r="H120" s="15" t="s">
        <v>1525</v>
      </c>
      <c r="I120" s="15">
        <v>201409</v>
      </c>
      <c r="J120" s="16">
        <v>-15549.44</v>
      </c>
      <c r="K120" s="171">
        <f t="shared" si="3"/>
        <v>8</v>
      </c>
      <c r="L120" s="17">
        <v>1.4833299999999999E-3</v>
      </c>
      <c r="M120" s="16">
        <f t="shared" si="4"/>
        <v>-184.52</v>
      </c>
      <c r="N120" s="16">
        <f t="shared" si="5"/>
        <v>-276.77999999999997</v>
      </c>
      <c r="O120" s="14"/>
    </row>
    <row r="121" spans="1:15">
      <c r="A121" s="14" t="s">
        <v>54</v>
      </c>
      <c r="B121" s="15" t="s">
        <v>444</v>
      </c>
      <c r="C121" s="15" t="s">
        <v>445</v>
      </c>
      <c r="D121" s="14" t="s">
        <v>446</v>
      </c>
      <c r="E121" s="15" t="s">
        <v>62</v>
      </c>
      <c r="F121" s="14" t="s">
        <v>22</v>
      </c>
      <c r="G121" s="15" t="s">
        <v>23</v>
      </c>
      <c r="H121" s="15" t="s">
        <v>1525</v>
      </c>
      <c r="I121" s="15">
        <v>201409</v>
      </c>
      <c r="J121" s="16">
        <v>-148.77000000000001</v>
      </c>
      <c r="K121" s="171">
        <f t="shared" si="3"/>
        <v>8</v>
      </c>
      <c r="L121" s="17">
        <v>1.4833299999999999E-3</v>
      </c>
      <c r="M121" s="16">
        <f t="shared" si="4"/>
        <v>-1.77</v>
      </c>
      <c r="N121" s="16">
        <f t="shared" si="5"/>
        <v>-2.65</v>
      </c>
      <c r="O121" s="14"/>
    </row>
    <row r="122" spans="1:15">
      <c r="A122" s="14" t="s">
        <v>17</v>
      </c>
      <c r="B122" s="15" t="s">
        <v>447</v>
      </c>
      <c r="C122" s="15" t="s">
        <v>448</v>
      </c>
      <c r="D122" s="14" t="s">
        <v>449</v>
      </c>
      <c r="E122" s="15" t="s">
        <v>296</v>
      </c>
      <c r="F122" s="14" t="s">
        <v>28</v>
      </c>
      <c r="G122" s="15" t="s">
        <v>23</v>
      </c>
      <c r="H122" s="15" t="s">
        <v>1525</v>
      </c>
      <c r="I122" s="15">
        <v>201409</v>
      </c>
      <c r="J122" s="16">
        <v>-625.21</v>
      </c>
      <c r="K122" s="171">
        <f t="shared" si="3"/>
        <v>8</v>
      </c>
      <c r="L122" s="17">
        <v>1.4833299999999999E-3</v>
      </c>
      <c r="M122" s="16">
        <f t="shared" si="4"/>
        <v>-7.42</v>
      </c>
      <c r="N122" s="16">
        <f t="shared" si="5"/>
        <v>-11.13</v>
      </c>
      <c r="O122" s="14"/>
    </row>
    <row r="123" spans="1:15">
      <c r="A123" s="14" t="s">
        <v>17</v>
      </c>
      <c r="B123" s="15" t="s">
        <v>450</v>
      </c>
      <c r="C123" s="15" t="s">
        <v>451</v>
      </c>
      <c r="D123" s="14" t="s">
        <v>452</v>
      </c>
      <c r="E123" s="15" t="s">
        <v>45</v>
      </c>
      <c r="F123" s="14" t="s">
        <v>22</v>
      </c>
      <c r="G123" s="15" t="s">
        <v>23</v>
      </c>
      <c r="H123" s="15" t="s">
        <v>1525</v>
      </c>
      <c r="I123" s="15">
        <v>201409</v>
      </c>
      <c r="J123" s="16">
        <v>-5.2</v>
      </c>
      <c r="K123" s="171">
        <f t="shared" si="3"/>
        <v>8</v>
      </c>
      <c r="L123" s="17">
        <v>1.4833299999999999E-3</v>
      </c>
      <c r="M123" s="16">
        <f t="shared" si="4"/>
        <v>-0.06</v>
      </c>
      <c r="N123" s="16">
        <f t="shared" si="5"/>
        <v>-0.09</v>
      </c>
      <c r="O123" s="14"/>
    </row>
    <row r="124" spans="1:15">
      <c r="A124" s="14" t="s">
        <v>54</v>
      </c>
      <c r="B124" s="15" t="s">
        <v>453</v>
      </c>
      <c r="C124" s="15" t="s">
        <v>454</v>
      </c>
      <c r="D124" s="14" t="s">
        <v>455</v>
      </c>
      <c r="E124" s="15" t="s">
        <v>62</v>
      </c>
      <c r="F124" s="14" t="s">
        <v>22</v>
      </c>
      <c r="G124" s="15" t="s">
        <v>23</v>
      </c>
      <c r="H124" s="15" t="s">
        <v>1525</v>
      </c>
      <c r="I124" s="15">
        <v>201409</v>
      </c>
      <c r="J124" s="16">
        <v>-184.89</v>
      </c>
      <c r="K124" s="171">
        <f t="shared" si="3"/>
        <v>8</v>
      </c>
      <c r="L124" s="17">
        <v>1.4833299999999999E-3</v>
      </c>
      <c r="M124" s="16">
        <f t="shared" si="4"/>
        <v>-2.19</v>
      </c>
      <c r="N124" s="16">
        <f t="shared" si="5"/>
        <v>-3.29</v>
      </c>
      <c r="O124" s="14"/>
    </row>
    <row r="125" spans="1:15">
      <c r="A125" s="14" t="s">
        <v>17</v>
      </c>
      <c r="B125" s="15" t="s">
        <v>456</v>
      </c>
      <c r="C125" s="15" t="s">
        <v>457</v>
      </c>
      <c r="D125" s="14" t="s">
        <v>458</v>
      </c>
      <c r="E125" s="15" t="s">
        <v>21</v>
      </c>
      <c r="F125" s="14" t="s">
        <v>22</v>
      </c>
      <c r="G125" s="15" t="s">
        <v>23</v>
      </c>
      <c r="H125" s="15" t="s">
        <v>1525</v>
      </c>
      <c r="I125" s="15">
        <v>201409</v>
      </c>
      <c r="J125" s="16">
        <v>-591.12</v>
      </c>
      <c r="K125" s="171">
        <f t="shared" si="3"/>
        <v>8</v>
      </c>
      <c r="L125" s="17">
        <v>1.4833299999999999E-3</v>
      </c>
      <c r="M125" s="16">
        <f t="shared" si="4"/>
        <v>-7.01</v>
      </c>
      <c r="N125" s="16">
        <f t="shared" si="5"/>
        <v>-10.52</v>
      </c>
      <c r="O125" s="14"/>
    </row>
    <row r="126" spans="1:15">
      <c r="A126" s="14" t="s">
        <v>54</v>
      </c>
      <c r="B126" s="15" t="s">
        <v>459</v>
      </c>
      <c r="C126" s="15" t="s">
        <v>460</v>
      </c>
      <c r="D126" s="14" t="s">
        <v>461</v>
      </c>
      <c r="E126" s="15" t="s">
        <v>462</v>
      </c>
      <c r="F126" s="14" t="s">
        <v>142</v>
      </c>
      <c r="G126" s="15" t="s">
        <v>23</v>
      </c>
      <c r="H126" s="15" t="s">
        <v>1525</v>
      </c>
      <c r="I126" s="15">
        <v>201409</v>
      </c>
      <c r="J126" s="16">
        <v>-771.19</v>
      </c>
      <c r="K126" s="171">
        <f t="shared" si="3"/>
        <v>8</v>
      </c>
      <c r="L126" s="17">
        <v>1.4833299999999999E-3</v>
      </c>
      <c r="M126" s="16">
        <f t="shared" si="4"/>
        <v>-9.15</v>
      </c>
      <c r="N126" s="16">
        <f t="shared" si="5"/>
        <v>-13.73</v>
      </c>
      <c r="O126" s="14"/>
    </row>
    <row r="127" spans="1:15">
      <c r="A127" s="14" t="s">
        <v>66</v>
      </c>
      <c r="B127" s="15" t="s">
        <v>463</v>
      </c>
      <c r="C127" s="15" t="s">
        <v>464</v>
      </c>
      <c r="D127" s="14" t="s">
        <v>465</v>
      </c>
      <c r="E127" s="15" t="s">
        <v>466</v>
      </c>
      <c r="F127" s="14" t="s">
        <v>467</v>
      </c>
      <c r="G127" s="15" t="s">
        <v>23</v>
      </c>
      <c r="H127" s="15" t="s">
        <v>1527</v>
      </c>
      <c r="I127" s="15">
        <v>201409</v>
      </c>
      <c r="J127" s="16">
        <v>-442.33</v>
      </c>
      <c r="K127" s="171">
        <f t="shared" si="3"/>
        <v>8</v>
      </c>
      <c r="L127" s="17">
        <v>2.23333E-3</v>
      </c>
      <c r="M127" s="16">
        <f t="shared" si="4"/>
        <v>-7.9</v>
      </c>
      <c r="N127" s="16">
        <f t="shared" si="5"/>
        <v>-11.85</v>
      </c>
      <c r="O127" s="14"/>
    </row>
    <row r="128" spans="1:15">
      <c r="A128" s="14" t="s">
        <v>54</v>
      </c>
      <c r="B128" s="15" t="s">
        <v>468</v>
      </c>
      <c r="C128" s="15" t="s">
        <v>469</v>
      </c>
      <c r="D128" s="14" t="s">
        <v>470</v>
      </c>
      <c r="E128" s="15" t="s">
        <v>136</v>
      </c>
      <c r="F128" s="14" t="s">
        <v>137</v>
      </c>
      <c r="G128" s="15" t="s">
        <v>23</v>
      </c>
      <c r="H128" s="15" t="s">
        <v>1526</v>
      </c>
      <c r="I128" s="15">
        <v>201409</v>
      </c>
      <c r="J128" s="16">
        <v>-992.83</v>
      </c>
      <c r="K128" s="171">
        <f t="shared" si="3"/>
        <v>8</v>
      </c>
      <c r="L128" s="17">
        <v>1.4833299999999999E-3</v>
      </c>
      <c r="M128" s="16">
        <f t="shared" si="4"/>
        <v>-11.78</v>
      </c>
      <c r="N128" s="16">
        <f t="shared" si="5"/>
        <v>-17.670000000000002</v>
      </c>
      <c r="O128" s="14"/>
    </row>
    <row r="129" spans="1:15">
      <c r="A129" s="14" t="s">
        <v>17</v>
      </c>
      <c r="B129" s="15" t="s">
        <v>471</v>
      </c>
      <c r="C129" s="15" t="s">
        <v>472</v>
      </c>
      <c r="D129" s="14" t="s">
        <v>473</v>
      </c>
      <c r="E129" s="15" t="s">
        <v>27</v>
      </c>
      <c r="F129" s="14" t="s">
        <v>28</v>
      </c>
      <c r="G129" s="15" t="s">
        <v>23</v>
      </c>
      <c r="H129" s="15" t="s">
        <v>1525</v>
      </c>
      <c r="I129" s="15">
        <v>201409</v>
      </c>
      <c r="J129" s="16">
        <v>-48.87</v>
      </c>
      <c r="K129" s="171">
        <f t="shared" si="3"/>
        <v>8</v>
      </c>
      <c r="L129" s="17">
        <v>1.4833299999999999E-3</v>
      </c>
      <c r="M129" s="16">
        <f t="shared" si="4"/>
        <v>-0.57999999999999996</v>
      </c>
      <c r="N129" s="16">
        <f t="shared" si="5"/>
        <v>-0.87</v>
      </c>
      <c r="O129" s="14"/>
    </row>
    <row r="130" spans="1:15">
      <c r="A130" s="14" t="s">
        <v>17</v>
      </c>
      <c r="B130" s="15" t="s">
        <v>474</v>
      </c>
      <c r="C130" s="15" t="s">
        <v>475</v>
      </c>
      <c r="D130" s="14" t="s">
        <v>476</v>
      </c>
      <c r="E130" s="15" t="s">
        <v>40</v>
      </c>
      <c r="F130" s="14" t="s">
        <v>41</v>
      </c>
      <c r="G130" s="15" t="s">
        <v>23</v>
      </c>
      <c r="H130" s="15" t="s">
        <v>1526</v>
      </c>
      <c r="I130" s="15">
        <v>201409</v>
      </c>
      <c r="J130" s="16">
        <v>-659.04</v>
      </c>
      <c r="K130" s="171">
        <f t="shared" si="3"/>
        <v>8</v>
      </c>
      <c r="L130" s="17">
        <v>1.4833299999999999E-3</v>
      </c>
      <c r="M130" s="16">
        <f t="shared" si="4"/>
        <v>-7.82</v>
      </c>
      <c r="N130" s="16">
        <f t="shared" si="5"/>
        <v>-11.73</v>
      </c>
      <c r="O130" s="14"/>
    </row>
    <row r="131" spans="1:15">
      <c r="A131" s="14" t="s">
        <v>17</v>
      </c>
      <c r="B131" s="15" t="s">
        <v>477</v>
      </c>
      <c r="C131" s="15" t="s">
        <v>478</v>
      </c>
      <c r="D131" s="14" t="s">
        <v>479</v>
      </c>
      <c r="E131" s="15" t="s">
        <v>440</v>
      </c>
      <c r="F131" s="14" t="s">
        <v>28</v>
      </c>
      <c r="G131" s="15" t="s">
        <v>23</v>
      </c>
      <c r="H131" s="15" t="s">
        <v>1525</v>
      </c>
      <c r="I131" s="15">
        <v>201409</v>
      </c>
      <c r="J131" s="16">
        <v>-15.86</v>
      </c>
      <c r="K131" s="171">
        <f t="shared" si="3"/>
        <v>8</v>
      </c>
      <c r="L131" s="17">
        <v>1.4833299999999999E-3</v>
      </c>
      <c r="M131" s="16">
        <f t="shared" si="4"/>
        <v>-0.19</v>
      </c>
      <c r="N131" s="16">
        <f t="shared" si="5"/>
        <v>-0.28000000000000003</v>
      </c>
      <c r="O131" s="14"/>
    </row>
    <row r="132" spans="1:15">
      <c r="A132" s="14" t="s">
        <v>17</v>
      </c>
      <c r="B132" s="15" t="s">
        <v>480</v>
      </c>
      <c r="C132" s="15" t="s">
        <v>481</v>
      </c>
      <c r="D132" s="14" t="s">
        <v>482</v>
      </c>
      <c r="E132" s="15" t="s">
        <v>141</v>
      </c>
      <c r="F132" s="14" t="s">
        <v>142</v>
      </c>
      <c r="G132" s="15" t="s">
        <v>23</v>
      </c>
      <c r="H132" s="15" t="s">
        <v>1525</v>
      </c>
      <c r="I132" s="15">
        <v>201409</v>
      </c>
      <c r="J132" s="16">
        <v>-482.88</v>
      </c>
      <c r="K132" s="171">
        <f t="shared" si="3"/>
        <v>8</v>
      </c>
      <c r="L132" s="17">
        <v>1.4833299999999999E-3</v>
      </c>
      <c r="M132" s="16">
        <f t="shared" si="4"/>
        <v>-5.73</v>
      </c>
      <c r="N132" s="16">
        <f t="shared" si="5"/>
        <v>-8.6</v>
      </c>
      <c r="O132" s="14"/>
    </row>
    <row r="133" spans="1:15">
      <c r="A133" s="14" t="s">
        <v>17</v>
      </c>
      <c r="B133" s="15" t="s">
        <v>483</v>
      </c>
      <c r="C133" s="15" t="s">
        <v>484</v>
      </c>
      <c r="D133" s="14" t="s">
        <v>485</v>
      </c>
      <c r="E133" s="15" t="s">
        <v>324</v>
      </c>
      <c r="F133" s="14" t="s">
        <v>325</v>
      </c>
      <c r="G133" s="15" t="s">
        <v>23</v>
      </c>
      <c r="H133" s="15" t="s">
        <v>1525</v>
      </c>
      <c r="I133" s="15">
        <v>201409</v>
      </c>
      <c r="J133" s="16">
        <v>-297.13</v>
      </c>
      <c r="K133" s="171">
        <f t="shared" ref="K133:K196" si="6">VLOOKUP(I133,$Q$7:$R$15,2)</f>
        <v>8</v>
      </c>
      <c r="L133" s="17">
        <v>1.4833299999999999E-3</v>
      </c>
      <c r="M133" s="16">
        <f t="shared" ref="M133:M196" si="7">ROUND(J133*K133*L133,2)</f>
        <v>-3.53</v>
      </c>
      <c r="N133" s="16">
        <f t="shared" ref="N133:N196" si="8">ROUND(J133*L133*12,2)</f>
        <v>-5.29</v>
      </c>
      <c r="O133" s="14"/>
    </row>
    <row r="134" spans="1:15">
      <c r="A134" s="14" t="s">
        <v>17</v>
      </c>
      <c r="B134" s="15" t="s">
        <v>486</v>
      </c>
      <c r="C134" s="15" t="s">
        <v>487</v>
      </c>
      <c r="D134" s="14" t="s">
        <v>488</v>
      </c>
      <c r="E134" s="15" t="s">
        <v>141</v>
      </c>
      <c r="F134" s="14" t="s">
        <v>142</v>
      </c>
      <c r="G134" s="15" t="s">
        <v>23</v>
      </c>
      <c r="H134" s="15" t="s">
        <v>1525</v>
      </c>
      <c r="I134" s="15">
        <v>201409</v>
      </c>
      <c r="J134" s="16">
        <v>-374.06</v>
      </c>
      <c r="K134" s="171">
        <f t="shared" si="6"/>
        <v>8</v>
      </c>
      <c r="L134" s="17">
        <v>1.4833299999999999E-3</v>
      </c>
      <c r="M134" s="16">
        <f t="shared" si="7"/>
        <v>-4.4400000000000004</v>
      </c>
      <c r="N134" s="16">
        <f t="shared" si="8"/>
        <v>-6.66</v>
      </c>
      <c r="O134" s="14"/>
    </row>
    <row r="135" spans="1:15">
      <c r="A135" s="14" t="s">
        <v>66</v>
      </c>
      <c r="B135" s="15" t="s">
        <v>489</v>
      </c>
      <c r="C135" s="15" t="s">
        <v>490</v>
      </c>
      <c r="D135" s="14" t="s">
        <v>491</v>
      </c>
      <c r="E135" s="15" t="s">
        <v>492</v>
      </c>
      <c r="F135" s="14" t="s">
        <v>378</v>
      </c>
      <c r="G135" s="15" t="s">
        <v>23</v>
      </c>
      <c r="H135" s="15" t="s">
        <v>1530</v>
      </c>
      <c r="I135" s="15">
        <v>201409</v>
      </c>
      <c r="J135" s="16">
        <v>-2416.5500000000002</v>
      </c>
      <c r="K135" s="171">
        <f t="shared" si="6"/>
        <v>8</v>
      </c>
      <c r="L135" s="17">
        <v>2.23333E-3</v>
      </c>
      <c r="M135" s="16">
        <f t="shared" si="7"/>
        <v>-43.18</v>
      </c>
      <c r="N135" s="16">
        <f t="shared" si="8"/>
        <v>-64.760000000000005</v>
      </c>
      <c r="O135" s="14"/>
    </row>
    <row r="136" spans="1:15">
      <c r="A136" s="14" t="s">
        <v>17</v>
      </c>
      <c r="B136" s="15" t="s">
        <v>493</v>
      </c>
      <c r="C136" s="15" t="s">
        <v>494</v>
      </c>
      <c r="D136" s="14" t="s">
        <v>495</v>
      </c>
      <c r="E136" s="15" t="s">
        <v>62</v>
      </c>
      <c r="F136" s="14" t="s">
        <v>22</v>
      </c>
      <c r="G136" s="15" t="s">
        <v>23</v>
      </c>
      <c r="H136" s="15" t="s">
        <v>1525</v>
      </c>
      <c r="I136" s="15">
        <v>201409</v>
      </c>
      <c r="J136" s="16">
        <v>-24.13</v>
      </c>
      <c r="K136" s="171">
        <f t="shared" si="6"/>
        <v>8</v>
      </c>
      <c r="L136" s="17">
        <v>1.4833299999999999E-3</v>
      </c>
      <c r="M136" s="16">
        <f t="shared" si="7"/>
        <v>-0.28999999999999998</v>
      </c>
      <c r="N136" s="16">
        <f t="shared" si="8"/>
        <v>-0.43</v>
      </c>
      <c r="O136" s="14"/>
    </row>
    <row r="137" spans="1:15">
      <c r="A137" s="14" t="s">
        <v>66</v>
      </c>
      <c r="B137" s="15" t="s">
        <v>496</v>
      </c>
      <c r="C137" s="15" t="s">
        <v>497</v>
      </c>
      <c r="D137" s="14" t="s">
        <v>376</v>
      </c>
      <c r="E137" s="15" t="s">
        <v>498</v>
      </c>
      <c r="F137" s="14" t="s">
        <v>378</v>
      </c>
      <c r="G137" s="15" t="s">
        <v>23</v>
      </c>
      <c r="H137" s="15" t="s">
        <v>1530</v>
      </c>
      <c r="I137" s="15">
        <v>201409</v>
      </c>
      <c r="J137" s="16">
        <v>55968.13</v>
      </c>
      <c r="K137" s="171">
        <f t="shared" si="6"/>
        <v>8</v>
      </c>
      <c r="L137" s="17">
        <v>2.23333E-3</v>
      </c>
      <c r="M137" s="16">
        <f t="shared" si="7"/>
        <v>999.96</v>
      </c>
      <c r="N137" s="16">
        <f t="shared" si="8"/>
        <v>1499.94</v>
      </c>
      <c r="O137" s="14"/>
    </row>
    <row r="138" spans="1:15">
      <c r="A138" s="14" t="s">
        <v>66</v>
      </c>
      <c r="B138" s="15" t="s">
        <v>499</v>
      </c>
      <c r="C138" s="15" t="s">
        <v>500</v>
      </c>
      <c r="D138" s="14" t="s">
        <v>385</v>
      </c>
      <c r="E138" s="15" t="s">
        <v>501</v>
      </c>
      <c r="F138" s="14" t="s">
        <v>387</v>
      </c>
      <c r="G138" s="15" t="s">
        <v>23</v>
      </c>
      <c r="H138" s="15" t="s">
        <v>1530</v>
      </c>
      <c r="I138" s="15">
        <v>201409</v>
      </c>
      <c r="J138" s="16">
        <v>26046.38</v>
      </c>
      <c r="K138" s="171">
        <f t="shared" si="6"/>
        <v>8</v>
      </c>
      <c r="L138" s="17">
        <v>2.23333E-3</v>
      </c>
      <c r="M138" s="16">
        <f t="shared" si="7"/>
        <v>465.36</v>
      </c>
      <c r="N138" s="16">
        <f t="shared" si="8"/>
        <v>698.04</v>
      </c>
      <c r="O138" s="14"/>
    </row>
    <row r="139" spans="1:15">
      <c r="A139" s="14" t="s">
        <v>17</v>
      </c>
      <c r="B139" s="15" t="s">
        <v>502</v>
      </c>
      <c r="C139" s="15" t="s">
        <v>503</v>
      </c>
      <c r="D139" s="14" t="s">
        <v>504</v>
      </c>
      <c r="E139" s="15" t="s">
        <v>40</v>
      </c>
      <c r="F139" s="14" t="s">
        <v>41</v>
      </c>
      <c r="G139" s="15" t="s">
        <v>23</v>
      </c>
      <c r="H139" s="15" t="s">
        <v>1526</v>
      </c>
      <c r="I139" s="15">
        <v>201409</v>
      </c>
      <c r="J139" s="16">
        <v>-28.62</v>
      </c>
      <c r="K139" s="171">
        <f t="shared" si="6"/>
        <v>8</v>
      </c>
      <c r="L139" s="17">
        <v>1.4833299999999999E-3</v>
      </c>
      <c r="M139" s="16">
        <f t="shared" si="7"/>
        <v>-0.34</v>
      </c>
      <c r="N139" s="16">
        <f t="shared" si="8"/>
        <v>-0.51</v>
      </c>
      <c r="O139" s="14"/>
    </row>
    <row r="140" spans="1:15">
      <c r="A140" s="14" t="s">
        <v>17</v>
      </c>
      <c r="B140" s="15" t="s">
        <v>505</v>
      </c>
      <c r="C140" s="15" t="s">
        <v>506</v>
      </c>
      <c r="D140" s="14" t="s">
        <v>507</v>
      </c>
      <c r="E140" s="15" t="s">
        <v>104</v>
      </c>
      <c r="F140" s="14" t="s">
        <v>41</v>
      </c>
      <c r="G140" s="15" t="s">
        <v>23</v>
      </c>
      <c r="H140" s="15" t="s">
        <v>1526</v>
      </c>
      <c r="I140" s="15">
        <v>201409</v>
      </c>
      <c r="J140" s="16">
        <v>-27.17</v>
      </c>
      <c r="K140" s="171">
        <f t="shared" si="6"/>
        <v>8</v>
      </c>
      <c r="L140" s="17">
        <v>1.4833299999999999E-3</v>
      </c>
      <c r="M140" s="16">
        <f t="shared" si="7"/>
        <v>-0.32</v>
      </c>
      <c r="N140" s="16">
        <f t="shared" si="8"/>
        <v>-0.48</v>
      </c>
      <c r="O140" s="14"/>
    </row>
    <row r="141" spans="1:15">
      <c r="A141" s="14" t="s">
        <v>17</v>
      </c>
      <c r="B141" s="15" t="s">
        <v>508</v>
      </c>
      <c r="C141" s="15" t="s">
        <v>509</v>
      </c>
      <c r="D141" s="14" t="s">
        <v>510</v>
      </c>
      <c r="E141" s="15" t="s">
        <v>27</v>
      </c>
      <c r="F141" s="14" t="s">
        <v>28</v>
      </c>
      <c r="G141" s="15" t="s">
        <v>23</v>
      </c>
      <c r="H141" s="15" t="s">
        <v>1525</v>
      </c>
      <c r="I141" s="15">
        <v>201409</v>
      </c>
      <c r="J141" s="16">
        <v>-147.01</v>
      </c>
      <c r="K141" s="171">
        <f t="shared" si="6"/>
        <v>8</v>
      </c>
      <c r="L141" s="17">
        <v>1.4833299999999999E-3</v>
      </c>
      <c r="M141" s="16">
        <f t="shared" si="7"/>
        <v>-1.74</v>
      </c>
      <c r="N141" s="16">
        <f t="shared" si="8"/>
        <v>-2.62</v>
      </c>
      <c r="O141" s="14"/>
    </row>
    <row r="142" spans="1:15">
      <c r="A142" s="14" t="s">
        <v>17</v>
      </c>
      <c r="B142" s="15" t="s">
        <v>511</v>
      </c>
      <c r="C142" s="15" t="s">
        <v>512</v>
      </c>
      <c r="D142" s="14" t="s">
        <v>513</v>
      </c>
      <c r="E142" s="15" t="s">
        <v>324</v>
      </c>
      <c r="F142" s="14" t="s">
        <v>325</v>
      </c>
      <c r="G142" s="15" t="s">
        <v>23</v>
      </c>
      <c r="H142" s="15" t="s">
        <v>1525</v>
      </c>
      <c r="I142" s="15">
        <v>201409</v>
      </c>
      <c r="J142" s="16">
        <v>-818.02</v>
      </c>
      <c r="K142" s="171">
        <f t="shared" si="6"/>
        <v>8</v>
      </c>
      <c r="L142" s="17">
        <v>1.4833299999999999E-3</v>
      </c>
      <c r="M142" s="16">
        <f t="shared" si="7"/>
        <v>-9.7100000000000009</v>
      </c>
      <c r="N142" s="16">
        <f t="shared" si="8"/>
        <v>-14.56</v>
      </c>
      <c r="O142" s="14"/>
    </row>
    <row r="143" spans="1:15">
      <c r="A143" s="14" t="s">
        <v>17</v>
      </c>
      <c r="B143" s="15" t="s">
        <v>514</v>
      </c>
      <c r="C143" s="15" t="s">
        <v>515</v>
      </c>
      <c r="D143" s="14" t="s">
        <v>516</v>
      </c>
      <c r="E143" s="15" t="s">
        <v>49</v>
      </c>
      <c r="F143" s="14" t="s">
        <v>22</v>
      </c>
      <c r="G143" s="15" t="s">
        <v>23</v>
      </c>
      <c r="H143" s="15" t="s">
        <v>1525</v>
      </c>
      <c r="I143" s="15">
        <v>201409</v>
      </c>
      <c r="J143" s="16">
        <v>-46.01</v>
      </c>
      <c r="K143" s="171">
        <f t="shared" si="6"/>
        <v>8</v>
      </c>
      <c r="L143" s="17">
        <v>1.4833299999999999E-3</v>
      </c>
      <c r="M143" s="16">
        <f t="shared" si="7"/>
        <v>-0.55000000000000004</v>
      </c>
      <c r="N143" s="16">
        <f t="shared" si="8"/>
        <v>-0.82</v>
      </c>
      <c r="O143" s="14"/>
    </row>
    <row r="144" spans="1:15">
      <c r="A144" s="14" t="s">
        <v>17</v>
      </c>
      <c r="B144" s="15" t="s">
        <v>517</v>
      </c>
      <c r="C144" s="15" t="s">
        <v>518</v>
      </c>
      <c r="D144" s="14" t="s">
        <v>519</v>
      </c>
      <c r="E144" s="15" t="s">
        <v>125</v>
      </c>
      <c r="F144" s="14" t="s">
        <v>126</v>
      </c>
      <c r="G144" s="15" t="s">
        <v>23</v>
      </c>
      <c r="H144" s="15" t="s">
        <v>1525</v>
      </c>
      <c r="I144" s="15">
        <v>201409</v>
      </c>
      <c r="J144" s="16">
        <v>-94.11</v>
      </c>
      <c r="K144" s="171">
        <f t="shared" si="6"/>
        <v>8</v>
      </c>
      <c r="L144" s="17">
        <v>1.4833299999999999E-3</v>
      </c>
      <c r="M144" s="16">
        <f t="shared" si="7"/>
        <v>-1.1200000000000001</v>
      </c>
      <c r="N144" s="16">
        <f t="shared" si="8"/>
        <v>-1.68</v>
      </c>
      <c r="O144" s="14"/>
    </row>
    <row r="145" spans="1:15">
      <c r="A145" s="14" t="s">
        <v>17</v>
      </c>
      <c r="B145" s="15" t="s">
        <v>520</v>
      </c>
      <c r="C145" s="15" t="s">
        <v>521</v>
      </c>
      <c r="D145" s="14" t="s">
        <v>522</v>
      </c>
      <c r="E145" s="15" t="s">
        <v>125</v>
      </c>
      <c r="F145" s="14" t="s">
        <v>126</v>
      </c>
      <c r="G145" s="15" t="s">
        <v>23</v>
      </c>
      <c r="H145" s="15" t="s">
        <v>1525</v>
      </c>
      <c r="I145" s="15">
        <v>201409</v>
      </c>
      <c r="J145" s="16">
        <v>-89.47</v>
      </c>
      <c r="K145" s="171">
        <f t="shared" si="6"/>
        <v>8</v>
      </c>
      <c r="L145" s="17">
        <v>1.4833299999999999E-3</v>
      </c>
      <c r="M145" s="16">
        <f t="shared" si="7"/>
        <v>-1.06</v>
      </c>
      <c r="N145" s="16">
        <f t="shared" si="8"/>
        <v>-1.59</v>
      </c>
      <c r="O145" s="14"/>
    </row>
    <row r="146" spans="1:15">
      <c r="A146" s="14" t="s">
        <v>17</v>
      </c>
      <c r="B146" s="15" t="s">
        <v>523</v>
      </c>
      <c r="C146" s="15" t="s">
        <v>524</v>
      </c>
      <c r="D146" s="14" t="s">
        <v>525</v>
      </c>
      <c r="E146" s="15" t="s">
        <v>141</v>
      </c>
      <c r="F146" s="14" t="s">
        <v>142</v>
      </c>
      <c r="G146" s="15" t="s">
        <v>23</v>
      </c>
      <c r="H146" s="15" t="s">
        <v>1525</v>
      </c>
      <c r="I146" s="15">
        <v>201409</v>
      </c>
      <c r="J146" s="16">
        <v>-54.19</v>
      </c>
      <c r="K146" s="171">
        <f t="shared" si="6"/>
        <v>8</v>
      </c>
      <c r="L146" s="17">
        <v>1.4833299999999999E-3</v>
      </c>
      <c r="M146" s="16">
        <f t="shared" si="7"/>
        <v>-0.64</v>
      </c>
      <c r="N146" s="16">
        <f t="shared" si="8"/>
        <v>-0.96</v>
      </c>
      <c r="O146" s="14"/>
    </row>
    <row r="147" spans="1:15">
      <c r="A147" s="14" t="s">
        <v>17</v>
      </c>
      <c r="B147" s="15" t="s">
        <v>526</v>
      </c>
      <c r="C147" s="15" t="s">
        <v>527</v>
      </c>
      <c r="D147" s="14" t="s">
        <v>528</v>
      </c>
      <c r="E147" s="15" t="s">
        <v>53</v>
      </c>
      <c r="F147" s="14" t="s">
        <v>41</v>
      </c>
      <c r="G147" s="15" t="s">
        <v>23</v>
      </c>
      <c r="H147" s="15" t="s">
        <v>1526</v>
      </c>
      <c r="I147" s="15">
        <v>201409</v>
      </c>
      <c r="J147" s="16">
        <v>-4837.0200000000004</v>
      </c>
      <c r="K147" s="171">
        <f t="shared" si="6"/>
        <v>8</v>
      </c>
      <c r="L147" s="17">
        <v>1.4833299999999999E-3</v>
      </c>
      <c r="M147" s="16">
        <f t="shared" si="7"/>
        <v>-57.4</v>
      </c>
      <c r="N147" s="16">
        <f t="shared" si="8"/>
        <v>-86.1</v>
      </c>
      <c r="O147" s="14"/>
    </row>
    <row r="148" spans="1:15">
      <c r="A148" s="14" t="s">
        <v>17</v>
      </c>
      <c r="B148" s="15" t="s">
        <v>529</v>
      </c>
      <c r="C148" s="15" t="s">
        <v>530</v>
      </c>
      <c r="D148" s="14" t="s">
        <v>531</v>
      </c>
      <c r="E148" s="15" t="s">
        <v>141</v>
      </c>
      <c r="F148" s="14" t="s">
        <v>142</v>
      </c>
      <c r="G148" s="15" t="s">
        <v>23</v>
      </c>
      <c r="H148" s="15" t="s">
        <v>1525</v>
      </c>
      <c r="I148" s="15">
        <v>201409</v>
      </c>
      <c r="J148" s="16">
        <v>-450.77</v>
      </c>
      <c r="K148" s="171">
        <f t="shared" si="6"/>
        <v>8</v>
      </c>
      <c r="L148" s="17">
        <v>1.4833299999999999E-3</v>
      </c>
      <c r="M148" s="16">
        <f t="shared" si="7"/>
        <v>-5.35</v>
      </c>
      <c r="N148" s="16">
        <f t="shared" si="8"/>
        <v>-8.02</v>
      </c>
      <c r="O148" s="14"/>
    </row>
    <row r="149" spans="1:15">
      <c r="A149" s="14" t="s">
        <v>17</v>
      </c>
      <c r="B149" s="15" t="s">
        <v>532</v>
      </c>
      <c r="C149" s="15" t="s">
        <v>533</v>
      </c>
      <c r="D149" s="14" t="s">
        <v>534</v>
      </c>
      <c r="E149" s="15" t="s">
        <v>535</v>
      </c>
      <c r="F149" s="14" t="s">
        <v>536</v>
      </c>
      <c r="G149" s="15" t="s">
        <v>23</v>
      </c>
      <c r="H149" s="15" t="s">
        <v>1525</v>
      </c>
      <c r="I149" s="15">
        <v>201409</v>
      </c>
      <c r="J149" s="16">
        <v>-650.67999999999995</v>
      </c>
      <c r="K149" s="171">
        <f t="shared" si="6"/>
        <v>8</v>
      </c>
      <c r="L149" s="17">
        <v>1.4833299999999999E-3</v>
      </c>
      <c r="M149" s="16">
        <f t="shared" si="7"/>
        <v>-7.72</v>
      </c>
      <c r="N149" s="16">
        <f t="shared" si="8"/>
        <v>-11.58</v>
      </c>
      <c r="O149" s="14"/>
    </row>
    <row r="150" spans="1:15">
      <c r="A150" s="14" t="s">
        <v>17</v>
      </c>
      <c r="B150" s="15" t="s">
        <v>537</v>
      </c>
      <c r="C150" s="15" t="s">
        <v>538</v>
      </c>
      <c r="D150" s="14" t="s">
        <v>539</v>
      </c>
      <c r="E150" s="15" t="s">
        <v>53</v>
      </c>
      <c r="F150" s="14" t="s">
        <v>41</v>
      </c>
      <c r="G150" s="15" t="s">
        <v>23</v>
      </c>
      <c r="H150" s="15" t="s">
        <v>1526</v>
      </c>
      <c r="I150" s="15">
        <v>201409</v>
      </c>
      <c r="J150" s="16">
        <v>-295.94</v>
      </c>
      <c r="K150" s="171">
        <f t="shared" si="6"/>
        <v>8</v>
      </c>
      <c r="L150" s="17">
        <v>1.4833299999999999E-3</v>
      </c>
      <c r="M150" s="16">
        <f t="shared" si="7"/>
        <v>-3.51</v>
      </c>
      <c r="N150" s="16">
        <f t="shared" si="8"/>
        <v>-5.27</v>
      </c>
      <c r="O150" s="14"/>
    </row>
    <row r="151" spans="1:15">
      <c r="A151" s="14" t="s">
        <v>17</v>
      </c>
      <c r="B151" s="15" t="s">
        <v>540</v>
      </c>
      <c r="C151" s="15" t="s">
        <v>541</v>
      </c>
      <c r="D151" s="14" t="s">
        <v>542</v>
      </c>
      <c r="E151" s="15" t="s">
        <v>216</v>
      </c>
      <c r="F151" s="14" t="s">
        <v>22</v>
      </c>
      <c r="G151" s="15" t="s">
        <v>23</v>
      </c>
      <c r="H151" s="15" t="s">
        <v>1525</v>
      </c>
      <c r="I151" s="15">
        <v>201409</v>
      </c>
      <c r="J151" s="16">
        <v>-127.22</v>
      </c>
      <c r="K151" s="171">
        <f t="shared" si="6"/>
        <v>8</v>
      </c>
      <c r="L151" s="17">
        <v>1.4833299999999999E-3</v>
      </c>
      <c r="M151" s="16">
        <f t="shared" si="7"/>
        <v>-1.51</v>
      </c>
      <c r="N151" s="16">
        <f t="shared" si="8"/>
        <v>-2.2599999999999998</v>
      </c>
      <c r="O151" s="14"/>
    </row>
    <row r="152" spans="1:15">
      <c r="A152" s="14" t="s">
        <v>54</v>
      </c>
      <c r="B152" s="15" t="s">
        <v>546</v>
      </c>
      <c r="C152" s="15" t="s">
        <v>547</v>
      </c>
      <c r="D152" s="14" t="s">
        <v>548</v>
      </c>
      <c r="E152" s="15" t="s">
        <v>141</v>
      </c>
      <c r="F152" s="14" t="s">
        <v>142</v>
      </c>
      <c r="G152" s="15" t="s">
        <v>23</v>
      </c>
      <c r="H152" s="15" t="s">
        <v>1525</v>
      </c>
      <c r="I152" s="15">
        <v>201409</v>
      </c>
      <c r="J152" s="16">
        <v>-1572.84</v>
      </c>
      <c r="K152" s="171">
        <f t="shared" si="6"/>
        <v>8</v>
      </c>
      <c r="L152" s="17">
        <v>1.4833299999999999E-3</v>
      </c>
      <c r="M152" s="16">
        <f t="shared" si="7"/>
        <v>-18.66</v>
      </c>
      <c r="N152" s="16">
        <f t="shared" si="8"/>
        <v>-28</v>
      </c>
      <c r="O152" s="14"/>
    </row>
    <row r="153" spans="1:15">
      <c r="A153" s="14" t="s">
        <v>54</v>
      </c>
      <c r="B153" s="15" t="s">
        <v>549</v>
      </c>
      <c r="C153" s="15" t="s">
        <v>550</v>
      </c>
      <c r="D153" s="14" t="s">
        <v>551</v>
      </c>
      <c r="E153" s="15" t="s">
        <v>136</v>
      </c>
      <c r="F153" s="14" t="s">
        <v>137</v>
      </c>
      <c r="G153" s="15" t="s">
        <v>23</v>
      </c>
      <c r="H153" s="15" t="s">
        <v>1526</v>
      </c>
      <c r="I153" s="15">
        <v>201409</v>
      </c>
      <c r="J153" s="16">
        <v>-3150.43</v>
      </c>
      <c r="K153" s="171">
        <f t="shared" si="6"/>
        <v>8</v>
      </c>
      <c r="L153" s="17">
        <v>1.4833299999999999E-3</v>
      </c>
      <c r="M153" s="16">
        <f t="shared" si="7"/>
        <v>-37.39</v>
      </c>
      <c r="N153" s="16">
        <f t="shared" si="8"/>
        <v>-56.08</v>
      </c>
      <c r="O153" s="14"/>
    </row>
    <row r="154" spans="1:15">
      <c r="A154" s="14" t="s">
        <v>17</v>
      </c>
      <c r="B154" s="15" t="s">
        <v>552</v>
      </c>
      <c r="C154" s="15" t="s">
        <v>553</v>
      </c>
      <c r="D154" s="14" t="s">
        <v>554</v>
      </c>
      <c r="E154" s="15" t="s">
        <v>62</v>
      </c>
      <c r="F154" s="14" t="s">
        <v>22</v>
      </c>
      <c r="G154" s="15" t="s">
        <v>23</v>
      </c>
      <c r="H154" s="15" t="s">
        <v>1525</v>
      </c>
      <c r="I154" s="15">
        <v>201409</v>
      </c>
      <c r="J154" s="16">
        <v>-1309.6400000000001</v>
      </c>
      <c r="K154" s="171">
        <f t="shared" si="6"/>
        <v>8</v>
      </c>
      <c r="L154" s="17">
        <v>1.4833299999999999E-3</v>
      </c>
      <c r="M154" s="16">
        <f t="shared" si="7"/>
        <v>-15.54</v>
      </c>
      <c r="N154" s="16">
        <f t="shared" si="8"/>
        <v>-23.31</v>
      </c>
      <c r="O154" s="14"/>
    </row>
    <row r="155" spans="1:15">
      <c r="A155" s="14" t="s">
        <v>17</v>
      </c>
      <c r="B155" s="15" t="s">
        <v>555</v>
      </c>
      <c r="C155" s="15" t="s">
        <v>556</v>
      </c>
      <c r="D155" s="14" t="s">
        <v>557</v>
      </c>
      <c r="E155" s="15" t="s">
        <v>141</v>
      </c>
      <c r="F155" s="14" t="s">
        <v>142</v>
      </c>
      <c r="G155" s="15" t="s">
        <v>23</v>
      </c>
      <c r="H155" s="15" t="s">
        <v>1525</v>
      </c>
      <c r="I155" s="15">
        <v>201409</v>
      </c>
      <c r="J155" s="16">
        <v>-399.68</v>
      </c>
      <c r="K155" s="171">
        <f t="shared" si="6"/>
        <v>8</v>
      </c>
      <c r="L155" s="17">
        <v>1.4833299999999999E-3</v>
      </c>
      <c r="M155" s="16">
        <f t="shared" si="7"/>
        <v>-4.74</v>
      </c>
      <c r="N155" s="16">
        <f t="shared" si="8"/>
        <v>-7.11</v>
      </c>
      <c r="O155" s="14"/>
    </row>
    <row r="156" spans="1:15">
      <c r="A156" s="14" t="s">
        <v>54</v>
      </c>
      <c r="B156" s="15" t="s">
        <v>558</v>
      </c>
      <c r="C156" s="15" t="s">
        <v>559</v>
      </c>
      <c r="D156" s="14" t="s">
        <v>560</v>
      </c>
      <c r="E156" s="15" t="s">
        <v>36</v>
      </c>
      <c r="F156" s="14" t="s">
        <v>22</v>
      </c>
      <c r="G156" s="15" t="s">
        <v>23</v>
      </c>
      <c r="H156" s="15" t="s">
        <v>1525</v>
      </c>
      <c r="I156" s="15">
        <v>201409</v>
      </c>
      <c r="J156" s="16">
        <v>-480.27</v>
      </c>
      <c r="K156" s="171">
        <f t="shared" si="6"/>
        <v>8</v>
      </c>
      <c r="L156" s="17">
        <v>1.4833299999999999E-3</v>
      </c>
      <c r="M156" s="16">
        <f t="shared" si="7"/>
        <v>-5.7</v>
      </c>
      <c r="N156" s="16">
        <f t="shared" si="8"/>
        <v>-8.5500000000000007</v>
      </c>
      <c r="O156" s="14"/>
    </row>
    <row r="157" spans="1:15">
      <c r="A157" s="14" t="s">
        <v>54</v>
      </c>
      <c r="B157" s="15" t="s">
        <v>561</v>
      </c>
      <c r="C157" s="15" t="s">
        <v>562</v>
      </c>
      <c r="D157" s="14" t="s">
        <v>563</v>
      </c>
      <c r="E157" s="15" t="s">
        <v>58</v>
      </c>
      <c r="F157" s="14" t="s">
        <v>22</v>
      </c>
      <c r="G157" s="15" t="s">
        <v>23</v>
      </c>
      <c r="H157" s="15" t="s">
        <v>1525</v>
      </c>
      <c r="I157" s="15">
        <v>201409</v>
      </c>
      <c r="J157" s="16">
        <v>-363.06</v>
      </c>
      <c r="K157" s="171">
        <f t="shared" si="6"/>
        <v>8</v>
      </c>
      <c r="L157" s="17">
        <v>1.4833299999999999E-3</v>
      </c>
      <c r="M157" s="16">
        <f t="shared" si="7"/>
        <v>-4.3099999999999996</v>
      </c>
      <c r="N157" s="16">
        <f t="shared" si="8"/>
        <v>-6.46</v>
      </c>
      <c r="O157" s="14"/>
    </row>
    <row r="158" spans="1:15">
      <c r="A158" s="14" t="s">
        <v>17</v>
      </c>
      <c r="B158" s="15" t="s">
        <v>564</v>
      </c>
      <c r="C158" s="15" t="s">
        <v>565</v>
      </c>
      <c r="D158" s="14" t="s">
        <v>566</v>
      </c>
      <c r="E158" s="15" t="s">
        <v>567</v>
      </c>
      <c r="F158" s="14" t="s">
        <v>137</v>
      </c>
      <c r="G158" s="15" t="s">
        <v>23</v>
      </c>
      <c r="H158" s="15" t="s">
        <v>1526</v>
      </c>
      <c r="I158" s="15">
        <v>201409</v>
      </c>
      <c r="J158" s="16">
        <v>13.59</v>
      </c>
      <c r="K158" s="171">
        <f t="shared" si="6"/>
        <v>8</v>
      </c>
      <c r="L158" s="17">
        <v>1.4833299999999999E-3</v>
      </c>
      <c r="M158" s="16">
        <f t="shared" si="7"/>
        <v>0.16</v>
      </c>
      <c r="N158" s="16">
        <f t="shared" si="8"/>
        <v>0.24</v>
      </c>
      <c r="O158" s="14"/>
    </row>
    <row r="159" spans="1:15">
      <c r="A159" s="14" t="s">
        <v>17</v>
      </c>
      <c r="B159" s="15" t="s">
        <v>568</v>
      </c>
      <c r="C159" s="15" t="s">
        <v>569</v>
      </c>
      <c r="D159" s="14" t="s">
        <v>570</v>
      </c>
      <c r="E159" s="15" t="s">
        <v>324</v>
      </c>
      <c r="F159" s="14" t="s">
        <v>325</v>
      </c>
      <c r="G159" s="15" t="s">
        <v>23</v>
      </c>
      <c r="H159" s="15" t="s">
        <v>1525</v>
      </c>
      <c r="I159" s="15">
        <v>201409</v>
      </c>
      <c r="J159" s="16">
        <v>-124.35</v>
      </c>
      <c r="K159" s="171">
        <f t="shared" si="6"/>
        <v>8</v>
      </c>
      <c r="L159" s="17">
        <v>1.4833299999999999E-3</v>
      </c>
      <c r="M159" s="16">
        <f t="shared" si="7"/>
        <v>-1.48</v>
      </c>
      <c r="N159" s="16">
        <f t="shared" si="8"/>
        <v>-2.21</v>
      </c>
      <c r="O159" s="14"/>
    </row>
    <row r="160" spans="1:15">
      <c r="A160" s="14" t="s">
        <v>17</v>
      </c>
      <c r="B160" s="15" t="s">
        <v>571</v>
      </c>
      <c r="C160" s="15" t="s">
        <v>572</v>
      </c>
      <c r="D160" s="14" t="s">
        <v>573</v>
      </c>
      <c r="E160" s="15" t="s">
        <v>574</v>
      </c>
      <c r="F160" s="14" t="s">
        <v>28</v>
      </c>
      <c r="G160" s="15" t="s">
        <v>23</v>
      </c>
      <c r="H160" s="15" t="s">
        <v>1525</v>
      </c>
      <c r="I160" s="15">
        <v>201409</v>
      </c>
      <c r="J160" s="16">
        <v>-89.13</v>
      </c>
      <c r="K160" s="171">
        <f t="shared" si="6"/>
        <v>8</v>
      </c>
      <c r="L160" s="17">
        <v>1.4833299999999999E-3</v>
      </c>
      <c r="M160" s="16">
        <f t="shared" si="7"/>
        <v>-1.06</v>
      </c>
      <c r="N160" s="16">
        <f t="shared" si="8"/>
        <v>-1.59</v>
      </c>
      <c r="O160" s="14"/>
    </row>
    <row r="161" spans="1:15">
      <c r="A161" s="14" t="s">
        <v>17</v>
      </c>
      <c r="B161" s="15" t="s">
        <v>575</v>
      </c>
      <c r="C161" s="15" t="s">
        <v>576</v>
      </c>
      <c r="D161" s="14" t="s">
        <v>577</v>
      </c>
      <c r="E161" s="15" t="s">
        <v>462</v>
      </c>
      <c r="F161" s="14" t="s">
        <v>142</v>
      </c>
      <c r="G161" s="15" t="s">
        <v>23</v>
      </c>
      <c r="H161" s="15" t="s">
        <v>1525</v>
      </c>
      <c r="I161" s="15">
        <v>201409</v>
      </c>
      <c r="J161" s="16">
        <v>-34.44</v>
      </c>
      <c r="K161" s="171">
        <f t="shared" si="6"/>
        <v>8</v>
      </c>
      <c r="L161" s="17">
        <v>1.4833299999999999E-3</v>
      </c>
      <c r="M161" s="16">
        <f t="shared" si="7"/>
        <v>-0.41</v>
      </c>
      <c r="N161" s="16">
        <f t="shared" si="8"/>
        <v>-0.61</v>
      </c>
      <c r="O161" s="14"/>
    </row>
    <row r="162" spans="1:15">
      <c r="A162" s="14" t="s">
        <v>54</v>
      </c>
      <c r="B162" s="15" t="s">
        <v>575</v>
      </c>
      <c r="C162" s="15" t="s">
        <v>576</v>
      </c>
      <c r="D162" s="14" t="s">
        <v>577</v>
      </c>
      <c r="E162" s="15" t="s">
        <v>462</v>
      </c>
      <c r="F162" s="14" t="s">
        <v>142</v>
      </c>
      <c r="G162" s="15" t="s">
        <v>23</v>
      </c>
      <c r="H162" s="15" t="s">
        <v>1525</v>
      </c>
      <c r="I162" s="15">
        <v>201409</v>
      </c>
      <c r="J162" s="16">
        <v>-1935.85</v>
      </c>
      <c r="K162" s="171">
        <f t="shared" si="6"/>
        <v>8</v>
      </c>
      <c r="L162" s="17">
        <v>1.4833299999999999E-3</v>
      </c>
      <c r="M162" s="16">
        <f t="shared" si="7"/>
        <v>-22.97</v>
      </c>
      <c r="N162" s="16">
        <f t="shared" si="8"/>
        <v>-34.46</v>
      </c>
      <c r="O162" s="14"/>
    </row>
    <row r="163" spans="1:15">
      <c r="A163" s="14" t="s">
        <v>54</v>
      </c>
      <c r="B163" s="15" t="s">
        <v>578</v>
      </c>
      <c r="C163" s="15" t="s">
        <v>579</v>
      </c>
      <c r="D163" s="14" t="s">
        <v>580</v>
      </c>
      <c r="E163" s="15" t="s">
        <v>136</v>
      </c>
      <c r="F163" s="14" t="s">
        <v>137</v>
      </c>
      <c r="G163" s="15" t="s">
        <v>23</v>
      </c>
      <c r="H163" s="15" t="s">
        <v>1526</v>
      </c>
      <c r="I163" s="15">
        <v>201409</v>
      </c>
      <c r="J163" s="16">
        <v>-19.86</v>
      </c>
      <c r="K163" s="171">
        <f t="shared" si="6"/>
        <v>8</v>
      </c>
      <c r="L163" s="17">
        <v>1.4833299999999999E-3</v>
      </c>
      <c r="M163" s="16">
        <f t="shared" si="7"/>
        <v>-0.24</v>
      </c>
      <c r="N163" s="16">
        <f t="shared" si="8"/>
        <v>-0.35</v>
      </c>
      <c r="O163" s="14"/>
    </row>
    <row r="164" spans="1:15">
      <c r="A164" s="14" t="s">
        <v>54</v>
      </c>
      <c r="B164" s="15" t="s">
        <v>581</v>
      </c>
      <c r="C164" s="15" t="s">
        <v>582</v>
      </c>
      <c r="D164" s="14" t="s">
        <v>583</v>
      </c>
      <c r="E164" s="15" t="s">
        <v>104</v>
      </c>
      <c r="F164" s="14" t="s">
        <v>41</v>
      </c>
      <c r="G164" s="15" t="s">
        <v>23</v>
      </c>
      <c r="H164" s="15" t="s">
        <v>1526</v>
      </c>
      <c r="I164" s="15">
        <v>201409</v>
      </c>
      <c r="J164" s="16">
        <v>97223.13</v>
      </c>
      <c r="K164" s="171">
        <f t="shared" si="6"/>
        <v>8</v>
      </c>
      <c r="L164" s="17">
        <v>1.4833299999999999E-3</v>
      </c>
      <c r="M164" s="16">
        <f t="shared" si="7"/>
        <v>1153.71</v>
      </c>
      <c r="N164" s="16">
        <f t="shared" si="8"/>
        <v>1730.57</v>
      </c>
      <c r="O164" s="14"/>
    </row>
    <row r="165" spans="1:15">
      <c r="A165" s="14" t="s">
        <v>17</v>
      </c>
      <c r="B165" s="15" t="s">
        <v>584</v>
      </c>
      <c r="C165" s="15" t="s">
        <v>585</v>
      </c>
      <c r="D165" s="14" t="s">
        <v>586</v>
      </c>
      <c r="E165" s="15" t="s">
        <v>62</v>
      </c>
      <c r="F165" s="14" t="s">
        <v>22</v>
      </c>
      <c r="G165" s="15" t="s">
        <v>23</v>
      </c>
      <c r="H165" s="15" t="s">
        <v>1525</v>
      </c>
      <c r="I165" s="15">
        <v>201409</v>
      </c>
      <c r="J165" s="16">
        <v>-7974.11</v>
      </c>
      <c r="K165" s="171">
        <f t="shared" si="6"/>
        <v>8</v>
      </c>
      <c r="L165" s="17">
        <v>1.4833299999999999E-3</v>
      </c>
      <c r="M165" s="16">
        <f t="shared" si="7"/>
        <v>-94.63</v>
      </c>
      <c r="N165" s="16">
        <f t="shared" si="8"/>
        <v>-141.94</v>
      </c>
      <c r="O165" s="14"/>
    </row>
    <row r="166" spans="1:15">
      <c r="A166" s="14" t="s">
        <v>66</v>
      </c>
      <c r="B166" s="15" t="s">
        <v>587</v>
      </c>
      <c r="C166" s="15" t="s">
        <v>588</v>
      </c>
      <c r="D166" s="14" t="s">
        <v>589</v>
      </c>
      <c r="E166" s="15" t="s">
        <v>590</v>
      </c>
      <c r="F166" s="14" t="s">
        <v>591</v>
      </c>
      <c r="G166" s="15" t="s">
        <v>23</v>
      </c>
      <c r="H166" s="15" t="s">
        <v>1530</v>
      </c>
      <c r="I166" s="15">
        <v>201409</v>
      </c>
      <c r="J166" s="16">
        <v>-3.04</v>
      </c>
      <c r="K166" s="171">
        <f t="shared" si="6"/>
        <v>8</v>
      </c>
      <c r="L166" s="17">
        <v>2.23333E-3</v>
      </c>
      <c r="M166" s="16">
        <f t="shared" si="7"/>
        <v>-0.05</v>
      </c>
      <c r="N166" s="16">
        <f t="shared" si="8"/>
        <v>-0.08</v>
      </c>
      <c r="O166" s="14"/>
    </row>
    <row r="167" spans="1:15">
      <c r="A167" s="14" t="s">
        <v>66</v>
      </c>
      <c r="B167" s="15" t="s">
        <v>592</v>
      </c>
      <c r="C167" s="15" t="s">
        <v>593</v>
      </c>
      <c r="D167" s="14" t="s">
        <v>381</v>
      </c>
      <c r="E167" s="15" t="s">
        <v>594</v>
      </c>
      <c r="F167" s="14" t="s">
        <v>212</v>
      </c>
      <c r="G167" s="15" t="s">
        <v>23</v>
      </c>
      <c r="H167" s="15" t="s">
        <v>1530</v>
      </c>
      <c r="I167" s="15">
        <v>201409</v>
      </c>
      <c r="J167" s="16">
        <v>-383.88</v>
      </c>
      <c r="K167" s="171">
        <f t="shared" si="6"/>
        <v>8</v>
      </c>
      <c r="L167" s="17">
        <v>2.23333E-3</v>
      </c>
      <c r="M167" s="16">
        <f t="shared" si="7"/>
        <v>-6.86</v>
      </c>
      <c r="N167" s="16">
        <f t="shared" si="8"/>
        <v>-10.29</v>
      </c>
      <c r="O167" s="14"/>
    </row>
    <row r="168" spans="1:15">
      <c r="A168" s="14" t="s">
        <v>66</v>
      </c>
      <c r="B168" s="15" t="s">
        <v>595</v>
      </c>
      <c r="C168" s="15" t="s">
        <v>596</v>
      </c>
      <c r="D168" s="14" t="s">
        <v>597</v>
      </c>
      <c r="E168" s="15" t="s">
        <v>598</v>
      </c>
      <c r="F168" s="14" t="s">
        <v>212</v>
      </c>
      <c r="G168" s="15" t="s">
        <v>23</v>
      </c>
      <c r="H168" s="15" t="s">
        <v>1530</v>
      </c>
      <c r="I168" s="15">
        <v>201409</v>
      </c>
      <c r="J168" s="16">
        <v>260099.33</v>
      </c>
      <c r="K168" s="171">
        <f t="shared" si="6"/>
        <v>8</v>
      </c>
      <c r="L168" s="17">
        <v>2.23333E-3</v>
      </c>
      <c r="M168" s="16">
        <f t="shared" si="7"/>
        <v>4647.1000000000004</v>
      </c>
      <c r="N168" s="16">
        <f t="shared" si="8"/>
        <v>6970.65</v>
      </c>
      <c r="O168" s="14"/>
    </row>
    <row r="169" spans="1:15">
      <c r="A169" s="14" t="s">
        <v>66</v>
      </c>
      <c r="B169" s="15" t="s">
        <v>599</v>
      </c>
      <c r="C169" s="15" t="s">
        <v>600</v>
      </c>
      <c r="D169" s="14" t="s">
        <v>385</v>
      </c>
      <c r="E169" s="15" t="s">
        <v>601</v>
      </c>
      <c r="F169" s="14" t="s">
        <v>387</v>
      </c>
      <c r="G169" s="15" t="s">
        <v>23</v>
      </c>
      <c r="H169" s="15" t="s">
        <v>1530</v>
      </c>
      <c r="I169" s="15">
        <v>201409</v>
      </c>
      <c r="J169" s="16">
        <v>3438.85</v>
      </c>
      <c r="K169" s="171">
        <f t="shared" si="6"/>
        <v>8</v>
      </c>
      <c r="L169" s="17">
        <v>2.23333E-3</v>
      </c>
      <c r="M169" s="16">
        <f t="shared" si="7"/>
        <v>61.44</v>
      </c>
      <c r="N169" s="16">
        <f t="shared" si="8"/>
        <v>92.16</v>
      </c>
      <c r="O169" s="14"/>
    </row>
    <row r="170" spans="1:15">
      <c r="A170" s="14" t="s">
        <v>17</v>
      </c>
      <c r="B170" s="15" t="s">
        <v>602</v>
      </c>
      <c r="C170" s="15" t="s">
        <v>603</v>
      </c>
      <c r="D170" s="14" t="s">
        <v>604</v>
      </c>
      <c r="E170" s="15" t="s">
        <v>58</v>
      </c>
      <c r="F170" s="14" t="s">
        <v>22</v>
      </c>
      <c r="G170" s="15" t="s">
        <v>23</v>
      </c>
      <c r="H170" s="15" t="s">
        <v>1525</v>
      </c>
      <c r="I170" s="15">
        <v>201409</v>
      </c>
      <c r="J170" s="16">
        <v>50.89</v>
      </c>
      <c r="K170" s="171">
        <f t="shared" si="6"/>
        <v>8</v>
      </c>
      <c r="L170" s="17">
        <v>1.4833299999999999E-3</v>
      </c>
      <c r="M170" s="16">
        <f t="shared" si="7"/>
        <v>0.6</v>
      </c>
      <c r="N170" s="16">
        <f t="shared" si="8"/>
        <v>0.91</v>
      </c>
      <c r="O170" s="14"/>
    </row>
    <row r="171" spans="1:15">
      <c r="A171" s="18" t="s">
        <v>17</v>
      </c>
      <c r="B171" s="15" t="s">
        <v>605</v>
      </c>
      <c r="C171" s="15" t="s">
        <v>606</v>
      </c>
      <c r="D171" s="14" t="s">
        <v>607</v>
      </c>
      <c r="E171" s="15" t="s">
        <v>62</v>
      </c>
      <c r="F171" s="14" t="s">
        <v>22</v>
      </c>
      <c r="G171" s="15" t="s">
        <v>23</v>
      </c>
      <c r="H171" s="15" t="s">
        <v>1525</v>
      </c>
      <c r="I171" s="15">
        <v>201409</v>
      </c>
      <c r="J171" s="16">
        <v>-1362.37</v>
      </c>
      <c r="K171" s="171">
        <f t="shared" si="6"/>
        <v>8</v>
      </c>
      <c r="L171" s="17">
        <v>1.4833299999999999E-3</v>
      </c>
      <c r="M171" s="16">
        <f t="shared" si="7"/>
        <v>-16.170000000000002</v>
      </c>
      <c r="N171" s="16">
        <f t="shared" si="8"/>
        <v>-24.25</v>
      </c>
      <c r="O171" s="14"/>
    </row>
    <row r="172" spans="1:15">
      <c r="A172" s="18" t="s">
        <v>17</v>
      </c>
      <c r="B172" s="15" t="s">
        <v>608</v>
      </c>
      <c r="C172" s="15" t="s">
        <v>609</v>
      </c>
      <c r="D172" s="14" t="s">
        <v>610</v>
      </c>
      <c r="E172" s="15" t="s">
        <v>45</v>
      </c>
      <c r="F172" s="14" t="s">
        <v>22</v>
      </c>
      <c r="G172" s="15" t="s">
        <v>23</v>
      </c>
      <c r="H172" s="15" t="s">
        <v>1525</v>
      </c>
      <c r="I172" s="15">
        <v>201409</v>
      </c>
      <c r="J172" s="16">
        <v>-283.43</v>
      </c>
      <c r="K172" s="171">
        <f t="shared" si="6"/>
        <v>8</v>
      </c>
      <c r="L172" s="17">
        <v>1.4833299999999999E-3</v>
      </c>
      <c r="M172" s="16">
        <f t="shared" si="7"/>
        <v>-3.36</v>
      </c>
      <c r="N172" s="16">
        <f t="shared" si="8"/>
        <v>-5.05</v>
      </c>
      <c r="O172" s="14"/>
    </row>
    <row r="173" spans="1:15">
      <c r="A173" s="18" t="s">
        <v>17</v>
      </c>
      <c r="B173" s="15" t="s">
        <v>611</v>
      </c>
      <c r="C173" s="15" t="s">
        <v>612</v>
      </c>
      <c r="D173" s="14" t="s">
        <v>613</v>
      </c>
      <c r="E173" s="15" t="s">
        <v>324</v>
      </c>
      <c r="F173" s="14" t="s">
        <v>325</v>
      </c>
      <c r="G173" s="15" t="s">
        <v>23</v>
      </c>
      <c r="H173" s="15" t="s">
        <v>1525</v>
      </c>
      <c r="I173" s="15">
        <v>201409</v>
      </c>
      <c r="J173" s="16">
        <v>-386.84</v>
      </c>
      <c r="K173" s="171">
        <f t="shared" si="6"/>
        <v>8</v>
      </c>
      <c r="L173" s="17">
        <v>1.4833299999999999E-3</v>
      </c>
      <c r="M173" s="16">
        <f t="shared" si="7"/>
        <v>-4.59</v>
      </c>
      <c r="N173" s="16">
        <f t="shared" si="8"/>
        <v>-6.89</v>
      </c>
      <c r="O173" s="14"/>
    </row>
    <row r="174" spans="1:15">
      <c r="A174" s="18" t="s">
        <v>17</v>
      </c>
      <c r="B174" s="15" t="s">
        <v>614</v>
      </c>
      <c r="C174" s="15" t="s">
        <v>615</v>
      </c>
      <c r="D174" s="14" t="s">
        <v>616</v>
      </c>
      <c r="E174" s="15" t="s">
        <v>40</v>
      </c>
      <c r="F174" s="14" t="s">
        <v>41</v>
      </c>
      <c r="G174" s="15" t="s">
        <v>23</v>
      </c>
      <c r="H174" s="15" t="s">
        <v>1526</v>
      </c>
      <c r="I174" s="15">
        <v>201409</v>
      </c>
      <c r="J174" s="16">
        <v>-6.15</v>
      </c>
      <c r="K174" s="171">
        <f t="shared" si="6"/>
        <v>8</v>
      </c>
      <c r="L174" s="17">
        <v>1.4833299999999999E-3</v>
      </c>
      <c r="M174" s="16">
        <f t="shared" si="7"/>
        <v>-7.0000000000000007E-2</v>
      </c>
      <c r="N174" s="16">
        <f t="shared" si="8"/>
        <v>-0.11</v>
      </c>
      <c r="O174" s="14"/>
    </row>
    <row r="175" spans="1:15">
      <c r="A175" s="18" t="s">
        <v>17</v>
      </c>
      <c r="B175" s="15" t="s">
        <v>617</v>
      </c>
      <c r="C175" s="15" t="s">
        <v>618</v>
      </c>
      <c r="D175" s="14" t="s">
        <v>619</v>
      </c>
      <c r="E175" s="15" t="s">
        <v>141</v>
      </c>
      <c r="F175" s="14" t="s">
        <v>142</v>
      </c>
      <c r="G175" s="15" t="s">
        <v>23</v>
      </c>
      <c r="H175" s="15" t="s">
        <v>1525</v>
      </c>
      <c r="I175" s="15">
        <v>201409</v>
      </c>
      <c r="J175" s="16">
        <v>-725.84</v>
      </c>
      <c r="K175" s="171">
        <f t="shared" si="6"/>
        <v>8</v>
      </c>
      <c r="L175" s="17">
        <v>1.4833299999999999E-3</v>
      </c>
      <c r="M175" s="16">
        <f t="shared" si="7"/>
        <v>-8.61</v>
      </c>
      <c r="N175" s="16">
        <f t="shared" si="8"/>
        <v>-12.92</v>
      </c>
      <c r="O175" s="14"/>
    </row>
    <row r="176" spans="1:15">
      <c r="A176" s="14" t="s">
        <v>66</v>
      </c>
      <c r="B176" s="15" t="s">
        <v>620</v>
      </c>
      <c r="C176" s="15" t="s">
        <v>621</v>
      </c>
      <c r="D176" s="14" t="s">
        <v>622</v>
      </c>
      <c r="E176" s="15" t="s">
        <v>623</v>
      </c>
      <c r="F176" s="14" t="s">
        <v>624</v>
      </c>
      <c r="G176" s="15" t="s">
        <v>23</v>
      </c>
      <c r="H176" s="15" t="s">
        <v>1527</v>
      </c>
      <c r="I176" s="15">
        <v>201409</v>
      </c>
      <c r="J176" s="16">
        <v>-176.28</v>
      </c>
      <c r="K176" s="171">
        <f t="shared" si="6"/>
        <v>8</v>
      </c>
      <c r="L176" s="17">
        <v>2.23333E-3</v>
      </c>
      <c r="M176" s="16">
        <f t="shared" si="7"/>
        <v>-3.15</v>
      </c>
      <c r="N176" s="16">
        <f t="shared" si="8"/>
        <v>-4.72</v>
      </c>
      <c r="O176" s="14"/>
    </row>
    <row r="177" spans="1:15">
      <c r="A177" s="14" t="s">
        <v>17</v>
      </c>
      <c r="B177" s="15" t="s">
        <v>625</v>
      </c>
      <c r="C177" s="15" t="s">
        <v>626</v>
      </c>
      <c r="D177" s="14" t="s">
        <v>627</v>
      </c>
      <c r="E177" s="15" t="s">
        <v>62</v>
      </c>
      <c r="F177" s="14" t="s">
        <v>22</v>
      </c>
      <c r="G177" s="15" t="s">
        <v>23</v>
      </c>
      <c r="H177" s="15" t="s">
        <v>1525</v>
      </c>
      <c r="I177" s="15">
        <v>201409</v>
      </c>
      <c r="J177" s="16">
        <v>-536.53</v>
      </c>
      <c r="K177" s="171">
        <f t="shared" si="6"/>
        <v>8</v>
      </c>
      <c r="L177" s="17">
        <v>1.4833299999999999E-3</v>
      </c>
      <c r="M177" s="16">
        <f t="shared" si="7"/>
        <v>-6.37</v>
      </c>
      <c r="N177" s="16">
        <f t="shared" si="8"/>
        <v>-9.5500000000000007</v>
      </c>
      <c r="O177" s="14"/>
    </row>
    <row r="178" spans="1:15">
      <c r="A178" s="18" t="s">
        <v>17</v>
      </c>
      <c r="B178" s="15" t="s">
        <v>628</v>
      </c>
      <c r="C178" s="15" t="s">
        <v>629</v>
      </c>
      <c r="D178" s="14" t="s">
        <v>630</v>
      </c>
      <c r="E178" s="15" t="s">
        <v>440</v>
      </c>
      <c r="F178" s="14" t="s">
        <v>28</v>
      </c>
      <c r="G178" s="15" t="s">
        <v>23</v>
      </c>
      <c r="H178" s="15" t="s">
        <v>1525</v>
      </c>
      <c r="I178" s="15">
        <v>201409</v>
      </c>
      <c r="J178" s="16">
        <v>24.81</v>
      </c>
      <c r="K178" s="171">
        <f t="shared" si="6"/>
        <v>8</v>
      </c>
      <c r="L178" s="17">
        <v>1.4833299999999999E-3</v>
      </c>
      <c r="M178" s="16">
        <f t="shared" si="7"/>
        <v>0.28999999999999998</v>
      </c>
      <c r="N178" s="16">
        <f t="shared" si="8"/>
        <v>0.44</v>
      </c>
      <c r="O178" s="14"/>
    </row>
    <row r="179" spans="1:15">
      <c r="A179" s="18" t="s">
        <v>17</v>
      </c>
      <c r="B179" s="15" t="s">
        <v>631</v>
      </c>
      <c r="C179" s="15" t="s">
        <v>632</v>
      </c>
      <c r="D179" s="14" t="s">
        <v>633</v>
      </c>
      <c r="E179" s="15" t="s">
        <v>32</v>
      </c>
      <c r="F179" s="14" t="s">
        <v>22</v>
      </c>
      <c r="G179" s="15" t="s">
        <v>23</v>
      </c>
      <c r="H179" s="15" t="s">
        <v>1525</v>
      </c>
      <c r="I179" s="15">
        <v>201409</v>
      </c>
      <c r="J179" s="16">
        <v>-175.31</v>
      </c>
      <c r="K179" s="171">
        <f t="shared" si="6"/>
        <v>8</v>
      </c>
      <c r="L179" s="17">
        <v>1.4833299999999999E-3</v>
      </c>
      <c r="M179" s="16">
        <f t="shared" si="7"/>
        <v>-2.08</v>
      </c>
      <c r="N179" s="16">
        <f t="shared" si="8"/>
        <v>-3.12</v>
      </c>
      <c r="O179" s="14"/>
    </row>
    <row r="180" spans="1:15">
      <c r="A180" s="18" t="s">
        <v>17</v>
      </c>
      <c r="B180" s="15" t="s">
        <v>634</v>
      </c>
      <c r="C180" s="15" t="s">
        <v>635</v>
      </c>
      <c r="D180" s="14" t="s">
        <v>636</v>
      </c>
      <c r="E180" s="15" t="s">
        <v>567</v>
      </c>
      <c r="F180" s="14" t="s">
        <v>137</v>
      </c>
      <c r="G180" s="15" t="s">
        <v>23</v>
      </c>
      <c r="H180" s="15" t="s">
        <v>1526</v>
      </c>
      <c r="I180" s="15">
        <v>201409</v>
      </c>
      <c r="J180" s="16">
        <v>-674262.3</v>
      </c>
      <c r="K180" s="171">
        <f t="shared" si="6"/>
        <v>8</v>
      </c>
      <c r="L180" s="17">
        <v>1.4833299999999999E-3</v>
      </c>
      <c r="M180" s="16">
        <f t="shared" si="7"/>
        <v>-8001.23</v>
      </c>
      <c r="N180" s="16">
        <f t="shared" si="8"/>
        <v>-12001.84</v>
      </c>
      <c r="O180" s="14"/>
    </row>
    <row r="181" spans="1:15">
      <c r="A181" s="18" t="s">
        <v>54</v>
      </c>
      <c r="B181" s="15" t="s">
        <v>634</v>
      </c>
      <c r="C181" s="15" t="s">
        <v>635</v>
      </c>
      <c r="D181" s="14" t="s">
        <v>636</v>
      </c>
      <c r="E181" s="15" t="s">
        <v>567</v>
      </c>
      <c r="F181" s="14" t="s">
        <v>137</v>
      </c>
      <c r="G181" s="15" t="s">
        <v>23</v>
      </c>
      <c r="H181" s="15" t="s">
        <v>1526</v>
      </c>
      <c r="I181" s="15">
        <v>201409</v>
      </c>
      <c r="J181" s="16">
        <v>660836.46</v>
      </c>
      <c r="K181" s="171">
        <f t="shared" si="6"/>
        <v>8</v>
      </c>
      <c r="L181" s="17">
        <v>1.4833299999999999E-3</v>
      </c>
      <c r="M181" s="16">
        <f t="shared" si="7"/>
        <v>7841.91</v>
      </c>
      <c r="N181" s="16">
        <f t="shared" si="8"/>
        <v>11762.86</v>
      </c>
      <c r="O181" s="14"/>
    </row>
    <row r="182" spans="1:15">
      <c r="A182" s="14" t="s">
        <v>17</v>
      </c>
      <c r="B182" s="15" t="s">
        <v>637</v>
      </c>
      <c r="C182" s="15" t="s">
        <v>638</v>
      </c>
      <c r="D182" s="14" t="s">
        <v>639</v>
      </c>
      <c r="E182" s="15" t="s">
        <v>136</v>
      </c>
      <c r="F182" s="14" t="s">
        <v>137</v>
      </c>
      <c r="G182" s="15" t="s">
        <v>23</v>
      </c>
      <c r="H182" s="15" t="s">
        <v>1526</v>
      </c>
      <c r="I182" s="15">
        <v>201409</v>
      </c>
      <c r="J182" s="16">
        <v>4065.05</v>
      </c>
      <c r="K182" s="171">
        <f t="shared" si="6"/>
        <v>8</v>
      </c>
      <c r="L182" s="17">
        <v>1.4833299999999999E-3</v>
      </c>
      <c r="M182" s="16">
        <f t="shared" si="7"/>
        <v>48.24</v>
      </c>
      <c r="N182" s="16">
        <f t="shared" si="8"/>
        <v>72.36</v>
      </c>
      <c r="O182" s="14"/>
    </row>
    <row r="183" spans="1:15">
      <c r="A183" s="18" t="s">
        <v>17</v>
      </c>
      <c r="B183" s="15" t="s">
        <v>640</v>
      </c>
      <c r="C183" s="15" t="s">
        <v>641</v>
      </c>
      <c r="D183" s="14" t="s">
        <v>642</v>
      </c>
      <c r="E183" s="15" t="s">
        <v>362</v>
      </c>
      <c r="F183" s="14" t="s">
        <v>41</v>
      </c>
      <c r="G183" s="15" t="s">
        <v>23</v>
      </c>
      <c r="H183" s="15" t="s">
        <v>1526</v>
      </c>
      <c r="I183" s="15">
        <v>201409</v>
      </c>
      <c r="J183" s="16">
        <v>-115.28</v>
      </c>
      <c r="K183" s="171">
        <f t="shared" si="6"/>
        <v>8</v>
      </c>
      <c r="L183" s="17">
        <v>1.4833299999999999E-3</v>
      </c>
      <c r="M183" s="16">
        <f t="shared" si="7"/>
        <v>-1.37</v>
      </c>
      <c r="N183" s="16">
        <f t="shared" si="8"/>
        <v>-2.0499999999999998</v>
      </c>
      <c r="O183" s="14"/>
    </row>
    <row r="184" spans="1:15">
      <c r="A184" s="18" t="s">
        <v>17</v>
      </c>
      <c r="B184" s="15" t="s">
        <v>643</v>
      </c>
      <c r="C184" s="15" t="s">
        <v>644</v>
      </c>
      <c r="D184" s="14" t="s">
        <v>645</v>
      </c>
      <c r="E184" s="15" t="s">
        <v>141</v>
      </c>
      <c r="F184" s="14" t="s">
        <v>142</v>
      </c>
      <c r="G184" s="15" t="s">
        <v>23</v>
      </c>
      <c r="H184" s="15" t="s">
        <v>1525</v>
      </c>
      <c r="I184" s="15">
        <v>201409</v>
      </c>
      <c r="J184" s="16">
        <v>-912.44</v>
      </c>
      <c r="K184" s="171">
        <f t="shared" si="6"/>
        <v>8</v>
      </c>
      <c r="L184" s="17">
        <v>1.4833299999999999E-3</v>
      </c>
      <c r="M184" s="16">
        <f t="shared" si="7"/>
        <v>-10.83</v>
      </c>
      <c r="N184" s="16">
        <f t="shared" si="8"/>
        <v>-16.239999999999998</v>
      </c>
      <c r="O184" s="14"/>
    </row>
    <row r="185" spans="1:15">
      <c r="A185" s="18" t="s">
        <v>54</v>
      </c>
      <c r="B185" s="15" t="s">
        <v>649</v>
      </c>
      <c r="C185" s="15" t="s">
        <v>650</v>
      </c>
      <c r="D185" s="14" t="s">
        <v>651</v>
      </c>
      <c r="E185" s="15" t="s">
        <v>104</v>
      </c>
      <c r="F185" s="14" t="s">
        <v>41</v>
      </c>
      <c r="G185" s="15" t="s">
        <v>23</v>
      </c>
      <c r="H185" s="15" t="s">
        <v>1526</v>
      </c>
      <c r="I185" s="15">
        <v>201409</v>
      </c>
      <c r="J185" s="16">
        <v>-33.92</v>
      </c>
      <c r="K185" s="171">
        <f t="shared" si="6"/>
        <v>8</v>
      </c>
      <c r="L185" s="17">
        <v>1.4833299999999999E-3</v>
      </c>
      <c r="M185" s="16">
        <f t="shared" si="7"/>
        <v>-0.4</v>
      </c>
      <c r="N185" s="16">
        <f t="shared" si="8"/>
        <v>-0.6</v>
      </c>
      <c r="O185" s="14"/>
    </row>
    <row r="186" spans="1:15">
      <c r="A186" s="14" t="s">
        <v>17</v>
      </c>
      <c r="B186" s="15" t="s">
        <v>652</v>
      </c>
      <c r="C186" s="15" t="s">
        <v>653</v>
      </c>
      <c r="D186" s="14" t="s">
        <v>654</v>
      </c>
      <c r="E186" s="15" t="s">
        <v>40</v>
      </c>
      <c r="F186" s="14" t="s">
        <v>41</v>
      </c>
      <c r="G186" s="15" t="s">
        <v>23</v>
      </c>
      <c r="H186" s="15" t="s">
        <v>1526</v>
      </c>
      <c r="I186" s="15">
        <v>201409</v>
      </c>
      <c r="J186" s="16">
        <v>-1136.6400000000001</v>
      </c>
      <c r="K186" s="171">
        <f t="shared" si="6"/>
        <v>8</v>
      </c>
      <c r="L186" s="17">
        <v>1.4833299999999999E-3</v>
      </c>
      <c r="M186" s="16">
        <f t="shared" si="7"/>
        <v>-13.49</v>
      </c>
      <c r="N186" s="16">
        <f t="shared" si="8"/>
        <v>-20.23</v>
      </c>
      <c r="O186" s="14"/>
    </row>
    <row r="187" spans="1:15">
      <c r="A187" s="14" t="s">
        <v>17</v>
      </c>
      <c r="B187" s="15" t="s">
        <v>655</v>
      </c>
      <c r="C187" s="15" t="s">
        <v>656</v>
      </c>
      <c r="D187" s="14" t="s">
        <v>657</v>
      </c>
      <c r="E187" s="15" t="s">
        <v>36</v>
      </c>
      <c r="F187" s="14" t="s">
        <v>22</v>
      </c>
      <c r="G187" s="15" t="s">
        <v>23</v>
      </c>
      <c r="H187" s="15" t="s">
        <v>1525</v>
      </c>
      <c r="I187" s="15">
        <v>201409</v>
      </c>
      <c r="J187" s="16">
        <v>-42.2</v>
      </c>
      <c r="K187" s="171">
        <f t="shared" si="6"/>
        <v>8</v>
      </c>
      <c r="L187" s="17">
        <v>1.4833299999999999E-3</v>
      </c>
      <c r="M187" s="16">
        <f t="shared" si="7"/>
        <v>-0.5</v>
      </c>
      <c r="N187" s="16">
        <f t="shared" si="8"/>
        <v>-0.75</v>
      </c>
      <c r="O187" s="14"/>
    </row>
    <row r="188" spans="1:15">
      <c r="A188" s="14" t="s">
        <v>17</v>
      </c>
      <c r="B188" s="15" t="s">
        <v>658</v>
      </c>
      <c r="C188" s="15" t="s">
        <v>659</v>
      </c>
      <c r="D188" s="14" t="s">
        <v>660</v>
      </c>
      <c r="E188" s="15" t="s">
        <v>440</v>
      </c>
      <c r="F188" s="14" t="s">
        <v>28</v>
      </c>
      <c r="G188" s="15" t="s">
        <v>23</v>
      </c>
      <c r="H188" s="15" t="s">
        <v>1525</v>
      </c>
      <c r="I188" s="15">
        <v>201409</v>
      </c>
      <c r="J188" s="16">
        <v>10.48</v>
      </c>
      <c r="K188" s="171">
        <f t="shared" si="6"/>
        <v>8</v>
      </c>
      <c r="L188" s="17">
        <v>1.4833299999999999E-3</v>
      </c>
      <c r="M188" s="16">
        <f t="shared" si="7"/>
        <v>0.12</v>
      </c>
      <c r="N188" s="16">
        <f t="shared" si="8"/>
        <v>0.19</v>
      </c>
      <c r="O188" s="14"/>
    </row>
    <row r="189" spans="1:15">
      <c r="A189" s="14" t="s">
        <v>17</v>
      </c>
      <c r="B189" s="15" t="s">
        <v>661</v>
      </c>
      <c r="C189" s="15" t="s">
        <v>662</v>
      </c>
      <c r="D189" s="14" t="s">
        <v>663</v>
      </c>
      <c r="E189" s="15" t="s">
        <v>40</v>
      </c>
      <c r="F189" s="14" t="s">
        <v>41</v>
      </c>
      <c r="G189" s="15" t="s">
        <v>23</v>
      </c>
      <c r="H189" s="15" t="s">
        <v>1526</v>
      </c>
      <c r="I189" s="15">
        <v>201409</v>
      </c>
      <c r="J189" s="16">
        <v>-187.92</v>
      </c>
      <c r="K189" s="171">
        <f t="shared" si="6"/>
        <v>8</v>
      </c>
      <c r="L189" s="17">
        <v>1.4833299999999999E-3</v>
      </c>
      <c r="M189" s="16">
        <f t="shared" si="7"/>
        <v>-2.23</v>
      </c>
      <c r="N189" s="16">
        <f t="shared" si="8"/>
        <v>-3.34</v>
      </c>
      <c r="O189" s="14"/>
    </row>
    <row r="190" spans="1:15">
      <c r="A190" s="14" t="s">
        <v>17</v>
      </c>
      <c r="B190" s="15" t="s">
        <v>664</v>
      </c>
      <c r="C190" s="15" t="s">
        <v>665</v>
      </c>
      <c r="D190" s="14" t="s">
        <v>666</v>
      </c>
      <c r="E190" s="15" t="s">
        <v>667</v>
      </c>
      <c r="F190" s="14" t="s">
        <v>28</v>
      </c>
      <c r="G190" s="15" t="s">
        <v>23</v>
      </c>
      <c r="H190" s="15" t="s">
        <v>1525</v>
      </c>
      <c r="I190" s="15">
        <v>201409</v>
      </c>
      <c r="J190" s="16">
        <v>5.21</v>
      </c>
      <c r="K190" s="171">
        <f t="shared" si="6"/>
        <v>8</v>
      </c>
      <c r="L190" s="17">
        <v>1.4833299999999999E-3</v>
      </c>
      <c r="M190" s="16">
        <f t="shared" si="7"/>
        <v>0.06</v>
      </c>
      <c r="N190" s="16">
        <f t="shared" si="8"/>
        <v>0.09</v>
      </c>
      <c r="O190" s="14"/>
    </row>
    <row r="191" spans="1:15">
      <c r="A191" s="14" t="s">
        <v>17</v>
      </c>
      <c r="B191" s="15" t="s">
        <v>668</v>
      </c>
      <c r="C191" s="15" t="s">
        <v>669</v>
      </c>
      <c r="D191" s="14" t="s">
        <v>670</v>
      </c>
      <c r="E191" s="15" t="s">
        <v>45</v>
      </c>
      <c r="F191" s="14" t="s">
        <v>22</v>
      </c>
      <c r="G191" s="15" t="s">
        <v>23</v>
      </c>
      <c r="H191" s="15" t="s">
        <v>1525</v>
      </c>
      <c r="I191" s="15">
        <v>201409</v>
      </c>
      <c r="J191" s="16">
        <v>-193.2</v>
      </c>
      <c r="K191" s="171">
        <f t="shared" si="6"/>
        <v>8</v>
      </c>
      <c r="L191" s="17">
        <v>1.4833299999999999E-3</v>
      </c>
      <c r="M191" s="16">
        <f t="shared" si="7"/>
        <v>-2.29</v>
      </c>
      <c r="N191" s="16">
        <f t="shared" si="8"/>
        <v>-3.44</v>
      </c>
      <c r="O191" s="14"/>
    </row>
    <row r="192" spans="1:15">
      <c r="A192" s="14" t="s">
        <v>66</v>
      </c>
      <c r="B192" s="15" t="s">
        <v>671</v>
      </c>
      <c r="C192" s="15" t="s">
        <v>672</v>
      </c>
      <c r="D192" s="14" t="s">
        <v>206</v>
      </c>
      <c r="E192" s="15" t="s">
        <v>673</v>
      </c>
      <c r="F192" s="14" t="s">
        <v>97</v>
      </c>
      <c r="G192" s="15" t="s">
        <v>23</v>
      </c>
      <c r="H192" s="15" t="s">
        <v>1530</v>
      </c>
      <c r="I192" s="15">
        <v>201409</v>
      </c>
      <c r="J192" s="16">
        <v>642.49</v>
      </c>
      <c r="K192" s="171">
        <f t="shared" si="6"/>
        <v>8</v>
      </c>
      <c r="L192" s="17">
        <v>2.23333E-3</v>
      </c>
      <c r="M192" s="16">
        <f t="shared" si="7"/>
        <v>11.48</v>
      </c>
      <c r="N192" s="16">
        <f t="shared" si="8"/>
        <v>17.22</v>
      </c>
      <c r="O192" s="14"/>
    </row>
    <row r="193" spans="1:15">
      <c r="A193" s="14" t="s">
        <v>66</v>
      </c>
      <c r="B193" s="15" t="s">
        <v>674</v>
      </c>
      <c r="C193" s="15" t="s">
        <v>675</v>
      </c>
      <c r="D193" s="14" t="s">
        <v>385</v>
      </c>
      <c r="E193" s="15" t="s">
        <v>676</v>
      </c>
      <c r="F193" s="14" t="s">
        <v>387</v>
      </c>
      <c r="G193" s="15" t="s">
        <v>23</v>
      </c>
      <c r="H193" s="15" t="s">
        <v>1530</v>
      </c>
      <c r="I193" s="15">
        <v>201409</v>
      </c>
      <c r="J193" s="16">
        <v>16917.41</v>
      </c>
      <c r="K193" s="171">
        <f t="shared" si="6"/>
        <v>8</v>
      </c>
      <c r="L193" s="17">
        <v>2.23333E-3</v>
      </c>
      <c r="M193" s="16">
        <f t="shared" si="7"/>
        <v>302.26</v>
      </c>
      <c r="N193" s="16">
        <f t="shared" si="8"/>
        <v>453.39</v>
      </c>
      <c r="O193" s="14"/>
    </row>
    <row r="194" spans="1:15">
      <c r="A194" s="14" t="s">
        <v>17</v>
      </c>
      <c r="B194" s="15" t="s">
        <v>677</v>
      </c>
      <c r="C194" s="15" t="s">
        <v>678</v>
      </c>
      <c r="D194" s="14" t="s">
        <v>679</v>
      </c>
      <c r="E194" s="15" t="s">
        <v>216</v>
      </c>
      <c r="F194" s="14" t="s">
        <v>22</v>
      </c>
      <c r="G194" s="15" t="s">
        <v>23</v>
      </c>
      <c r="H194" s="15" t="s">
        <v>1525</v>
      </c>
      <c r="I194" s="15">
        <v>201409</v>
      </c>
      <c r="J194" s="16">
        <v>6.37</v>
      </c>
      <c r="K194" s="171">
        <f t="shared" si="6"/>
        <v>8</v>
      </c>
      <c r="L194" s="17">
        <v>1.4833299999999999E-3</v>
      </c>
      <c r="M194" s="16">
        <f t="shared" si="7"/>
        <v>0.08</v>
      </c>
      <c r="N194" s="16">
        <f t="shared" si="8"/>
        <v>0.11</v>
      </c>
      <c r="O194" s="14"/>
    </row>
    <row r="195" spans="1:15">
      <c r="A195" s="14" t="s">
        <v>238</v>
      </c>
      <c r="B195" s="15" t="s">
        <v>680</v>
      </c>
      <c r="C195" s="15" t="s">
        <v>681</v>
      </c>
      <c r="D195" s="14" t="s">
        <v>682</v>
      </c>
      <c r="E195" s="15" t="s">
        <v>683</v>
      </c>
      <c r="F195" s="14" t="s">
        <v>684</v>
      </c>
      <c r="G195" s="15" t="s">
        <v>23</v>
      </c>
      <c r="H195" s="15" t="s">
        <v>1528</v>
      </c>
      <c r="I195" s="15">
        <v>201409</v>
      </c>
      <c r="J195" s="16">
        <v>-215.87</v>
      </c>
      <c r="K195" s="171">
        <f t="shared" si="6"/>
        <v>8</v>
      </c>
      <c r="L195" s="17">
        <v>2.3833299999999999E-3</v>
      </c>
      <c r="M195" s="16">
        <f t="shared" si="7"/>
        <v>-4.12</v>
      </c>
      <c r="N195" s="16">
        <f t="shared" si="8"/>
        <v>-6.17</v>
      </c>
      <c r="O195" s="14"/>
    </row>
    <row r="196" spans="1:15">
      <c r="A196" s="14" t="s">
        <v>17</v>
      </c>
      <c r="B196" s="15" t="s">
        <v>685</v>
      </c>
      <c r="C196" s="15" t="s">
        <v>686</v>
      </c>
      <c r="D196" s="14" t="s">
        <v>687</v>
      </c>
      <c r="E196" s="15" t="s">
        <v>40</v>
      </c>
      <c r="F196" s="14" t="s">
        <v>41</v>
      </c>
      <c r="G196" s="15" t="s">
        <v>23</v>
      </c>
      <c r="H196" s="15" t="s">
        <v>1526</v>
      </c>
      <c r="I196" s="15">
        <v>201409</v>
      </c>
      <c r="J196" s="16">
        <v>-5404.17</v>
      </c>
      <c r="K196" s="171">
        <f t="shared" si="6"/>
        <v>8</v>
      </c>
      <c r="L196" s="17">
        <v>1.4833299999999999E-3</v>
      </c>
      <c r="M196" s="16">
        <f t="shared" si="7"/>
        <v>-64.13</v>
      </c>
      <c r="N196" s="16">
        <f t="shared" si="8"/>
        <v>-96.19</v>
      </c>
      <c r="O196" s="14"/>
    </row>
    <row r="197" spans="1:15">
      <c r="A197" s="14" t="s">
        <v>17</v>
      </c>
      <c r="B197" s="15" t="s">
        <v>688</v>
      </c>
      <c r="C197" s="15" t="s">
        <v>689</v>
      </c>
      <c r="D197" s="14" t="s">
        <v>690</v>
      </c>
      <c r="E197" s="15" t="s">
        <v>141</v>
      </c>
      <c r="F197" s="14" t="s">
        <v>142</v>
      </c>
      <c r="G197" s="15" t="s">
        <v>23</v>
      </c>
      <c r="H197" s="15" t="s">
        <v>1525</v>
      </c>
      <c r="I197" s="15">
        <v>201409</v>
      </c>
      <c r="J197" s="16">
        <v>-919.54</v>
      </c>
      <c r="K197" s="171">
        <f t="shared" ref="K197:K260" si="9">VLOOKUP(I197,$Q$7:$R$15,2)</f>
        <v>8</v>
      </c>
      <c r="L197" s="17">
        <v>1.4833299999999999E-3</v>
      </c>
      <c r="M197" s="16">
        <f t="shared" ref="M197:M260" si="10">ROUND(J197*K197*L197,2)</f>
        <v>-10.91</v>
      </c>
      <c r="N197" s="16">
        <f t="shared" ref="N197:N260" si="11">ROUND(J197*L197*12,2)</f>
        <v>-16.37</v>
      </c>
      <c r="O197" s="14"/>
    </row>
    <row r="198" spans="1:15">
      <c r="A198" s="18" t="s">
        <v>17</v>
      </c>
      <c r="B198" s="15" t="s">
        <v>691</v>
      </c>
      <c r="C198" s="15" t="s">
        <v>692</v>
      </c>
      <c r="D198" s="14" t="s">
        <v>693</v>
      </c>
      <c r="E198" s="15" t="s">
        <v>58</v>
      </c>
      <c r="F198" s="14" t="s">
        <v>22</v>
      </c>
      <c r="G198" s="15" t="s">
        <v>23</v>
      </c>
      <c r="H198" s="15" t="s">
        <v>1525</v>
      </c>
      <c r="I198" s="15">
        <v>201409</v>
      </c>
      <c r="J198" s="16">
        <v>-115.71</v>
      </c>
      <c r="K198" s="171">
        <f t="shared" si="9"/>
        <v>8</v>
      </c>
      <c r="L198" s="17">
        <v>1.4833299999999999E-3</v>
      </c>
      <c r="M198" s="16">
        <f t="shared" si="10"/>
        <v>-1.37</v>
      </c>
      <c r="N198" s="16">
        <f t="shared" si="11"/>
        <v>-2.06</v>
      </c>
      <c r="O198" s="14"/>
    </row>
    <row r="199" spans="1:15">
      <c r="A199" s="18" t="s">
        <v>17</v>
      </c>
      <c r="B199" s="15" t="s">
        <v>694</v>
      </c>
      <c r="C199" s="15" t="s">
        <v>695</v>
      </c>
      <c r="D199" s="14" t="s">
        <v>696</v>
      </c>
      <c r="E199" s="15" t="s">
        <v>141</v>
      </c>
      <c r="F199" s="14" t="s">
        <v>142</v>
      </c>
      <c r="G199" s="15" t="s">
        <v>23</v>
      </c>
      <c r="H199" s="15" t="s">
        <v>1525</v>
      </c>
      <c r="I199" s="15">
        <v>201409</v>
      </c>
      <c r="J199" s="16">
        <v>-90.01</v>
      </c>
      <c r="K199" s="171">
        <f t="shared" si="9"/>
        <v>8</v>
      </c>
      <c r="L199" s="17">
        <v>1.4833299999999999E-3</v>
      </c>
      <c r="M199" s="16">
        <f t="shared" si="10"/>
        <v>-1.07</v>
      </c>
      <c r="N199" s="16">
        <f t="shared" si="11"/>
        <v>-1.6</v>
      </c>
      <c r="O199" s="14"/>
    </row>
    <row r="200" spans="1:15">
      <c r="A200" s="18" t="s">
        <v>17</v>
      </c>
      <c r="B200" s="15" t="s">
        <v>697</v>
      </c>
      <c r="C200" s="15" t="s">
        <v>698</v>
      </c>
      <c r="D200" s="14" t="s">
        <v>699</v>
      </c>
      <c r="E200" s="15" t="s">
        <v>108</v>
      </c>
      <c r="F200" s="14" t="s">
        <v>28</v>
      </c>
      <c r="G200" s="15" t="s">
        <v>23</v>
      </c>
      <c r="H200" s="15" t="s">
        <v>1525</v>
      </c>
      <c r="I200" s="15">
        <v>201409</v>
      </c>
      <c r="J200" s="16">
        <v>-61.29</v>
      </c>
      <c r="K200" s="171">
        <f t="shared" si="9"/>
        <v>8</v>
      </c>
      <c r="L200" s="17">
        <v>1.4833299999999999E-3</v>
      </c>
      <c r="M200" s="16">
        <f t="shared" si="10"/>
        <v>-0.73</v>
      </c>
      <c r="N200" s="16">
        <f t="shared" si="11"/>
        <v>-1.0900000000000001</v>
      </c>
      <c r="O200" s="14"/>
    </row>
    <row r="201" spans="1:15">
      <c r="A201" s="18" t="s">
        <v>17</v>
      </c>
      <c r="B201" s="15" t="s">
        <v>700</v>
      </c>
      <c r="C201" s="15" t="s">
        <v>701</v>
      </c>
      <c r="D201" s="14" t="s">
        <v>702</v>
      </c>
      <c r="E201" s="15" t="s">
        <v>703</v>
      </c>
      <c r="F201" s="14" t="s">
        <v>142</v>
      </c>
      <c r="G201" s="15" t="s">
        <v>23</v>
      </c>
      <c r="H201" s="15" t="s">
        <v>1525</v>
      </c>
      <c r="I201" s="15">
        <v>201409</v>
      </c>
      <c r="J201" s="16">
        <v>-1328.44</v>
      </c>
      <c r="K201" s="171">
        <f t="shared" si="9"/>
        <v>8</v>
      </c>
      <c r="L201" s="17">
        <v>1.4833299999999999E-3</v>
      </c>
      <c r="M201" s="16">
        <f t="shared" si="10"/>
        <v>-15.76</v>
      </c>
      <c r="N201" s="16">
        <f t="shared" si="11"/>
        <v>-23.65</v>
      </c>
      <c r="O201" s="14"/>
    </row>
    <row r="202" spans="1:15">
      <c r="A202" s="14" t="s">
        <v>17</v>
      </c>
      <c r="B202" s="15" t="s">
        <v>704</v>
      </c>
      <c r="C202" s="15" t="s">
        <v>705</v>
      </c>
      <c r="D202" s="14" t="s">
        <v>706</v>
      </c>
      <c r="E202" s="15" t="s">
        <v>58</v>
      </c>
      <c r="F202" s="14" t="s">
        <v>22</v>
      </c>
      <c r="G202" s="15" t="s">
        <v>23</v>
      </c>
      <c r="H202" s="15" t="s">
        <v>1525</v>
      </c>
      <c r="I202" s="15">
        <v>201409</v>
      </c>
      <c r="J202" s="16">
        <v>-1908.15</v>
      </c>
      <c r="K202" s="171">
        <f t="shared" si="9"/>
        <v>8</v>
      </c>
      <c r="L202" s="17">
        <v>1.4833299999999999E-3</v>
      </c>
      <c r="M202" s="16">
        <f t="shared" si="10"/>
        <v>-22.64</v>
      </c>
      <c r="N202" s="16">
        <f t="shared" si="11"/>
        <v>-33.96</v>
      </c>
      <c r="O202" s="14"/>
    </row>
    <row r="203" spans="1:15">
      <c r="A203" s="18" t="s">
        <v>54</v>
      </c>
      <c r="B203" s="15" t="s">
        <v>707</v>
      </c>
      <c r="C203" s="15" t="s">
        <v>708</v>
      </c>
      <c r="D203" s="14" t="s">
        <v>709</v>
      </c>
      <c r="E203" s="15" t="s">
        <v>62</v>
      </c>
      <c r="F203" s="14" t="s">
        <v>22</v>
      </c>
      <c r="G203" s="15" t="s">
        <v>23</v>
      </c>
      <c r="H203" s="15" t="s">
        <v>1525</v>
      </c>
      <c r="I203" s="15">
        <v>201409</v>
      </c>
      <c r="J203" s="16">
        <v>-1477.33</v>
      </c>
      <c r="K203" s="171">
        <f t="shared" si="9"/>
        <v>8</v>
      </c>
      <c r="L203" s="17">
        <v>1.4833299999999999E-3</v>
      </c>
      <c r="M203" s="16">
        <f t="shared" si="10"/>
        <v>-17.53</v>
      </c>
      <c r="N203" s="16">
        <f t="shared" si="11"/>
        <v>-26.3</v>
      </c>
      <c r="O203" s="14"/>
    </row>
    <row r="204" spans="1:15">
      <c r="A204" s="18" t="s">
        <v>17</v>
      </c>
      <c r="B204" s="15" t="s">
        <v>710</v>
      </c>
      <c r="C204" s="15" t="s">
        <v>711</v>
      </c>
      <c r="D204" s="14" t="s">
        <v>712</v>
      </c>
      <c r="E204" s="15" t="s">
        <v>45</v>
      </c>
      <c r="F204" s="14" t="s">
        <v>22</v>
      </c>
      <c r="G204" s="15" t="s">
        <v>23</v>
      </c>
      <c r="H204" s="15" t="s">
        <v>1525</v>
      </c>
      <c r="I204" s="15">
        <v>201409</v>
      </c>
      <c r="J204" s="16">
        <v>-5845.57</v>
      </c>
      <c r="K204" s="171">
        <f t="shared" si="9"/>
        <v>8</v>
      </c>
      <c r="L204" s="17">
        <v>1.4833299999999999E-3</v>
      </c>
      <c r="M204" s="16">
        <f t="shared" si="10"/>
        <v>-69.37</v>
      </c>
      <c r="N204" s="16">
        <f t="shared" si="11"/>
        <v>-104.05</v>
      </c>
      <c r="O204" s="14"/>
    </row>
    <row r="205" spans="1:15">
      <c r="A205" s="18" t="s">
        <v>17</v>
      </c>
      <c r="B205" s="15" t="s">
        <v>713</v>
      </c>
      <c r="C205" s="15" t="s">
        <v>714</v>
      </c>
      <c r="D205" s="14" t="s">
        <v>715</v>
      </c>
      <c r="E205" s="15" t="s">
        <v>258</v>
      </c>
      <c r="F205" s="14" t="s">
        <v>259</v>
      </c>
      <c r="G205" s="15" t="s">
        <v>23</v>
      </c>
      <c r="H205" s="15" t="s">
        <v>1525</v>
      </c>
      <c r="I205" s="15">
        <v>201409</v>
      </c>
      <c r="J205" s="16">
        <v>-332.16</v>
      </c>
      <c r="K205" s="171">
        <f t="shared" si="9"/>
        <v>8</v>
      </c>
      <c r="L205" s="17">
        <v>1.4833299999999999E-3</v>
      </c>
      <c r="M205" s="16">
        <f t="shared" si="10"/>
        <v>-3.94</v>
      </c>
      <c r="N205" s="16">
        <f t="shared" si="11"/>
        <v>-5.91</v>
      </c>
      <c r="O205" s="14"/>
    </row>
    <row r="206" spans="1:15">
      <c r="A206" s="18" t="s">
        <v>17</v>
      </c>
      <c r="B206" s="15" t="s">
        <v>716</v>
      </c>
      <c r="C206" s="15" t="s">
        <v>717</v>
      </c>
      <c r="D206" s="14" t="s">
        <v>718</v>
      </c>
      <c r="E206" s="15" t="s">
        <v>104</v>
      </c>
      <c r="F206" s="14" t="s">
        <v>41</v>
      </c>
      <c r="G206" s="15" t="s">
        <v>23</v>
      </c>
      <c r="H206" s="15" t="s">
        <v>1526</v>
      </c>
      <c r="I206" s="15">
        <v>201409</v>
      </c>
      <c r="J206" s="16">
        <v>-46.05</v>
      </c>
      <c r="K206" s="171">
        <f t="shared" si="9"/>
        <v>8</v>
      </c>
      <c r="L206" s="17">
        <v>1.4833299999999999E-3</v>
      </c>
      <c r="M206" s="16">
        <f t="shared" si="10"/>
        <v>-0.55000000000000004</v>
      </c>
      <c r="N206" s="16">
        <f t="shared" si="11"/>
        <v>-0.82</v>
      </c>
      <c r="O206" s="14"/>
    </row>
    <row r="207" spans="1:15">
      <c r="A207" s="18" t="s">
        <v>54</v>
      </c>
      <c r="B207" s="15" t="s">
        <v>719</v>
      </c>
      <c r="C207" s="15" t="s">
        <v>720</v>
      </c>
      <c r="D207" s="14" t="s">
        <v>721</v>
      </c>
      <c r="E207" s="15" t="s">
        <v>27</v>
      </c>
      <c r="F207" s="14" t="s">
        <v>28</v>
      </c>
      <c r="G207" s="15" t="s">
        <v>23</v>
      </c>
      <c r="H207" s="15" t="s">
        <v>1525</v>
      </c>
      <c r="I207" s="15">
        <v>201409</v>
      </c>
      <c r="J207" s="16">
        <v>-622.91</v>
      </c>
      <c r="K207" s="171">
        <f t="shared" si="9"/>
        <v>8</v>
      </c>
      <c r="L207" s="17">
        <v>1.4833299999999999E-3</v>
      </c>
      <c r="M207" s="16">
        <f t="shared" si="10"/>
        <v>-7.39</v>
      </c>
      <c r="N207" s="16">
        <f t="shared" si="11"/>
        <v>-11.09</v>
      </c>
      <c r="O207" s="14"/>
    </row>
    <row r="208" spans="1:15">
      <c r="A208" s="18" t="s">
        <v>54</v>
      </c>
      <c r="B208" s="15" t="s">
        <v>722</v>
      </c>
      <c r="C208" s="15" t="s">
        <v>723</v>
      </c>
      <c r="D208" s="14" t="s">
        <v>724</v>
      </c>
      <c r="E208" s="15" t="s">
        <v>40</v>
      </c>
      <c r="F208" s="14" t="s">
        <v>41</v>
      </c>
      <c r="G208" s="15" t="s">
        <v>23</v>
      </c>
      <c r="H208" s="15" t="s">
        <v>1526</v>
      </c>
      <c r="I208" s="15">
        <v>201409</v>
      </c>
      <c r="J208" s="16">
        <v>-3374.08</v>
      </c>
      <c r="K208" s="171">
        <f t="shared" si="9"/>
        <v>8</v>
      </c>
      <c r="L208" s="17">
        <v>1.4833299999999999E-3</v>
      </c>
      <c r="M208" s="16">
        <f t="shared" si="10"/>
        <v>-40.04</v>
      </c>
      <c r="N208" s="16">
        <f t="shared" si="11"/>
        <v>-60.06</v>
      </c>
      <c r="O208" s="14"/>
    </row>
    <row r="209" spans="1:15">
      <c r="A209" s="18" t="s">
        <v>17</v>
      </c>
      <c r="B209" s="15" t="s">
        <v>725</v>
      </c>
      <c r="C209" s="15" t="s">
        <v>726</v>
      </c>
      <c r="D209" s="14" t="s">
        <v>727</v>
      </c>
      <c r="E209" s="15" t="s">
        <v>141</v>
      </c>
      <c r="F209" s="14" t="s">
        <v>142</v>
      </c>
      <c r="G209" s="15" t="s">
        <v>23</v>
      </c>
      <c r="H209" s="15" t="s">
        <v>1525</v>
      </c>
      <c r="I209" s="15">
        <v>201409</v>
      </c>
      <c r="J209" s="16">
        <v>-1433.54</v>
      </c>
      <c r="K209" s="171">
        <f t="shared" si="9"/>
        <v>8</v>
      </c>
      <c r="L209" s="17">
        <v>1.4833299999999999E-3</v>
      </c>
      <c r="M209" s="16">
        <f t="shared" si="10"/>
        <v>-17.010000000000002</v>
      </c>
      <c r="N209" s="16">
        <f t="shared" si="11"/>
        <v>-25.52</v>
      </c>
      <c r="O209" s="14"/>
    </row>
    <row r="210" spans="1:15">
      <c r="A210" s="18" t="s">
        <v>17</v>
      </c>
      <c r="B210" s="15" t="s">
        <v>728</v>
      </c>
      <c r="C210" s="15" t="s">
        <v>729</v>
      </c>
      <c r="D210" s="14" t="s">
        <v>730</v>
      </c>
      <c r="E210" s="15" t="s">
        <v>141</v>
      </c>
      <c r="F210" s="14" t="s">
        <v>142</v>
      </c>
      <c r="G210" s="15" t="s">
        <v>23</v>
      </c>
      <c r="H210" s="15" t="s">
        <v>1525</v>
      </c>
      <c r="I210" s="15">
        <v>201409</v>
      </c>
      <c r="J210" s="16">
        <v>-505.02</v>
      </c>
      <c r="K210" s="171">
        <f t="shared" si="9"/>
        <v>8</v>
      </c>
      <c r="L210" s="17">
        <v>1.4833299999999999E-3</v>
      </c>
      <c r="M210" s="16">
        <f t="shared" si="10"/>
        <v>-5.99</v>
      </c>
      <c r="N210" s="16">
        <f t="shared" si="11"/>
        <v>-8.99</v>
      </c>
      <c r="O210" s="14"/>
    </row>
    <row r="211" spans="1:15">
      <c r="A211" s="18" t="s">
        <v>54</v>
      </c>
      <c r="B211" s="15" t="s">
        <v>731</v>
      </c>
      <c r="C211" s="15" t="s">
        <v>732</v>
      </c>
      <c r="D211" s="14" t="s">
        <v>733</v>
      </c>
      <c r="E211" s="15" t="s">
        <v>104</v>
      </c>
      <c r="F211" s="14" t="s">
        <v>41</v>
      </c>
      <c r="G211" s="15" t="s">
        <v>23</v>
      </c>
      <c r="H211" s="15" t="s">
        <v>1526</v>
      </c>
      <c r="I211" s="15">
        <v>201409</v>
      </c>
      <c r="J211" s="16">
        <v>-1019.7</v>
      </c>
      <c r="K211" s="171">
        <f t="shared" si="9"/>
        <v>8</v>
      </c>
      <c r="L211" s="17">
        <v>1.4833299999999999E-3</v>
      </c>
      <c r="M211" s="16">
        <f t="shared" si="10"/>
        <v>-12.1</v>
      </c>
      <c r="N211" s="16">
        <f t="shared" si="11"/>
        <v>-18.149999999999999</v>
      </c>
      <c r="O211" s="14"/>
    </row>
    <row r="212" spans="1:15">
      <c r="A212" s="14" t="s">
        <v>66</v>
      </c>
      <c r="B212" s="15" t="s">
        <v>734</v>
      </c>
      <c r="C212" s="15" t="s">
        <v>735</v>
      </c>
      <c r="D212" s="14" t="s">
        <v>736</v>
      </c>
      <c r="E212" s="15" t="s">
        <v>737</v>
      </c>
      <c r="F212" s="14" t="s">
        <v>624</v>
      </c>
      <c r="G212" s="15" t="s">
        <v>23</v>
      </c>
      <c r="H212" s="15" t="s">
        <v>1527</v>
      </c>
      <c r="I212" s="15">
        <v>201409</v>
      </c>
      <c r="J212" s="16">
        <v>-44.18</v>
      </c>
      <c r="K212" s="171">
        <f t="shared" si="9"/>
        <v>8</v>
      </c>
      <c r="L212" s="17">
        <v>2.23333E-3</v>
      </c>
      <c r="M212" s="16">
        <f t="shared" si="10"/>
        <v>-0.79</v>
      </c>
      <c r="N212" s="16">
        <f t="shared" si="11"/>
        <v>-1.18</v>
      </c>
      <c r="O212" s="14"/>
    </row>
    <row r="213" spans="1:15">
      <c r="A213" s="14" t="s">
        <v>66</v>
      </c>
      <c r="B213" s="15" t="s">
        <v>738</v>
      </c>
      <c r="C213" s="15" t="s">
        <v>739</v>
      </c>
      <c r="D213" s="14" t="s">
        <v>69</v>
      </c>
      <c r="E213" s="15" t="s">
        <v>740</v>
      </c>
      <c r="F213" s="14" t="s">
        <v>71</v>
      </c>
      <c r="G213" s="15" t="s">
        <v>23</v>
      </c>
      <c r="H213" s="15" t="s">
        <v>1530</v>
      </c>
      <c r="I213" s="15">
        <v>201409</v>
      </c>
      <c r="J213" s="16">
        <v>29.7</v>
      </c>
      <c r="K213" s="171">
        <f t="shared" si="9"/>
        <v>8</v>
      </c>
      <c r="L213" s="17">
        <v>2.23333E-3</v>
      </c>
      <c r="M213" s="16">
        <f t="shared" si="10"/>
        <v>0.53</v>
      </c>
      <c r="N213" s="16">
        <f t="shared" si="11"/>
        <v>0.8</v>
      </c>
      <c r="O213" s="14"/>
    </row>
    <row r="214" spans="1:15">
      <c r="A214" s="14" t="s">
        <v>66</v>
      </c>
      <c r="B214" s="15" t="s">
        <v>741</v>
      </c>
      <c r="C214" s="15" t="s">
        <v>742</v>
      </c>
      <c r="D214" s="14" t="s">
        <v>69</v>
      </c>
      <c r="E214" s="15" t="s">
        <v>70</v>
      </c>
      <c r="F214" s="14" t="s">
        <v>71</v>
      </c>
      <c r="G214" s="15" t="s">
        <v>23</v>
      </c>
      <c r="H214" s="15" t="s">
        <v>1530</v>
      </c>
      <c r="I214" s="15">
        <v>201409</v>
      </c>
      <c r="J214" s="16">
        <v>1203.8</v>
      </c>
      <c r="K214" s="171">
        <f t="shared" si="9"/>
        <v>8</v>
      </c>
      <c r="L214" s="17">
        <v>2.23333E-3</v>
      </c>
      <c r="M214" s="16">
        <f t="shared" si="10"/>
        <v>21.51</v>
      </c>
      <c r="N214" s="16">
        <f t="shared" si="11"/>
        <v>32.26</v>
      </c>
      <c r="O214" s="14"/>
    </row>
    <row r="215" spans="1:15">
      <c r="A215" s="14" t="s">
        <v>66</v>
      </c>
      <c r="B215" s="15" t="s">
        <v>743</v>
      </c>
      <c r="C215" s="15" t="s">
        <v>744</v>
      </c>
      <c r="D215" s="14" t="s">
        <v>745</v>
      </c>
      <c r="E215" s="15" t="s">
        <v>746</v>
      </c>
      <c r="F215" s="14" t="s">
        <v>80</v>
      </c>
      <c r="G215" s="15" t="s">
        <v>23</v>
      </c>
      <c r="H215" s="15" t="s">
        <v>1530</v>
      </c>
      <c r="I215" s="15">
        <v>201409</v>
      </c>
      <c r="J215" s="16">
        <v>47053.64</v>
      </c>
      <c r="K215" s="171">
        <f t="shared" si="9"/>
        <v>8</v>
      </c>
      <c r="L215" s="17">
        <v>2.23333E-3</v>
      </c>
      <c r="M215" s="16">
        <f t="shared" si="10"/>
        <v>840.69</v>
      </c>
      <c r="N215" s="16">
        <f t="shared" si="11"/>
        <v>1261.04</v>
      </c>
      <c r="O215" s="14"/>
    </row>
    <row r="216" spans="1:15">
      <c r="A216" s="14" t="s">
        <v>66</v>
      </c>
      <c r="B216" s="15" t="s">
        <v>747</v>
      </c>
      <c r="C216" s="15" t="s">
        <v>748</v>
      </c>
      <c r="D216" s="14" t="s">
        <v>78</v>
      </c>
      <c r="E216" s="15" t="s">
        <v>749</v>
      </c>
      <c r="F216" s="14" t="s">
        <v>80</v>
      </c>
      <c r="G216" s="15" t="s">
        <v>23</v>
      </c>
      <c r="H216" s="15" t="s">
        <v>1530</v>
      </c>
      <c r="I216" s="15">
        <v>201409</v>
      </c>
      <c r="J216" s="16">
        <v>103995.5</v>
      </c>
      <c r="K216" s="171">
        <f t="shared" si="9"/>
        <v>8</v>
      </c>
      <c r="L216" s="17">
        <v>2.23333E-3</v>
      </c>
      <c r="M216" s="16">
        <f t="shared" si="10"/>
        <v>1858.05</v>
      </c>
      <c r="N216" s="16">
        <f t="shared" si="11"/>
        <v>2787.08</v>
      </c>
      <c r="O216" s="14"/>
    </row>
    <row r="217" spans="1:15">
      <c r="A217" s="14" t="s">
        <v>66</v>
      </c>
      <c r="B217" s="15" t="s">
        <v>750</v>
      </c>
      <c r="C217" s="15" t="s">
        <v>751</v>
      </c>
      <c r="D217" s="14" t="s">
        <v>78</v>
      </c>
      <c r="E217" s="15" t="s">
        <v>752</v>
      </c>
      <c r="F217" s="14" t="s">
        <v>80</v>
      </c>
      <c r="G217" s="15" t="s">
        <v>23</v>
      </c>
      <c r="H217" s="15" t="s">
        <v>1530</v>
      </c>
      <c r="I217" s="15">
        <v>201409</v>
      </c>
      <c r="J217" s="16">
        <v>-0.62</v>
      </c>
      <c r="K217" s="171">
        <f t="shared" si="9"/>
        <v>8</v>
      </c>
      <c r="L217" s="17">
        <v>2.23333E-3</v>
      </c>
      <c r="M217" s="16">
        <f t="shared" si="10"/>
        <v>-0.01</v>
      </c>
      <c r="N217" s="16">
        <f t="shared" si="11"/>
        <v>-0.02</v>
      </c>
      <c r="O217" s="14"/>
    </row>
    <row r="218" spans="1:15">
      <c r="A218" s="14" t="s">
        <v>66</v>
      </c>
      <c r="B218" s="15" t="s">
        <v>753</v>
      </c>
      <c r="C218" s="15" t="s">
        <v>754</v>
      </c>
      <c r="D218" s="14" t="s">
        <v>206</v>
      </c>
      <c r="E218" s="15" t="s">
        <v>755</v>
      </c>
      <c r="F218" s="14" t="s">
        <v>97</v>
      </c>
      <c r="G218" s="15" t="s">
        <v>23</v>
      </c>
      <c r="H218" s="15" t="s">
        <v>1530</v>
      </c>
      <c r="I218" s="15">
        <v>201409</v>
      </c>
      <c r="J218" s="16">
        <v>7053.44</v>
      </c>
      <c r="K218" s="171">
        <f t="shared" si="9"/>
        <v>8</v>
      </c>
      <c r="L218" s="17">
        <v>2.23333E-3</v>
      </c>
      <c r="M218" s="16">
        <f t="shared" si="10"/>
        <v>126.02</v>
      </c>
      <c r="N218" s="16">
        <f t="shared" si="11"/>
        <v>189.03</v>
      </c>
      <c r="O218" s="14"/>
    </row>
    <row r="219" spans="1:15">
      <c r="A219" s="14" t="s">
        <v>17</v>
      </c>
      <c r="B219" s="15" t="s">
        <v>756</v>
      </c>
      <c r="C219" s="15" t="s">
        <v>757</v>
      </c>
      <c r="D219" s="14" t="s">
        <v>758</v>
      </c>
      <c r="E219" s="15" t="s">
        <v>141</v>
      </c>
      <c r="F219" s="14" t="s">
        <v>142</v>
      </c>
      <c r="G219" s="15" t="s">
        <v>23</v>
      </c>
      <c r="H219" s="15" t="s">
        <v>1525</v>
      </c>
      <c r="I219" s="15">
        <v>201409</v>
      </c>
      <c r="J219" s="16">
        <v>-4641.3900000000003</v>
      </c>
      <c r="K219" s="171">
        <f t="shared" si="9"/>
        <v>8</v>
      </c>
      <c r="L219" s="17">
        <v>1.4833299999999999E-3</v>
      </c>
      <c r="M219" s="16">
        <f t="shared" si="10"/>
        <v>-55.08</v>
      </c>
      <c r="N219" s="16">
        <f t="shared" si="11"/>
        <v>-82.62</v>
      </c>
      <c r="O219" s="14"/>
    </row>
    <row r="220" spans="1:15">
      <c r="A220" s="14" t="s">
        <v>17</v>
      </c>
      <c r="B220" s="15" t="s">
        <v>759</v>
      </c>
      <c r="C220" s="15" t="s">
        <v>760</v>
      </c>
      <c r="D220" s="14" t="s">
        <v>761</v>
      </c>
      <c r="E220" s="15" t="s">
        <v>62</v>
      </c>
      <c r="F220" s="14" t="s">
        <v>22</v>
      </c>
      <c r="G220" s="15" t="s">
        <v>23</v>
      </c>
      <c r="H220" s="15" t="s">
        <v>1525</v>
      </c>
      <c r="I220" s="15">
        <v>201409</v>
      </c>
      <c r="J220" s="16">
        <v>-84.14</v>
      </c>
      <c r="K220" s="171">
        <f t="shared" si="9"/>
        <v>8</v>
      </c>
      <c r="L220" s="17">
        <v>1.4833299999999999E-3</v>
      </c>
      <c r="M220" s="16">
        <f t="shared" si="10"/>
        <v>-1</v>
      </c>
      <c r="N220" s="16">
        <f t="shared" si="11"/>
        <v>-1.5</v>
      </c>
      <c r="O220" s="14"/>
    </row>
    <row r="221" spans="1:15">
      <c r="A221" s="14" t="s">
        <v>238</v>
      </c>
      <c r="B221" s="15" t="s">
        <v>762</v>
      </c>
      <c r="C221" s="15" t="s">
        <v>763</v>
      </c>
      <c r="D221" s="14" t="s">
        <v>764</v>
      </c>
      <c r="E221" s="15" t="s">
        <v>168</v>
      </c>
      <c r="F221" s="14" t="s">
        <v>169</v>
      </c>
      <c r="G221" s="15" t="s">
        <v>23</v>
      </c>
      <c r="H221" s="15" t="s">
        <v>1528</v>
      </c>
      <c r="I221" s="15">
        <v>201409</v>
      </c>
      <c r="J221" s="16">
        <v>-567.96</v>
      </c>
      <c r="K221" s="171">
        <f t="shared" si="9"/>
        <v>8</v>
      </c>
      <c r="L221" s="17">
        <v>2.3833299999999999E-3</v>
      </c>
      <c r="M221" s="16">
        <f t="shared" si="10"/>
        <v>-10.83</v>
      </c>
      <c r="N221" s="16">
        <f t="shared" si="11"/>
        <v>-16.239999999999998</v>
      </c>
      <c r="O221" s="19"/>
    </row>
    <row r="222" spans="1:15">
      <c r="A222" s="14" t="s">
        <v>17</v>
      </c>
      <c r="B222" s="15" t="s">
        <v>765</v>
      </c>
      <c r="C222" s="15" t="s">
        <v>766</v>
      </c>
      <c r="D222" s="14" t="s">
        <v>767</v>
      </c>
      <c r="E222" s="15" t="s">
        <v>216</v>
      </c>
      <c r="F222" s="14" t="s">
        <v>22</v>
      </c>
      <c r="G222" s="15" t="s">
        <v>23</v>
      </c>
      <c r="H222" s="15" t="s">
        <v>1525</v>
      </c>
      <c r="I222" s="15">
        <v>201409</v>
      </c>
      <c r="J222" s="16">
        <v>-1384.18</v>
      </c>
      <c r="K222" s="171">
        <f t="shared" si="9"/>
        <v>8</v>
      </c>
      <c r="L222" s="17">
        <v>1.4833299999999999E-3</v>
      </c>
      <c r="M222" s="16">
        <f t="shared" si="10"/>
        <v>-16.43</v>
      </c>
      <c r="N222" s="16">
        <f t="shared" si="11"/>
        <v>-24.64</v>
      </c>
      <c r="O222" s="14"/>
    </row>
    <row r="223" spans="1:15">
      <c r="A223" s="14" t="s">
        <v>17</v>
      </c>
      <c r="B223" s="15" t="s">
        <v>768</v>
      </c>
      <c r="C223" s="15" t="s">
        <v>769</v>
      </c>
      <c r="D223" s="14" t="s">
        <v>770</v>
      </c>
      <c r="E223" s="15" t="s">
        <v>104</v>
      </c>
      <c r="F223" s="14" t="s">
        <v>41</v>
      </c>
      <c r="G223" s="15" t="s">
        <v>23</v>
      </c>
      <c r="H223" s="15" t="s">
        <v>1526</v>
      </c>
      <c r="I223" s="15">
        <v>201409</v>
      </c>
      <c r="J223" s="16">
        <v>-630.88</v>
      </c>
      <c r="K223" s="171">
        <f t="shared" si="9"/>
        <v>8</v>
      </c>
      <c r="L223" s="17">
        <v>1.4833299999999999E-3</v>
      </c>
      <c r="M223" s="16">
        <f t="shared" si="10"/>
        <v>-7.49</v>
      </c>
      <c r="N223" s="16">
        <f t="shared" si="11"/>
        <v>-11.23</v>
      </c>
      <c r="O223" s="14"/>
    </row>
    <row r="224" spans="1:15">
      <c r="A224" s="14" t="s">
        <v>238</v>
      </c>
      <c r="B224" s="15" t="s">
        <v>771</v>
      </c>
      <c r="C224" s="15" t="s">
        <v>772</v>
      </c>
      <c r="D224" s="14" t="s">
        <v>773</v>
      </c>
      <c r="E224" s="15" t="s">
        <v>168</v>
      </c>
      <c r="F224" s="14" t="s">
        <v>169</v>
      </c>
      <c r="G224" s="15" t="s">
        <v>23</v>
      </c>
      <c r="H224" s="15" t="s">
        <v>1528</v>
      </c>
      <c r="I224" s="15">
        <v>201409</v>
      </c>
      <c r="J224" s="16">
        <v>-212.27</v>
      </c>
      <c r="K224" s="171">
        <f t="shared" si="9"/>
        <v>8</v>
      </c>
      <c r="L224" s="17">
        <v>2.3833299999999999E-3</v>
      </c>
      <c r="M224" s="16">
        <f t="shared" si="10"/>
        <v>-4.05</v>
      </c>
      <c r="N224" s="16">
        <f t="shared" si="11"/>
        <v>-6.07</v>
      </c>
      <c r="O224" s="14"/>
    </row>
    <row r="225" spans="1:15">
      <c r="A225" s="14" t="s">
        <v>238</v>
      </c>
      <c r="B225" s="15" t="s">
        <v>774</v>
      </c>
      <c r="C225" s="15" t="s">
        <v>775</v>
      </c>
      <c r="D225" s="14" t="s">
        <v>776</v>
      </c>
      <c r="E225" s="15" t="s">
        <v>168</v>
      </c>
      <c r="F225" s="14" t="s">
        <v>169</v>
      </c>
      <c r="G225" s="15" t="s">
        <v>23</v>
      </c>
      <c r="H225" s="15" t="s">
        <v>1528</v>
      </c>
      <c r="I225" s="15">
        <v>201409</v>
      </c>
      <c r="J225" s="16">
        <v>12.14</v>
      </c>
      <c r="K225" s="171">
        <f t="shared" si="9"/>
        <v>8</v>
      </c>
      <c r="L225" s="17">
        <v>2.3833299999999999E-3</v>
      </c>
      <c r="M225" s="16">
        <f t="shared" si="10"/>
        <v>0.23</v>
      </c>
      <c r="N225" s="16">
        <f t="shared" si="11"/>
        <v>0.35</v>
      </c>
      <c r="O225" s="14"/>
    </row>
    <row r="226" spans="1:15">
      <c r="A226" s="14" t="s">
        <v>17</v>
      </c>
      <c r="B226" s="15" t="s">
        <v>777</v>
      </c>
      <c r="C226" s="15" t="s">
        <v>778</v>
      </c>
      <c r="D226" s="14" t="s">
        <v>779</v>
      </c>
      <c r="E226" s="15" t="s">
        <v>62</v>
      </c>
      <c r="F226" s="14" t="s">
        <v>22</v>
      </c>
      <c r="G226" s="15" t="s">
        <v>23</v>
      </c>
      <c r="H226" s="15" t="s">
        <v>1525</v>
      </c>
      <c r="I226" s="15">
        <v>201409</v>
      </c>
      <c r="J226" s="16">
        <v>-66.150000000000006</v>
      </c>
      <c r="K226" s="171">
        <f t="shared" si="9"/>
        <v>8</v>
      </c>
      <c r="L226" s="17">
        <v>1.4833299999999999E-3</v>
      </c>
      <c r="M226" s="16">
        <f t="shared" si="10"/>
        <v>-0.78</v>
      </c>
      <c r="N226" s="16">
        <f t="shared" si="11"/>
        <v>-1.18</v>
      </c>
      <c r="O226" s="14"/>
    </row>
    <row r="227" spans="1:15">
      <c r="A227" s="14" t="s">
        <v>17</v>
      </c>
      <c r="B227" s="15" t="s">
        <v>780</v>
      </c>
      <c r="C227" s="15" t="s">
        <v>781</v>
      </c>
      <c r="D227" s="14" t="s">
        <v>782</v>
      </c>
      <c r="E227" s="15" t="s">
        <v>141</v>
      </c>
      <c r="F227" s="14" t="s">
        <v>142</v>
      </c>
      <c r="G227" s="15" t="s">
        <v>23</v>
      </c>
      <c r="H227" s="15" t="s">
        <v>1525</v>
      </c>
      <c r="I227" s="15">
        <v>201409</v>
      </c>
      <c r="J227" s="16">
        <v>-1734.87</v>
      </c>
      <c r="K227" s="171">
        <f t="shared" si="9"/>
        <v>8</v>
      </c>
      <c r="L227" s="17">
        <v>1.4833299999999999E-3</v>
      </c>
      <c r="M227" s="16">
        <f t="shared" si="10"/>
        <v>-20.59</v>
      </c>
      <c r="N227" s="16">
        <f t="shared" si="11"/>
        <v>-30.88</v>
      </c>
      <c r="O227" s="14"/>
    </row>
    <row r="228" spans="1:15">
      <c r="A228" s="14" t="s">
        <v>17</v>
      </c>
      <c r="B228" s="15" t="s">
        <v>783</v>
      </c>
      <c r="C228" s="15" t="s">
        <v>784</v>
      </c>
      <c r="D228" s="14" t="s">
        <v>785</v>
      </c>
      <c r="E228" s="15" t="s">
        <v>141</v>
      </c>
      <c r="F228" s="14" t="s">
        <v>142</v>
      </c>
      <c r="G228" s="15" t="s">
        <v>23</v>
      </c>
      <c r="H228" s="15" t="s">
        <v>1525</v>
      </c>
      <c r="I228" s="15">
        <v>201409</v>
      </c>
      <c r="J228" s="16">
        <v>-2330.69</v>
      </c>
      <c r="K228" s="171">
        <f t="shared" si="9"/>
        <v>8</v>
      </c>
      <c r="L228" s="17">
        <v>1.4833299999999999E-3</v>
      </c>
      <c r="M228" s="16">
        <f t="shared" si="10"/>
        <v>-27.66</v>
      </c>
      <c r="N228" s="16">
        <f t="shared" si="11"/>
        <v>-41.49</v>
      </c>
      <c r="O228" s="14"/>
    </row>
    <row r="229" spans="1:15">
      <c r="A229" s="14" t="s">
        <v>17</v>
      </c>
      <c r="B229" s="15" t="s">
        <v>786</v>
      </c>
      <c r="C229" s="15" t="s">
        <v>787</v>
      </c>
      <c r="D229" s="14" t="s">
        <v>788</v>
      </c>
      <c r="E229" s="15" t="s">
        <v>246</v>
      </c>
      <c r="F229" s="14" t="s">
        <v>247</v>
      </c>
      <c r="G229" s="15" t="s">
        <v>23</v>
      </c>
      <c r="H229" s="15" t="s">
        <v>1525</v>
      </c>
      <c r="I229" s="15">
        <v>201409</v>
      </c>
      <c r="J229" s="16">
        <v>-15326.11</v>
      </c>
      <c r="K229" s="171">
        <f t="shared" si="9"/>
        <v>8</v>
      </c>
      <c r="L229" s="17">
        <v>1.4833299999999999E-3</v>
      </c>
      <c r="M229" s="16">
        <f t="shared" si="10"/>
        <v>-181.87</v>
      </c>
      <c r="N229" s="16">
        <f t="shared" si="11"/>
        <v>-272.8</v>
      </c>
      <c r="O229" s="14"/>
    </row>
    <row r="230" spans="1:15">
      <c r="A230" s="14" t="s">
        <v>17</v>
      </c>
      <c r="B230" s="15" t="s">
        <v>789</v>
      </c>
      <c r="C230" s="15" t="s">
        <v>790</v>
      </c>
      <c r="D230" s="14" t="s">
        <v>791</v>
      </c>
      <c r="E230" s="15" t="s">
        <v>246</v>
      </c>
      <c r="F230" s="14" t="s">
        <v>247</v>
      </c>
      <c r="G230" s="15" t="s">
        <v>23</v>
      </c>
      <c r="H230" s="15" t="s">
        <v>1525</v>
      </c>
      <c r="I230" s="15">
        <v>201409</v>
      </c>
      <c r="J230" s="16">
        <v>-1896.12</v>
      </c>
      <c r="K230" s="171">
        <f t="shared" si="9"/>
        <v>8</v>
      </c>
      <c r="L230" s="17">
        <v>1.4833299999999999E-3</v>
      </c>
      <c r="M230" s="16">
        <f t="shared" si="10"/>
        <v>-22.5</v>
      </c>
      <c r="N230" s="16">
        <f t="shared" si="11"/>
        <v>-33.75</v>
      </c>
      <c r="O230" s="14"/>
    </row>
    <row r="231" spans="1:15">
      <c r="A231" s="14" t="s">
        <v>54</v>
      </c>
      <c r="B231" s="15" t="s">
        <v>792</v>
      </c>
      <c r="C231" s="15" t="s">
        <v>793</v>
      </c>
      <c r="D231" s="14" t="s">
        <v>794</v>
      </c>
      <c r="E231" s="15" t="s">
        <v>58</v>
      </c>
      <c r="F231" s="14" t="s">
        <v>22</v>
      </c>
      <c r="G231" s="15" t="s">
        <v>23</v>
      </c>
      <c r="H231" s="15" t="s">
        <v>1525</v>
      </c>
      <c r="I231" s="15">
        <v>201409</v>
      </c>
      <c r="J231" s="16">
        <v>-672.99</v>
      </c>
      <c r="K231" s="171">
        <f t="shared" si="9"/>
        <v>8</v>
      </c>
      <c r="L231" s="17">
        <v>1.4833299999999999E-3</v>
      </c>
      <c r="M231" s="16">
        <f t="shared" si="10"/>
        <v>-7.99</v>
      </c>
      <c r="N231" s="16">
        <f t="shared" si="11"/>
        <v>-11.98</v>
      </c>
      <c r="O231" s="14"/>
    </row>
    <row r="232" spans="1:15">
      <c r="A232" s="14" t="s">
        <v>17</v>
      </c>
      <c r="B232" s="15" t="s">
        <v>795</v>
      </c>
      <c r="C232" s="15" t="s">
        <v>796</v>
      </c>
      <c r="D232" s="14" t="s">
        <v>797</v>
      </c>
      <c r="E232" s="15" t="s">
        <v>176</v>
      </c>
      <c r="F232" s="14" t="s">
        <v>28</v>
      </c>
      <c r="G232" s="15" t="s">
        <v>23</v>
      </c>
      <c r="H232" s="15" t="s">
        <v>1525</v>
      </c>
      <c r="I232" s="15">
        <v>201409</v>
      </c>
      <c r="J232" s="16">
        <v>-155.05000000000001</v>
      </c>
      <c r="K232" s="171">
        <f t="shared" si="9"/>
        <v>8</v>
      </c>
      <c r="L232" s="17">
        <v>1.4833299999999999E-3</v>
      </c>
      <c r="M232" s="16">
        <f t="shared" si="10"/>
        <v>-1.84</v>
      </c>
      <c r="N232" s="16">
        <f t="shared" si="11"/>
        <v>-2.76</v>
      </c>
      <c r="O232" s="14"/>
    </row>
    <row r="233" spans="1:15">
      <c r="A233" s="14" t="s">
        <v>17</v>
      </c>
      <c r="B233" s="15" t="s">
        <v>798</v>
      </c>
      <c r="C233" s="15" t="s">
        <v>799</v>
      </c>
      <c r="D233" s="14" t="s">
        <v>800</v>
      </c>
      <c r="E233" s="15" t="s">
        <v>62</v>
      </c>
      <c r="F233" s="14" t="s">
        <v>22</v>
      </c>
      <c r="G233" s="15" t="s">
        <v>23</v>
      </c>
      <c r="H233" s="15" t="s">
        <v>1525</v>
      </c>
      <c r="I233" s="15">
        <v>201409</v>
      </c>
      <c r="J233" s="16">
        <v>-228.89</v>
      </c>
      <c r="K233" s="171">
        <f t="shared" si="9"/>
        <v>8</v>
      </c>
      <c r="L233" s="17">
        <v>1.4833299999999999E-3</v>
      </c>
      <c r="M233" s="16">
        <f t="shared" si="10"/>
        <v>-2.72</v>
      </c>
      <c r="N233" s="16">
        <f t="shared" si="11"/>
        <v>-4.07</v>
      </c>
      <c r="O233" s="14"/>
    </row>
    <row r="234" spans="1:15">
      <c r="A234" s="14" t="s">
        <v>17</v>
      </c>
      <c r="B234" s="15" t="s">
        <v>801</v>
      </c>
      <c r="C234" s="15" t="s">
        <v>802</v>
      </c>
      <c r="D234" s="14" t="s">
        <v>803</v>
      </c>
      <c r="E234" s="15" t="s">
        <v>440</v>
      </c>
      <c r="F234" s="14" t="s">
        <v>28</v>
      </c>
      <c r="G234" s="15" t="s">
        <v>23</v>
      </c>
      <c r="H234" s="15" t="s">
        <v>1525</v>
      </c>
      <c r="I234" s="15">
        <v>201409</v>
      </c>
      <c r="J234" s="16">
        <v>-553.08000000000004</v>
      </c>
      <c r="K234" s="171">
        <f t="shared" si="9"/>
        <v>8</v>
      </c>
      <c r="L234" s="17">
        <v>1.4833299999999999E-3</v>
      </c>
      <c r="M234" s="16">
        <f t="shared" si="10"/>
        <v>-6.56</v>
      </c>
      <c r="N234" s="16">
        <f t="shared" si="11"/>
        <v>-9.84</v>
      </c>
      <c r="O234" s="14"/>
    </row>
    <row r="235" spans="1:15">
      <c r="A235" s="14" t="s">
        <v>17</v>
      </c>
      <c r="B235" s="15" t="s">
        <v>804</v>
      </c>
      <c r="C235" s="15" t="s">
        <v>805</v>
      </c>
      <c r="D235" s="14" t="s">
        <v>806</v>
      </c>
      <c r="E235" s="15" t="s">
        <v>141</v>
      </c>
      <c r="F235" s="14" t="s">
        <v>142</v>
      </c>
      <c r="G235" s="15" t="s">
        <v>23</v>
      </c>
      <c r="H235" s="15" t="s">
        <v>1525</v>
      </c>
      <c r="I235" s="15">
        <v>201409</v>
      </c>
      <c r="J235" s="16">
        <v>-540.4</v>
      </c>
      <c r="K235" s="171">
        <f t="shared" si="9"/>
        <v>8</v>
      </c>
      <c r="L235" s="17">
        <v>1.4833299999999999E-3</v>
      </c>
      <c r="M235" s="16">
        <f t="shared" si="10"/>
        <v>-6.41</v>
      </c>
      <c r="N235" s="16">
        <f t="shared" si="11"/>
        <v>-9.6199999999999992</v>
      </c>
      <c r="O235" s="14"/>
    </row>
    <row r="236" spans="1:15">
      <c r="A236" s="14" t="s">
        <v>17</v>
      </c>
      <c r="B236" s="15" t="s">
        <v>807</v>
      </c>
      <c r="C236" s="15" t="s">
        <v>808</v>
      </c>
      <c r="D236" s="14" t="s">
        <v>809</v>
      </c>
      <c r="E236" s="15" t="s">
        <v>108</v>
      </c>
      <c r="F236" s="14" t="s">
        <v>28</v>
      </c>
      <c r="G236" s="15" t="s">
        <v>23</v>
      </c>
      <c r="H236" s="15" t="s">
        <v>1525</v>
      </c>
      <c r="I236" s="15">
        <v>201409</v>
      </c>
      <c r="J236" s="16">
        <v>27.48</v>
      </c>
      <c r="K236" s="171">
        <f t="shared" si="9"/>
        <v>8</v>
      </c>
      <c r="L236" s="17">
        <v>1.4833299999999999E-3</v>
      </c>
      <c r="M236" s="16">
        <f t="shared" si="10"/>
        <v>0.33</v>
      </c>
      <c r="N236" s="16">
        <f t="shared" si="11"/>
        <v>0.49</v>
      </c>
      <c r="O236" s="14"/>
    </row>
    <row r="237" spans="1:15">
      <c r="A237" s="14" t="s">
        <v>17</v>
      </c>
      <c r="B237" s="15" t="s">
        <v>810</v>
      </c>
      <c r="C237" s="15" t="s">
        <v>811</v>
      </c>
      <c r="D237" s="14" t="s">
        <v>812</v>
      </c>
      <c r="E237" s="15" t="s">
        <v>104</v>
      </c>
      <c r="F237" s="14" t="s">
        <v>41</v>
      </c>
      <c r="G237" s="15" t="s">
        <v>23</v>
      </c>
      <c r="H237" s="15" t="s">
        <v>1526</v>
      </c>
      <c r="I237" s="15">
        <v>201409</v>
      </c>
      <c r="J237" s="16">
        <v>-22637.86</v>
      </c>
      <c r="K237" s="171">
        <f t="shared" si="9"/>
        <v>8</v>
      </c>
      <c r="L237" s="17">
        <v>1.4833299999999999E-3</v>
      </c>
      <c r="M237" s="16">
        <f t="shared" si="10"/>
        <v>-268.64</v>
      </c>
      <c r="N237" s="16">
        <f t="shared" si="11"/>
        <v>-402.95</v>
      </c>
      <c r="O237" s="14"/>
    </row>
    <row r="238" spans="1:15">
      <c r="A238" s="14" t="s">
        <v>54</v>
      </c>
      <c r="B238" s="15" t="s">
        <v>810</v>
      </c>
      <c r="C238" s="15" t="s">
        <v>811</v>
      </c>
      <c r="D238" s="14" t="s">
        <v>812</v>
      </c>
      <c r="E238" s="15" t="s">
        <v>104</v>
      </c>
      <c r="F238" s="14" t="s">
        <v>41</v>
      </c>
      <c r="G238" s="15" t="s">
        <v>23</v>
      </c>
      <c r="H238" s="15" t="s">
        <v>1526</v>
      </c>
      <c r="I238" s="15">
        <v>201409</v>
      </c>
      <c r="J238" s="16">
        <v>22317.37</v>
      </c>
      <c r="K238" s="171">
        <f t="shared" si="9"/>
        <v>8</v>
      </c>
      <c r="L238" s="17">
        <v>1.4833299999999999E-3</v>
      </c>
      <c r="M238" s="16">
        <f t="shared" si="10"/>
        <v>264.83</v>
      </c>
      <c r="N238" s="16">
        <f t="shared" si="11"/>
        <v>397.25</v>
      </c>
      <c r="O238" s="14"/>
    </row>
    <row r="239" spans="1:15">
      <c r="A239" s="14" t="s">
        <v>54</v>
      </c>
      <c r="B239" s="15" t="s">
        <v>816</v>
      </c>
      <c r="C239" s="15" t="s">
        <v>817</v>
      </c>
      <c r="D239" s="14" t="s">
        <v>818</v>
      </c>
      <c r="E239" s="15" t="s">
        <v>62</v>
      </c>
      <c r="F239" s="14" t="s">
        <v>22</v>
      </c>
      <c r="G239" s="15" t="s">
        <v>23</v>
      </c>
      <c r="H239" s="15" t="s">
        <v>1525</v>
      </c>
      <c r="I239" s="15">
        <v>201409</v>
      </c>
      <c r="J239" s="16">
        <v>-900.72</v>
      </c>
      <c r="K239" s="171">
        <f t="shared" si="9"/>
        <v>8</v>
      </c>
      <c r="L239" s="17">
        <v>1.4833299999999999E-3</v>
      </c>
      <c r="M239" s="16">
        <f t="shared" si="10"/>
        <v>-10.69</v>
      </c>
      <c r="N239" s="16">
        <f t="shared" si="11"/>
        <v>-16.03</v>
      </c>
      <c r="O239" s="14"/>
    </row>
    <row r="240" spans="1:15">
      <c r="A240" s="14" t="s">
        <v>17</v>
      </c>
      <c r="B240" s="15" t="s">
        <v>819</v>
      </c>
      <c r="C240" s="15" t="s">
        <v>820</v>
      </c>
      <c r="D240" s="14" t="s">
        <v>821</v>
      </c>
      <c r="E240" s="15" t="s">
        <v>822</v>
      </c>
      <c r="F240" s="14" t="s">
        <v>823</v>
      </c>
      <c r="G240" s="15" t="s">
        <v>23</v>
      </c>
      <c r="H240" s="15" t="s">
        <v>1526</v>
      </c>
      <c r="I240" s="15">
        <v>201409</v>
      </c>
      <c r="J240" s="16">
        <v>-1563.62</v>
      </c>
      <c r="K240" s="171">
        <f t="shared" si="9"/>
        <v>8</v>
      </c>
      <c r="L240" s="17">
        <v>1.4833299999999999E-3</v>
      </c>
      <c r="M240" s="16">
        <f t="shared" si="10"/>
        <v>-18.55</v>
      </c>
      <c r="N240" s="16">
        <f t="shared" si="11"/>
        <v>-27.83</v>
      </c>
      <c r="O240" s="14"/>
    </row>
    <row r="241" spans="1:15">
      <c r="A241" s="14" t="s">
        <v>54</v>
      </c>
      <c r="B241" s="15" t="s">
        <v>827</v>
      </c>
      <c r="C241" s="15" t="s">
        <v>828</v>
      </c>
      <c r="D241" s="14" t="s">
        <v>829</v>
      </c>
      <c r="E241" s="15" t="s">
        <v>62</v>
      </c>
      <c r="F241" s="14" t="s">
        <v>22</v>
      </c>
      <c r="G241" s="15" t="s">
        <v>23</v>
      </c>
      <c r="H241" s="15" t="s">
        <v>1525</v>
      </c>
      <c r="I241" s="15">
        <v>201409</v>
      </c>
      <c r="J241" s="16">
        <v>-72.66</v>
      </c>
      <c r="K241" s="171">
        <f t="shared" si="9"/>
        <v>8</v>
      </c>
      <c r="L241" s="17">
        <v>1.4833299999999999E-3</v>
      </c>
      <c r="M241" s="16">
        <f t="shared" si="10"/>
        <v>-0.86</v>
      </c>
      <c r="N241" s="16">
        <f t="shared" si="11"/>
        <v>-1.29</v>
      </c>
      <c r="O241" s="14"/>
    </row>
    <row r="242" spans="1:15">
      <c r="A242" s="14" t="s">
        <v>66</v>
      </c>
      <c r="B242" s="15" t="s">
        <v>833</v>
      </c>
      <c r="C242" s="15" t="s">
        <v>834</v>
      </c>
      <c r="D242" s="14" t="s">
        <v>835</v>
      </c>
      <c r="E242" s="15" t="s">
        <v>40</v>
      </c>
      <c r="F242" s="14" t="s">
        <v>41</v>
      </c>
      <c r="G242" s="15" t="s">
        <v>23</v>
      </c>
      <c r="H242" s="15" t="s">
        <v>1526</v>
      </c>
      <c r="I242" s="15">
        <v>201409</v>
      </c>
      <c r="J242" s="16">
        <v>-307.58</v>
      </c>
      <c r="K242" s="171">
        <f t="shared" si="9"/>
        <v>8</v>
      </c>
      <c r="L242" s="17">
        <v>2.23333E-3</v>
      </c>
      <c r="M242" s="16">
        <f t="shared" si="10"/>
        <v>-5.5</v>
      </c>
      <c r="N242" s="16">
        <f t="shared" si="11"/>
        <v>-8.24</v>
      </c>
      <c r="O242" s="14"/>
    </row>
    <row r="243" spans="1:15">
      <c r="A243" s="14" t="s">
        <v>54</v>
      </c>
      <c r="B243" s="15" t="s">
        <v>836</v>
      </c>
      <c r="C243" s="15" t="s">
        <v>837</v>
      </c>
      <c r="D243" s="14" t="s">
        <v>838</v>
      </c>
      <c r="E243" s="15" t="s">
        <v>21</v>
      </c>
      <c r="F243" s="14" t="s">
        <v>22</v>
      </c>
      <c r="G243" s="15" t="s">
        <v>23</v>
      </c>
      <c r="H243" s="15" t="s">
        <v>1525</v>
      </c>
      <c r="I243" s="15">
        <v>201409</v>
      </c>
      <c r="J243" s="16">
        <v>-828.96</v>
      </c>
      <c r="K243" s="171">
        <f t="shared" si="9"/>
        <v>8</v>
      </c>
      <c r="L243" s="17">
        <v>1.4833299999999999E-3</v>
      </c>
      <c r="M243" s="16">
        <f t="shared" si="10"/>
        <v>-9.84</v>
      </c>
      <c r="N243" s="16">
        <f t="shared" si="11"/>
        <v>-14.76</v>
      </c>
      <c r="O243" s="14"/>
    </row>
    <row r="244" spans="1:15">
      <c r="A244" s="14" t="s">
        <v>66</v>
      </c>
      <c r="B244" s="15" t="s">
        <v>839</v>
      </c>
      <c r="C244" s="15" t="s">
        <v>840</v>
      </c>
      <c r="D244" s="14" t="s">
        <v>841</v>
      </c>
      <c r="E244" s="15" t="s">
        <v>842</v>
      </c>
      <c r="F244" s="14" t="s">
        <v>624</v>
      </c>
      <c r="G244" s="15" t="s">
        <v>23</v>
      </c>
      <c r="H244" s="15" t="s">
        <v>1527</v>
      </c>
      <c r="I244" s="15">
        <v>201409</v>
      </c>
      <c r="J244" s="16">
        <v>-113.44</v>
      </c>
      <c r="K244" s="171">
        <f t="shared" si="9"/>
        <v>8</v>
      </c>
      <c r="L244" s="17">
        <v>2.23333E-3</v>
      </c>
      <c r="M244" s="16">
        <f t="shared" si="10"/>
        <v>-2.0299999999999998</v>
      </c>
      <c r="N244" s="16">
        <f t="shared" si="11"/>
        <v>-3.04</v>
      </c>
      <c r="O244" s="14"/>
    </row>
    <row r="245" spans="1:15">
      <c r="A245" s="14" t="s">
        <v>17</v>
      </c>
      <c r="B245" s="15" t="s">
        <v>843</v>
      </c>
      <c r="C245" s="15" t="s">
        <v>844</v>
      </c>
      <c r="D245" s="14" t="s">
        <v>845</v>
      </c>
      <c r="E245" s="15" t="s">
        <v>45</v>
      </c>
      <c r="F245" s="14" t="s">
        <v>22</v>
      </c>
      <c r="G245" s="15" t="s">
        <v>23</v>
      </c>
      <c r="H245" s="15" t="s">
        <v>1525</v>
      </c>
      <c r="I245" s="15">
        <v>201409</v>
      </c>
      <c r="J245" s="16">
        <v>149.26</v>
      </c>
      <c r="K245" s="171">
        <f t="shared" si="9"/>
        <v>8</v>
      </c>
      <c r="L245" s="17">
        <v>1.4833299999999999E-3</v>
      </c>
      <c r="M245" s="16">
        <f t="shared" si="10"/>
        <v>1.77</v>
      </c>
      <c r="N245" s="16">
        <f t="shared" si="11"/>
        <v>2.66</v>
      </c>
      <c r="O245" s="14"/>
    </row>
    <row r="246" spans="1:15">
      <c r="A246" s="14" t="s">
        <v>54</v>
      </c>
      <c r="B246" s="15" t="s">
        <v>846</v>
      </c>
      <c r="C246" s="15" t="s">
        <v>847</v>
      </c>
      <c r="D246" s="14" t="s">
        <v>848</v>
      </c>
      <c r="E246" s="15" t="s">
        <v>141</v>
      </c>
      <c r="F246" s="14" t="s">
        <v>142</v>
      </c>
      <c r="G246" s="15" t="s">
        <v>23</v>
      </c>
      <c r="H246" s="15" t="s">
        <v>1525</v>
      </c>
      <c r="I246" s="15">
        <v>201409</v>
      </c>
      <c r="J246" s="16">
        <v>1253310.78</v>
      </c>
      <c r="K246" s="171">
        <f t="shared" si="9"/>
        <v>8</v>
      </c>
      <c r="L246" s="17">
        <v>1.4833299999999999E-3</v>
      </c>
      <c r="M246" s="16">
        <f t="shared" si="10"/>
        <v>14872.59</v>
      </c>
      <c r="N246" s="16">
        <f t="shared" si="11"/>
        <v>22308.880000000001</v>
      </c>
      <c r="O246" s="14"/>
    </row>
    <row r="247" spans="1:15">
      <c r="A247" s="14" t="s">
        <v>17</v>
      </c>
      <c r="B247" s="15" t="s">
        <v>849</v>
      </c>
      <c r="C247" s="15" t="s">
        <v>850</v>
      </c>
      <c r="D247" s="14" t="s">
        <v>851</v>
      </c>
      <c r="E247" s="15" t="s">
        <v>27</v>
      </c>
      <c r="F247" s="14" t="s">
        <v>28</v>
      </c>
      <c r="G247" s="15" t="s">
        <v>23</v>
      </c>
      <c r="H247" s="15" t="s">
        <v>1525</v>
      </c>
      <c r="I247" s="15">
        <v>201409</v>
      </c>
      <c r="J247" s="16">
        <v>-269.87</v>
      </c>
      <c r="K247" s="171">
        <f t="shared" si="9"/>
        <v>8</v>
      </c>
      <c r="L247" s="17">
        <v>1.4833299999999999E-3</v>
      </c>
      <c r="M247" s="16">
        <f t="shared" si="10"/>
        <v>-3.2</v>
      </c>
      <c r="N247" s="16">
        <f t="shared" si="11"/>
        <v>-4.8</v>
      </c>
      <c r="O247" s="14"/>
    </row>
    <row r="248" spans="1:15">
      <c r="A248" s="14" t="s">
        <v>54</v>
      </c>
      <c r="B248" s="15" t="s">
        <v>855</v>
      </c>
      <c r="C248" s="15" t="s">
        <v>856</v>
      </c>
      <c r="D248" s="14" t="s">
        <v>857</v>
      </c>
      <c r="E248" s="15" t="s">
        <v>62</v>
      </c>
      <c r="F248" s="14" t="s">
        <v>22</v>
      </c>
      <c r="G248" s="15" t="s">
        <v>23</v>
      </c>
      <c r="H248" s="15" t="s">
        <v>1525</v>
      </c>
      <c r="I248" s="15">
        <v>201409</v>
      </c>
      <c r="J248" s="16">
        <v>1326.56</v>
      </c>
      <c r="K248" s="171">
        <f t="shared" si="9"/>
        <v>8</v>
      </c>
      <c r="L248" s="17">
        <v>1.4833299999999999E-3</v>
      </c>
      <c r="M248" s="16">
        <f t="shared" si="10"/>
        <v>15.74</v>
      </c>
      <c r="N248" s="16">
        <f t="shared" si="11"/>
        <v>23.61</v>
      </c>
      <c r="O248" s="14"/>
    </row>
    <row r="249" spans="1:15">
      <c r="A249" s="14" t="s">
        <v>54</v>
      </c>
      <c r="B249" s="15" t="s">
        <v>858</v>
      </c>
      <c r="C249" s="15" t="s">
        <v>859</v>
      </c>
      <c r="D249" s="14" t="s">
        <v>860</v>
      </c>
      <c r="E249" s="15" t="s">
        <v>62</v>
      </c>
      <c r="F249" s="14" t="s">
        <v>22</v>
      </c>
      <c r="G249" s="15" t="s">
        <v>23</v>
      </c>
      <c r="H249" s="15" t="s">
        <v>1525</v>
      </c>
      <c r="I249" s="15">
        <v>201409</v>
      </c>
      <c r="J249" s="16">
        <v>89949.2</v>
      </c>
      <c r="K249" s="171">
        <f t="shared" si="9"/>
        <v>8</v>
      </c>
      <c r="L249" s="17">
        <v>1.4833299999999999E-3</v>
      </c>
      <c r="M249" s="16">
        <f t="shared" si="10"/>
        <v>1067.3900000000001</v>
      </c>
      <c r="N249" s="16">
        <f t="shared" si="11"/>
        <v>1601.09</v>
      </c>
      <c r="O249" s="14"/>
    </row>
    <row r="250" spans="1:15">
      <c r="A250" s="14" t="s">
        <v>54</v>
      </c>
      <c r="B250" s="15" t="s">
        <v>861</v>
      </c>
      <c r="C250" s="15" t="s">
        <v>862</v>
      </c>
      <c r="D250" s="14" t="s">
        <v>863</v>
      </c>
      <c r="E250" s="15" t="s">
        <v>45</v>
      </c>
      <c r="F250" s="14" t="s">
        <v>22</v>
      </c>
      <c r="G250" s="15" t="s">
        <v>23</v>
      </c>
      <c r="H250" s="15" t="s">
        <v>1525</v>
      </c>
      <c r="I250" s="15">
        <v>201409</v>
      </c>
      <c r="J250" s="16">
        <v>-304.48</v>
      </c>
      <c r="K250" s="171">
        <f t="shared" si="9"/>
        <v>8</v>
      </c>
      <c r="L250" s="17">
        <v>1.4833299999999999E-3</v>
      </c>
      <c r="M250" s="16">
        <f t="shared" si="10"/>
        <v>-3.61</v>
      </c>
      <c r="N250" s="16">
        <f t="shared" si="11"/>
        <v>-5.42</v>
      </c>
      <c r="O250" s="14"/>
    </row>
    <row r="251" spans="1:15">
      <c r="A251" s="14" t="s">
        <v>54</v>
      </c>
      <c r="B251" s="15" t="s">
        <v>864</v>
      </c>
      <c r="C251" s="15" t="s">
        <v>865</v>
      </c>
      <c r="D251" s="14" t="s">
        <v>866</v>
      </c>
      <c r="E251" s="15" t="s">
        <v>141</v>
      </c>
      <c r="F251" s="14" t="s">
        <v>142</v>
      </c>
      <c r="G251" s="15" t="s">
        <v>23</v>
      </c>
      <c r="H251" s="15" t="s">
        <v>1525</v>
      </c>
      <c r="I251" s="15">
        <v>201409</v>
      </c>
      <c r="J251" s="16">
        <v>-738.77</v>
      </c>
      <c r="K251" s="171">
        <f t="shared" si="9"/>
        <v>8</v>
      </c>
      <c r="L251" s="17">
        <v>1.4833299999999999E-3</v>
      </c>
      <c r="M251" s="16">
        <f t="shared" si="10"/>
        <v>-8.77</v>
      </c>
      <c r="N251" s="16">
        <f t="shared" si="11"/>
        <v>-13.15</v>
      </c>
      <c r="O251" s="14"/>
    </row>
    <row r="252" spans="1:15">
      <c r="A252" s="14" t="s">
        <v>54</v>
      </c>
      <c r="B252" s="15" t="s">
        <v>867</v>
      </c>
      <c r="C252" s="15" t="s">
        <v>868</v>
      </c>
      <c r="D252" s="14" t="s">
        <v>869</v>
      </c>
      <c r="E252" s="15" t="s">
        <v>36</v>
      </c>
      <c r="F252" s="14" t="s">
        <v>22</v>
      </c>
      <c r="G252" s="15" t="s">
        <v>23</v>
      </c>
      <c r="H252" s="15" t="s">
        <v>1525</v>
      </c>
      <c r="I252" s="15">
        <v>201409</v>
      </c>
      <c r="J252" s="16">
        <v>-73.569999999999993</v>
      </c>
      <c r="K252" s="171">
        <f t="shared" si="9"/>
        <v>8</v>
      </c>
      <c r="L252" s="17">
        <v>1.4833299999999999E-3</v>
      </c>
      <c r="M252" s="16">
        <f t="shared" si="10"/>
        <v>-0.87</v>
      </c>
      <c r="N252" s="16">
        <f t="shared" si="11"/>
        <v>-1.31</v>
      </c>
      <c r="O252" s="14"/>
    </row>
    <row r="253" spans="1:15">
      <c r="A253" s="14" t="s">
        <v>54</v>
      </c>
      <c r="B253" s="15" t="s">
        <v>870</v>
      </c>
      <c r="C253" s="15" t="s">
        <v>871</v>
      </c>
      <c r="D253" s="14" t="s">
        <v>872</v>
      </c>
      <c r="E253" s="15" t="s">
        <v>108</v>
      </c>
      <c r="F253" s="14" t="s">
        <v>28</v>
      </c>
      <c r="G253" s="15" t="s">
        <v>23</v>
      </c>
      <c r="H253" s="15" t="s">
        <v>1525</v>
      </c>
      <c r="I253" s="15">
        <v>201409</v>
      </c>
      <c r="J253" s="16">
        <v>-159.66</v>
      </c>
      <c r="K253" s="171">
        <f t="shared" si="9"/>
        <v>8</v>
      </c>
      <c r="L253" s="17">
        <v>1.4833299999999999E-3</v>
      </c>
      <c r="M253" s="16">
        <f t="shared" si="10"/>
        <v>-1.89</v>
      </c>
      <c r="N253" s="16">
        <f t="shared" si="11"/>
        <v>-2.84</v>
      </c>
      <c r="O253" s="14"/>
    </row>
    <row r="254" spans="1:15">
      <c r="A254" s="14" t="s">
        <v>54</v>
      </c>
      <c r="B254" s="15" t="s">
        <v>873</v>
      </c>
      <c r="C254" s="15" t="s">
        <v>874</v>
      </c>
      <c r="D254" s="14" t="s">
        <v>875</v>
      </c>
      <c r="E254" s="15" t="s">
        <v>36</v>
      </c>
      <c r="F254" s="14" t="s">
        <v>22</v>
      </c>
      <c r="G254" s="15" t="s">
        <v>23</v>
      </c>
      <c r="H254" s="15" t="s">
        <v>1525</v>
      </c>
      <c r="I254" s="15">
        <v>201409</v>
      </c>
      <c r="J254" s="16">
        <v>-132.54</v>
      </c>
      <c r="K254" s="171">
        <f t="shared" si="9"/>
        <v>8</v>
      </c>
      <c r="L254" s="17">
        <v>1.4833299999999999E-3</v>
      </c>
      <c r="M254" s="16">
        <f t="shared" si="10"/>
        <v>-1.57</v>
      </c>
      <c r="N254" s="16">
        <f t="shared" si="11"/>
        <v>-2.36</v>
      </c>
      <c r="O254" s="14"/>
    </row>
    <row r="255" spans="1:15">
      <c r="A255" s="14" t="s">
        <v>54</v>
      </c>
      <c r="B255" s="15" t="s">
        <v>879</v>
      </c>
      <c r="C255" s="15" t="s">
        <v>880</v>
      </c>
      <c r="D255" s="14" t="s">
        <v>881</v>
      </c>
      <c r="E255" s="15" t="s">
        <v>53</v>
      </c>
      <c r="F255" s="14" t="s">
        <v>41</v>
      </c>
      <c r="G255" s="15" t="s">
        <v>23</v>
      </c>
      <c r="H255" s="15" t="s">
        <v>1526</v>
      </c>
      <c r="I255" s="15">
        <v>201409</v>
      </c>
      <c r="J255" s="16">
        <v>-421.12</v>
      </c>
      <c r="K255" s="171">
        <f t="shared" si="9"/>
        <v>8</v>
      </c>
      <c r="L255" s="17">
        <v>1.4833299999999999E-3</v>
      </c>
      <c r="M255" s="16">
        <f t="shared" si="10"/>
        <v>-5</v>
      </c>
      <c r="N255" s="16">
        <f t="shared" si="11"/>
        <v>-7.5</v>
      </c>
      <c r="O255" s="14"/>
    </row>
    <row r="256" spans="1:15">
      <c r="A256" s="14" t="s">
        <v>17</v>
      </c>
      <c r="B256" s="15" t="s">
        <v>882</v>
      </c>
      <c r="C256" s="15" t="s">
        <v>883</v>
      </c>
      <c r="D256" s="14" t="s">
        <v>884</v>
      </c>
      <c r="E256" s="15" t="s">
        <v>216</v>
      </c>
      <c r="F256" s="14" t="s">
        <v>22</v>
      </c>
      <c r="G256" s="15" t="s">
        <v>23</v>
      </c>
      <c r="H256" s="15" t="s">
        <v>1525</v>
      </c>
      <c r="I256" s="15">
        <v>201409</v>
      </c>
      <c r="J256" s="16">
        <v>-0.43</v>
      </c>
      <c r="K256" s="171">
        <f t="shared" si="9"/>
        <v>8</v>
      </c>
      <c r="L256" s="17">
        <v>1.4833299999999999E-3</v>
      </c>
      <c r="M256" s="16">
        <f t="shared" si="10"/>
        <v>-0.01</v>
      </c>
      <c r="N256" s="16">
        <f t="shared" si="11"/>
        <v>-0.01</v>
      </c>
      <c r="O256" s="14"/>
    </row>
    <row r="257" spans="1:15">
      <c r="A257" s="14" t="s">
        <v>54</v>
      </c>
      <c r="B257" s="15" t="s">
        <v>882</v>
      </c>
      <c r="C257" s="15" t="s">
        <v>883</v>
      </c>
      <c r="D257" s="14" t="s">
        <v>884</v>
      </c>
      <c r="E257" s="15" t="s">
        <v>216</v>
      </c>
      <c r="F257" s="14" t="s">
        <v>22</v>
      </c>
      <c r="G257" s="15" t="s">
        <v>23</v>
      </c>
      <c r="H257" s="15" t="s">
        <v>1525</v>
      </c>
      <c r="I257" s="15">
        <v>201409</v>
      </c>
      <c r="J257" s="16">
        <v>-114.88</v>
      </c>
      <c r="K257" s="171">
        <f t="shared" si="9"/>
        <v>8</v>
      </c>
      <c r="L257" s="17">
        <v>1.4833299999999999E-3</v>
      </c>
      <c r="M257" s="16">
        <f t="shared" si="10"/>
        <v>-1.36</v>
      </c>
      <c r="N257" s="16">
        <f t="shared" si="11"/>
        <v>-2.04</v>
      </c>
      <c r="O257" s="14"/>
    </row>
    <row r="258" spans="1:15">
      <c r="A258" s="14" t="s">
        <v>54</v>
      </c>
      <c r="B258" s="15" t="s">
        <v>885</v>
      </c>
      <c r="C258" s="15" t="s">
        <v>886</v>
      </c>
      <c r="D258" s="14" t="s">
        <v>887</v>
      </c>
      <c r="E258" s="15" t="s">
        <v>141</v>
      </c>
      <c r="F258" s="14" t="s">
        <v>142</v>
      </c>
      <c r="G258" s="15" t="s">
        <v>23</v>
      </c>
      <c r="H258" s="15" t="s">
        <v>1525</v>
      </c>
      <c r="I258" s="15">
        <v>201409</v>
      </c>
      <c r="J258" s="16">
        <v>45.46</v>
      </c>
      <c r="K258" s="171">
        <f t="shared" si="9"/>
        <v>8</v>
      </c>
      <c r="L258" s="17">
        <v>1.4833299999999999E-3</v>
      </c>
      <c r="M258" s="16">
        <f t="shared" si="10"/>
        <v>0.54</v>
      </c>
      <c r="N258" s="16">
        <f t="shared" si="11"/>
        <v>0.81</v>
      </c>
      <c r="O258" s="14"/>
    </row>
    <row r="259" spans="1:15">
      <c r="A259" s="14" t="s">
        <v>54</v>
      </c>
      <c r="B259" s="15" t="s">
        <v>888</v>
      </c>
      <c r="C259" s="15" t="s">
        <v>889</v>
      </c>
      <c r="D259" s="14" t="s">
        <v>890</v>
      </c>
      <c r="E259" s="15" t="s">
        <v>32</v>
      </c>
      <c r="F259" s="14" t="s">
        <v>22</v>
      </c>
      <c r="G259" s="15" t="s">
        <v>23</v>
      </c>
      <c r="H259" s="15" t="s">
        <v>1525</v>
      </c>
      <c r="I259" s="15">
        <v>201409</v>
      </c>
      <c r="J259" s="16">
        <v>-1910.67</v>
      </c>
      <c r="K259" s="171">
        <f t="shared" si="9"/>
        <v>8</v>
      </c>
      <c r="L259" s="17">
        <v>1.4833299999999999E-3</v>
      </c>
      <c r="M259" s="16">
        <f t="shared" si="10"/>
        <v>-22.67</v>
      </c>
      <c r="N259" s="16">
        <f t="shared" si="11"/>
        <v>-34.01</v>
      </c>
      <c r="O259" s="14"/>
    </row>
    <row r="260" spans="1:15">
      <c r="A260" s="14" t="s">
        <v>66</v>
      </c>
      <c r="B260" s="15" t="s">
        <v>1102</v>
      </c>
      <c r="C260" s="15" t="s">
        <v>1103</v>
      </c>
      <c r="D260" s="14" t="s">
        <v>1104</v>
      </c>
      <c r="E260" s="15" t="s">
        <v>466</v>
      </c>
      <c r="F260" s="14" t="s">
        <v>467</v>
      </c>
      <c r="G260" s="15" t="s">
        <v>23</v>
      </c>
      <c r="H260" s="15" t="s">
        <v>1527</v>
      </c>
      <c r="I260" s="15">
        <v>201409</v>
      </c>
      <c r="J260" s="16">
        <v>4582.03</v>
      </c>
      <c r="K260" s="171">
        <f t="shared" si="9"/>
        <v>8</v>
      </c>
      <c r="L260" s="17">
        <v>2.23333E-3</v>
      </c>
      <c r="M260" s="16">
        <f t="shared" si="10"/>
        <v>81.87</v>
      </c>
      <c r="N260" s="16">
        <f t="shared" si="11"/>
        <v>122.8</v>
      </c>
      <c r="O260" s="14"/>
    </row>
    <row r="261" spans="1:15">
      <c r="A261" s="14" t="s">
        <v>17</v>
      </c>
      <c r="B261" s="15" t="s">
        <v>891</v>
      </c>
      <c r="C261" s="15" t="s">
        <v>892</v>
      </c>
      <c r="D261" s="14" t="s">
        <v>893</v>
      </c>
      <c r="E261" s="15" t="s">
        <v>32</v>
      </c>
      <c r="F261" s="14" t="s">
        <v>22</v>
      </c>
      <c r="G261" s="15" t="s">
        <v>23</v>
      </c>
      <c r="H261" s="15" t="s">
        <v>1525</v>
      </c>
      <c r="I261" s="15">
        <v>201409</v>
      </c>
      <c r="J261" s="16">
        <v>946.06</v>
      </c>
      <c r="K261" s="171">
        <f t="shared" ref="K261:K324" si="12">VLOOKUP(I261,$Q$7:$R$15,2)</f>
        <v>8</v>
      </c>
      <c r="L261" s="17">
        <v>1.4833299999999999E-3</v>
      </c>
      <c r="M261" s="16">
        <f t="shared" ref="M261:M324" si="13">ROUND(J261*K261*L261,2)</f>
        <v>11.23</v>
      </c>
      <c r="N261" s="16">
        <f t="shared" ref="N261:N324" si="14">ROUND(J261*L261*12,2)</f>
        <v>16.84</v>
      </c>
      <c r="O261" s="14"/>
    </row>
    <row r="262" spans="1:15">
      <c r="A262" s="14" t="s">
        <v>17</v>
      </c>
      <c r="B262" s="15" t="s">
        <v>894</v>
      </c>
      <c r="C262" s="15" t="s">
        <v>895</v>
      </c>
      <c r="D262" s="14" t="s">
        <v>896</v>
      </c>
      <c r="E262" s="15" t="s">
        <v>440</v>
      </c>
      <c r="F262" s="14" t="s">
        <v>28</v>
      </c>
      <c r="G262" s="15" t="s">
        <v>23</v>
      </c>
      <c r="H262" s="15" t="s">
        <v>1525</v>
      </c>
      <c r="I262" s="15">
        <v>201409</v>
      </c>
      <c r="J262" s="16">
        <v>-159.26</v>
      </c>
      <c r="K262" s="171">
        <f t="shared" si="12"/>
        <v>8</v>
      </c>
      <c r="L262" s="17">
        <v>1.4833299999999999E-3</v>
      </c>
      <c r="M262" s="16">
        <f t="shared" si="13"/>
        <v>-1.89</v>
      </c>
      <c r="N262" s="16">
        <f t="shared" si="14"/>
        <v>-2.83</v>
      </c>
      <c r="O262" s="14"/>
    </row>
    <row r="263" spans="1:15">
      <c r="A263" s="14" t="s">
        <v>54</v>
      </c>
      <c r="B263" s="15" t="s">
        <v>897</v>
      </c>
      <c r="C263" s="15" t="s">
        <v>898</v>
      </c>
      <c r="D263" s="14" t="s">
        <v>899</v>
      </c>
      <c r="E263" s="15" t="s">
        <v>45</v>
      </c>
      <c r="F263" s="14" t="s">
        <v>22</v>
      </c>
      <c r="G263" s="15" t="s">
        <v>23</v>
      </c>
      <c r="H263" s="15" t="s">
        <v>1525</v>
      </c>
      <c r="I263" s="15">
        <v>201409</v>
      </c>
      <c r="J263" s="16">
        <v>-4885.22</v>
      </c>
      <c r="K263" s="171">
        <f t="shared" si="12"/>
        <v>8</v>
      </c>
      <c r="L263" s="17">
        <v>1.4833299999999999E-3</v>
      </c>
      <c r="M263" s="16">
        <f t="shared" si="13"/>
        <v>-57.97</v>
      </c>
      <c r="N263" s="16">
        <f t="shared" si="14"/>
        <v>-86.96</v>
      </c>
      <c r="O263" s="14"/>
    </row>
    <row r="264" spans="1:15">
      <c r="A264" s="14" t="s">
        <v>54</v>
      </c>
      <c r="B264" s="15" t="s">
        <v>900</v>
      </c>
      <c r="C264" s="15" t="s">
        <v>901</v>
      </c>
      <c r="D264" s="14" t="s">
        <v>902</v>
      </c>
      <c r="E264" s="15" t="s">
        <v>462</v>
      </c>
      <c r="F264" s="14" t="s">
        <v>142</v>
      </c>
      <c r="G264" s="15" t="s">
        <v>23</v>
      </c>
      <c r="H264" s="15" t="s">
        <v>1525</v>
      </c>
      <c r="I264" s="15">
        <v>201409</v>
      </c>
      <c r="J264" s="16">
        <v>1294.2</v>
      </c>
      <c r="K264" s="171">
        <f t="shared" si="12"/>
        <v>8</v>
      </c>
      <c r="L264" s="17">
        <v>1.4833299999999999E-3</v>
      </c>
      <c r="M264" s="16">
        <f t="shared" si="13"/>
        <v>15.36</v>
      </c>
      <c r="N264" s="16">
        <f t="shared" si="14"/>
        <v>23.04</v>
      </c>
      <c r="O264" s="14"/>
    </row>
    <row r="265" spans="1:15">
      <c r="A265" s="14" t="s">
        <v>17</v>
      </c>
      <c r="B265" s="15" t="s">
        <v>903</v>
      </c>
      <c r="C265" s="15" t="s">
        <v>904</v>
      </c>
      <c r="D265" s="14" t="s">
        <v>905</v>
      </c>
      <c r="E265" s="15" t="s">
        <v>49</v>
      </c>
      <c r="F265" s="14" t="s">
        <v>22</v>
      </c>
      <c r="G265" s="15" t="s">
        <v>23</v>
      </c>
      <c r="H265" s="15" t="s">
        <v>1525</v>
      </c>
      <c r="I265" s="15">
        <v>201409</v>
      </c>
      <c r="J265" s="16">
        <v>2797.11</v>
      </c>
      <c r="K265" s="171">
        <f t="shared" si="12"/>
        <v>8</v>
      </c>
      <c r="L265" s="17">
        <v>1.4833299999999999E-3</v>
      </c>
      <c r="M265" s="16">
        <f t="shared" si="13"/>
        <v>33.19</v>
      </c>
      <c r="N265" s="16">
        <f t="shared" si="14"/>
        <v>49.79</v>
      </c>
      <c r="O265" s="14"/>
    </row>
    <row r="266" spans="1:15">
      <c r="A266" s="14" t="s">
        <v>54</v>
      </c>
      <c r="B266" s="15" t="s">
        <v>906</v>
      </c>
      <c r="C266" s="15" t="s">
        <v>907</v>
      </c>
      <c r="D266" s="14" t="s">
        <v>908</v>
      </c>
      <c r="E266" s="15" t="s">
        <v>909</v>
      </c>
      <c r="F266" s="14" t="s">
        <v>22</v>
      </c>
      <c r="G266" s="15" t="s">
        <v>23</v>
      </c>
      <c r="H266" s="15" t="s">
        <v>1525</v>
      </c>
      <c r="I266" s="15">
        <v>201409</v>
      </c>
      <c r="J266" s="16">
        <v>-193.96</v>
      </c>
      <c r="K266" s="171">
        <f t="shared" si="12"/>
        <v>8</v>
      </c>
      <c r="L266" s="17">
        <v>1.4833299999999999E-3</v>
      </c>
      <c r="M266" s="16">
        <f t="shared" si="13"/>
        <v>-2.2999999999999998</v>
      </c>
      <c r="N266" s="16">
        <f t="shared" si="14"/>
        <v>-3.45</v>
      </c>
      <c r="O266" s="14"/>
    </row>
    <row r="267" spans="1:15">
      <c r="A267" s="14" t="s">
        <v>17</v>
      </c>
      <c r="B267" s="15" t="s">
        <v>910</v>
      </c>
      <c r="C267" s="15" t="s">
        <v>911</v>
      </c>
      <c r="D267" s="14" t="s">
        <v>912</v>
      </c>
      <c r="E267" s="15" t="s">
        <v>362</v>
      </c>
      <c r="F267" s="14" t="s">
        <v>41</v>
      </c>
      <c r="G267" s="15" t="s">
        <v>23</v>
      </c>
      <c r="H267" s="15" t="s">
        <v>1526</v>
      </c>
      <c r="I267" s="15">
        <v>201409</v>
      </c>
      <c r="J267" s="16">
        <v>-58.71</v>
      </c>
      <c r="K267" s="171">
        <f t="shared" si="12"/>
        <v>8</v>
      </c>
      <c r="L267" s="17">
        <v>1.4833299999999999E-3</v>
      </c>
      <c r="M267" s="16">
        <f t="shared" si="13"/>
        <v>-0.7</v>
      </c>
      <c r="N267" s="16">
        <f t="shared" si="14"/>
        <v>-1.05</v>
      </c>
      <c r="O267" s="14"/>
    </row>
    <row r="268" spans="1:15">
      <c r="A268" s="14" t="s">
        <v>54</v>
      </c>
      <c r="B268" s="15" t="s">
        <v>913</v>
      </c>
      <c r="C268" s="15" t="s">
        <v>914</v>
      </c>
      <c r="D268" s="14" t="s">
        <v>915</v>
      </c>
      <c r="E268" s="15" t="s">
        <v>36</v>
      </c>
      <c r="F268" s="14" t="s">
        <v>22</v>
      </c>
      <c r="G268" s="15" t="s">
        <v>23</v>
      </c>
      <c r="H268" s="15" t="s">
        <v>1525</v>
      </c>
      <c r="I268" s="15">
        <v>201409</v>
      </c>
      <c r="J268" s="16">
        <v>10702.77</v>
      </c>
      <c r="K268" s="171">
        <f t="shared" si="12"/>
        <v>8</v>
      </c>
      <c r="L268" s="17">
        <v>1.4833299999999999E-3</v>
      </c>
      <c r="M268" s="16">
        <f t="shared" si="13"/>
        <v>127.01</v>
      </c>
      <c r="N268" s="16">
        <f t="shared" si="14"/>
        <v>190.51</v>
      </c>
      <c r="O268" s="14"/>
    </row>
    <row r="269" spans="1:15">
      <c r="A269" s="14" t="s">
        <v>54</v>
      </c>
      <c r="B269" s="15" t="s">
        <v>916</v>
      </c>
      <c r="C269" s="15" t="s">
        <v>917</v>
      </c>
      <c r="D269" s="14" t="s">
        <v>918</v>
      </c>
      <c r="E269" s="15" t="s">
        <v>909</v>
      </c>
      <c r="F269" s="14" t="s">
        <v>22</v>
      </c>
      <c r="G269" s="15" t="s">
        <v>23</v>
      </c>
      <c r="H269" s="15" t="s">
        <v>1525</v>
      </c>
      <c r="I269" s="15">
        <v>201409</v>
      </c>
      <c r="J269" s="16">
        <v>6119.67</v>
      </c>
      <c r="K269" s="171">
        <f t="shared" si="12"/>
        <v>8</v>
      </c>
      <c r="L269" s="17">
        <v>1.4833299999999999E-3</v>
      </c>
      <c r="M269" s="16">
        <f t="shared" si="13"/>
        <v>72.62</v>
      </c>
      <c r="N269" s="16">
        <f t="shared" si="14"/>
        <v>108.93</v>
      </c>
      <c r="O269" s="14"/>
    </row>
    <row r="270" spans="1:15">
      <c r="A270" s="14" t="s">
        <v>54</v>
      </c>
      <c r="B270" s="15" t="s">
        <v>926</v>
      </c>
      <c r="C270" s="15" t="s">
        <v>927</v>
      </c>
      <c r="D270" s="14" t="s">
        <v>928</v>
      </c>
      <c r="E270" s="15" t="s">
        <v>141</v>
      </c>
      <c r="F270" s="14" t="s">
        <v>142</v>
      </c>
      <c r="G270" s="15" t="s">
        <v>23</v>
      </c>
      <c r="H270" s="15" t="s">
        <v>1525</v>
      </c>
      <c r="I270" s="15">
        <v>201409</v>
      </c>
      <c r="J270" s="16">
        <v>10991.12</v>
      </c>
      <c r="K270" s="171">
        <f t="shared" si="12"/>
        <v>8</v>
      </c>
      <c r="L270" s="17">
        <v>1.4833299999999999E-3</v>
      </c>
      <c r="M270" s="16">
        <f t="shared" si="13"/>
        <v>130.43</v>
      </c>
      <c r="N270" s="16">
        <f t="shared" si="14"/>
        <v>195.64</v>
      </c>
      <c r="O270" s="14"/>
    </row>
    <row r="271" spans="1:15">
      <c r="A271" s="14" t="s">
        <v>17</v>
      </c>
      <c r="B271" s="15" t="s">
        <v>932</v>
      </c>
      <c r="C271" s="15" t="s">
        <v>933</v>
      </c>
      <c r="D271" s="14" t="s">
        <v>934</v>
      </c>
      <c r="E271" s="15" t="s">
        <v>925</v>
      </c>
      <c r="F271" s="14" t="s">
        <v>41</v>
      </c>
      <c r="G271" s="15" t="s">
        <v>23</v>
      </c>
      <c r="H271" s="15" t="s">
        <v>1526</v>
      </c>
      <c r="I271" s="15">
        <v>201409</v>
      </c>
      <c r="J271" s="16">
        <v>72544.160000000003</v>
      </c>
      <c r="K271" s="171">
        <f t="shared" si="12"/>
        <v>8</v>
      </c>
      <c r="L271" s="17">
        <v>1.4833299999999999E-3</v>
      </c>
      <c r="M271" s="16">
        <f t="shared" si="13"/>
        <v>860.86</v>
      </c>
      <c r="N271" s="16">
        <f t="shared" si="14"/>
        <v>1291.28</v>
      </c>
      <c r="O271" s="14"/>
    </row>
    <row r="272" spans="1:15">
      <c r="A272" s="14" t="s">
        <v>17</v>
      </c>
      <c r="B272" s="15" t="s">
        <v>935</v>
      </c>
      <c r="C272" s="15" t="s">
        <v>936</v>
      </c>
      <c r="D272" s="14" t="s">
        <v>937</v>
      </c>
      <c r="E272" s="15" t="s">
        <v>53</v>
      </c>
      <c r="F272" s="14" t="s">
        <v>41</v>
      </c>
      <c r="G272" s="15" t="s">
        <v>23</v>
      </c>
      <c r="H272" s="15" t="s">
        <v>1526</v>
      </c>
      <c r="I272" s="15">
        <v>201409</v>
      </c>
      <c r="J272" s="16">
        <v>319.49</v>
      </c>
      <c r="K272" s="171">
        <f t="shared" si="12"/>
        <v>8</v>
      </c>
      <c r="L272" s="17">
        <v>1.4833299999999999E-3</v>
      </c>
      <c r="M272" s="16">
        <f t="shared" si="13"/>
        <v>3.79</v>
      </c>
      <c r="N272" s="16">
        <f t="shared" si="14"/>
        <v>5.69</v>
      </c>
      <c r="O272" s="14"/>
    </row>
    <row r="273" spans="1:15">
      <c r="A273" s="14" t="s">
        <v>54</v>
      </c>
      <c r="B273" s="15" t="s">
        <v>938</v>
      </c>
      <c r="C273" s="15" t="s">
        <v>939</v>
      </c>
      <c r="D273" s="14" t="s">
        <v>940</v>
      </c>
      <c r="E273" s="15" t="s">
        <v>141</v>
      </c>
      <c r="F273" s="14" t="s">
        <v>142</v>
      </c>
      <c r="G273" s="15" t="s">
        <v>23</v>
      </c>
      <c r="H273" s="15" t="s">
        <v>1525</v>
      </c>
      <c r="I273" s="15">
        <v>201409</v>
      </c>
      <c r="J273" s="16">
        <v>32210.09</v>
      </c>
      <c r="K273" s="171">
        <f t="shared" si="12"/>
        <v>8</v>
      </c>
      <c r="L273" s="17">
        <v>1.4833299999999999E-3</v>
      </c>
      <c r="M273" s="16">
        <f t="shared" si="13"/>
        <v>382.23</v>
      </c>
      <c r="N273" s="16">
        <f t="shared" si="14"/>
        <v>573.34</v>
      </c>
      <c r="O273" s="14"/>
    </row>
    <row r="274" spans="1:15">
      <c r="A274" s="14" t="s">
        <v>66</v>
      </c>
      <c r="B274" s="15" t="s">
        <v>941</v>
      </c>
      <c r="C274" s="15" t="s">
        <v>942</v>
      </c>
      <c r="D274" s="14" t="s">
        <v>943</v>
      </c>
      <c r="E274" s="15" t="s">
        <v>369</v>
      </c>
      <c r="F274" s="14" t="s">
        <v>41</v>
      </c>
      <c r="G274" s="15" t="s">
        <v>23</v>
      </c>
      <c r="H274" s="15" t="s">
        <v>1526</v>
      </c>
      <c r="I274" s="15">
        <v>201409</v>
      </c>
      <c r="J274" s="16">
        <v>-49.67</v>
      </c>
      <c r="K274" s="171">
        <f t="shared" si="12"/>
        <v>8</v>
      </c>
      <c r="L274" s="17">
        <v>2.23333E-3</v>
      </c>
      <c r="M274" s="16">
        <f t="shared" si="13"/>
        <v>-0.89</v>
      </c>
      <c r="N274" s="16">
        <f t="shared" si="14"/>
        <v>-1.33</v>
      </c>
      <c r="O274" s="14"/>
    </row>
    <row r="275" spans="1:15">
      <c r="A275" s="14" t="s">
        <v>17</v>
      </c>
      <c r="B275" s="15" t="s">
        <v>944</v>
      </c>
      <c r="C275" s="15" t="s">
        <v>945</v>
      </c>
      <c r="D275" s="14" t="s">
        <v>946</v>
      </c>
      <c r="E275" s="15" t="s">
        <v>104</v>
      </c>
      <c r="F275" s="14" t="s">
        <v>41</v>
      </c>
      <c r="G275" s="15" t="s">
        <v>23</v>
      </c>
      <c r="H275" s="15" t="s">
        <v>1526</v>
      </c>
      <c r="I275" s="15">
        <v>201409</v>
      </c>
      <c r="J275" s="16">
        <v>3364.94</v>
      </c>
      <c r="K275" s="171">
        <f t="shared" si="12"/>
        <v>8</v>
      </c>
      <c r="L275" s="17">
        <v>1.4833299999999999E-3</v>
      </c>
      <c r="M275" s="16">
        <f t="shared" si="13"/>
        <v>39.93</v>
      </c>
      <c r="N275" s="16">
        <f t="shared" si="14"/>
        <v>59.9</v>
      </c>
      <c r="O275" s="14"/>
    </row>
    <row r="276" spans="1:15">
      <c r="A276" s="14" t="s">
        <v>54</v>
      </c>
      <c r="B276" s="15" t="s">
        <v>950</v>
      </c>
      <c r="C276" s="15" t="s">
        <v>951</v>
      </c>
      <c r="D276" s="14" t="s">
        <v>952</v>
      </c>
      <c r="E276" s="15" t="s">
        <v>141</v>
      </c>
      <c r="F276" s="14" t="s">
        <v>142</v>
      </c>
      <c r="G276" s="15" t="s">
        <v>23</v>
      </c>
      <c r="H276" s="15" t="s">
        <v>1525</v>
      </c>
      <c r="I276" s="15">
        <v>201409</v>
      </c>
      <c r="J276" s="16">
        <v>84619.839999999997</v>
      </c>
      <c r="K276" s="171">
        <f t="shared" si="12"/>
        <v>8</v>
      </c>
      <c r="L276" s="17">
        <v>1.4833299999999999E-3</v>
      </c>
      <c r="M276" s="16">
        <f t="shared" si="13"/>
        <v>1004.15</v>
      </c>
      <c r="N276" s="16">
        <f t="shared" si="14"/>
        <v>1506.23</v>
      </c>
      <c r="O276" s="14"/>
    </row>
    <row r="277" spans="1:15">
      <c r="A277" s="14" t="s">
        <v>17</v>
      </c>
      <c r="B277" s="15" t="s">
        <v>953</v>
      </c>
      <c r="C277" s="15" t="s">
        <v>954</v>
      </c>
      <c r="D277" s="14" t="s">
        <v>955</v>
      </c>
      <c r="E277" s="15" t="s">
        <v>40</v>
      </c>
      <c r="F277" s="14" t="s">
        <v>41</v>
      </c>
      <c r="G277" s="15" t="s">
        <v>23</v>
      </c>
      <c r="H277" s="15" t="s">
        <v>1526</v>
      </c>
      <c r="I277" s="15">
        <v>201409</v>
      </c>
      <c r="J277" s="16">
        <v>-925.65</v>
      </c>
      <c r="K277" s="171">
        <f t="shared" si="12"/>
        <v>8</v>
      </c>
      <c r="L277" s="17">
        <v>1.4833299999999999E-3</v>
      </c>
      <c r="M277" s="16">
        <f t="shared" si="13"/>
        <v>-10.98</v>
      </c>
      <c r="N277" s="16">
        <f t="shared" si="14"/>
        <v>-16.48</v>
      </c>
      <c r="O277" s="14"/>
    </row>
    <row r="278" spans="1:15">
      <c r="A278" s="14" t="s">
        <v>17</v>
      </c>
      <c r="B278" s="15" t="s">
        <v>956</v>
      </c>
      <c r="C278" s="15" t="s">
        <v>957</v>
      </c>
      <c r="D278" s="14" t="s">
        <v>958</v>
      </c>
      <c r="E278" s="15" t="s">
        <v>40</v>
      </c>
      <c r="F278" s="14" t="s">
        <v>41</v>
      </c>
      <c r="G278" s="15" t="s">
        <v>23</v>
      </c>
      <c r="H278" s="15" t="s">
        <v>1526</v>
      </c>
      <c r="I278" s="15">
        <v>201409</v>
      </c>
      <c r="J278" s="16">
        <v>2817.01</v>
      </c>
      <c r="K278" s="171">
        <f t="shared" si="12"/>
        <v>8</v>
      </c>
      <c r="L278" s="17">
        <v>1.4833299999999999E-3</v>
      </c>
      <c r="M278" s="16">
        <f t="shared" si="13"/>
        <v>33.43</v>
      </c>
      <c r="N278" s="16">
        <f t="shared" si="14"/>
        <v>50.14</v>
      </c>
      <c r="O278" s="14"/>
    </row>
    <row r="279" spans="1:15">
      <c r="A279" s="14" t="s">
        <v>17</v>
      </c>
      <c r="B279" s="15" t="s">
        <v>959</v>
      </c>
      <c r="C279" s="15" t="s">
        <v>960</v>
      </c>
      <c r="D279" s="14" t="s">
        <v>961</v>
      </c>
      <c r="E279" s="15" t="s">
        <v>40</v>
      </c>
      <c r="F279" s="14" t="s">
        <v>41</v>
      </c>
      <c r="G279" s="15" t="s">
        <v>23</v>
      </c>
      <c r="H279" s="15" t="s">
        <v>1526</v>
      </c>
      <c r="I279" s="15">
        <v>201409</v>
      </c>
      <c r="J279" s="16">
        <v>94.14</v>
      </c>
      <c r="K279" s="171">
        <f t="shared" si="12"/>
        <v>8</v>
      </c>
      <c r="L279" s="17">
        <v>1.4833299999999999E-3</v>
      </c>
      <c r="M279" s="16">
        <f t="shared" si="13"/>
        <v>1.1200000000000001</v>
      </c>
      <c r="N279" s="16">
        <f t="shared" si="14"/>
        <v>1.68</v>
      </c>
      <c r="O279" s="14"/>
    </row>
    <row r="280" spans="1:15">
      <c r="A280" s="14" t="s">
        <v>54</v>
      </c>
      <c r="B280" s="15" t="s">
        <v>962</v>
      </c>
      <c r="C280" s="15" t="s">
        <v>963</v>
      </c>
      <c r="D280" s="14" t="s">
        <v>964</v>
      </c>
      <c r="E280" s="15" t="s">
        <v>40</v>
      </c>
      <c r="F280" s="14" t="s">
        <v>41</v>
      </c>
      <c r="G280" s="15" t="s">
        <v>23</v>
      </c>
      <c r="H280" s="15" t="s">
        <v>1526</v>
      </c>
      <c r="I280" s="15">
        <v>201409</v>
      </c>
      <c r="J280" s="16">
        <v>77244.5</v>
      </c>
      <c r="K280" s="171">
        <f t="shared" si="12"/>
        <v>8</v>
      </c>
      <c r="L280" s="17">
        <v>1.4833299999999999E-3</v>
      </c>
      <c r="M280" s="16">
        <f t="shared" si="13"/>
        <v>916.63</v>
      </c>
      <c r="N280" s="16">
        <f t="shared" si="14"/>
        <v>1374.95</v>
      </c>
      <c r="O280" s="14"/>
    </row>
    <row r="281" spans="1:15">
      <c r="A281" s="14" t="s">
        <v>54</v>
      </c>
      <c r="B281" s="15" t="s">
        <v>965</v>
      </c>
      <c r="C281" s="15" t="s">
        <v>966</v>
      </c>
      <c r="D281" s="14" t="s">
        <v>967</v>
      </c>
      <c r="E281" s="15" t="s">
        <v>53</v>
      </c>
      <c r="F281" s="14" t="s">
        <v>41</v>
      </c>
      <c r="G281" s="15" t="s">
        <v>23</v>
      </c>
      <c r="H281" s="15" t="s">
        <v>1526</v>
      </c>
      <c r="I281" s="15">
        <v>201409</v>
      </c>
      <c r="J281" s="16">
        <v>8672.4699999999993</v>
      </c>
      <c r="K281" s="171">
        <f t="shared" si="12"/>
        <v>8</v>
      </c>
      <c r="L281" s="17">
        <v>1.4833299999999999E-3</v>
      </c>
      <c r="M281" s="16">
        <f t="shared" si="13"/>
        <v>102.91</v>
      </c>
      <c r="N281" s="16">
        <f t="shared" si="14"/>
        <v>154.37</v>
      </c>
      <c r="O281" s="14"/>
    </row>
    <row r="282" spans="1:15">
      <c r="A282" s="14" t="s">
        <v>54</v>
      </c>
      <c r="B282" s="15" t="s">
        <v>974</v>
      </c>
      <c r="C282" s="15" t="s">
        <v>975</v>
      </c>
      <c r="D282" s="14" t="s">
        <v>976</v>
      </c>
      <c r="E282" s="15" t="s">
        <v>141</v>
      </c>
      <c r="F282" s="14" t="s">
        <v>142</v>
      </c>
      <c r="G282" s="15" t="s">
        <v>23</v>
      </c>
      <c r="H282" s="15" t="s">
        <v>1525</v>
      </c>
      <c r="I282" s="15">
        <v>201409</v>
      </c>
      <c r="J282" s="16">
        <v>1598.77</v>
      </c>
      <c r="K282" s="171">
        <f t="shared" si="12"/>
        <v>8</v>
      </c>
      <c r="L282" s="17">
        <v>1.4833299999999999E-3</v>
      </c>
      <c r="M282" s="16">
        <f t="shared" si="13"/>
        <v>18.97</v>
      </c>
      <c r="N282" s="16">
        <f t="shared" si="14"/>
        <v>28.46</v>
      </c>
      <c r="O282" s="14"/>
    </row>
    <row r="283" spans="1:15">
      <c r="A283" s="14" t="s">
        <v>54</v>
      </c>
      <c r="B283" s="15" t="s">
        <v>977</v>
      </c>
      <c r="C283" s="15" t="s">
        <v>978</v>
      </c>
      <c r="D283" s="14" t="s">
        <v>979</v>
      </c>
      <c r="E283" s="15" t="s">
        <v>980</v>
      </c>
      <c r="F283" s="14" t="s">
        <v>259</v>
      </c>
      <c r="G283" s="15" t="s">
        <v>23</v>
      </c>
      <c r="H283" s="15" t="s">
        <v>1525</v>
      </c>
      <c r="I283" s="15">
        <v>201409</v>
      </c>
      <c r="J283" s="16">
        <v>502.39</v>
      </c>
      <c r="K283" s="171">
        <f t="shared" si="12"/>
        <v>8</v>
      </c>
      <c r="L283" s="17">
        <v>1.4833299999999999E-3</v>
      </c>
      <c r="M283" s="16">
        <f t="shared" si="13"/>
        <v>5.96</v>
      </c>
      <c r="N283" s="16">
        <f t="shared" si="14"/>
        <v>8.94</v>
      </c>
      <c r="O283" s="14"/>
    </row>
    <row r="284" spans="1:15">
      <c r="A284" s="14" t="s">
        <v>17</v>
      </c>
      <c r="B284" s="15" t="s">
        <v>981</v>
      </c>
      <c r="C284" s="15" t="s">
        <v>982</v>
      </c>
      <c r="D284" s="14" t="s">
        <v>983</v>
      </c>
      <c r="E284" s="15" t="s">
        <v>440</v>
      </c>
      <c r="F284" s="14" t="s">
        <v>28</v>
      </c>
      <c r="G284" s="15" t="s">
        <v>23</v>
      </c>
      <c r="H284" s="15" t="s">
        <v>1525</v>
      </c>
      <c r="I284" s="15">
        <v>201409</v>
      </c>
      <c r="J284" s="16">
        <v>53.69</v>
      </c>
      <c r="K284" s="171">
        <f t="shared" si="12"/>
        <v>8</v>
      </c>
      <c r="L284" s="17">
        <v>1.4833299999999999E-3</v>
      </c>
      <c r="M284" s="16">
        <f t="shared" si="13"/>
        <v>0.64</v>
      </c>
      <c r="N284" s="16">
        <f t="shared" si="14"/>
        <v>0.96</v>
      </c>
      <c r="O284" s="14"/>
    </row>
    <row r="285" spans="1:15">
      <c r="A285" s="14" t="s">
        <v>54</v>
      </c>
      <c r="B285" s="15" t="s">
        <v>984</v>
      </c>
      <c r="C285" s="15" t="s">
        <v>985</v>
      </c>
      <c r="D285" s="14" t="s">
        <v>986</v>
      </c>
      <c r="E285" s="15" t="s">
        <v>141</v>
      </c>
      <c r="F285" s="14" t="s">
        <v>142</v>
      </c>
      <c r="G285" s="15" t="s">
        <v>23</v>
      </c>
      <c r="H285" s="15" t="s">
        <v>1525</v>
      </c>
      <c r="I285" s="15">
        <v>201409</v>
      </c>
      <c r="J285" s="16">
        <v>76.45</v>
      </c>
      <c r="K285" s="171">
        <f t="shared" si="12"/>
        <v>8</v>
      </c>
      <c r="L285" s="17">
        <v>1.4833299999999999E-3</v>
      </c>
      <c r="M285" s="16">
        <f t="shared" si="13"/>
        <v>0.91</v>
      </c>
      <c r="N285" s="16">
        <f t="shared" si="14"/>
        <v>1.36</v>
      </c>
      <c r="O285" s="14"/>
    </row>
    <row r="286" spans="1:15">
      <c r="A286" s="14" t="s">
        <v>17</v>
      </c>
      <c r="B286" s="15" t="s">
        <v>987</v>
      </c>
      <c r="C286" s="15" t="s">
        <v>988</v>
      </c>
      <c r="D286" s="14" t="s">
        <v>989</v>
      </c>
      <c r="E286" s="15" t="s">
        <v>45</v>
      </c>
      <c r="F286" s="14" t="s">
        <v>22</v>
      </c>
      <c r="G286" s="15" t="s">
        <v>23</v>
      </c>
      <c r="H286" s="15" t="s">
        <v>1525</v>
      </c>
      <c r="I286" s="15">
        <v>201409</v>
      </c>
      <c r="J286" s="16">
        <v>92.14</v>
      </c>
      <c r="K286" s="171">
        <f t="shared" si="12"/>
        <v>8</v>
      </c>
      <c r="L286" s="17">
        <v>1.4833299999999999E-3</v>
      </c>
      <c r="M286" s="16">
        <f t="shared" si="13"/>
        <v>1.0900000000000001</v>
      </c>
      <c r="N286" s="16">
        <f t="shared" si="14"/>
        <v>1.64</v>
      </c>
      <c r="O286" s="14"/>
    </row>
    <row r="287" spans="1:15">
      <c r="A287" s="14" t="s">
        <v>17</v>
      </c>
      <c r="B287" s="15" t="s">
        <v>999</v>
      </c>
      <c r="C287" s="15" t="s">
        <v>1000</v>
      </c>
      <c r="D287" s="14" t="s">
        <v>1001</v>
      </c>
      <c r="E287" s="15" t="s">
        <v>176</v>
      </c>
      <c r="F287" s="14" t="s">
        <v>28</v>
      </c>
      <c r="G287" s="15" t="s">
        <v>23</v>
      </c>
      <c r="H287" s="15" t="s">
        <v>1525</v>
      </c>
      <c r="I287" s="15">
        <v>201409</v>
      </c>
      <c r="J287" s="16">
        <v>167.22</v>
      </c>
      <c r="K287" s="171">
        <f t="shared" si="12"/>
        <v>8</v>
      </c>
      <c r="L287" s="17">
        <v>1.4833299999999999E-3</v>
      </c>
      <c r="M287" s="16">
        <f t="shared" si="13"/>
        <v>1.98</v>
      </c>
      <c r="N287" s="16">
        <f t="shared" si="14"/>
        <v>2.98</v>
      </c>
      <c r="O287" s="14"/>
    </row>
    <row r="288" spans="1:15">
      <c r="A288" s="14" t="s">
        <v>54</v>
      </c>
      <c r="B288" s="15" t="s">
        <v>1008</v>
      </c>
      <c r="C288" s="15" t="s">
        <v>1009</v>
      </c>
      <c r="D288" s="14" t="s">
        <v>1010</v>
      </c>
      <c r="E288" s="15" t="s">
        <v>49</v>
      </c>
      <c r="F288" s="14" t="s">
        <v>22</v>
      </c>
      <c r="G288" s="15" t="s">
        <v>23</v>
      </c>
      <c r="H288" s="15" t="s">
        <v>1525</v>
      </c>
      <c r="I288" s="15">
        <v>201409</v>
      </c>
      <c r="J288" s="16">
        <v>428.36</v>
      </c>
      <c r="K288" s="171">
        <f t="shared" si="12"/>
        <v>8</v>
      </c>
      <c r="L288" s="17">
        <v>1.4833299999999999E-3</v>
      </c>
      <c r="M288" s="16">
        <f t="shared" si="13"/>
        <v>5.08</v>
      </c>
      <c r="N288" s="16">
        <f t="shared" si="14"/>
        <v>7.62</v>
      </c>
      <c r="O288" s="14"/>
    </row>
    <row r="289" spans="1:15">
      <c r="A289" s="14" t="s">
        <v>54</v>
      </c>
      <c r="B289" s="15" t="s">
        <v>1011</v>
      </c>
      <c r="C289" s="15" t="s">
        <v>1012</v>
      </c>
      <c r="D289" s="14" t="s">
        <v>1013</v>
      </c>
      <c r="E289" s="15" t="s">
        <v>21</v>
      </c>
      <c r="F289" s="14" t="s">
        <v>22</v>
      </c>
      <c r="G289" s="15" t="s">
        <v>23</v>
      </c>
      <c r="H289" s="15" t="s">
        <v>1525</v>
      </c>
      <c r="I289" s="15">
        <v>201409</v>
      </c>
      <c r="J289" s="16">
        <v>4250.08</v>
      </c>
      <c r="K289" s="171">
        <f t="shared" si="12"/>
        <v>8</v>
      </c>
      <c r="L289" s="17">
        <v>1.4833299999999999E-3</v>
      </c>
      <c r="M289" s="16">
        <f t="shared" si="13"/>
        <v>50.43</v>
      </c>
      <c r="N289" s="16">
        <f t="shared" si="14"/>
        <v>75.650000000000006</v>
      </c>
      <c r="O289" s="14"/>
    </row>
    <row r="290" spans="1:15">
      <c r="A290" s="14" t="s">
        <v>54</v>
      </c>
      <c r="B290" s="15" t="s">
        <v>1021</v>
      </c>
      <c r="C290" s="15" t="s">
        <v>1022</v>
      </c>
      <c r="D290" s="14" t="s">
        <v>1023</v>
      </c>
      <c r="E290" s="15" t="s">
        <v>108</v>
      </c>
      <c r="F290" s="14" t="s">
        <v>28</v>
      </c>
      <c r="G290" s="15" t="s">
        <v>23</v>
      </c>
      <c r="H290" s="15" t="s">
        <v>1525</v>
      </c>
      <c r="I290" s="15">
        <v>201409</v>
      </c>
      <c r="J290" s="16">
        <v>906.93</v>
      </c>
      <c r="K290" s="171">
        <f t="shared" si="12"/>
        <v>8</v>
      </c>
      <c r="L290" s="17">
        <v>1.4833299999999999E-3</v>
      </c>
      <c r="M290" s="16">
        <f t="shared" si="13"/>
        <v>10.76</v>
      </c>
      <c r="N290" s="16">
        <f t="shared" si="14"/>
        <v>16.14</v>
      </c>
      <c r="O290" s="14"/>
    </row>
    <row r="291" spans="1:15">
      <c r="A291" s="14" t="s">
        <v>17</v>
      </c>
      <c r="B291" s="15" t="s">
        <v>50</v>
      </c>
      <c r="C291" s="15" t="s">
        <v>51</v>
      </c>
      <c r="D291" s="14" t="s">
        <v>52</v>
      </c>
      <c r="E291" s="15" t="s">
        <v>53</v>
      </c>
      <c r="F291" s="14" t="s">
        <v>41</v>
      </c>
      <c r="G291" s="15" t="s">
        <v>23</v>
      </c>
      <c r="H291" s="15" t="s">
        <v>1526</v>
      </c>
      <c r="I291" s="15">
        <v>201410</v>
      </c>
      <c r="J291" s="16">
        <v>-17.78</v>
      </c>
      <c r="K291" s="171">
        <f t="shared" si="12"/>
        <v>7</v>
      </c>
      <c r="L291" s="17">
        <v>1.4833299999999999E-3</v>
      </c>
      <c r="M291" s="16">
        <f t="shared" si="13"/>
        <v>-0.18</v>
      </c>
      <c r="N291" s="16">
        <f t="shared" si="14"/>
        <v>-0.32</v>
      </c>
      <c r="O291" s="14"/>
    </row>
    <row r="292" spans="1:15">
      <c r="A292" s="14" t="s">
        <v>54</v>
      </c>
      <c r="B292" s="15" t="s">
        <v>59</v>
      </c>
      <c r="C292" s="15" t="s">
        <v>60</v>
      </c>
      <c r="D292" s="14" t="s">
        <v>61</v>
      </c>
      <c r="E292" s="15" t="s">
        <v>62</v>
      </c>
      <c r="F292" s="14" t="s">
        <v>22</v>
      </c>
      <c r="G292" s="15" t="s">
        <v>23</v>
      </c>
      <c r="H292" s="15" t="s">
        <v>1525</v>
      </c>
      <c r="I292" s="15">
        <v>201410</v>
      </c>
      <c r="J292" s="16">
        <v>0</v>
      </c>
      <c r="K292" s="171">
        <f t="shared" si="12"/>
        <v>7</v>
      </c>
      <c r="L292" s="17">
        <v>1.4833299999999999E-3</v>
      </c>
      <c r="M292" s="16">
        <f t="shared" si="13"/>
        <v>0</v>
      </c>
      <c r="N292" s="16">
        <f t="shared" si="14"/>
        <v>0</v>
      </c>
      <c r="O292" s="14"/>
    </row>
    <row r="293" spans="1:15">
      <c r="A293" s="14" t="s">
        <v>66</v>
      </c>
      <c r="B293" s="15" t="s">
        <v>67</v>
      </c>
      <c r="C293" s="15" t="s">
        <v>68</v>
      </c>
      <c r="D293" s="14" t="s">
        <v>69</v>
      </c>
      <c r="E293" s="15" t="s">
        <v>70</v>
      </c>
      <c r="F293" s="14" t="s">
        <v>71</v>
      </c>
      <c r="G293" s="15" t="s">
        <v>23</v>
      </c>
      <c r="H293" s="15" t="s">
        <v>1530</v>
      </c>
      <c r="I293" s="15">
        <v>201410</v>
      </c>
      <c r="J293" s="16">
        <v>0</v>
      </c>
      <c r="K293" s="171">
        <f t="shared" si="12"/>
        <v>7</v>
      </c>
      <c r="L293" s="17">
        <v>2.23333E-3</v>
      </c>
      <c r="M293" s="16">
        <f t="shared" si="13"/>
        <v>0</v>
      </c>
      <c r="N293" s="16">
        <f t="shared" si="14"/>
        <v>0</v>
      </c>
      <c r="O293" s="14"/>
    </row>
    <row r="294" spans="1:15">
      <c r="A294" s="14" t="s">
        <v>66</v>
      </c>
      <c r="B294" s="15" t="s">
        <v>72</v>
      </c>
      <c r="C294" s="15" t="s">
        <v>73</v>
      </c>
      <c r="D294" s="14" t="s">
        <v>74</v>
      </c>
      <c r="E294" s="15" t="s">
        <v>75</v>
      </c>
      <c r="F294" s="14" t="s">
        <v>71</v>
      </c>
      <c r="G294" s="15" t="s">
        <v>23</v>
      </c>
      <c r="H294" s="15" t="s">
        <v>1530</v>
      </c>
      <c r="I294" s="15">
        <v>201410</v>
      </c>
      <c r="J294" s="16">
        <v>170646.25</v>
      </c>
      <c r="K294" s="171">
        <f t="shared" si="12"/>
        <v>7</v>
      </c>
      <c r="L294" s="17">
        <v>2.23333E-3</v>
      </c>
      <c r="M294" s="16">
        <f t="shared" si="13"/>
        <v>2667.77</v>
      </c>
      <c r="N294" s="16">
        <f t="shared" si="14"/>
        <v>4573.3100000000004</v>
      </c>
      <c r="O294" s="14"/>
    </row>
    <row r="295" spans="1:15">
      <c r="A295" s="14" t="s">
        <v>66</v>
      </c>
      <c r="B295" s="15" t="s">
        <v>81</v>
      </c>
      <c r="C295" s="15" t="s">
        <v>82</v>
      </c>
      <c r="D295" s="14" t="s">
        <v>83</v>
      </c>
      <c r="E295" s="15" t="s">
        <v>84</v>
      </c>
      <c r="F295" s="14" t="s">
        <v>85</v>
      </c>
      <c r="G295" s="15" t="s">
        <v>23</v>
      </c>
      <c r="H295" s="15" t="s">
        <v>1530</v>
      </c>
      <c r="I295" s="15">
        <v>201410</v>
      </c>
      <c r="J295" s="16">
        <v>28628.69</v>
      </c>
      <c r="K295" s="171">
        <f t="shared" si="12"/>
        <v>7</v>
      </c>
      <c r="L295" s="17">
        <v>2.23333E-3</v>
      </c>
      <c r="M295" s="16">
        <f t="shared" si="13"/>
        <v>447.56</v>
      </c>
      <c r="N295" s="16">
        <f t="shared" si="14"/>
        <v>767.25</v>
      </c>
      <c r="O295" s="14"/>
    </row>
    <row r="296" spans="1:15">
      <c r="A296" s="14" t="s">
        <v>66</v>
      </c>
      <c r="B296" s="15" t="s">
        <v>90</v>
      </c>
      <c r="C296" s="15" t="s">
        <v>91</v>
      </c>
      <c r="D296" s="14" t="s">
        <v>78</v>
      </c>
      <c r="E296" s="15" t="s">
        <v>92</v>
      </c>
      <c r="F296" s="14" t="s">
        <v>80</v>
      </c>
      <c r="G296" s="15" t="s">
        <v>23</v>
      </c>
      <c r="H296" s="15" t="s">
        <v>1530</v>
      </c>
      <c r="I296" s="15">
        <v>201410</v>
      </c>
      <c r="J296" s="16">
        <v>7587.08</v>
      </c>
      <c r="K296" s="171">
        <f t="shared" si="12"/>
        <v>7</v>
      </c>
      <c r="L296" s="17">
        <v>2.23333E-3</v>
      </c>
      <c r="M296" s="16">
        <f t="shared" si="13"/>
        <v>118.61</v>
      </c>
      <c r="N296" s="16">
        <f t="shared" si="14"/>
        <v>203.33</v>
      </c>
      <c r="O296" s="14"/>
    </row>
    <row r="297" spans="1:15">
      <c r="A297" s="14" t="s">
        <v>17</v>
      </c>
      <c r="B297" s="15" t="s">
        <v>105</v>
      </c>
      <c r="C297" s="15" t="s">
        <v>106</v>
      </c>
      <c r="D297" s="14" t="s">
        <v>107</v>
      </c>
      <c r="E297" s="15" t="s">
        <v>108</v>
      </c>
      <c r="F297" s="14" t="s">
        <v>28</v>
      </c>
      <c r="G297" s="15" t="s">
        <v>23</v>
      </c>
      <c r="H297" s="15" t="s">
        <v>1525</v>
      </c>
      <c r="I297" s="15">
        <v>201410</v>
      </c>
      <c r="J297" s="16">
        <v>-961.99</v>
      </c>
      <c r="K297" s="171">
        <f t="shared" si="12"/>
        <v>7</v>
      </c>
      <c r="L297" s="17">
        <v>1.4833299999999999E-3</v>
      </c>
      <c r="M297" s="16">
        <f t="shared" si="13"/>
        <v>-9.99</v>
      </c>
      <c r="N297" s="16">
        <f t="shared" si="14"/>
        <v>-17.12</v>
      </c>
      <c r="O297" s="14"/>
    </row>
    <row r="298" spans="1:15">
      <c r="A298" s="14" t="s">
        <v>66</v>
      </c>
      <c r="B298" s="15" t="s">
        <v>192</v>
      </c>
      <c r="C298" s="15" t="s">
        <v>193</v>
      </c>
      <c r="D298" s="14" t="s">
        <v>194</v>
      </c>
      <c r="E298" s="15" t="s">
        <v>195</v>
      </c>
      <c r="F298" s="14" t="s">
        <v>196</v>
      </c>
      <c r="G298" s="15" t="s">
        <v>23</v>
      </c>
      <c r="H298" s="15" t="s">
        <v>1530</v>
      </c>
      <c r="I298" s="15">
        <v>201410</v>
      </c>
      <c r="J298" s="16">
        <v>100.15</v>
      </c>
      <c r="K298" s="171">
        <f t="shared" si="12"/>
        <v>7</v>
      </c>
      <c r="L298" s="17">
        <v>2.23333E-3</v>
      </c>
      <c r="M298" s="16">
        <f t="shared" si="13"/>
        <v>1.57</v>
      </c>
      <c r="N298" s="16">
        <f t="shared" si="14"/>
        <v>2.68</v>
      </c>
      <c r="O298" s="14"/>
    </row>
    <row r="299" spans="1:15">
      <c r="A299" s="14" t="s">
        <v>66</v>
      </c>
      <c r="B299" s="15" t="s">
        <v>200</v>
      </c>
      <c r="C299" s="15" t="s">
        <v>201</v>
      </c>
      <c r="D299" s="14" t="s">
        <v>202</v>
      </c>
      <c r="E299" s="15" t="s">
        <v>203</v>
      </c>
      <c r="F299" s="14" t="s">
        <v>80</v>
      </c>
      <c r="G299" s="15" t="s">
        <v>23</v>
      </c>
      <c r="H299" s="15" t="s">
        <v>1530</v>
      </c>
      <c r="I299" s="15">
        <v>201410</v>
      </c>
      <c r="J299" s="16">
        <v>64057.599999999999</v>
      </c>
      <c r="K299" s="171">
        <f t="shared" si="12"/>
        <v>7</v>
      </c>
      <c r="L299" s="17">
        <v>2.23333E-3</v>
      </c>
      <c r="M299" s="16">
        <f t="shared" si="13"/>
        <v>1001.43</v>
      </c>
      <c r="N299" s="16">
        <f t="shared" si="14"/>
        <v>1716.74</v>
      </c>
      <c r="O299" s="14"/>
    </row>
    <row r="300" spans="1:15">
      <c r="A300" s="18" t="s">
        <v>217</v>
      </c>
      <c r="B300" s="15" t="s">
        <v>218</v>
      </c>
      <c r="C300" s="15" t="s">
        <v>219</v>
      </c>
      <c r="D300" s="14" t="s">
        <v>220</v>
      </c>
      <c r="E300" s="15" t="s">
        <v>221</v>
      </c>
      <c r="F300" s="14" t="s">
        <v>222</v>
      </c>
      <c r="G300" s="15" t="s">
        <v>23</v>
      </c>
      <c r="H300" s="15" t="s">
        <v>1524</v>
      </c>
      <c r="I300" s="15">
        <v>201410</v>
      </c>
      <c r="J300" s="16">
        <v>70665.899999999994</v>
      </c>
      <c r="K300" s="171">
        <f t="shared" si="12"/>
        <v>7</v>
      </c>
      <c r="L300" s="17">
        <v>1.4833299999999999E-3</v>
      </c>
      <c r="M300" s="16">
        <f t="shared" si="13"/>
        <v>733.75</v>
      </c>
      <c r="N300" s="16">
        <f t="shared" si="14"/>
        <v>1257.8499999999999</v>
      </c>
      <c r="O300" s="14"/>
    </row>
    <row r="301" spans="1:15">
      <c r="A301" s="14" t="s">
        <v>66</v>
      </c>
      <c r="B301" s="15" t="s">
        <v>226</v>
      </c>
      <c r="C301" s="15" t="s">
        <v>227</v>
      </c>
      <c r="D301" s="14" t="s">
        <v>78</v>
      </c>
      <c r="E301" s="15" t="s">
        <v>228</v>
      </c>
      <c r="F301" s="14" t="s">
        <v>80</v>
      </c>
      <c r="G301" s="15" t="s">
        <v>23</v>
      </c>
      <c r="H301" s="15" t="s">
        <v>1530</v>
      </c>
      <c r="I301" s="15">
        <v>201410</v>
      </c>
      <c r="J301" s="16">
        <v>955.76</v>
      </c>
      <c r="K301" s="171">
        <f t="shared" si="12"/>
        <v>7</v>
      </c>
      <c r="L301" s="17">
        <v>2.23333E-3</v>
      </c>
      <c r="M301" s="16">
        <f t="shared" si="13"/>
        <v>14.94</v>
      </c>
      <c r="N301" s="16">
        <f t="shared" si="14"/>
        <v>25.61</v>
      </c>
      <c r="O301" s="14"/>
    </row>
    <row r="302" spans="1:15">
      <c r="A302" s="14" t="s">
        <v>66</v>
      </c>
      <c r="B302" s="15" t="s">
        <v>229</v>
      </c>
      <c r="C302" s="15" t="s">
        <v>230</v>
      </c>
      <c r="D302" s="14" t="s">
        <v>78</v>
      </c>
      <c r="E302" s="15" t="s">
        <v>231</v>
      </c>
      <c r="F302" s="14" t="s">
        <v>80</v>
      </c>
      <c r="G302" s="15" t="s">
        <v>23</v>
      </c>
      <c r="H302" s="15" t="s">
        <v>1530</v>
      </c>
      <c r="I302" s="15">
        <v>201410</v>
      </c>
      <c r="J302" s="16">
        <v>7523.71</v>
      </c>
      <c r="K302" s="171">
        <f t="shared" si="12"/>
        <v>7</v>
      </c>
      <c r="L302" s="17">
        <v>2.23333E-3</v>
      </c>
      <c r="M302" s="16">
        <f t="shared" si="13"/>
        <v>117.62</v>
      </c>
      <c r="N302" s="16">
        <f t="shared" si="14"/>
        <v>201.64</v>
      </c>
      <c r="O302" s="14"/>
    </row>
    <row r="303" spans="1:15">
      <c r="A303" s="14" t="s">
        <v>17</v>
      </c>
      <c r="B303" s="15" t="s">
        <v>272</v>
      </c>
      <c r="C303" s="15" t="s">
        <v>273</v>
      </c>
      <c r="D303" s="14" t="s">
        <v>274</v>
      </c>
      <c r="E303" s="15" t="s">
        <v>36</v>
      </c>
      <c r="F303" s="14" t="s">
        <v>22</v>
      </c>
      <c r="G303" s="15" t="s">
        <v>23</v>
      </c>
      <c r="H303" s="15" t="s">
        <v>1525</v>
      </c>
      <c r="I303" s="15">
        <v>201410</v>
      </c>
      <c r="J303" s="16">
        <v>-30089.42</v>
      </c>
      <c r="K303" s="171">
        <f t="shared" si="12"/>
        <v>7</v>
      </c>
      <c r="L303" s="17">
        <v>1.4833299999999999E-3</v>
      </c>
      <c r="M303" s="16">
        <f t="shared" si="13"/>
        <v>-312.43</v>
      </c>
      <c r="N303" s="16">
        <f t="shared" si="14"/>
        <v>-535.59</v>
      </c>
      <c r="O303" s="14"/>
    </row>
    <row r="304" spans="1:15">
      <c r="A304" s="14" t="s">
        <v>54</v>
      </c>
      <c r="B304" s="15" t="s">
        <v>272</v>
      </c>
      <c r="C304" s="15" t="s">
        <v>273</v>
      </c>
      <c r="D304" s="14" t="s">
        <v>274</v>
      </c>
      <c r="E304" s="15" t="s">
        <v>36</v>
      </c>
      <c r="F304" s="14" t="s">
        <v>22</v>
      </c>
      <c r="G304" s="15" t="s">
        <v>23</v>
      </c>
      <c r="H304" s="15" t="s">
        <v>1525</v>
      </c>
      <c r="I304" s="15">
        <v>201410</v>
      </c>
      <c r="J304" s="16">
        <v>30089.42</v>
      </c>
      <c r="K304" s="171">
        <f t="shared" si="12"/>
        <v>7</v>
      </c>
      <c r="L304" s="17">
        <v>1.4833299999999999E-3</v>
      </c>
      <c r="M304" s="16">
        <f t="shared" si="13"/>
        <v>312.43</v>
      </c>
      <c r="N304" s="16">
        <f t="shared" si="14"/>
        <v>535.59</v>
      </c>
      <c r="O304" s="14"/>
    </row>
    <row r="305" spans="1:15">
      <c r="A305" s="14" t="s">
        <v>54</v>
      </c>
      <c r="B305" s="15" t="s">
        <v>284</v>
      </c>
      <c r="C305" s="15" t="s">
        <v>285</v>
      </c>
      <c r="D305" s="14" t="s">
        <v>286</v>
      </c>
      <c r="E305" s="15" t="s">
        <v>58</v>
      </c>
      <c r="F305" s="14" t="s">
        <v>22</v>
      </c>
      <c r="G305" s="15" t="s">
        <v>23</v>
      </c>
      <c r="H305" s="15" t="s">
        <v>1525</v>
      </c>
      <c r="I305" s="15">
        <v>201410</v>
      </c>
      <c r="J305" s="16">
        <v>258234.64</v>
      </c>
      <c r="K305" s="171">
        <f t="shared" si="12"/>
        <v>7</v>
      </c>
      <c r="L305" s="17">
        <v>1.4833299999999999E-3</v>
      </c>
      <c r="M305" s="16">
        <f t="shared" si="13"/>
        <v>2681.33</v>
      </c>
      <c r="N305" s="16">
        <f t="shared" si="14"/>
        <v>4596.57</v>
      </c>
      <c r="O305" s="14"/>
    </row>
    <row r="306" spans="1:15">
      <c r="A306" s="14" t="s">
        <v>54</v>
      </c>
      <c r="B306" s="15" t="s">
        <v>306</v>
      </c>
      <c r="C306" s="15" t="s">
        <v>307</v>
      </c>
      <c r="D306" s="14" t="s">
        <v>308</v>
      </c>
      <c r="E306" s="15" t="s">
        <v>36</v>
      </c>
      <c r="F306" s="14" t="s">
        <v>22</v>
      </c>
      <c r="G306" s="15" t="s">
        <v>23</v>
      </c>
      <c r="H306" s="15" t="s">
        <v>1525</v>
      </c>
      <c r="I306" s="15">
        <v>201410</v>
      </c>
      <c r="J306" s="16">
        <v>0</v>
      </c>
      <c r="K306" s="171">
        <f t="shared" si="12"/>
        <v>7</v>
      </c>
      <c r="L306" s="17">
        <v>1.4833299999999999E-3</v>
      </c>
      <c r="M306" s="16">
        <f t="shared" si="13"/>
        <v>0</v>
      </c>
      <c r="N306" s="16">
        <f t="shared" si="14"/>
        <v>0</v>
      </c>
      <c r="O306" s="14"/>
    </row>
    <row r="307" spans="1:15">
      <c r="A307" s="14" t="s">
        <v>17</v>
      </c>
      <c r="B307" s="15" t="s">
        <v>347</v>
      </c>
      <c r="C307" s="15" t="s">
        <v>348</v>
      </c>
      <c r="D307" s="14" t="s">
        <v>349</v>
      </c>
      <c r="E307" s="15" t="s">
        <v>324</v>
      </c>
      <c r="F307" s="14" t="s">
        <v>325</v>
      </c>
      <c r="G307" s="15" t="s">
        <v>23</v>
      </c>
      <c r="H307" s="15" t="s">
        <v>1525</v>
      </c>
      <c r="I307" s="15">
        <v>201410</v>
      </c>
      <c r="J307" s="16">
        <v>940.85</v>
      </c>
      <c r="K307" s="171">
        <f t="shared" si="12"/>
        <v>7</v>
      </c>
      <c r="L307" s="17">
        <v>1.4833299999999999E-3</v>
      </c>
      <c r="M307" s="16">
        <f t="shared" si="13"/>
        <v>9.77</v>
      </c>
      <c r="N307" s="16">
        <f t="shared" si="14"/>
        <v>16.75</v>
      </c>
      <c r="O307" s="14"/>
    </row>
    <row r="308" spans="1:15">
      <c r="A308" s="14" t="s">
        <v>54</v>
      </c>
      <c r="B308" s="15" t="s">
        <v>359</v>
      </c>
      <c r="C308" s="15" t="s">
        <v>360</v>
      </c>
      <c r="D308" s="14" t="s">
        <v>361</v>
      </c>
      <c r="E308" s="15" t="s">
        <v>362</v>
      </c>
      <c r="F308" s="14" t="s">
        <v>41</v>
      </c>
      <c r="G308" s="15" t="s">
        <v>23</v>
      </c>
      <c r="H308" s="15" t="s">
        <v>1526</v>
      </c>
      <c r="I308" s="15">
        <v>201410</v>
      </c>
      <c r="J308" s="16">
        <v>2800.39</v>
      </c>
      <c r="K308" s="171">
        <f t="shared" si="12"/>
        <v>7</v>
      </c>
      <c r="L308" s="17">
        <v>1.4833299999999999E-3</v>
      </c>
      <c r="M308" s="16">
        <f t="shared" si="13"/>
        <v>29.08</v>
      </c>
      <c r="N308" s="16">
        <f t="shared" si="14"/>
        <v>49.85</v>
      </c>
      <c r="O308" s="14"/>
    </row>
    <row r="309" spans="1:15">
      <c r="A309" s="14" t="s">
        <v>66</v>
      </c>
      <c r="B309" s="15" t="s">
        <v>371</v>
      </c>
      <c r="C309" s="15" t="s">
        <v>372</v>
      </c>
      <c r="D309" s="14" t="s">
        <v>88</v>
      </c>
      <c r="E309" s="15" t="s">
        <v>373</v>
      </c>
      <c r="F309" s="14" t="s">
        <v>85</v>
      </c>
      <c r="G309" s="15" t="s">
        <v>23</v>
      </c>
      <c r="H309" s="15" t="s">
        <v>1530</v>
      </c>
      <c r="I309" s="15">
        <v>201410</v>
      </c>
      <c r="J309" s="16">
        <v>13638.55</v>
      </c>
      <c r="K309" s="171">
        <f t="shared" si="12"/>
        <v>7</v>
      </c>
      <c r="L309" s="17">
        <v>2.23333E-3</v>
      </c>
      <c r="M309" s="16">
        <f t="shared" si="13"/>
        <v>213.22</v>
      </c>
      <c r="N309" s="16">
        <f t="shared" si="14"/>
        <v>365.51</v>
      </c>
      <c r="O309" s="14"/>
    </row>
    <row r="310" spans="1:15">
      <c r="A310" s="14" t="s">
        <v>66</v>
      </c>
      <c r="B310" s="15" t="s">
        <v>374</v>
      </c>
      <c r="C310" s="15" t="s">
        <v>375</v>
      </c>
      <c r="D310" s="14" t="s">
        <v>376</v>
      </c>
      <c r="E310" s="15" t="s">
        <v>377</v>
      </c>
      <c r="F310" s="14" t="s">
        <v>378</v>
      </c>
      <c r="G310" s="15" t="s">
        <v>23</v>
      </c>
      <c r="H310" s="15" t="s">
        <v>1530</v>
      </c>
      <c r="I310" s="15">
        <v>201410</v>
      </c>
      <c r="J310" s="16">
        <v>18639.88</v>
      </c>
      <c r="K310" s="171">
        <f t="shared" si="12"/>
        <v>7</v>
      </c>
      <c r="L310" s="17">
        <v>2.23333E-3</v>
      </c>
      <c r="M310" s="16">
        <f t="shared" si="13"/>
        <v>291.39999999999998</v>
      </c>
      <c r="N310" s="16">
        <f t="shared" si="14"/>
        <v>499.55</v>
      </c>
      <c r="O310" s="14"/>
    </row>
    <row r="311" spans="1:15">
      <c r="A311" s="14" t="s">
        <v>66</v>
      </c>
      <c r="B311" s="15" t="s">
        <v>379</v>
      </c>
      <c r="C311" s="15" t="s">
        <v>380</v>
      </c>
      <c r="D311" s="14" t="s">
        <v>381</v>
      </c>
      <c r="E311" s="15" t="s">
        <v>382</v>
      </c>
      <c r="F311" s="14" t="s">
        <v>212</v>
      </c>
      <c r="G311" s="15" t="s">
        <v>23</v>
      </c>
      <c r="H311" s="15" t="s">
        <v>1530</v>
      </c>
      <c r="I311" s="15">
        <v>201410</v>
      </c>
      <c r="J311" s="16">
        <v>44071.92</v>
      </c>
      <c r="K311" s="171">
        <f t="shared" si="12"/>
        <v>7</v>
      </c>
      <c r="L311" s="17">
        <v>2.23333E-3</v>
      </c>
      <c r="M311" s="16">
        <f t="shared" si="13"/>
        <v>688.99</v>
      </c>
      <c r="N311" s="16">
        <f t="shared" si="14"/>
        <v>1181.1300000000001</v>
      </c>
      <c r="O311" s="14"/>
    </row>
    <row r="312" spans="1:15">
      <c r="A312" s="14" t="s">
        <v>66</v>
      </c>
      <c r="B312" s="15" t="s">
        <v>383</v>
      </c>
      <c r="C312" s="15" t="s">
        <v>384</v>
      </c>
      <c r="D312" s="14" t="s">
        <v>385</v>
      </c>
      <c r="E312" s="15" t="s">
        <v>386</v>
      </c>
      <c r="F312" s="14" t="s">
        <v>387</v>
      </c>
      <c r="G312" s="15" t="s">
        <v>23</v>
      </c>
      <c r="H312" s="15" t="s">
        <v>1530</v>
      </c>
      <c r="I312" s="15">
        <v>201410</v>
      </c>
      <c r="J312" s="16">
        <v>183813.51</v>
      </c>
      <c r="K312" s="171">
        <f t="shared" si="12"/>
        <v>7</v>
      </c>
      <c r="L312" s="17">
        <v>2.23333E-3</v>
      </c>
      <c r="M312" s="16">
        <f t="shared" si="13"/>
        <v>2873.61</v>
      </c>
      <c r="N312" s="16">
        <f t="shared" si="14"/>
        <v>4926.1899999999996</v>
      </c>
      <c r="O312" s="14"/>
    </row>
    <row r="313" spans="1:15">
      <c r="A313" s="14" t="s">
        <v>66</v>
      </c>
      <c r="B313" s="15" t="s">
        <v>388</v>
      </c>
      <c r="C313" s="15" t="s">
        <v>389</v>
      </c>
      <c r="D313" s="14" t="s">
        <v>385</v>
      </c>
      <c r="E313" s="15" t="s">
        <v>390</v>
      </c>
      <c r="F313" s="14" t="s">
        <v>387</v>
      </c>
      <c r="G313" s="15" t="s">
        <v>23</v>
      </c>
      <c r="H313" s="15" t="s">
        <v>1530</v>
      </c>
      <c r="I313" s="15">
        <v>201410</v>
      </c>
      <c r="J313" s="16">
        <v>30625.17</v>
      </c>
      <c r="K313" s="171">
        <f t="shared" si="12"/>
        <v>7</v>
      </c>
      <c r="L313" s="17">
        <v>2.23333E-3</v>
      </c>
      <c r="M313" s="16">
        <f t="shared" si="13"/>
        <v>478.77</v>
      </c>
      <c r="N313" s="16">
        <f t="shared" si="14"/>
        <v>820.75</v>
      </c>
      <c r="O313" s="14"/>
    </row>
    <row r="314" spans="1:15">
      <c r="A314" s="14" t="s">
        <v>17</v>
      </c>
      <c r="B314" s="15" t="s">
        <v>391</v>
      </c>
      <c r="C314" s="15" t="s">
        <v>392</v>
      </c>
      <c r="D314" s="14" t="s">
        <v>393</v>
      </c>
      <c r="E314" s="15" t="s">
        <v>394</v>
      </c>
      <c r="F314" s="14" t="s">
        <v>137</v>
      </c>
      <c r="G314" s="15" t="s">
        <v>23</v>
      </c>
      <c r="H314" s="15" t="s">
        <v>1526</v>
      </c>
      <c r="I314" s="15">
        <v>201410</v>
      </c>
      <c r="J314" s="16">
        <v>3963.65</v>
      </c>
      <c r="K314" s="171">
        <f t="shared" si="12"/>
        <v>7</v>
      </c>
      <c r="L314" s="17">
        <v>1.4833299999999999E-3</v>
      </c>
      <c r="M314" s="16">
        <f t="shared" si="13"/>
        <v>41.16</v>
      </c>
      <c r="N314" s="16">
        <f t="shared" si="14"/>
        <v>70.55</v>
      </c>
      <c r="O314" s="14"/>
    </row>
    <row r="315" spans="1:15">
      <c r="A315" s="14" t="s">
        <v>54</v>
      </c>
      <c r="B315" s="15" t="s">
        <v>419</v>
      </c>
      <c r="C315" s="15" t="s">
        <v>420</v>
      </c>
      <c r="D315" s="14" t="s">
        <v>421</v>
      </c>
      <c r="E315" s="15" t="s">
        <v>32</v>
      </c>
      <c r="F315" s="14" t="s">
        <v>22</v>
      </c>
      <c r="G315" s="15" t="s">
        <v>23</v>
      </c>
      <c r="H315" s="15" t="s">
        <v>1525</v>
      </c>
      <c r="I315" s="15">
        <v>201410</v>
      </c>
      <c r="J315" s="16">
        <v>129.69</v>
      </c>
      <c r="K315" s="171">
        <f t="shared" si="12"/>
        <v>7</v>
      </c>
      <c r="L315" s="17">
        <v>1.4833299999999999E-3</v>
      </c>
      <c r="M315" s="16">
        <f t="shared" si="13"/>
        <v>1.35</v>
      </c>
      <c r="N315" s="16">
        <f t="shared" si="14"/>
        <v>2.31</v>
      </c>
      <c r="O315" s="14"/>
    </row>
    <row r="316" spans="1:15">
      <c r="A316" s="14" t="s">
        <v>54</v>
      </c>
      <c r="B316" s="15" t="s">
        <v>441</v>
      </c>
      <c r="C316" s="15" t="s">
        <v>442</v>
      </c>
      <c r="D316" s="14" t="s">
        <v>443</v>
      </c>
      <c r="E316" s="15" t="s">
        <v>141</v>
      </c>
      <c r="F316" s="14" t="s">
        <v>142</v>
      </c>
      <c r="G316" s="15" t="s">
        <v>23</v>
      </c>
      <c r="H316" s="15" t="s">
        <v>1525</v>
      </c>
      <c r="I316" s="15">
        <v>201410</v>
      </c>
      <c r="J316" s="16">
        <v>0</v>
      </c>
      <c r="K316" s="171">
        <f t="shared" si="12"/>
        <v>7</v>
      </c>
      <c r="L316" s="17">
        <v>1.4833299999999999E-3</v>
      </c>
      <c r="M316" s="16">
        <f t="shared" si="13"/>
        <v>0</v>
      </c>
      <c r="N316" s="16">
        <f t="shared" si="14"/>
        <v>0</v>
      </c>
      <c r="O316" s="14"/>
    </row>
    <row r="317" spans="1:15">
      <c r="A317" s="14" t="s">
        <v>54</v>
      </c>
      <c r="B317" s="15" t="s">
        <v>453</v>
      </c>
      <c r="C317" s="15" t="s">
        <v>454</v>
      </c>
      <c r="D317" s="14" t="s">
        <v>455</v>
      </c>
      <c r="E317" s="15" t="s">
        <v>62</v>
      </c>
      <c r="F317" s="14" t="s">
        <v>22</v>
      </c>
      <c r="G317" s="15" t="s">
        <v>23</v>
      </c>
      <c r="H317" s="15" t="s">
        <v>1525</v>
      </c>
      <c r="I317" s="15">
        <v>201410</v>
      </c>
      <c r="J317" s="16">
        <v>1085.5999999999999</v>
      </c>
      <c r="K317" s="171">
        <f t="shared" si="12"/>
        <v>7</v>
      </c>
      <c r="L317" s="17">
        <v>1.4833299999999999E-3</v>
      </c>
      <c r="M317" s="16">
        <f t="shared" si="13"/>
        <v>11.27</v>
      </c>
      <c r="N317" s="16">
        <f t="shared" si="14"/>
        <v>19.32</v>
      </c>
      <c r="O317" s="14"/>
    </row>
    <row r="318" spans="1:15">
      <c r="A318" s="14" t="s">
        <v>17</v>
      </c>
      <c r="B318" s="15" t="s">
        <v>474</v>
      </c>
      <c r="C318" s="15" t="s">
        <v>475</v>
      </c>
      <c r="D318" s="14" t="s">
        <v>476</v>
      </c>
      <c r="E318" s="15" t="s">
        <v>40</v>
      </c>
      <c r="F318" s="14" t="s">
        <v>41</v>
      </c>
      <c r="G318" s="15" t="s">
        <v>23</v>
      </c>
      <c r="H318" s="15" t="s">
        <v>1526</v>
      </c>
      <c r="I318" s="15">
        <v>201410</v>
      </c>
      <c r="J318" s="16">
        <v>0</v>
      </c>
      <c r="K318" s="171">
        <f t="shared" si="12"/>
        <v>7</v>
      </c>
      <c r="L318" s="17">
        <v>1.4833299999999999E-3</v>
      </c>
      <c r="M318" s="16">
        <f t="shared" si="13"/>
        <v>0</v>
      </c>
      <c r="N318" s="16">
        <f t="shared" si="14"/>
        <v>0</v>
      </c>
      <c r="O318" s="14"/>
    </row>
    <row r="319" spans="1:15">
      <c r="A319" s="14" t="s">
        <v>17</v>
      </c>
      <c r="B319" s="15" t="s">
        <v>480</v>
      </c>
      <c r="C319" s="15" t="s">
        <v>481</v>
      </c>
      <c r="D319" s="14" t="s">
        <v>482</v>
      </c>
      <c r="E319" s="15" t="s">
        <v>141</v>
      </c>
      <c r="F319" s="14" t="s">
        <v>142</v>
      </c>
      <c r="G319" s="15" t="s">
        <v>23</v>
      </c>
      <c r="H319" s="15" t="s">
        <v>1525</v>
      </c>
      <c r="I319" s="15">
        <v>201410</v>
      </c>
      <c r="J319" s="16">
        <v>307.39</v>
      </c>
      <c r="K319" s="171">
        <f t="shared" si="12"/>
        <v>7</v>
      </c>
      <c r="L319" s="17">
        <v>1.4833299999999999E-3</v>
      </c>
      <c r="M319" s="16">
        <f t="shared" si="13"/>
        <v>3.19</v>
      </c>
      <c r="N319" s="16">
        <f t="shared" si="14"/>
        <v>5.47</v>
      </c>
      <c r="O319" s="14"/>
    </row>
    <row r="320" spans="1:15">
      <c r="A320" s="14" t="s">
        <v>66</v>
      </c>
      <c r="B320" s="15" t="s">
        <v>496</v>
      </c>
      <c r="C320" s="15" t="s">
        <v>497</v>
      </c>
      <c r="D320" s="14" t="s">
        <v>376</v>
      </c>
      <c r="E320" s="15" t="s">
        <v>498</v>
      </c>
      <c r="F320" s="14" t="s">
        <v>378</v>
      </c>
      <c r="G320" s="15" t="s">
        <v>23</v>
      </c>
      <c r="H320" s="15" t="s">
        <v>1530</v>
      </c>
      <c r="I320" s="15">
        <v>201410</v>
      </c>
      <c r="J320" s="16">
        <v>86678.53</v>
      </c>
      <c r="K320" s="171">
        <f t="shared" si="12"/>
        <v>7</v>
      </c>
      <c r="L320" s="17">
        <v>2.23333E-3</v>
      </c>
      <c r="M320" s="16">
        <f t="shared" si="13"/>
        <v>1355.07</v>
      </c>
      <c r="N320" s="16">
        <f t="shared" si="14"/>
        <v>2322.98</v>
      </c>
      <c r="O320" s="14"/>
    </row>
    <row r="321" spans="1:15">
      <c r="A321" s="14" t="s">
        <v>66</v>
      </c>
      <c r="B321" s="15" t="s">
        <v>499</v>
      </c>
      <c r="C321" s="15" t="s">
        <v>500</v>
      </c>
      <c r="D321" s="14" t="s">
        <v>385</v>
      </c>
      <c r="E321" s="15" t="s">
        <v>501</v>
      </c>
      <c r="F321" s="14" t="s">
        <v>387</v>
      </c>
      <c r="G321" s="15" t="s">
        <v>23</v>
      </c>
      <c r="H321" s="15" t="s">
        <v>1530</v>
      </c>
      <c r="I321" s="15">
        <v>201410</v>
      </c>
      <c r="J321" s="16">
        <v>41073.32</v>
      </c>
      <c r="K321" s="171">
        <f t="shared" si="12"/>
        <v>7</v>
      </c>
      <c r="L321" s="17">
        <v>2.23333E-3</v>
      </c>
      <c r="M321" s="16">
        <f t="shared" si="13"/>
        <v>642.11</v>
      </c>
      <c r="N321" s="16">
        <f t="shared" si="14"/>
        <v>1100.76</v>
      </c>
      <c r="O321" s="14"/>
    </row>
    <row r="322" spans="1:15">
      <c r="A322" s="14" t="s">
        <v>17</v>
      </c>
      <c r="B322" s="15" t="s">
        <v>511</v>
      </c>
      <c r="C322" s="15" t="s">
        <v>512</v>
      </c>
      <c r="D322" s="14" t="s">
        <v>513</v>
      </c>
      <c r="E322" s="15" t="s">
        <v>324</v>
      </c>
      <c r="F322" s="14" t="s">
        <v>325</v>
      </c>
      <c r="G322" s="15" t="s">
        <v>23</v>
      </c>
      <c r="H322" s="15" t="s">
        <v>1525</v>
      </c>
      <c r="I322" s="15">
        <v>201410</v>
      </c>
      <c r="J322" s="16">
        <v>-2800</v>
      </c>
      <c r="K322" s="171">
        <f t="shared" si="12"/>
        <v>7</v>
      </c>
      <c r="L322" s="17">
        <v>1.4833299999999999E-3</v>
      </c>
      <c r="M322" s="16">
        <f t="shared" si="13"/>
        <v>-29.07</v>
      </c>
      <c r="N322" s="16">
        <f t="shared" si="14"/>
        <v>-49.84</v>
      </c>
      <c r="O322" s="14"/>
    </row>
    <row r="323" spans="1:15">
      <c r="A323" s="14" t="s">
        <v>54</v>
      </c>
      <c r="B323" s="15" t="s">
        <v>549</v>
      </c>
      <c r="C323" s="15" t="s">
        <v>550</v>
      </c>
      <c r="D323" s="14" t="s">
        <v>551</v>
      </c>
      <c r="E323" s="15" t="s">
        <v>136</v>
      </c>
      <c r="F323" s="14" t="s">
        <v>137</v>
      </c>
      <c r="G323" s="15" t="s">
        <v>23</v>
      </c>
      <c r="H323" s="15" t="s">
        <v>1526</v>
      </c>
      <c r="I323" s="15">
        <v>201410</v>
      </c>
      <c r="J323" s="16">
        <v>0</v>
      </c>
      <c r="K323" s="171">
        <f t="shared" si="12"/>
        <v>7</v>
      </c>
      <c r="L323" s="17">
        <v>1.4833299999999999E-3</v>
      </c>
      <c r="M323" s="16">
        <f t="shared" si="13"/>
        <v>0</v>
      </c>
      <c r="N323" s="16">
        <f t="shared" si="14"/>
        <v>0</v>
      </c>
      <c r="O323" s="14"/>
    </row>
    <row r="324" spans="1:15">
      <c r="A324" s="14" t="s">
        <v>17</v>
      </c>
      <c r="B324" s="15" t="s">
        <v>552</v>
      </c>
      <c r="C324" s="15" t="s">
        <v>553</v>
      </c>
      <c r="D324" s="14" t="s">
        <v>554</v>
      </c>
      <c r="E324" s="15" t="s">
        <v>62</v>
      </c>
      <c r="F324" s="14" t="s">
        <v>22</v>
      </c>
      <c r="G324" s="15" t="s">
        <v>23</v>
      </c>
      <c r="H324" s="15" t="s">
        <v>1525</v>
      </c>
      <c r="I324" s="15">
        <v>201410</v>
      </c>
      <c r="J324" s="16">
        <v>48053.65</v>
      </c>
      <c r="K324" s="171">
        <f t="shared" si="12"/>
        <v>7</v>
      </c>
      <c r="L324" s="17">
        <v>1.4833299999999999E-3</v>
      </c>
      <c r="M324" s="16">
        <f t="shared" si="13"/>
        <v>498.96</v>
      </c>
      <c r="N324" s="16">
        <f t="shared" si="14"/>
        <v>855.35</v>
      </c>
      <c r="O324" s="14"/>
    </row>
    <row r="325" spans="1:15">
      <c r="A325" s="14" t="s">
        <v>54</v>
      </c>
      <c r="B325" s="15" t="s">
        <v>561</v>
      </c>
      <c r="C325" s="15" t="s">
        <v>562</v>
      </c>
      <c r="D325" s="14" t="s">
        <v>563</v>
      </c>
      <c r="E325" s="15" t="s">
        <v>58</v>
      </c>
      <c r="F325" s="14" t="s">
        <v>22</v>
      </c>
      <c r="G325" s="15" t="s">
        <v>23</v>
      </c>
      <c r="H325" s="15" t="s">
        <v>1525</v>
      </c>
      <c r="I325" s="15">
        <v>201410</v>
      </c>
      <c r="J325" s="16">
        <v>0</v>
      </c>
      <c r="K325" s="171">
        <f t="shared" ref="K325:K388" si="15">VLOOKUP(I325,$Q$7:$R$15,2)</f>
        <v>7</v>
      </c>
      <c r="L325" s="17">
        <v>1.4833299999999999E-3</v>
      </c>
      <c r="M325" s="16">
        <f t="shared" ref="M325:M388" si="16">ROUND(J325*K325*L325,2)</f>
        <v>0</v>
      </c>
      <c r="N325" s="16">
        <f t="shared" ref="N325:N388" si="17">ROUND(J325*L325*12,2)</f>
        <v>0</v>
      </c>
      <c r="O325" s="14"/>
    </row>
    <row r="326" spans="1:15">
      <c r="A326" s="20" t="s">
        <v>238</v>
      </c>
      <c r="B326" s="21" t="s">
        <v>1099</v>
      </c>
      <c r="C326" s="21" t="s">
        <v>1100</v>
      </c>
      <c r="D326" s="20" t="s">
        <v>1101</v>
      </c>
      <c r="E326" s="21" t="s">
        <v>104</v>
      </c>
      <c r="F326" s="20" t="s">
        <v>41</v>
      </c>
      <c r="G326" s="21" t="s">
        <v>23</v>
      </c>
      <c r="H326" s="15" t="s">
        <v>1526</v>
      </c>
      <c r="I326" s="21">
        <v>201410</v>
      </c>
      <c r="J326" s="22">
        <v>162833.78</v>
      </c>
      <c r="K326" s="171">
        <f t="shared" si="15"/>
        <v>7</v>
      </c>
      <c r="L326" s="23">
        <v>2.3833299999999999E-3</v>
      </c>
      <c r="M326" s="22">
        <f t="shared" si="16"/>
        <v>2716.61</v>
      </c>
      <c r="N326" s="22">
        <f t="shared" si="17"/>
        <v>4657.04</v>
      </c>
      <c r="O326" s="20"/>
    </row>
    <row r="327" spans="1:15">
      <c r="A327" s="14" t="s">
        <v>17</v>
      </c>
      <c r="B327" s="15" t="s">
        <v>575</v>
      </c>
      <c r="C327" s="15" t="s">
        <v>576</v>
      </c>
      <c r="D327" s="14" t="s">
        <v>577</v>
      </c>
      <c r="E327" s="15" t="s">
        <v>462</v>
      </c>
      <c r="F327" s="14" t="s">
        <v>142</v>
      </c>
      <c r="G327" s="15" t="s">
        <v>23</v>
      </c>
      <c r="H327" s="15" t="s">
        <v>1525</v>
      </c>
      <c r="I327" s="15">
        <v>201410</v>
      </c>
      <c r="J327" s="16">
        <v>-0.05</v>
      </c>
      <c r="K327" s="171">
        <f t="shared" si="15"/>
        <v>7</v>
      </c>
      <c r="L327" s="17">
        <v>1.4833299999999999E-3</v>
      </c>
      <c r="M327" s="16">
        <f t="shared" si="16"/>
        <v>0</v>
      </c>
      <c r="N327" s="16">
        <f t="shared" si="17"/>
        <v>0</v>
      </c>
      <c r="O327" s="14"/>
    </row>
    <row r="328" spans="1:15">
      <c r="A328" s="14" t="s">
        <v>54</v>
      </c>
      <c r="B328" s="15" t="s">
        <v>575</v>
      </c>
      <c r="C328" s="15" t="s">
        <v>576</v>
      </c>
      <c r="D328" s="14" t="s">
        <v>577</v>
      </c>
      <c r="E328" s="15" t="s">
        <v>462</v>
      </c>
      <c r="F328" s="14" t="s">
        <v>142</v>
      </c>
      <c r="G328" s="15" t="s">
        <v>23</v>
      </c>
      <c r="H328" s="15" t="s">
        <v>1525</v>
      </c>
      <c r="I328" s="15">
        <v>201410</v>
      </c>
      <c r="J328" s="16">
        <v>0.05</v>
      </c>
      <c r="K328" s="171">
        <f t="shared" si="15"/>
        <v>7</v>
      </c>
      <c r="L328" s="17">
        <v>1.4833299999999999E-3</v>
      </c>
      <c r="M328" s="16">
        <f t="shared" si="16"/>
        <v>0</v>
      </c>
      <c r="N328" s="16">
        <f t="shared" si="17"/>
        <v>0</v>
      </c>
      <c r="O328" s="14"/>
    </row>
    <row r="329" spans="1:15">
      <c r="A329" s="14" t="s">
        <v>54</v>
      </c>
      <c r="B329" s="15" t="s">
        <v>581</v>
      </c>
      <c r="C329" s="15" t="s">
        <v>582</v>
      </c>
      <c r="D329" s="14" t="s">
        <v>583</v>
      </c>
      <c r="E329" s="15" t="s">
        <v>104</v>
      </c>
      <c r="F329" s="14" t="s">
        <v>41</v>
      </c>
      <c r="G329" s="15" t="s">
        <v>23</v>
      </c>
      <c r="H329" s="15" t="s">
        <v>1526</v>
      </c>
      <c r="I329" s="15">
        <v>201410</v>
      </c>
      <c r="J329" s="16">
        <v>5658.63</v>
      </c>
      <c r="K329" s="171">
        <f t="shared" si="15"/>
        <v>7</v>
      </c>
      <c r="L329" s="17">
        <v>1.4833299999999999E-3</v>
      </c>
      <c r="M329" s="16">
        <f t="shared" si="16"/>
        <v>58.76</v>
      </c>
      <c r="N329" s="16">
        <f t="shared" si="17"/>
        <v>100.72</v>
      </c>
      <c r="O329" s="14"/>
    </row>
    <row r="330" spans="1:15">
      <c r="A330" s="14" t="s">
        <v>66</v>
      </c>
      <c r="B330" s="15" t="s">
        <v>595</v>
      </c>
      <c r="C330" s="15" t="s">
        <v>596</v>
      </c>
      <c r="D330" s="14" t="s">
        <v>597</v>
      </c>
      <c r="E330" s="15" t="s">
        <v>598</v>
      </c>
      <c r="F330" s="14" t="s">
        <v>212</v>
      </c>
      <c r="G330" s="15" t="s">
        <v>23</v>
      </c>
      <c r="H330" s="15" t="s">
        <v>1530</v>
      </c>
      <c r="I330" s="15">
        <v>201410</v>
      </c>
      <c r="J330" s="16">
        <v>100421.51</v>
      </c>
      <c r="K330" s="171">
        <f t="shared" si="15"/>
        <v>7</v>
      </c>
      <c r="L330" s="17">
        <v>2.23333E-3</v>
      </c>
      <c r="M330" s="16">
        <f t="shared" si="16"/>
        <v>1569.92</v>
      </c>
      <c r="N330" s="16">
        <f t="shared" si="17"/>
        <v>2691.29</v>
      </c>
      <c r="O330" s="14"/>
    </row>
    <row r="331" spans="1:15">
      <c r="A331" s="14" t="s">
        <v>66</v>
      </c>
      <c r="B331" s="15" t="s">
        <v>599</v>
      </c>
      <c r="C331" s="15" t="s">
        <v>600</v>
      </c>
      <c r="D331" s="14" t="s">
        <v>385</v>
      </c>
      <c r="E331" s="15" t="s">
        <v>601</v>
      </c>
      <c r="F331" s="14" t="s">
        <v>387</v>
      </c>
      <c r="G331" s="15" t="s">
        <v>23</v>
      </c>
      <c r="H331" s="15" t="s">
        <v>1530</v>
      </c>
      <c r="I331" s="15">
        <v>201410</v>
      </c>
      <c r="J331" s="16">
        <v>5829.85</v>
      </c>
      <c r="K331" s="171">
        <f t="shared" si="15"/>
        <v>7</v>
      </c>
      <c r="L331" s="17">
        <v>2.23333E-3</v>
      </c>
      <c r="M331" s="16">
        <f t="shared" si="16"/>
        <v>91.14</v>
      </c>
      <c r="N331" s="16">
        <f t="shared" si="17"/>
        <v>156.24</v>
      </c>
      <c r="O331" s="14"/>
    </row>
    <row r="332" spans="1:15">
      <c r="A332" s="18" t="s">
        <v>17</v>
      </c>
      <c r="B332" s="15" t="s">
        <v>611</v>
      </c>
      <c r="C332" s="15" t="s">
        <v>612</v>
      </c>
      <c r="D332" s="14" t="s">
        <v>613</v>
      </c>
      <c r="E332" s="15" t="s">
        <v>324</v>
      </c>
      <c r="F332" s="14" t="s">
        <v>325</v>
      </c>
      <c r="G332" s="15" t="s">
        <v>23</v>
      </c>
      <c r="H332" s="15" t="s">
        <v>1525</v>
      </c>
      <c r="I332" s="15">
        <v>201410</v>
      </c>
      <c r="J332" s="16">
        <v>0</v>
      </c>
      <c r="K332" s="171">
        <f t="shared" si="15"/>
        <v>7</v>
      </c>
      <c r="L332" s="17">
        <v>1.4833299999999999E-3</v>
      </c>
      <c r="M332" s="16">
        <f t="shared" si="16"/>
        <v>0</v>
      </c>
      <c r="N332" s="16">
        <f t="shared" si="17"/>
        <v>0</v>
      </c>
      <c r="O332" s="14"/>
    </row>
    <row r="333" spans="1:15">
      <c r="A333" s="18" t="s">
        <v>17</v>
      </c>
      <c r="B333" s="15" t="s">
        <v>637</v>
      </c>
      <c r="C333" s="15" t="s">
        <v>638</v>
      </c>
      <c r="D333" s="14" t="s">
        <v>639</v>
      </c>
      <c r="E333" s="15" t="s">
        <v>136</v>
      </c>
      <c r="F333" s="14" t="s">
        <v>137</v>
      </c>
      <c r="G333" s="15" t="s">
        <v>23</v>
      </c>
      <c r="H333" s="15" t="s">
        <v>1526</v>
      </c>
      <c r="I333" s="15">
        <v>201410</v>
      </c>
      <c r="J333" s="16">
        <v>-14831.49</v>
      </c>
      <c r="K333" s="171">
        <f t="shared" si="15"/>
        <v>7</v>
      </c>
      <c r="L333" s="17">
        <v>1.4833299999999999E-3</v>
      </c>
      <c r="M333" s="16">
        <f t="shared" si="16"/>
        <v>-154</v>
      </c>
      <c r="N333" s="16">
        <f t="shared" si="17"/>
        <v>-264</v>
      </c>
      <c r="O333" s="14"/>
    </row>
    <row r="334" spans="1:15">
      <c r="A334" s="18" t="s">
        <v>54</v>
      </c>
      <c r="B334" s="15" t="s">
        <v>637</v>
      </c>
      <c r="C334" s="15" t="s">
        <v>638</v>
      </c>
      <c r="D334" s="14" t="s">
        <v>639</v>
      </c>
      <c r="E334" s="15" t="s">
        <v>136</v>
      </c>
      <c r="F334" s="14" t="s">
        <v>137</v>
      </c>
      <c r="G334" s="15" t="s">
        <v>23</v>
      </c>
      <c r="H334" s="15" t="s">
        <v>1526</v>
      </c>
      <c r="I334" s="15">
        <v>201410</v>
      </c>
      <c r="J334" s="16">
        <v>14831.49</v>
      </c>
      <c r="K334" s="171">
        <f t="shared" si="15"/>
        <v>7</v>
      </c>
      <c r="L334" s="17">
        <v>1.4833299999999999E-3</v>
      </c>
      <c r="M334" s="16">
        <f t="shared" si="16"/>
        <v>154</v>
      </c>
      <c r="N334" s="16">
        <f t="shared" si="17"/>
        <v>264</v>
      </c>
      <c r="O334" s="14"/>
    </row>
    <row r="335" spans="1:15">
      <c r="A335" s="14" t="s">
        <v>66</v>
      </c>
      <c r="B335" s="15" t="s">
        <v>671</v>
      </c>
      <c r="C335" s="15" t="s">
        <v>672</v>
      </c>
      <c r="D335" s="14" t="s">
        <v>206</v>
      </c>
      <c r="E335" s="15" t="s">
        <v>673</v>
      </c>
      <c r="F335" s="14" t="s">
        <v>97</v>
      </c>
      <c r="G335" s="15" t="s">
        <v>23</v>
      </c>
      <c r="H335" s="15" t="s">
        <v>1530</v>
      </c>
      <c r="I335" s="15">
        <v>201410</v>
      </c>
      <c r="J335" s="16">
        <v>-743.2</v>
      </c>
      <c r="K335" s="171">
        <f t="shared" si="15"/>
        <v>7</v>
      </c>
      <c r="L335" s="17">
        <v>2.23333E-3</v>
      </c>
      <c r="M335" s="16">
        <f t="shared" si="16"/>
        <v>-11.62</v>
      </c>
      <c r="N335" s="16">
        <f t="shared" si="17"/>
        <v>-19.920000000000002</v>
      </c>
      <c r="O335" s="14"/>
    </row>
    <row r="336" spans="1:15">
      <c r="A336" s="14" t="s">
        <v>66</v>
      </c>
      <c r="B336" s="15" t="s">
        <v>674</v>
      </c>
      <c r="C336" s="15" t="s">
        <v>675</v>
      </c>
      <c r="D336" s="14" t="s">
        <v>385</v>
      </c>
      <c r="E336" s="15" t="s">
        <v>676</v>
      </c>
      <c r="F336" s="14" t="s">
        <v>387</v>
      </c>
      <c r="G336" s="15" t="s">
        <v>23</v>
      </c>
      <c r="H336" s="15" t="s">
        <v>1530</v>
      </c>
      <c r="I336" s="15">
        <v>201410</v>
      </c>
      <c r="J336" s="16">
        <v>14213.17</v>
      </c>
      <c r="K336" s="171">
        <f t="shared" si="15"/>
        <v>7</v>
      </c>
      <c r="L336" s="17">
        <v>2.23333E-3</v>
      </c>
      <c r="M336" s="16">
        <f t="shared" si="16"/>
        <v>222.2</v>
      </c>
      <c r="N336" s="16">
        <f t="shared" si="17"/>
        <v>380.91</v>
      </c>
      <c r="O336" s="14"/>
    </row>
    <row r="337" spans="1:15">
      <c r="A337" s="18" t="s">
        <v>54</v>
      </c>
      <c r="B337" s="15" t="s">
        <v>722</v>
      </c>
      <c r="C337" s="15" t="s">
        <v>723</v>
      </c>
      <c r="D337" s="14" t="s">
        <v>724</v>
      </c>
      <c r="E337" s="15" t="s">
        <v>40</v>
      </c>
      <c r="F337" s="14" t="s">
        <v>41</v>
      </c>
      <c r="G337" s="15" t="s">
        <v>23</v>
      </c>
      <c r="H337" s="15" t="s">
        <v>1526</v>
      </c>
      <c r="I337" s="15">
        <v>201410</v>
      </c>
      <c r="J337" s="16">
        <v>0</v>
      </c>
      <c r="K337" s="171">
        <f t="shared" si="15"/>
        <v>7</v>
      </c>
      <c r="L337" s="17">
        <v>1.4833299999999999E-3</v>
      </c>
      <c r="M337" s="16">
        <f t="shared" si="16"/>
        <v>0</v>
      </c>
      <c r="N337" s="16">
        <f t="shared" si="17"/>
        <v>0</v>
      </c>
      <c r="O337" s="14"/>
    </row>
    <row r="338" spans="1:15">
      <c r="A338" s="18" t="s">
        <v>54</v>
      </c>
      <c r="B338" s="15" t="s">
        <v>731</v>
      </c>
      <c r="C338" s="15" t="s">
        <v>732</v>
      </c>
      <c r="D338" s="14" t="s">
        <v>733</v>
      </c>
      <c r="E338" s="15" t="s">
        <v>104</v>
      </c>
      <c r="F338" s="14" t="s">
        <v>41</v>
      </c>
      <c r="G338" s="15" t="s">
        <v>23</v>
      </c>
      <c r="H338" s="15" t="s">
        <v>1526</v>
      </c>
      <c r="I338" s="15">
        <v>201410</v>
      </c>
      <c r="J338" s="16">
        <v>0</v>
      </c>
      <c r="K338" s="171">
        <f t="shared" si="15"/>
        <v>7</v>
      </c>
      <c r="L338" s="17">
        <v>1.4833299999999999E-3</v>
      </c>
      <c r="M338" s="16">
        <f t="shared" si="16"/>
        <v>0</v>
      </c>
      <c r="N338" s="16">
        <f t="shared" si="17"/>
        <v>0</v>
      </c>
      <c r="O338" s="14"/>
    </row>
    <row r="339" spans="1:15">
      <c r="A339" s="14" t="s">
        <v>66</v>
      </c>
      <c r="B339" s="15" t="s">
        <v>743</v>
      </c>
      <c r="C339" s="15" t="s">
        <v>744</v>
      </c>
      <c r="D339" s="14" t="s">
        <v>745</v>
      </c>
      <c r="E339" s="15" t="s">
        <v>746</v>
      </c>
      <c r="F339" s="14" t="s">
        <v>80</v>
      </c>
      <c r="G339" s="15" t="s">
        <v>23</v>
      </c>
      <c r="H339" s="15" t="s">
        <v>1530</v>
      </c>
      <c r="I339" s="15">
        <v>201410</v>
      </c>
      <c r="J339" s="16">
        <v>49038.54</v>
      </c>
      <c r="K339" s="171">
        <f t="shared" si="15"/>
        <v>7</v>
      </c>
      <c r="L339" s="17">
        <v>2.23333E-3</v>
      </c>
      <c r="M339" s="16">
        <f t="shared" si="16"/>
        <v>766.63</v>
      </c>
      <c r="N339" s="16">
        <f t="shared" si="17"/>
        <v>1314.23</v>
      </c>
      <c r="O339" s="14"/>
    </row>
    <row r="340" spans="1:15">
      <c r="A340" s="14" t="s">
        <v>66</v>
      </c>
      <c r="B340" s="15" t="s">
        <v>747</v>
      </c>
      <c r="C340" s="15" t="s">
        <v>748</v>
      </c>
      <c r="D340" s="14" t="s">
        <v>78</v>
      </c>
      <c r="E340" s="15" t="s">
        <v>749</v>
      </c>
      <c r="F340" s="14" t="s">
        <v>80</v>
      </c>
      <c r="G340" s="15" t="s">
        <v>23</v>
      </c>
      <c r="H340" s="15" t="s">
        <v>1530</v>
      </c>
      <c r="I340" s="15">
        <v>201410</v>
      </c>
      <c r="J340" s="16">
        <v>26052.94</v>
      </c>
      <c r="K340" s="171">
        <f t="shared" si="15"/>
        <v>7</v>
      </c>
      <c r="L340" s="17">
        <v>2.23333E-3</v>
      </c>
      <c r="M340" s="16">
        <f t="shared" si="16"/>
        <v>407.29</v>
      </c>
      <c r="N340" s="16">
        <f t="shared" si="17"/>
        <v>698.22</v>
      </c>
      <c r="O340" s="14"/>
    </row>
    <row r="341" spans="1:15">
      <c r="A341" s="14" t="s">
        <v>66</v>
      </c>
      <c r="B341" s="15" t="s">
        <v>753</v>
      </c>
      <c r="C341" s="15" t="s">
        <v>754</v>
      </c>
      <c r="D341" s="14" t="s">
        <v>206</v>
      </c>
      <c r="E341" s="15" t="s">
        <v>755</v>
      </c>
      <c r="F341" s="14" t="s">
        <v>97</v>
      </c>
      <c r="G341" s="15" t="s">
        <v>23</v>
      </c>
      <c r="H341" s="15" t="s">
        <v>1530</v>
      </c>
      <c r="I341" s="15">
        <v>201410</v>
      </c>
      <c r="J341" s="16">
        <v>6651.75</v>
      </c>
      <c r="K341" s="171">
        <f t="shared" si="15"/>
        <v>7</v>
      </c>
      <c r="L341" s="17">
        <v>2.23333E-3</v>
      </c>
      <c r="M341" s="16">
        <f t="shared" si="16"/>
        <v>103.99</v>
      </c>
      <c r="N341" s="16">
        <f t="shared" si="17"/>
        <v>178.27</v>
      </c>
      <c r="O341" s="14"/>
    </row>
    <row r="342" spans="1:15">
      <c r="A342" s="14" t="s">
        <v>17</v>
      </c>
      <c r="B342" s="15" t="s">
        <v>759</v>
      </c>
      <c r="C342" s="15" t="s">
        <v>760</v>
      </c>
      <c r="D342" s="14" t="s">
        <v>761</v>
      </c>
      <c r="E342" s="15" t="s">
        <v>62</v>
      </c>
      <c r="F342" s="14" t="s">
        <v>22</v>
      </c>
      <c r="G342" s="15" t="s">
        <v>23</v>
      </c>
      <c r="H342" s="15" t="s">
        <v>1525</v>
      </c>
      <c r="I342" s="15">
        <v>201410</v>
      </c>
      <c r="J342" s="16">
        <v>325.61</v>
      </c>
      <c r="K342" s="171">
        <f t="shared" si="15"/>
        <v>7</v>
      </c>
      <c r="L342" s="17">
        <v>1.4833299999999999E-3</v>
      </c>
      <c r="M342" s="16">
        <f t="shared" si="16"/>
        <v>3.38</v>
      </c>
      <c r="N342" s="16">
        <f t="shared" si="17"/>
        <v>5.8</v>
      </c>
      <c r="O342" s="14"/>
    </row>
    <row r="343" spans="1:15">
      <c r="A343" s="14" t="s">
        <v>54</v>
      </c>
      <c r="B343" s="15" t="s">
        <v>816</v>
      </c>
      <c r="C343" s="15" t="s">
        <v>817</v>
      </c>
      <c r="D343" s="14" t="s">
        <v>818</v>
      </c>
      <c r="E343" s="15" t="s">
        <v>62</v>
      </c>
      <c r="F343" s="14" t="s">
        <v>22</v>
      </c>
      <c r="G343" s="15" t="s">
        <v>23</v>
      </c>
      <c r="H343" s="15" t="s">
        <v>1525</v>
      </c>
      <c r="I343" s="15">
        <v>201410</v>
      </c>
      <c r="J343" s="16">
        <v>-119.09</v>
      </c>
      <c r="K343" s="171">
        <f t="shared" si="15"/>
        <v>7</v>
      </c>
      <c r="L343" s="17">
        <v>1.4833299999999999E-3</v>
      </c>
      <c r="M343" s="16">
        <f t="shared" si="16"/>
        <v>-1.24</v>
      </c>
      <c r="N343" s="16">
        <f t="shared" si="17"/>
        <v>-2.12</v>
      </c>
      <c r="O343" s="14"/>
    </row>
    <row r="344" spans="1:15">
      <c r="A344" s="14" t="s">
        <v>17</v>
      </c>
      <c r="B344" s="15" t="s">
        <v>819</v>
      </c>
      <c r="C344" s="15" t="s">
        <v>820</v>
      </c>
      <c r="D344" s="14" t="s">
        <v>821</v>
      </c>
      <c r="E344" s="15" t="s">
        <v>822</v>
      </c>
      <c r="F344" s="14" t="s">
        <v>823</v>
      </c>
      <c r="G344" s="15" t="s">
        <v>23</v>
      </c>
      <c r="H344" s="15" t="s">
        <v>1526</v>
      </c>
      <c r="I344" s="15">
        <v>201410</v>
      </c>
      <c r="J344" s="16">
        <v>-165.61</v>
      </c>
      <c r="K344" s="171">
        <f t="shared" si="15"/>
        <v>7</v>
      </c>
      <c r="L344" s="17">
        <v>1.4833299999999999E-3</v>
      </c>
      <c r="M344" s="16">
        <f t="shared" si="16"/>
        <v>-1.72</v>
      </c>
      <c r="N344" s="16">
        <f t="shared" si="17"/>
        <v>-2.95</v>
      </c>
      <c r="O344" s="14"/>
    </row>
    <row r="345" spans="1:15">
      <c r="A345" s="14" t="s">
        <v>54</v>
      </c>
      <c r="B345" s="15" t="s">
        <v>824</v>
      </c>
      <c r="C345" s="15" t="s">
        <v>825</v>
      </c>
      <c r="D345" s="14" t="s">
        <v>826</v>
      </c>
      <c r="E345" s="15" t="s">
        <v>136</v>
      </c>
      <c r="F345" s="14" t="s">
        <v>137</v>
      </c>
      <c r="G345" s="15" t="s">
        <v>23</v>
      </c>
      <c r="H345" s="15" t="s">
        <v>1526</v>
      </c>
      <c r="I345" s="15">
        <v>201410</v>
      </c>
      <c r="J345" s="16">
        <v>6203.97</v>
      </c>
      <c r="K345" s="171">
        <f t="shared" si="15"/>
        <v>7</v>
      </c>
      <c r="L345" s="17">
        <v>1.4833299999999999E-3</v>
      </c>
      <c r="M345" s="16">
        <f t="shared" si="16"/>
        <v>64.42</v>
      </c>
      <c r="N345" s="16">
        <f t="shared" si="17"/>
        <v>110.43</v>
      </c>
      <c r="O345" s="14"/>
    </row>
    <row r="346" spans="1:15">
      <c r="A346" s="14" t="s">
        <v>54</v>
      </c>
      <c r="B346" s="15" t="s">
        <v>827</v>
      </c>
      <c r="C346" s="15" t="s">
        <v>828</v>
      </c>
      <c r="D346" s="14" t="s">
        <v>829</v>
      </c>
      <c r="E346" s="15" t="s">
        <v>62</v>
      </c>
      <c r="F346" s="14" t="s">
        <v>22</v>
      </c>
      <c r="G346" s="15" t="s">
        <v>23</v>
      </c>
      <c r="H346" s="15" t="s">
        <v>1525</v>
      </c>
      <c r="I346" s="15">
        <v>201410</v>
      </c>
      <c r="J346" s="16">
        <v>0</v>
      </c>
      <c r="K346" s="171">
        <f t="shared" si="15"/>
        <v>7</v>
      </c>
      <c r="L346" s="17">
        <v>1.4833299999999999E-3</v>
      </c>
      <c r="M346" s="16">
        <f t="shared" si="16"/>
        <v>0</v>
      </c>
      <c r="N346" s="16">
        <f t="shared" si="17"/>
        <v>0</v>
      </c>
      <c r="O346" s="14"/>
    </row>
    <row r="347" spans="1:15">
      <c r="A347" s="14" t="s">
        <v>54</v>
      </c>
      <c r="B347" s="15" t="s">
        <v>836</v>
      </c>
      <c r="C347" s="15" t="s">
        <v>837</v>
      </c>
      <c r="D347" s="14" t="s">
        <v>838</v>
      </c>
      <c r="E347" s="15" t="s">
        <v>21</v>
      </c>
      <c r="F347" s="14" t="s">
        <v>22</v>
      </c>
      <c r="G347" s="15" t="s">
        <v>23</v>
      </c>
      <c r="H347" s="15" t="s">
        <v>1525</v>
      </c>
      <c r="I347" s="15">
        <v>201410</v>
      </c>
      <c r="J347" s="16">
        <v>-81.62</v>
      </c>
      <c r="K347" s="171">
        <f t="shared" si="15"/>
        <v>7</v>
      </c>
      <c r="L347" s="17">
        <v>1.4833299999999999E-3</v>
      </c>
      <c r="M347" s="16">
        <f t="shared" si="16"/>
        <v>-0.85</v>
      </c>
      <c r="N347" s="16">
        <f t="shared" si="17"/>
        <v>-1.45</v>
      </c>
      <c r="O347" s="14"/>
    </row>
    <row r="348" spans="1:15">
      <c r="A348" s="14" t="s">
        <v>17</v>
      </c>
      <c r="B348" s="15" t="s">
        <v>843</v>
      </c>
      <c r="C348" s="15" t="s">
        <v>844</v>
      </c>
      <c r="D348" s="14" t="s">
        <v>845</v>
      </c>
      <c r="E348" s="15" t="s">
        <v>45</v>
      </c>
      <c r="F348" s="14" t="s">
        <v>22</v>
      </c>
      <c r="G348" s="15" t="s">
        <v>23</v>
      </c>
      <c r="H348" s="15" t="s">
        <v>1525</v>
      </c>
      <c r="I348" s="15">
        <v>201410</v>
      </c>
      <c r="J348" s="16">
        <v>1828.42</v>
      </c>
      <c r="K348" s="171">
        <f t="shared" si="15"/>
        <v>7</v>
      </c>
      <c r="L348" s="17">
        <v>1.4833299999999999E-3</v>
      </c>
      <c r="M348" s="16">
        <f t="shared" si="16"/>
        <v>18.989999999999998</v>
      </c>
      <c r="N348" s="16">
        <f t="shared" si="17"/>
        <v>32.549999999999997</v>
      </c>
      <c r="O348" s="14"/>
    </row>
    <row r="349" spans="1:15">
      <c r="A349" s="14" t="s">
        <v>54</v>
      </c>
      <c r="B349" s="15" t="s">
        <v>846</v>
      </c>
      <c r="C349" s="15" t="s">
        <v>847</v>
      </c>
      <c r="D349" s="14" t="s">
        <v>848</v>
      </c>
      <c r="E349" s="15" t="s">
        <v>141</v>
      </c>
      <c r="F349" s="14" t="s">
        <v>142</v>
      </c>
      <c r="G349" s="15" t="s">
        <v>23</v>
      </c>
      <c r="H349" s="15" t="s">
        <v>1525</v>
      </c>
      <c r="I349" s="15">
        <v>201410</v>
      </c>
      <c r="J349" s="16">
        <v>15539.61</v>
      </c>
      <c r="K349" s="171">
        <f t="shared" si="15"/>
        <v>7</v>
      </c>
      <c r="L349" s="17">
        <v>1.4833299999999999E-3</v>
      </c>
      <c r="M349" s="16">
        <f t="shared" si="16"/>
        <v>161.35</v>
      </c>
      <c r="N349" s="16">
        <f t="shared" si="17"/>
        <v>276.60000000000002</v>
      </c>
      <c r="O349" s="14"/>
    </row>
    <row r="350" spans="1:15">
      <c r="A350" s="14" t="s">
        <v>54</v>
      </c>
      <c r="B350" s="15" t="s">
        <v>852</v>
      </c>
      <c r="C350" s="15" t="s">
        <v>853</v>
      </c>
      <c r="D350" s="14" t="s">
        <v>854</v>
      </c>
      <c r="E350" s="15" t="s">
        <v>62</v>
      </c>
      <c r="F350" s="14" t="s">
        <v>22</v>
      </c>
      <c r="G350" s="15" t="s">
        <v>23</v>
      </c>
      <c r="H350" s="15" t="s">
        <v>1525</v>
      </c>
      <c r="I350" s="15">
        <v>201410</v>
      </c>
      <c r="J350" s="16">
        <v>27394.7</v>
      </c>
      <c r="K350" s="171">
        <f t="shared" si="15"/>
        <v>7</v>
      </c>
      <c r="L350" s="17">
        <v>1.4833299999999999E-3</v>
      </c>
      <c r="M350" s="16">
        <f t="shared" si="16"/>
        <v>284.45</v>
      </c>
      <c r="N350" s="16">
        <f t="shared" si="17"/>
        <v>487.62</v>
      </c>
      <c r="O350" s="14"/>
    </row>
    <row r="351" spans="1:15">
      <c r="A351" s="14" t="s">
        <v>54</v>
      </c>
      <c r="B351" s="15" t="s">
        <v>855</v>
      </c>
      <c r="C351" s="15" t="s">
        <v>856</v>
      </c>
      <c r="D351" s="14" t="s">
        <v>857</v>
      </c>
      <c r="E351" s="15" t="s">
        <v>62</v>
      </c>
      <c r="F351" s="14" t="s">
        <v>22</v>
      </c>
      <c r="G351" s="15" t="s">
        <v>23</v>
      </c>
      <c r="H351" s="15" t="s">
        <v>1525</v>
      </c>
      <c r="I351" s="15">
        <v>201410</v>
      </c>
      <c r="J351" s="16">
        <v>-19.38</v>
      </c>
      <c r="K351" s="171">
        <f t="shared" si="15"/>
        <v>7</v>
      </c>
      <c r="L351" s="17">
        <v>1.4833299999999999E-3</v>
      </c>
      <c r="M351" s="16">
        <f t="shared" si="16"/>
        <v>-0.2</v>
      </c>
      <c r="N351" s="16">
        <f t="shared" si="17"/>
        <v>-0.34</v>
      </c>
      <c r="O351" s="14"/>
    </row>
    <row r="352" spans="1:15">
      <c r="A352" s="14" t="s">
        <v>54</v>
      </c>
      <c r="B352" s="15" t="s">
        <v>858</v>
      </c>
      <c r="C352" s="15" t="s">
        <v>859</v>
      </c>
      <c r="D352" s="14" t="s">
        <v>860</v>
      </c>
      <c r="E352" s="15" t="s">
        <v>62</v>
      </c>
      <c r="F352" s="14" t="s">
        <v>22</v>
      </c>
      <c r="G352" s="15" t="s">
        <v>23</v>
      </c>
      <c r="H352" s="15" t="s">
        <v>1525</v>
      </c>
      <c r="I352" s="15">
        <v>201410</v>
      </c>
      <c r="J352" s="16">
        <v>3048.22</v>
      </c>
      <c r="K352" s="171">
        <f t="shared" si="15"/>
        <v>7</v>
      </c>
      <c r="L352" s="17">
        <v>1.4833299999999999E-3</v>
      </c>
      <c r="M352" s="16">
        <f t="shared" si="16"/>
        <v>31.65</v>
      </c>
      <c r="N352" s="16">
        <f t="shared" si="17"/>
        <v>54.26</v>
      </c>
      <c r="O352" s="14"/>
    </row>
    <row r="353" spans="1:15">
      <c r="A353" s="14" t="s">
        <v>54</v>
      </c>
      <c r="B353" s="15" t="s">
        <v>861</v>
      </c>
      <c r="C353" s="15" t="s">
        <v>862</v>
      </c>
      <c r="D353" s="14" t="s">
        <v>863</v>
      </c>
      <c r="E353" s="15" t="s">
        <v>45</v>
      </c>
      <c r="F353" s="14" t="s">
        <v>22</v>
      </c>
      <c r="G353" s="15" t="s">
        <v>23</v>
      </c>
      <c r="H353" s="15" t="s">
        <v>1525</v>
      </c>
      <c r="I353" s="15">
        <v>201410</v>
      </c>
      <c r="J353" s="16">
        <v>-40.68</v>
      </c>
      <c r="K353" s="171">
        <f t="shared" si="15"/>
        <v>7</v>
      </c>
      <c r="L353" s="17">
        <v>1.4833299999999999E-3</v>
      </c>
      <c r="M353" s="16">
        <f t="shared" si="16"/>
        <v>-0.42</v>
      </c>
      <c r="N353" s="16">
        <f t="shared" si="17"/>
        <v>-0.72</v>
      </c>
      <c r="O353" s="14"/>
    </row>
    <row r="354" spans="1:15">
      <c r="A354" s="14" t="s">
        <v>54</v>
      </c>
      <c r="B354" s="15" t="s">
        <v>864</v>
      </c>
      <c r="C354" s="15" t="s">
        <v>865</v>
      </c>
      <c r="D354" s="14" t="s">
        <v>866</v>
      </c>
      <c r="E354" s="15" t="s">
        <v>141</v>
      </c>
      <c r="F354" s="14" t="s">
        <v>142</v>
      </c>
      <c r="G354" s="15" t="s">
        <v>23</v>
      </c>
      <c r="H354" s="15" t="s">
        <v>1525</v>
      </c>
      <c r="I354" s="15">
        <v>201410</v>
      </c>
      <c r="J354" s="16">
        <v>-89.02</v>
      </c>
      <c r="K354" s="171">
        <f t="shared" si="15"/>
        <v>7</v>
      </c>
      <c r="L354" s="17">
        <v>1.4833299999999999E-3</v>
      </c>
      <c r="M354" s="16">
        <f t="shared" si="16"/>
        <v>-0.92</v>
      </c>
      <c r="N354" s="16">
        <f t="shared" si="17"/>
        <v>-1.58</v>
      </c>
      <c r="O354" s="14"/>
    </row>
    <row r="355" spans="1:15">
      <c r="A355" s="14" t="s">
        <v>54</v>
      </c>
      <c r="B355" s="15" t="s">
        <v>867</v>
      </c>
      <c r="C355" s="15" t="s">
        <v>868</v>
      </c>
      <c r="D355" s="14" t="s">
        <v>869</v>
      </c>
      <c r="E355" s="15" t="s">
        <v>36</v>
      </c>
      <c r="F355" s="14" t="s">
        <v>22</v>
      </c>
      <c r="G355" s="15" t="s">
        <v>23</v>
      </c>
      <c r="H355" s="15" t="s">
        <v>1525</v>
      </c>
      <c r="I355" s="15">
        <v>201410</v>
      </c>
      <c r="J355" s="16">
        <v>-21.63</v>
      </c>
      <c r="K355" s="171">
        <f t="shared" si="15"/>
        <v>7</v>
      </c>
      <c r="L355" s="17">
        <v>1.4833299999999999E-3</v>
      </c>
      <c r="M355" s="16">
        <f t="shared" si="16"/>
        <v>-0.22</v>
      </c>
      <c r="N355" s="16">
        <f t="shared" si="17"/>
        <v>-0.39</v>
      </c>
      <c r="O355" s="14"/>
    </row>
    <row r="356" spans="1:15">
      <c r="A356" s="14" t="s">
        <v>54</v>
      </c>
      <c r="B356" s="15" t="s">
        <v>870</v>
      </c>
      <c r="C356" s="15" t="s">
        <v>871</v>
      </c>
      <c r="D356" s="14" t="s">
        <v>872</v>
      </c>
      <c r="E356" s="15" t="s">
        <v>108</v>
      </c>
      <c r="F356" s="14" t="s">
        <v>28</v>
      </c>
      <c r="G356" s="15" t="s">
        <v>23</v>
      </c>
      <c r="H356" s="15" t="s">
        <v>1525</v>
      </c>
      <c r="I356" s="15">
        <v>201410</v>
      </c>
      <c r="J356" s="16">
        <v>-10.32</v>
      </c>
      <c r="K356" s="171">
        <f t="shared" si="15"/>
        <v>7</v>
      </c>
      <c r="L356" s="17">
        <v>1.4833299999999999E-3</v>
      </c>
      <c r="M356" s="16">
        <f t="shared" si="16"/>
        <v>-0.11</v>
      </c>
      <c r="N356" s="16">
        <f t="shared" si="17"/>
        <v>-0.18</v>
      </c>
      <c r="O356" s="14"/>
    </row>
    <row r="357" spans="1:15">
      <c r="A357" s="14" t="s">
        <v>54</v>
      </c>
      <c r="B357" s="15" t="s">
        <v>873</v>
      </c>
      <c r="C357" s="15" t="s">
        <v>874</v>
      </c>
      <c r="D357" s="14" t="s">
        <v>875</v>
      </c>
      <c r="E357" s="15" t="s">
        <v>36</v>
      </c>
      <c r="F357" s="14" t="s">
        <v>22</v>
      </c>
      <c r="G357" s="15" t="s">
        <v>23</v>
      </c>
      <c r="H357" s="15" t="s">
        <v>1525</v>
      </c>
      <c r="I357" s="15">
        <v>201410</v>
      </c>
      <c r="J357" s="16">
        <v>-14.44</v>
      </c>
      <c r="K357" s="171">
        <f t="shared" si="15"/>
        <v>7</v>
      </c>
      <c r="L357" s="17">
        <v>1.4833299999999999E-3</v>
      </c>
      <c r="M357" s="16">
        <f t="shared" si="16"/>
        <v>-0.15</v>
      </c>
      <c r="N357" s="16">
        <f t="shared" si="17"/>
        <v>-0.26</v>
      </c>
      <c r="O357" s="14"/>
    </row>
    <row r="358" spans="1:15">
      <c r="A358" s="14" t="s">
        <v>54</v>
      </c>
      <c r="B358" s="15" t="s">
        <v>876</v>
      </c>
      <c r="C358" s="15" t="s">
        <v>877</v>
      </c>
      <c r="D358" s="14" t="s">
        <v>878</v>
      </c>
      <c r="E358" s="15" t="s">
        <v>62</v>
      </c>
      <c r="F358" s="14" t="s">
        <v>22</v>
      </c>
      <c r="G358" s="15" t="s">
        <v>23</v>
      </c>
      <c r="H358" s="15" t="s">
        <v>1525</v>
      </c>
      <c r="I358" s="15">
        <v>201410</v>
      </c>
      <c r="J358" s="16">
        <v>40690.879999999997</v>
      </c>
      <c r="K358" s="171">
        <f t="shared" si="15"/>
        <v>7</v>
      </c>
      <c r="L358" s="17">
        <v>1.4833299999999999E-3</v>
      </c>
      <c r="M358" s="16">
        <f t="shared" si="16"/>
        <v>422.51</v>
      </c>
      <c r="N358" s="16">
        <f t="shared" si="17"/>
        <v>724.3</v>
      </c>
      <c r="O358" s="14"/>
    </row>
    <row r="359" spans="1:15">
      <c r="A359" s="14" t="s">
        <v>54</v>
      </c>
      <c r="B359" s="15" t="s">
        <v>879</v>
      </c>
      <c r="C359" s="15" t="s">
        <v>880</v>
      </c>
      <c r="D359" s="14" t="s">
        <v>881</v>
      </c>
      <c r="E359" s="15" t="s">
        <v>53</v>
      </c>
      <c r="F359" s="14" t="s">
        <v>41</v>
      </c>
      <c r="G359" s="15" t="s">
        <v>23</v>
      </c>
      <c r="H359" s="15" t="s">
        <v>1526</v>
      </c>
      <c r="I359" s="15">
        <v>201410</v>
      </c>
      <c r="J359" s="16">
        <v>-7153.05</v>
      </c>
      <c r="K359" s="171">
        <f t="shared" si="15"/>
        <v>7</v>
      </c>
      <c r="L359" s="17">
        <v>1.4833299999999999E-3</v>
      </c>
      <c r="M359" s="16">
        <f t="shared" si="16"/>
        <v>-74.27</v>
      </c>
      <c r="N359" s="16">
        <f t="shared" si="17"/>
        <v>-127.32</v>
      </c>
      <c r="O359" s="14"/>
    </row>
    <row r="360" spans="1:15">
      <c r="A360" s="14" t="s">
        <v>17</v>
      </c>
      <c r="B360" s="15" t="s">
        <v>882</v>
      </c>
      <c r="C360" s="15" t="s">
        <v>883</v>
      </c>
      <c r="D360" s="14" t="s">
        <v>884</v>
      </c>
      <c r="E360" s="15" t="s">
        <v>216</v>
      </c>
      <c r="F360" s="14" t="s">
        <v>22</v>
      </c>
      <c r="G360" s="15" t="s">
        <v>23</v>
      </c>
      <c r="H360" s="15" t="s">
        <v>1525</v>
      </c>
      <c r="I360" s="15">
        <v>201410</v>
      </c>
      <c r="J360" s="16">
        <v>-23.54</v>
      </c>
      <c r="K360" s="171">
        <f t="shared" si="15"/>
        <v>7</v>
      </c>
      <c r="L360" s="17">
        <v>1.4833299999999999E-3</v>
      </c>
      <c r="M360" s="16">
        <f t="shared" si="16"/>
        <v>-0.24</v>
      </c>
      <c r="N360" s="16">
        <f t="shared" si="17"/>
        <v>-0.42</v>
      </c>
      <c r="O360" s="14"/>
    </row>
    <row r="361" spans="1:15">
      <c r="A361" s="14" t="s">
        <v>54</v>
      </c>
      <c r="B361" s="15" t="s">
        <v>882</v>
      </c>
      <c r="C361" s="15" t="s">
        <v>883</v>
      </c>
      <c r="D361" s="14" t="s">
        <v>884</v>
      </c>
      <c r="E361" s="15" t="s">
        <v>216</v>
      </c>
      <c r="F361" s="14" t="s">
        <v>22</v>
      </c>
      <c r="G361" s="15" t="s">
        <v>23</v>
      </c>
      <c r="H361" s="15" t="s">
        <v>1525</v>
      </c>
      <c r="I361" s="15">
        <v>201410</v>
      </c>
      <c r="J361" s="16">
        <v>5.81</v>
      </c>
      <c r="K361" s="171">
        <f t="shared" si="15"/>
        <v>7</v>
      </c>
      <c r="L361" s="17">
        <v>1.4833299999999999E-3</v>
      </c>
      <c r="M361" s="16">
        <f t="shared" si="16"/>
        <v>0.06</v>
      </c>
      <c r="N361" s="16">
        <f t="shared" si="17"/>
        <v>0.1</v>
      </c>
      <c r="O361" s="14"/>
    </row>
    <row r="362" spans="1:15">
      <c r="A362" s="14" t="s">
        <v>54</v>
      </c>
      <c r="B362" s="15" t="s">
        <v>885</v>
      </c>
      <c r="C362" s="15" t="s">
        <v>886</v>
      </c>
      <c r="D362" s="14" t="s">
        <v>887</v>
      </c>
      <c r="E362" s="15" t="s">
        <v>141</v>
      </c>
      <c r="F362" s="14" t="s">
        <v>142</v>
      </c>
      <c r="G362" s="15" t="s">
        <v>23</v>
      </c>
      <c r="H362" s="15" t="s">
        <v>1525</v>
      </c>
      <c r="I362" s="15">
        <v>201410</v>
      </c>
      <c r="J362" s="16">
        <v>9.77</v>
      </c>
      <c r="K362" s="171">
        <f t="shared" si="15"/>
        <v>7</v>
      </c>
      <c r="L362" s="17">
        <v>1.4833299999999999E-3</v>
      </c>
      <c r="M362" s="16">
        <f t="shared" si="16"/>
        <v>0.1</v>
      </c>
      <c r="N362" s="16">
        <f t="shared" si="17"/>
        <v>0.17</v>
      </c>
      <c r="O362" s="14"/>
    </row>
    <row r="363" spans="1:15">
      <c r="A363" s="14" t="s">
        <v>66</v>
      </c>
      <c r="B363" s="15" t="s">
        <v>1102</v>
      </c>
      <c r="C363" s="15" t="s">
        <v>1103</v>
      </c>
      <c r="D363" s="14" t="s">
        <v>1104</v>
      </c>
      <c r="E363" s="15" t="s">
        <v>466</v>
      </c>
      <c r="F363" s="14" t="s">
        <v>467</v>
      </c>
      <c r="G363" s="15" t="s">
        <v>23</v>
      </c>
      <c r="H363" s="15" t="s">
        <v>1527</v>
      </c>
      <c r="I363" s="15">
        <v>201410</v>
      </c>
      <c r="J363" s="16">
        <v>-0.01</v>
      </c>
      <c r="K363" s="171">
        <f t="shared" si="15"/>
        <v>7</v>
      </c>
      <c r="L363" s="17">
        <v>2.23333E-3</v>
      </c>
      <c r="M363" s="16">
        <f t="shared" si="16"/>
        <v>0</v>
      </c>
      <c r="N363" s="16">
        <f t="shared" si="17"/>
        <v>0</v>
      </c>
      <c r="O363" s="14"/>
    </row>
    <row r="364" spans="1:15">
      <c r="A364" s="14" t="s">
        <v>17</v>
      </c>
      <c r="B364" s="15" t="s">
        <v>894</v>
      </c>
      <c r="C364" s="15" t="s">
        <v>895</v>
      </c>
      <c r="D364" s="14" t="s">
        <v>896</v>
      </c>
      <c r="E364" s="15" t="s">
        <v>440</v>
      </c>
      <c r="F364" s="14" t="s">
        <v>28</v>
      </c>
      <c r="G364" s="15" t="s">
        <v>23</v>
      </c>
      <c r="H364" s="15" t="s">
        <v>1525</v>
      </c>
      <c r="I364" s="15">
        <v>201410</v>
      </c>
      <c r="J364" s="16">
        <v>0</v>
      </c>
      <c r="K364" s="171">
        <f t="shared" si="15"/>
        <v>7</v>
      </c>
      <c r="L364" s="17">
        <v>1.4833299999999999E-3</v>
      </c>
      <c r="M364" s="16">
        <f t="shared" si="16"/>
        <v>0</v>
      </c>
      <c r="N364" s="16">
        <f t="shared" si="17"/>
        <v>0</v>
      </c>
      <c r="O364" s="14"/>
    </row>
    <row r="365" spans="1:15">
      <c r="A365" s="14" t="s">
        <v>54</v>
      </c>
      <c r="B365" s="15" t="s">
        <v>897</v>
      </c>
      <c r="C365" s="15" t="s">
        <v>898</v>
      </c>
      <c r="D365" s="14" t="s">
        <v>899</v>
      </c>
      <c r="E365" s="15" t="s">
        <v>45</v>
      </c>
      <c r="F365" s="14" t="s">
        <v>22</v>
      </c>
      <c r="G365" s="15" t="s">
        <v>23</v>
      </c>
      <c r="H365" s="15" t="s">
        <v>1525</v>
      </c>
      <c r="I365" s="15">
        <v>201410</v>
      </c>
      <c r="J365" s="16">
        <v>422.88</v>
      </c>
      <c r="K365" s="171">
        <f t="shared" si="15"/>
        <v>7</v>
      </c>
      <c r="L365" s="17">
        <v>1.4833299999999999E-3</v>
      </c>
      <c r="M365" s="16">
        <f t="shared" si="16"/>
        <v>4.3899999999999997</v>
      </c>
      <c r="N365" s="16">
        <f t="shared" si="17"/>
        <v>7.53</v>
      </c>
      <c r="O365" s="14"/>
    </row>
    <row r="366" spans="1:15">
      <c r="A366" s="14" t="s">
        <v>54</v>
      </c>
      <c r="B366" s="15" t="s">
        <v>900</v>
      </c>
      <c r="C366" s="15" t="s">
        <v>901</v>
      </c>
      <c r="D366" s="14" t="s">
        <v>902</v>
      </c>
      <c r="E366" s="15" t="s">
        <v>462</v>
      </c>
      <c r="F366" s="14" t="s">
        <v>142</v>
      </c>
      <c r="G366" s="15" t="s">
        <v>23</v>
      </c>
      <c r="H366" s="15" t="s">
        <v>1525</v>
      </c>
      <c r="I366" s="15">
        <v>201410</v>
      </c>
      <c r="J366" s="16">
        <v>8.59</v>
      </c>
      <c r="K366" s="171">
        <f t="shared" si="15"/>
        <v>7</v>
      </c>
      <c r="L366" s="17">
        <v>1.4833299999999999E-3</v>
      </c>
      <c r="M366" s="16">
        <f t="shared" si="16"/>
        <v>0.09</v>
      </c>
      <c r="N366" s="16">
        <f t="shared" si="17"/>
        <v>0.15</v>
      </c>
      <c r="O366" s="14"/>
    </row>
    <row r="367" spans="1:15">
      <c r="A367" s="14" t="s">
        <v>17</v>
      </c>
      <c r="B367" s="15" t="s">
        <v>903</v>
      </c>
      <c r="C367" s="15" t="s">
        <v>904</v>
      </c>
      <c r="D367" s="14" t="s">
        <v>905</v>
      </c>
      <c r="E367" s="15" t="s">
        <v>49</v>
      </c>
      <c r="F367" s="14" t="s">
        <v>22</v>
      </c>
      <c r="G367" s="15" t="s">
        <v>23</v>
      </c>
      <c r="H367" s="15" t="s">
        <v>1525</v>
      </c>
      <c r="I367" s="15">
        <v>201410</v>
      </c>
      <c r="J367" s="16">
        <v>343.32</v>
      </c>
      <c r="K367" s="171">
        <f t="shared" si="15"/>
        <v>7</v>
      </c>
      <c r="L367" s="17">
        <v>1.4833299999999999E-3</v>
      </c>
      <c r="M367" s="16">
        <f t="shared" si="16"/>
        <v>3.56</v>
      </c>
      <c r="N367" s="16">
        <f t="shared" si="17"/>
        <v>6.11</v>
      </c>
      <c r="O367" s="14"/>
    </row>
    <row r="368" spans="1:15">
      <c r="A368" s="14" t="s">
        <v>17</v>
      </c>
      <c r="B368" s="15" t="s">
        <v>910</v>
      </c>
      <c r="C368" s="15" t="s">
        <v>911</v>
      </c>
      <c r="D368" s="14" t="s">
        <v>912</v>
      </c>
      <c r="E368" s="15" t="s">
        <v>362</v>
      </c>
      <c r="F368" s="14" t="s">
        <v>41</v>
      </c>
      <c r="G368" s="15" t="s">
        <v>23</v>
      </c>
      <c r="H368" s="15" t="s">
        <v>1526</v>
      </c>
      <c r="I368" s="15">
        <v>201410</v>
      </c>
      <c r="J368" s="16">
        <v>0</v>
      </c>
      <c r="K368" s="171">
        <f t="shared" si="15"/>
        <v>7</v>
      </c>
      <c r="L368" s="17">
        <v>1.4833299999999999E-3</v>
      </c>
      <c r="M368" s="16">
        <f t="shared" si="16"/>
        <v>0</v>
      </c>
      <c r="N368" s="16">
        <f t="shared" si="17"/>
        <v>0</v>
      </c>
      <c r="O368" s="14"/>
    </row>
    <row r="369" spans="1:15">
      <c r="A369" s="14" t="s">
        <v>54</v>
      </c>
      <c r="B369" s="15" t="s">
        <v>913</v>
      </c>
      <c r="C369" s="15" t="s">
        <v>914</v>
      </c>
      <c r="D369" s="14" t="s">
        <v>915</v>
      </c>
      <c r="E369" s="15" t="s">
        <v>36</v>
      </c>
      <c r="F369" s="14" t="s">
        <v>22</v>
      </c>
      <c r="G369" s="15" t="s">
        <v>23</v>
      </c>
      <c r="H369" s="15" t="s">
        <v>1525</v>
      </c>
      <c r="I369" s="15">
        <v>201410</v>
      </c>
      <c r="J369" s="16">
        <v>38.01</v>
      </c>
      <c r="K369" s="171">
        <f t="shared" si="15"/>
        <v>7</v>
      </c>
      <c r="L369" s="17">
        <v>1.4833299999999999E-3</v>
      </c>
      <c r="M369" s="16">
        <f t="shared" si="16"/>
        <v>0.39</v>
      </c>
      <c r="N369" s="16">
        <f t="shared" si="17"/>
        <v>0.68</v>
      </c>
      <c r="O369" s="14"/>
    </row>
    <row r="370" spans="1:15">
      <c r="A370" s="14" t="s">
        <v>54</v>
      </c>
      <c r="B370" s="15" t="s">
        <v>916</v>
      </c>
      <c r="C370" s="15" t="s">
        <v>917</v>
      </c>
      <c r="D370" s="14" t="s">
        <v>918</v>
      </c>
      <c r="E370" s="15" t="s">
        <v>909</v>
      </c>
      <c r="F370" s="14" t="s">
        <v>22</v>
      </c>
      <c r="G370" s="15" t="s">
        <v>23</v>
      </c>
      <c r="H370" s="15" t="s">
        <v>1525</v>
      </c>
      <c r="I370" s="15">
        <v>201410</v>
      </c>
      <c r="J370" s="16">
        <v>0.82</v>
      </c>
      <c r="K370" s="171">
        <f t="shared" si="15"/>
        <v>7</v>
      </c>
      <c r="L370" s="17">
        <v>1.4833299999999999E-3</v>
      </c>
      <c r="M370" s="16">
        <f t="shared" si="16"/>
        <v>0.01</v>
      </c>
      <c r="N370" s="16">
        <f t="shared" si="17"/>
        <v>0.01</v>
      </c>
      <c r="O370" s="14"/>
    </row>
    <row r="371" spans="1:15">
      <c r="A371" s="14" t="s">
        <v>54</v>
      </c>
      <c r="B371" s="15" t="s">
        <v>926</v>
      </c>
      <c r="C371" s="15" t="s">
        <v>927</v>
      </c>
      <c r="D371" s="14" t="s">
        <v>928</v>
      </c>
      <c r="E371" s="15" t="s">
        <v>141</v>
      </c>
      <c r="F371" s="14" t="s">
        <v>142</v>
      </c>
      <c r="G371" s="15" t="s">
        <v>23</v>
      </c>
      <c r="H371" s="15" t="s">
        <v>1525</v>
      </c>
      <c r="I371" s="15">
        <v>201410</v>
      </c>
      <c r="J371" s="16">
        <v>129.80000000000001</v>
      </c>
      <c r="K371" s="171">
        <f t="shared" si="15"/>
        <v>7</v>
      </c>
      <c r="L371" s="17">
        <v>1.4833299999999999E-3</v>
      </c>
      <c r="M371" s="16">
        <f t="shared" si="16"/>
        <v>1.35</v>
      </c>
      <c r="N371" s="16">
        <f t="shared" si="17"/>
        <v>2.31</v>
      </c>
      <c r="O371" s="14"/>
    </row>
    <row r="372" spans="1:15">
      <c r="A372" s="14" t="s">
        <v>17</v>
      </c>
      <c r="B372" s="15" t="s">
        <v>932</v>
      </c>
      <c r="C372" s="15" t="s">
        <v>933</v>
      </c>
      <c r="D372" s="14" t="s">
        <v>934</v>
      </c>
      <c r="E372" s="15" t="s">
        <v>925</v>
      </c>
      <c r="F372" s="14" t="s">
        <v>41</v>
      </c>
      <c r="G372" s="15" t="s">
        <v>23</v>
      </c>
      <c r="H372" s="15" t="s">
        <v>1526</v>
      </c>
      <c r="I372" s="15">
        <v>201410</v>
      </c>
      <c r="J372" s="16">
        <v>163.34</v>
      </c>
      <c r="K372" s="171">
        <f t="shared" si="15"/>
        <v>7</v>
      </c>
      <c r="L372" s="17">
        <v>1.4833299999999999E-3</v>
      </c>
      <c r="M372" s="16">
        <f t="shared" si="16"/>
        <v>1.7</v>
      </c>
      <c r="N372" s="16">
        <f t="shared" si="17"/>
        <v>2.91</v>
      </c>
      <c r="O372" s="14"/>
    </row>
    <row r="373" spans="1:15">
      <c r="A373" s="14" t="s">
        <v>54</v>
      </c>
      <c r="B373" s="15" t="s">
        <v>938</v>
      </c>
      <c r="C373" s="15" t="s">
        <v>939</v>
      </c>
      <c r="D373" s="14" t="s">
        <v>940</v>
      </c>
      <c r="E373" s="15" t="s">
        <v>141</v>
      </c>
      <c r="F373" s="14" t="s">
        <v>142</v>
      </c>
      <c r="G373" s="15" t="s">
        <v>23</v>
      </c>
      <c r="H373" s="15" t="s">
        <v>1525</v>
      </c>
      <c r="I373" s="15">
        <v>201410</v>
      </c>
      <c r="J373" s="16">
        <v>9145.27</v>
      </c>
      <c r="K373" s="171">
        <f t="shared" si="15"/>
        <v>7</v>
      </c>
      <c r="L373" s="17">
        <v>1.4833299999999999E-3</v>
      </c>
      <c r="M373" s="16">
        <f t="shared" si="16"/>
        <v>94.96</v>
      </c>
      <c r="N373" s="16">
        <f t="shared" si="17"/>
        <v>162.79</v>
      </c>
      <c r="O373" s="14"/>
    </row>
    <row r="374" spans="1:15">
      <c r="A374" s="14" t="s">
        <v>17</v>
      </c>
      <c r="B374" s="15" t="s">
        <v>944</v>
      </c>
      <c r="C374" s="15" t="s">
        <v>945</v>
      </c>
      <c r="D374" s="14" t="s">
        <v>946</v>
      </c>
      <c r="E374" s="15" t="s">
        <v>104</v>
      </c>
      <c r="F374" s="14" t="s">
        <v>41</v>
      </c>
      <c r="G374" s="15" t="s">
        <v>23</v>
      </c>
      <c r="H374" s="15" t="s">
        <v>1526</v>
      </c>
      <c r="I374" s="15">
        <v>201410</v>
      </c>
      <c r="J374" s="16">
        <v>904.96</v>
      </c>
      <c r="K374" s="171">
        <f t="shared" si="15"/>
        <v>7</v>
      </c>
      <c r="L374" s="17">
        <v>1.4833299999999999E-3</v>
      </c>
      <c r="M374" s="16">
        <f t="shared" si="16"/>
        <v>9.4</v>
      </c>
      <c r="N374" s="16">
        <f t="shared" si="17"/>
        <v>16.11</v>
      </c>
      <c r="O374" s="14"/>
    </row>
    <row r="375" spans="1:15">
      <c r="A375" s="14" t="s">
        <v>54</v>
      </c>
      <c r="B375" s="15" t="s">
        <v>947</v>
      </c>
      <c r="C375" s="15" t="s">
        <v>948</v>
      </c>
      <c r="D375" s="14" t="s">
        <v>949</v>
      </c>
      <c r="E375" s="15" t="s">
        <v>141</v>
      </c>
      <c r="F375" s="14" t="s">
        <v>142</v>
      </c>
      <c r="G375" s="15" t="s">
        <v>23</v>
      </c>
      <c r="H375" s="15" t="s">
        <v>1525</v>
      </c>
      <c r="I375" s="15">
        <v>201410</v>
      </c>
      <c r="J375" s="16">
        <v>110798.91</v>
      </c>
      <c r="K375" s="171">
        <f t="shared" si="15"/>
        <v>7</v>
      </c>
      <c r="L375" s="17">
        <v>1.4833299999999999E-3</v>
      </c>
      <c r="M375" s="16">
        <f t="shared" si="16"/>
        <v>1150.46</v>
      </c>
      <c r="N375" s="16">
        <f t="shared" si="17"/>
        <v>1972.22</v>
      </c>
      <c r="O375" s="14"/>
    </row>
    <row r="376" spans="1:15">
      <c r="A376" s="14" t="s">
        <v>54</v>
      </c>
      <c r="B376" s="15" t="s">
        <v>950</v>
      </c>
      <c r="C376" s="15" t="s">
        <v>951</v>
      </c>
      <c r="D376" s="14" t="s">
        <v>952</v>
      </c>
      <c r="E376" s="15" t="s">
        <v>141</v>
      </c>
      <c r="F376" s="14" t="s">
        <v>142</v>
      </c>
      <c r="G376" s="15" t="s">
        <v>23</v>
      </c>
      <c r="H376" s="15" t="s">
        <v>1525</v>
      </c>
      <c r="I376" s="15">
        <v>201410</v>
      </c>
      <c r="J376" s="16">
        <v>15389.95</v>
      </c>
      <c r="K376" s="171">
        <f t="shared" si="15"/>
        <v>7</v>
      </c>
      <c r="L376" s="17">
        <v>1.4833299999999999E-3</v>
      </c>
      <c r="M376" s="16">
        <f t="shared" si="16"/>
        <v>159.80000000000001</v>
      </c>
      <c r="N376" s="16">
        <f t="shared" si="17"/>
        <v>273.94</v>
      </c>
      <c r="O376" s="14"/>
    </row>
    <row r="377" spans="1:15">
      <c r="A377" s="14" t="s">
        <v>17</v>
      </c>
      <c r="B377" s="15" t="s">
        <v>956</v>
      </c>
      <c r="C377" s="15" t="s">
        <v>957</v>
      </c>
      <c r="D377" s="14" t="s">
        <v>958</v>
      </c>
      <c r="E377" s="15" t="s">
        <v>40</v>
      </c>
      <c r="F377" s="14" t="s">
        <v>41</v>
      </c>
      <c r="G377" s="15" t="s">
        <v>23</v>
      </c>
      <c r="H377" s="15" t="s">
        <v>1526</v>
      </c>
      <c r="I377" s="15">
        <v>201410</v>
      </c>
      <c r="J377" s="16">
        <v>977.06</v>
      </c>
      <c r="K377" s="171">
        <f t="shared" si="15"/>
        <v>7</v>
      </c>
      <c r="L377" s="17">
        <v>1.4833299999999999E-3</v>
      </c>
      <c r="M377" s="16">
        <f t="shared" si="16"/>
        <v>10.15</v>
      </c>
      <c r="N377" s="16">
        <f t="shared" si="17"/>
        <v>17.39</v>
      </c>
      <c r="O377" s="14"/>
    </row>
    <row r="378" spans="1:15">
      <c r="A378" s="14" t="s">
        <v>17</v>
      </c>
      <c r="B378" s="15" t="s">
        <v>959</v>
      </c>
      <c r="C378" s="15" t="s">
        <v>960</v>
      </c>
      <c r="D378" s="14" t="s">
        <v>961</v>
      </c>
      <c r="E378" s="15" t="s">
        <v>40</v>
      </c>
      <c r="F378" s="14" t="s">
        <v>41</v>
      </c>
      <c r="G378" s="15" t="s">
        <v>23</v>
      </c>
      <c r="H378" s="15" t="s">
        <v>1526</v>
      </c>
      <c r="I378" s="15">
        <v>201410</v>
      </c>
      <c r="J378" s="16">
        <v>-0.49</v>
      </c>
      <c r="K378" s="171">
        <f t="shared" si="15"/>
        <v>7</v>
      </c>
      <c r="L378" s="17">
        <v>1.4833299999999999E-3</v>
      </c>
      <c r="M378" s="16">
        <f t="shared" si="16"/>
        <v>-0.01</v>
      </c>
      <c r="N378" s="16">
        <f t="shared" si="17"/>
        <v>-0.01</v>
      </c>
      <c r="O378" s="14"/>
    </row>
    <row r="379" spans="1:15">
      <c r="A379" s="14" t="s">
        <v>54</v>
      </c>
      <c r="B379" s="15" t="s">
        <v>962</v>
      </c>
      <c r="C379" s="15" t="s">
        <v>963</v>
      </c>
      <c r="D379" s="14" t="s">
        <v>964</v>
      </c>
      <c r="E379" s="15" t="s">
        <v>40</v>
      </c>
      <c r="F379" s="14" t="s">
        <v>41</v>
      </c>
      <c r="G379" s="15" t="s">
        <v>23</v>
      </c>
      <c r="H379" s="15" t="s">
        <v>1526</v>
      </c>
      <c r="I379" s="15">
        <v>201410</v>
      </c>
      <c r="J379" s="16">
        <v>190.86</v>
      </c>
      <c r="K379" s="171">
        <f t="shared" si="15"/>
        <v>7</v>
      </c>
      <c r="L379" s="17">
        <v>1.4833299999999999E-3</v>
      </c>
      <c r="M379" s="16">
        <f t="shared" si="16"/>
        <v>1.98</v>
      </c>
      <c r="N379" s="16">
        <f t="shared" si="17"/>
        <v>3.4</v>
      </c>
      <c r="O379" s="14"/>
    </row>
    <row r="380" spans="1:15">
      <c r="A380" s="14" t="s">
        <v>54</v>
      </c>
      <c r="B380" s="15" t="s">
        <v>965</v>
      </c>
      <c r="C380" s="15" t="s">
        <v>966</v>
      </c>
      <c r="D380" s="14" t="s">
        <v>967</v>
      </c>
      <c r="E380" s="15" t="s">
        <v>53</v>
      </c>
      <c r="F380" s="14" t="s">
        <v>41</v>
      </c>
      <c r="G380" s="15" t="s">
        <v>23</v>
      </c>
      <c r="H380" s="15" t="s">
        <v>1526</v>
      </c>
      <c r="I380" s="15">
        <v>201410</v>
      </c>
      <c r="J380" s="16">
        <v>-9961.83</v>
      </c>
      <c r="K380" s="171">
        <f t="shared" si="15"/>
        <v>7</v>
      </c>
      <c r="L380" s="17">
        <v>1.4833299999999999E-3</v>
      </c>
      <c r="M380" s="16">
        <f t="shared" si="16"/>
        <v>-103.44</v>
      </c>
      <c r="N380" s="16">
        <f t="shared" si="17"/>
        <v>-177.32</v>
      </c>
      <c r="O380" s="14"/>
    </row>
    <row r="381" spans="1:15">
      <c r="A381" s="14" t="s">
        <v>54</v>
      </c>
      <c r="B381" s="15" t="s">
        <v>974</v>
      </c>
      <c r="C381" s="15" t="s">
        <v>975</v>
      </c>
      <c r="D381" s="14" t="s">
        <v>976</v>
      </c>
      <c r="E381" s="15" t="s">
        <v>141</v>
      </c>
      <c r="F381" s="14" t="s">
        <v>142</v>
      </c>
      <c r="G381" s="15" t="s">
        <v>23</v>
      </c>
      <c r="H381" s="15" t="s">
        <v>1525</v>
      </c>
      <c r="I381" s="15">
        <v>201410</v>
      </c>
      <c r="J381" s="16">
        <v>4514.09</v>
      </c>
      <c r="K381" s="171">
        <f t="shared" si="15"/>
        <v>7</v>
      </c>
      <c r="L381" s="17">
        <v>1.4833299999999999E-3</v>
      </c>
      <c r="M381" s="16">
        <f t="shared" si="16"/>
        <v>46.87</v>
      </c>
      <c r="N381" s="16">
        <f t="shared" si="17"/>
        <v>80.349999999999994</v>
      </c>
      <c r="O381" s="14"/>
    </row>
    <row r="382" spans="1:15">
      <c r="A382" s="14" t="s">
        <v>54</v>
      </c>
      <c r="B382" s="15" t="s">
        <v>977</v>
      </c>
      <c r="C382" s="15" t="s">
        <v>978</v>
      </c>
      <c r="D382" s="14" t="s">
        <v>979</v>
      </c>
      <c r="E382" s="15" t="s">
        <v>980</v>
      </c>
      <c r="F382" s="14" t="s">
        <v>259</v>
      </c>
      <c r="G382" s="15" t="s">
        <v>23</v>
      </c>
      <c r="H382" s="15" t="s">
        <v>1525</v>
      </c>
      <c r="I382" s="15">
        <v>201410</v>
      </c>
      <c r="J382" s="16">
        <v>0.51</v>
      </c>
      <c r="K382" s="171">
        <f t="shared" si="15"/>
        <v>7</v>
      </c>
      <c r="L382" s="17">
        <v>1.4833299999999999E-3</v>
      </c>
      <c r="M382" s="16">
        <f t="shared" si="16"/>
        <v>0.01</v>
      </c>
      <c r="N382" s="16">
        <f t="shared" si="17"/>
        <v>0.01</v>
      </c>
      <c r="O382" s="14"/>
    </row>
    <row r="383" spans="1:15">
      <c r="A383" s="14" t="s">
        <v>17</v>
      </c>
      <c r="B383" s="15" t="s">
        <v>987</v>
      </c>
      <c r="C383" s="15" t="s">
        <v>988</v>
      </c>
      <c r="D383" s="14" t="s">
        <v>989</v>
      </c>
      <c r="E383" s="15" t="s">
        <v>45</v>
      </c>
      <c r="F383" s="14" t="s">
        <v>22</v>
      </c>
      <c r="G383" s="15" t="s">
        <v>23</v>
      </c>
      <c r="H383" s="15" t="s">
        <v>1525</v>
      </c>
      <c r="I383" s="15">
        <v>201410</v>
      </c>
      <c r="J383" s="16">
        <v>0.63</v>
      </c>
      <c r="K383" s="171">
        <f t="shared" si="15"/>
        <v>7</v>
      </c>
      <c r="L383" s="17">
        <v>1.4833299999999999E-3</v>
      </c>
      <c r="M383" s="16">
        <f t="shared" si="16"/>
        <v>0.01</v>
      </c>
      <c r="N383" s="16">
        <f t="shared" si="17"/>
        <v>0.01</v>
      </c>
      <c r="O383" s="14"/>
    </row>
    <row r="384" spans="1:15">
      <c r="A384" s="14" t="s">
        <v>54</v>
      </c>
      <c r="B384" s="15" t="s">
        <v>990</v>
      </c>
      <c r="C384" s="15" t="s">
        <v>991</v>
      </c>
      <c r="D384" s="14" t="s">
        <v>992</v>
      </c>
      <c r="E384" s="15" t="s">
        <v>141</v>
      </c>
      <c r="F384" s="14" t="s">
        <v>142</v>
      </c>
      <c r="G384" s="15" t="s">
        <v>23</v>
      </c>
      <c r="H384" s="15" t="s">
        <v>1525</v>
      </c>
      <c r="I384" s="15">
        <v>201410</v>
      </c>
      <c r="J384" s="16">
        <v>123284.96</v>
      </c>
      <c r="K384" s="171">
        <f t="shared" si="15"/>
        <v>7</v>
      </c>
      <c r="L384" s="17">
        <v>1.4833299999999999E-3</v>
      </c>
      <c r="M384" s="16">
        <f t="shared" si="16"/>
        <v>1280.1099999999999</v>
      </c>
      <c r="N384" s="16">
        <f t="shared" si="17"/>
        <v>2194.4699999999998</v>
      </c>
      <c r="O384" s="14"/>
    </row>
    <row r="385" spans="1:15">
      <c r="A385" s="14" t="s">
        <v>17</v>
      </c>
      <c r="B385" s="15" t="s">
        <v>999</v>
      </c>
      <c r="C385" s="15" t="s">
        <v>1000</v>
      </c>
      <c r="D385" s="14" t="s">
        <v>1001</v>
      </c>
      <c r="E385" s="15" t="s">
        <v>176</v>
      </c>
      <c r="F385" s="14" t="s">
        <v>28</v>
      </c>
      <c r="G385" s="15" t="s">
        <v>23</v>
      </c>
      <c r="H385" s="15" t="s">
        <v>1525</v>
      </c>
      <c r="I385" s="15">
        <v>201410</v>
      </c>
      <c r="J385" s="16">
        <v>2626.89</v>
      </c>
      <c r="K385" s="171">
        <f t="shared" si="15"/>
        <v>7</v>
      </c>
      <c r="L385" s="17">
        <v>1.4833299999999999E-3</v>
      </c>
      <c r="M385" s="16">
        <f t="shared" si="16"/>
        <v>27.28</v>
      </c>
      <c r="N385" s="16">
        <f t="shared" si="17"/>
        <v>46.76</v>
      </c>
      <c r="O385" s="14"/>
    </row>
    <row r="386" spans="1:15">
      <c r="A386" s="14" t="s">
        <v>54</v>
      </c>
      <c r="B386" s="15" t="s">
        <v>1005</v>
      </c>
      <c r="C386" s="15" t="s">
        <v>1006</v>
      </c>
      <c r="D386" s="14" t="s">
        <v>1007</v>
      </c>
      <c r="E386" s="15" t="s">
        <v>141</v>
      </c>
      <c r="F386" s="14" t="s">
        <v>142</v>
      </c>
      <c r="G386" s="15" t="s">
        <v>23</v>
      </c>
      <c r="H386" s="15" t="s">
        <v>1525</v>
      </c>
      <c r="I386" s="15">
        <v>201410</v>
      </c>
      <c r="J386" s="16">
        <v>28474.67</v>
      </c>
      <c r="K386" s="171">
        <f t="shared" si="15"/>
        <v>7</v>
      </c>
      <c r="L386" s="17">
        <v>1.4833299999999999E-3</v>
      </c>
      <c r="M386" s="16">
        <f t="shared" si="16"/>
        <v>295.66000000000003</v>
      </c>
      <c r="N386" s="16">
        <f t="shared" si="17"/>
        <v>506.85</v>
      </c>
      <c r="O386" s="14"/>
    </row>
    <row r="387" spans="1:15">
      <c r="A387" s="14" t="s">
        <v>54</v>
      </c>
      <c r="B387" s="15" t="s">
        <v>1008</v>
      </c>
      <c r="C387" s="15" t="s">
        <v>1009</v>
      </c>
      <c r="D387" s="14" t="s">
        <v>1010</v>
      </c>
      <c r="E387" s="15" t="s">
        <v>49</v>
      </c>
      <c r="F387" s="14" t="s">
        <v>22</v>
      </c>
      <c r="G387" s="15" t="s">
        <v>23</v>
      </c>
      <c r="H387" s="15" t="s">
        <v>1525</v>
      </c>
      <c r="I387" s="15">
        <v>201410</v>
      </c>
      <c r="J387" s="16">
        <v>19575.849999999999</v>
      </c>
      <c r="K387" s="171">
        <f t="shared" si="15"/>
        <v>7</v>
      </c>
      <c r="L387" s="17">
        <v>1.4833299999999999E-3</v>
      </c>
      <c r="M387" s="16">
        <f t="shared" si="16"/>
        <v>203.26</v>
      </c>
      <c r="N387" s="16">
        <f t="shared" si="17"/>
        <v>348.45</v>
      </c>
      <c r="O387" s="14"/>
    </row>
    <row r="388" spans="1:15">
      <c r="A388" s="14" t="s">
        <v>54</v>
      </c>
      <c r="B388" s="15" t="s">
        <v>1014</v>
      </c>
      <c r="C388" s="15" t="s">
        <v>1015</v>
      </c>
      <c r="D388" s="14" t="s">
        <v>1016</v>
      </c>
      <c r="E388" s="15" t="s">
        <v>296</v>
      </c>
      <c r="F388" s="14" t="s">
        <v>28</v>
      </c>
      <c r="G388" s="15" t="s">
        <v>23</v>
      </c>
      <c r="H388" s="15" t="s">
        <v>1525</v>
      </c>
      <c r="I388" s="15">
        <v>201410</v>
      </c>
      <c r="J388" s="16">
        <v>8804.85</v>
      </c>
      <c r="K388" s="171">
        <f t="shared" si="15"/>
        <v>7</v>
      </c>
      <c r="L388" s="17">
        <v>1.4833299999999999E-3</v>
      </c>
      <c r="M388" s="16">
        <f t="shared" si="16"/>
        <v>91.42</v>
      </c>
      <c r="N388" s="16">
        <f t="shared" si="17"/>
        <v>156.72999999999999</v>
      </c>
      <c r="O388" s="14"/>
    </row>
    <row r="389" spans="1:15">
      <c r="A389" s="14" t="s">
        <v>54</v>
      </c>
      <c r="B389" s="15" t="s">
        <v>1017</v>
      </c>
      <c r="C389" s="15" t="s">
        <v>1018</v>
      </c>
      <c r="D389" s="14" t="s">
        <v>1019</v>
      </c>
      <c r="E389" s="15" t="s">
        <v>1020</v>
      </c>
      <c r="F389" s="14" t="s">
        <v>22</v>
      </c>
      <c r="G389" s="15" t="s">
        <v>23</v>
      </c>
      <c r="H389" s="15" t="s">
        <v>1525</v>
      </c>
      <c r="I389" s="15">
        <v>201410</v>
      </c>
      <c r="J389" s="16">
        <v>6323.2</v>
      </c>
      <c r="K389" s="171">
        <f t="shared" ref="K389:K452" si="18">VLOOKUP(I389,$Q$7:$R$15,2)</f>
        <v>7</v>
      </c>
      <c r="L389" s="17">
        <v>1.4833299999999999E-3</v>
      </c>
      <c r="M389" s="16">
        <f t="shared" ref="M389:M452" si="19">ROUND(J389*K389*L389,2)</f>
        <v>65.66</v>
      </c>
      <c r="N389" s="16">
        <f t="shared" ref="N389:N452" si="20">ROUND(J389*L389*12,2)</f>
        <v>112.55</v>
      </c>
      <c r="O389" s="14"/>
    </row>
    <row r="390" spans="1:15">
      <c r="A390" s="14" t="s">
        <v>54</v>
      </c>
      <c r="B390" s="15" t="s">
        <v>1021</v>
      </c>
      <c r="C390" s="15" t="s">
        <v>1022</v>
      </c>
      <c r="D390" s="14" t="s">
        <v>1023</v>
      </c>
      <c r="E390" s="15" t="s">
        <v>108</v>
      </c>
      <c r="F390" s="14" t="s">
        <v>28</v>
      </c>
      <c r="G390" s="15" t="s">
        <v>23</v>
      </c>
      <c r="H390" s="15" t="s">
        <v>1525</v>
      </c>
      <c r="I390" s="15">
        <v>201410</v>
      </c>
      <c r="J390" s="16">
        <v>293.01</v>
      </c>
      <c r="K390" s="171">
        <f t="shared" si="18"/>
        <v>7</v>
      </c>
      <c r="L390" s="17">
        <v>1.4833299999999999E-3</v>
      </c>
      <c r="M390" s="16">
        <f t="shared" si="19"/>
        <v>3.04</v>
      </c>
      <c r="N390" s="16">
        <f t="shared" si="20"/>
        <v>5.22</v>
      </c>
      <c r="O390" s="14"/>
    </row>
    <row r="391" spans="1:15">
      <c r="A391" s="14" t="s">
        <v>66</v>
      </c>
      <c r="B391" s="15" t="s">
        <v>1105</v>
      </c>
      <c r="C391" s="15" t="s">
        <v>1106</v>
      </c>
      <c r="D391" s="14" t="s">
        <v>1107</v>
      </c>
      <c r="E391" s="15" t="s">
        <v>466</v>
      </c>
      <c r="F391" s="14" t="s">
        <v>467</v>
      </c>
      <c r="G391" s="15" t="s">
        <v>23</v>
      </c>
      <c r="H391" s="15" t="s">
        <v>1527</v>
      </c>
      <c r="I391" s="15">
        <v>201410</v>
      </c>
      <c r="J391" s="16">
        <v>1314.76</v>
      </c>
      <c r="K391" s="171">
        <f t="shared" si="18"/>
        <v>7</v>
      </c>
      <c r="L391" s="17">
        <v>2.23333E-3</v>
      </c>
      <c r="M391" s="16">
        <f t="shared" si="19"/>
        <v>20.55</v>
      </c>
      <c r="N391" s="16">
        <f t="shared" si="20"/>
        <v>35.24</v>
      </c>
      <c r="O391" s="14"/>
    </row>
    <row r="392" spans="1:15">
      <c r="A392" s="14" t="s">
        <v>54</v>
      </c>
      <c r="B392" s="15" t="s">
        <v>55</v>
      </c>
      <c r="C392" s="15" t="s">
        <v>56</v>
      </c>
      <c r="D392" s="14" t="s">
        <v>57</v>
      </c>
      <c r="E392" s="15" t="s">
        <v>58</v>
      </c>
      <c r="F392" s="14" t="s">
        <v>22</v>
      </c>
      <c r="G392" s="15" t="s">
        <v>23</v>
      </c>
      <c r="H392" s="15" t="s">
        <v>1525</v>
      </c>
      <c r="I392" s="15">
        <v>201411</v>
      </c>
      <c r="J392" s="16">
        <v>180848.77</v>
      </c>
      <c r="K392" s="171">
        <f t="shared" si="18"/>
        <v>6</v>
      </c>
      <c r="L392" s="17">
        <v>1.4833299999999999E-3</v>
      </c>
      <c r="M392" s="16">
        <f t="shared" si="19"/>
        <v>1609.55</v>
      </c>
      <c r="N392" s="16">
        <f t="shared" si="20"/>
        <v>3219.1</v>
      </c>
      <c r="O392" s="14"/>
    </row>
    <row r="393" spans="1:15">
      <c r="A393" s="14" t="s">
        <v>66</v>
      </c>
      <c r="B393" s="15" t="s">
        <v>72</v>
      </c>
      <c r="C393" s="15" t="s">
        <v>73</v>
      </c>
      <c r="D393" s="14" t="s">
        <v>74</v>
      </c>
      <c r="E393" s="15" t="s">
        <v>75</v>
      </c>
      <c r="F393" s="14" t="s">
        <v>71</v>
      </c>
      <c r="G393" s="15" t="s">
        <v>23</v>
      </c>
      <c r="H393" s="15" t="s">
        <v>1530</v>
      </c>
      <c r="I393" s="15">
        <v>201411</v>
      </c>
      <c r="J393" s="16">
        <v>75040.75</v>
      </c>
      <c r="K393" s="171">
        <f t="shared" si="18"/>
        <v>6</v>
      </c>
      <c r="L393" s="17">
        <v>2.23333E-3</v>
      </c>
      <c r="M393" s="16">
        <f t="shared" si="19"/>
        <v>1005.54</v>
      </c>
      <c r="N393" s="16">
        <f t="shared" si="20"/>
        <v>2011.09</v>
      </c>
      <c r="O393" s="14"/>
    </row>
    <row r="394" spans="1:15">
      <c r="A394" s="14" t="s">
        <v>66</v>
      </c>
      <c r="B394" s="15" t="s">
        <v>81</v>
      </c>
      <c r="C394" s="15" t="s">
        <v>82</v>
      </c>
      <c r="D394" s="14" t="s">
        <v>83</v>
      </c>
      <c r="E394" s="15" t="s">
        <v>84</v>
      </c>
      <c r="F394" s="14" t="s">
        <v>85</v>
      </c>
      <c r="G394" s="15" t="s">
        <v>23</v>
      </c>
      <c r="H394" s="15" t="s">
        <v>1530</v>
      </c>
      <c r="I394" s="15">
        <v>201411</v>
      </c>
      <c r="J394" s="16">
        <v>18288.689999999999</v>
      </c>
      <c r="K394" s="171">
        <f t="shared" si="18"/>
        <v>6</v>
      </c>
      <c r="L394" s="17">
        <v>2.23333E-3</v>
      </c>
      <c r="M394" s="16">
        <f t="shared" si="19"/>
        <v>245.07</v>
      </c>
      <c r="N394" s="16">
        <f t="shared" si="20"/>
        <v>490.14</v>
      </c>
      <c r="O394" s="14"/>
    </row>
    <row r="395" spans="1:15">
      <c r="A395" s="14" t="s">
        <v>66</v>
      </c>
      <c r="B395" s="15" t="s">
        <v>90</v>
      </c>
      <c r="C395" s="15" t="s">
        <v>91</v>
      </c>
      <c r="D395" s="14" t="s">
        <v>78</v>
      </c>
      <c r="E395" s="15" t="s">
        <v>92</v>
      </c>
      <c r="F395" s="14" t="s">
        <v>80</v>
      </c>
      <c r="G395" s="15" t="s">
        <v>23</v>
      </c>
      <c r="H395" s="15" t="s">
        <v>1530</v>
      </c>
      <c r="I395" s="15">
        <v>201411</v>
      </c>
      <c r="J395" s="16">
        <v>25805.41</v>
      </c>
      <c r="K395" s="171">
        <f t="shared" si="18"/>
        <v>6</v>
      </c>
      <c r="L395" s="17">
        <v>2.23333E-3</v>
      </c>
      <c r="M395" s="16">
        <f t="shared" si="19"/>
        <v>345.79</v>
      </c>
      <c r="N395" s="16">
        <f t="shared" si="20"/>
        <v>691.58</v>
      </c>
      <c r="O395" s="14"/>
    </row>
    <row r="396" spans="1:15">
      <c r="A396" s="14" t="s">
        <v>17</v>
      </c>
      <c r="B396" s="15" t="s">
        <v>105</v>
      </c>
      <c r="C396" s="15" t="s">
        <v>106</v>
      </c>
      <c r="D396" s="14" t="s">
        <v>107</v>
      </c>
      <c r="E396" s="15" t="s">
        <v>108</v>
      </c>
      <c r="F396" s="14" t="s">
        <v>28</v>
      </c>
      <c r="G396" s="15" t="s">
        <v>23</v>
      </c>
      <c r="H396" s="15" t="s">
        <v>1525</v>
      </c>
      <c r="I396" s="15">
        <v>201411</v>
      </c>
      <c r="J396" s="16">
        <v>132.91</v>
      </c>
      <c r="K396" s="171">
        <f t="shared" si="18"/>
        <v>6</v>
      </c>
      <c r="L396" s="17">
        <v>1.4833299999999999E-3</v>
      </c>
      <c r="M396" s="16">
        <f t="shared" si="19"/>
        <v>1.18</v>
      </c>
      <c r="N396" s="16">
        <f t="shared" si="20"/>
        <v>2.37</v>
      </c>
      <c r="O396" s="14"/>
    </row>
    <row r="397" spans="1:15">
      <c r="A397" s="14" t="s">
        <v>54</v>
      </c>
      <c r="B397" s="15" t="s">
        <v>146</v>
      </c>
      <c r="C397" s="15" t="s">
        <v>147</v>
      </c>
      <c r="D397" s="14" t="s">
        <v>148</v>
      </c>
      <c r="E397" s="15" t="s">
        <v>62</v>
      </c>
      <c r="F397" s="14" t="s">
        <v>22</v>
      </c>
      <c r="G397" s="15" t="s">
        <v>23</v>
      </c>
      <c r="H397" s="15" t="s">
        <v>1525</v>
      </c>
      <c r="I397" s="15">
        <v>201411</v>
      </c>
      <c r="J397" s="16">
        <v>800090.36</v>
      </c>
      <c r="K397" s="171">
        <f t="shared" si="18"/>
        <v>6</v>
      </c>
      <c r="L397" s="17">
        <v>1.4833299999999999E-3</v>
      </c>
      <c r="M397" s="16">
        <f t="shared" si="19"/>
        <v>7120.79</v>
      </c>
      <c r="N397" s="16">
        <f t="shared" si="20"/>
        <v>14241.58</v>
      </c>
      <c r="O397" s="14"/>
    </row>
    <row r="398" spans="1:15">
      <c r="A398" s="18" t="s">
        <v>17</v>
      </c>
      <c r="B398" s="15" t="s">
        <v>189</v>
      </c>
      <c r="C398" s="15" t="s">
        <v>190</v>
      </c>
      <c r="D398" s="14" t="s">
        <v>191</v>
      </c>
      <c r="E398" s="15" t="s">
        <v>62</v>
      </c>
      <c r="F398" s="14" t="s">
        <v>22</v>
      </c>
      <c r="G398" s="15" t="s">
        <v>23</v>
      </c>
      <c r="H398" s="15" t="s">
        <v>1525</v>
      </c>
      <c r="I398" s="15">
        <v>201411</v>
      </c>
      <c r="J398" s="16">
        <v>-151959.22</v>
      </c>
      <c r="K398" s="171">
        <f t="shared" si="18"/>
        <v>6</v>
      </c>
      <c r="L398" s="17">
        <v>1.4833299999999999E-3</v>
      </c>
      <c r="M398" s="16">
        <f t="shared" si="19"/>
        <v>-1352.43</v>
      </c>
      <c r="N398" s="16">
        <f t="shared" si="20"/>
        <v>-2704.87</v>
      </c>
      <c r="O398" s="14"/>
    </row>
    <row r="399" spans="1:15">
      <c r="A399" s="18" t="s">
        <v>54</v>
      </c>
      <c r="B399" s="15" t="s">
        <v>189</v>
      </c>
      <c r="C399" s="15" t="s">
        <v>190</v>
      </c>
      <c r="D399" s="14" t="s">
        <v>191</v>
      </c>
      <c r="E399" s="15" t="s">
        <v>62</v>
      </c>
      <c r="F399" s="14" t="s">
        <v>22</v>
      </c>
      <c r="G399" s="15" t="s">
        <v>23</v>
      </c>
      <c r="H399" s="15" t="s">
        <v>1525</v>
      </c>
      <c r="I399" s="15">
        <v>201411</v>
      </c>
      <c r="J399" s="16">
        <v>151959.22</v>
      </c>
      <c r="K399" s="171">
        <f t="shared" si="18"/>
        <v>6</v>
      </c>
      <c r="L399" s="17">
        <v>1.4833299999999999E-3</v>
      </c>
      <c r="M399" s="16">
        <f t="shared" si="19"/>
        <v>1352.43</v>
      </c>
      <c r="N399" s="16">
        <f t="shared" si="20"/>
        <v>2704.87</v>
      </c>
      <c r="O399" s="14"/>
    </row>
    <row r="400" spans="1:15">
      <c r="A400" s="14" t="s">
        <v>66</v>
      </c>
      <c r="B400" s="15" t="s">
        <v>192</v>
      </c>
      <c r="C400" s="15" t="s">
        <v>193</v>
      </c>
      <c r="D400" s="14" t="s">
        <v>194</v>
      </c>
      <c r="E400" s="15" t="s">
        <v>195</v>
      </c>
      <c r="F400" s="14" t="s">
        <v>196</v>
      </c>
      <c r="G400" s="15" t="s">
        <v>23</v>
      </c>
      <c r="H400" s="15" t="s">
        <v>1530</v>
      </c>
      <c r="I400" s="15">
        <v>201411</v>
      </c>
      <c r="J400" s="16">
        <v>-2.78</v>
      </c>
      <c r="K400" s="171">
        <f t="shared" si="18"/>
        <v>6</v>
      </c>
      <c r="L400" s="17">
        <v>2.23333E-3</v>
      </c>
      <c r="M400" s="16">
        <f t="shared" si="19"/>
        <v>-0.04</v>
      </c>
      <c r="N400" s="16">
        <f t="shared" si="20"/>
        <v>-7.0000000000000007E-2</v>
      </c>
      <c r="O400" s="14"/>
    </row>
    <row r="401" spans="1:15">
      <c r="A401" s="14" t="s">
        <v>66</v>
      </c>
      <c r="B401" s="15" t="s">
        <v>197</v>
      </c>
      <c r="C401" s="15" t="s">
        <v>198</v>
      </c>
      <c r="D401" s="14" t="s">
        <v>69</v>
      </c>
      <c r="E401" s="15" t="s">
        <v>199</v>
      </c>
      <c r="F401" s="14" t="s">
        <v>71</v>
      </c>
      <c r="G401" s="15" t="s">
        <v>23</v>
      </c>
      <c r="H401" s="15" t="s">
        <v>1530</v>
      </c>
      <c r="I401" s="15">
        <v>201411</v>
      </c>
      <c r="J401" s="16">
        <v>-444.19</v>
      </c>
      <c r="K401" s="171">
        <f t="shared" si="18"/>
        <v>6</v>
      </c>
      <c r="L401" s="17">
        <v>2.23333E-3</v>
      </c>
      <c r="M401" s="16">
        <f t="shared" si="19"/>
        <v>-5.95</v>
      </c>
      <c r="N401" s="16">
        <f t="shared" si="20"/>
        <v>-11.9</v>
      </c>
      <c r="O401" s="14"/>
    </row>
    <row r="402" spans="1:15">
      <c r="A402" s="14" t="s">
        <v>66</v>
      </c>
      <c r="B402" s="15" t="s">
        <v>200</v>
      </c>
      <c r="C402" s="15" t="s">
        <v>201</v>
      </c>
      <c r="D402" s="14" t="s">
        <v>202</v>
      </c>
      <c r="E402" s="15" t="s">
        <v>203</v>
      </c>
      <c r="F402" s="14" t="s">
        <v>80</v>
      </c>
      <c r="G402" s="15" t="s">
        <v>23</v>
      </c>
      <c r="H402" s="15" t="s">
        <v>1530</v>
      </c>
      <c r="I402" s="15">
        <v>201411</v>
      </c>
      <c r="J402" s="16">
        <v>8450.75</v>
      </c>
      <c r="K402" s="171">
        <f t="shared" si="18"/>
        <v>6</v>
      </c>
      <c r="L402" s="17">
        <v>2.23333E-3</v>
      </c>
      <c r="M402" s="16">
        <f t="shared" si="19"/>
        <v>113.24</v>
      </c>
      <c r="N402" s="16">
        <f t="shared" si="20"/>
        <v>226.48</v>
      </c>
      <c r="O402" s="14"/>
    </row>
    <row r="403" spans="1:15">
      <c r="A403" s="18" t="s">
        <v>217</v>
      </c>
      <c r="B403" s="15" t="s">
        <v>218</v>
      </c>
      <c r="C403" s="15" t="s">
        <v>219</v>
      </c>
      <c r="D403" s="14" t="s">
        <v>220</v>
      </c>
      <c r="E403" s="15" t="s">
        <v>221</v>
      </c>
      <c r="F403" s="14" t="s">
        <v>222</v>
      </c>
      <c r="G403" s="15" t="s">
        <v>23</v>
      </c>
      <c r="H403" s="15" t="s">
        <v>1524</v>
      </c>
      <c r="I403" s="15">
        <v>201411</v>
      </c>
      <c r="J403" s="16">
        <v>63472.43</v>
      </c>
      <c r="K403" s="171">
        <f t="shared" si="18"/>
        <v>6</v>
      </c>
      <c r="L403" s="17">
        <v>1.4833299999999999E-3</v>
      </c>
      <c r="M403" s="16">
        <f t="shared" si="19"/>
        <v>564.9</v>
      </c>
      <c r="N403" s="16">
        <f t="shared" si="20"/>
        <v>1129.81</v>
      </c>
      <c r="O403" s="14"/>
    </row>
    <row r="404" spans="1:15">
      <c r="A404" s="14" t="s">
        <v>66</v>
      </c>
      <c r="B404" s="15" t="s">
        <v>223</v>
      </c>
      <c r="C404" s="15" t="s">
        <v>224</v>
      </c>
      <c r="D404" s="14" t="s">
        <v>88</v>
      </c>
      <c r="E404" s="15" t="s">
        <v>225</v>
      </c>
      <c r="F404" s="14" t="s">
        <v>85</v>
      </c>
      <c r="G404" s="15" t="s">
        <v>23</v>
      </c>
      <c r="H404" s="15" t="s">
        <v>1530</v>
      </c>
      <c r="I404" s="15">
        <v>201411</v>
      </c>
      <c r="J404" s="16">
        <v>-864.28</v>
      </c>
      <c r="K404" s="171">
        <f t="shared" si="18"/>
        <v>6</v>
      </c>
      <c r="L404" s="17">
        <v>2.23333E-3</v>
      </c>
      <c r="M404" s="16">
        <f t="shared" si="19"/>
        <v>-11.58</v>
      </c>
      <c r="N404" s="16">
        <f t="shared" si="20"/>
        <v>-23.16</v>
      </c>
      <c r="O404" s="14"/>
    </row>
    <row r="405" spans="1:15">
      <c r="A405" s="14" t="s">
        <v>66</v>
      </c>
      <c r="B405" s="15" t="s">
        <v>226</v>
      </c>
      <c r="C405" s="15" t="s">
        <v>227</v>
      </c>
      <c r="D405" s="14" t="s">
        <v>78</v>
      </c>
      <c r="E405" s="15" t="s">
        <v>228</v>
      </c>
      <c r="F405" s="14" t="s">
        <v>80</v>
      </c>
      <c r="G405" s="15" t="s">
        <v>23</v>
      </c>
      <c r="H405" s="15" t="s">
        <v>1530</v>
      </c>
      <c r="I405" s="15">
        <v>201411</v>
      </c>
      <c r="J405" s="16">
        <v>-783.88</v>
      </c>
      <c r="K405" s="171">
        <f t="shared" si="18"/>
        <v>6</v>
      </c>
      <c r="L405" s="17">
        <v>2.23333E-3</v>
      </c>
      <c r="M405" s="16">
        <f t="shared" si="19"/>
        <v>-10.5</v>
      </c>
      <c r="N405" s="16">
        <f t="shared" si="20"/>
        <v>-21.01</v>
      </c>
      <c r="O405" s="14"/>
    </row>
    <row r="406" spans="1:15">
      <c r="A406" s="14" t="s">
        <v>66</v>
      </c>
      <c r="B406" s="15" t="s">
        <v>229</v>
      </c>
      <c r="C406" s="15" t="s">
        <v>230</v>
      </c>
      <c r="D406" s="14" t="s">
        <v>78</v>
      </c>
      <c r="E406" s="15" t="s">
        <v>231</v>
      </c>
      <c r="F406" s="14" t="s">
        <v>80</v>
      </c>
      <c r="G406" s="15" t="s">
        <v>23</v>
      </c>
      <c r="H406" s="15" t="s">
        <v>1530</v>
      </c>
      <c r="I406" s="15">
        <v>201411</v>
      </c>
      <c r="J406" s="16">
        <v>-3450.23</v>
      </c>
      <c r="K406" s="171">
        <f t="shared" si="18"/>
        <v>6</v>
      </c>
      <c r="L406" s="17">
        <v>2.23333E-3</v>
      </c>
      <c r="M406" s="16">
        <f t="shared" si="19"/>
        <v>-46.23</v>
      </c>
      <c r="N406" s="16">
        <f t="shared" si="20"/>
        <v>-92.47</v>
      </c>
      <c r="O406" s="14"/>
    </row>
    <row r="407" spans="1:15">
      <c r="A407" s="14" t="s">
        <v>54</v>
      </c>
      <c r="B407" s="15" t="s">
        <v>303</v>
      </c>
      <c r="C407" s="15" t="s">
        <v>304</v>
      </c>
      <c r="D407" s="14" t="s">
        <v>305</v>
      </c>
      <c r="E407" s="15" t="s">
        <v>104</v>
      </c>
      <c r="F407" s="14" t="s">
        <v>41</v>
      </c>
      <c r="G407" s="15" t="s">
        <v>23</v>
      </c>
      <c r="H407" s="15" t="s">
        <v>1526</v>
      </c>
      <c r="I407" s="15">
        <v>201411</v>
      </c>
      <c r="J407" s="16">
        <v>0</v>
      </c>
      <c r="K407" s="171">
        <f t="shared" si="18"/>
        <v>6</v>
      </c>
      <c r="L407" s="17">
        <v>1.4833299999999999E-3</v>
      </c>
      <c r="M407" s="16">
        <f t="shared" si="19"/>
        <v>0</v>
      </c>
      <c r="N407" s="16">
        <f t="shared" si="20"/>
        <v>0</v>
      </c>
      <c r="O407" s="14"/>
    </row>
    <row r="408" spans="1:15">
      <c r="A408" s="14" t="s">
        <v>54</v>
      </c>
      <c r="B408" s="15" t="s">
        <v>309</v>
      </c>
      <c r="C408" s="15" t="s">
        <v>310</v>
      </c>
      <c r="D408" s="14" t="s">
        <v>311</v>
      </c>
      <c r="E408" s="15" t="s">
        <v>216</v>
      </c>
      <c r="F408" s="14" t="s">
        <v>22</v>
      </c>
      <c r="G408" s="15" t="s">
        <v>23</v>
      </c>
      <c r="H408" s="15" t="s">
        <v>1525</v>
      </c>
      <c r="I408" s="15">
        <v>201411</v>
      </c>
      <c r="J408" s="16">
        <v>40780.9</v>
      </c>
      <c r="K408" s="171">
        <f t="shared" si="18"/>
        <v>6</v>
      </c>
      <c r="L408" s="17">
        <v>1.4833299999999999E-3</v>
      </c>
      <c r="M408" s="16">
        <f t="shared" si="19"/>
        <v>362.95</v>
      </c>
      <c r="N408" s="16">
        <f t="shared" si="20"/>
        <v>725.9</v>
      </c>
      <c r="O408" s="14"/>
    </row>
    <row r="409" spans="1:15">
      <c r="A409" s="14" t="s">
        <v>17</v>
      </c>
      <c r="B409" s="15" t="s">
        <v>347</v>
      </c>
      <c r="C409" s="15" t="s">
        <v>348</v>
      </c>
      <c r="D409" s="14" t="s">
        <v>349</v>
      </c>
      <c r="E409" s="15" t="s">
        <v>324</v>
      </c>
      <c r="F409" s="14" t="s">
        <v>325</v>
      </c>
      <c r="G409" s="15" t="s">
        <v>23</v>
      </c>
      <c r="H409" s="15" t="s">
        <v>1525</v>
      </c>
      <c r="I409" s="15">
        <v>201411</v>
      </c>
      <c r="J409" s="16">
        <v>1085.29</v>
      </c>
      <c r="K409" s="171">
        <f t="shared" si="18"/>
        <v>6</v>
      </c>
      <c r="L409" s="17">
        <v>1.4833299999999999E-3</v>
      </c>
      <c r="M409" s="16">
        <f t="shared" si="19"/>
        <v>9.66</v>
      </c>
      <c r="N409" s="16">
        <f t="shared" si="20"/>
        <v>19.32</v>
      </c>
      <c r="O409" s="14"/>
    </row>
    <row r="410" spans="1:15">
      <c r="A410" s="14" t="s">
        <v>54</v>
      </c>
      <c r="B410" s="15" t="s">
        <v>359</v>
      </c>
      <c r="C410" s="15" t="s">
        <v>360</v>
      </c>
      <c r="D410" s="14" t="s">
        <v>361</v>
      </c>
      <c r="E410" s="15" t="s">
        <v>362</v>
      </c>
      <c r="F410" s="14" t="s">
        <v>41</v>
      </c>
      <c r="G410" s="15" t="s">
        <v>23</v>
      </c>
      <c r="H410" s="15" t="s">
        <v>1526</v>
      </c>
      <c r="I410" s="15">
        <v>201411</v>
      </c>
      <c r="J410" s="16">
        <v>-76.47</v>
      </c>
      <c r="K410" s="171">
        <f t="shared" si="18"/>
        <v>6</v>
      </c>
      <c r="L410" s="17">
        <v>1.4833299999999999E-3</v>
      </c>
      <c r="M410" s="16">
        <f t="shared" si="19"/>
        <v>-0.68</v>
      </c>
      <c r="N410" s="16">
        <f t="shared" si="20"/>
        <v>-1.36</v>
      </c>
      <c r="O410" s="14"/>
    </row>
    <row r="411" spans="1:15">
      <c r="A411" s="14" t="s">
        <v>17</v>
      </c>
      <c r="B411" s="15" t="s">
        <v>366</v>
      </c>
      <c r="C411" s="15" t="s">
        <v>367</v>
      </c>
      <c r="D411" s="14" t="s">
        <v>368</v>
      </c>
      <c r="E411" s="15" t="s">
        <v>369</v>
      </c>
      <c r="F411" s="14" t="s">
        <v>41</v>
      </c>
      <c r="G411" s="15" t="s">
        <v>23</v>
      </c>
      <c r="H411" s="15" t="s">
        <v>1526</v>
      </c>
      <c r="I411" s="15">
        <v>201411</v>
      </c>
      <c r="J411" s="16">
        <v>3575265.61</v>
      </c>
      <c r="K411" s="171">
        <f t="shared" si="18"/>
        <v>6</v>
      </c>
      <c r="L411" s="17">
        <v>1.4833299999999999E-3</v>
      </c>
      <c r="M411" s="16">
        <f t="shared" si="19"/>
        <v>31819.79</v>
      </c>
      <c r="N411" s="16">
        <f t="shared" si="20"/>
        <v>63639.58</v>
      </c>
      <c r="O411" s="14"/>
    </row>
    <row r="412" spans="1:15">
      <c r="A412" s="14" t="s">
        <v>17</v>
      </c>
      <c r="B412" s="15" t="s">
        <v>366</v>
      </c>
      <c r="C412" s="15" t="s">
        <v>367</v>
      </c>
      <c r="D412" s="14" t="s">
        <v>370</v>
      </c>
      <c r="E412" s="15" t="s">
        <v>369</v>
      </c>
      <c r="F412" s="14" t="s">
        <v>41</v>
      </c>
      <c r="G412" s="15" t="s">
        <v>23</v>
      </c>
      <c r="H412" s="15" t="s">
        <v>1526</v>
      </c>
      <c r="I412" s="15">
        <v>201411</v>
      </c>
      <c r="J412" s="16">
        <v>-1179275</v>
      </c>
      <c r="K412" s="171">
        <f t="shared" si="18"/>
        <v>6</v>
      </c>
      <c r="L412" s="17">
        <v>1.4833299999999999E-3</v>
      </c>
      <c r="M412" s="16">
        <f t="shared" si="19"/>
        <v>-10495.52</v>
      </c>
      <c r="N412" s="16">
        <f t="shared" si="20"/>
        <v>-20991.05</v>
      </c>
      <c r="O412" s="14"/>
    </row>
    <row r="413" spans="1:15">
      <c r="A413" s="14" t="s">
        <v>66</v>
      </c>
      <c r="B413" s="15" t="s">
        <v>371</v>
      </c>
      <c r="C413" s="15" t="s">
        <v>372</v>
      </c>
      <c r="D413" s="14" t="s">
        <v>88</v>
      </c>
      <c r="E413" s="15" t="s">
        <v>373</v>
      </c>
      <c r="F413" s="14" t="s">
        <v>85</v>
      </c>
      <c r="G413" s="15" t="s">
        <v>23</v>
      </c>
      <c r="H413" s="15" t="s">
        <v>1530</v>
      </c>
      <c r="I413" s="15">
        <v>201411</v>
      </c>
      <c r="J413" s="16">
        <v>-288.35000000000002</v>
      </c>
      <c r="K413" s="171">
        <f t="shared" si="18"/>
        <v>6</v>
      </c>
      <c r="L413" s="17">
        <v>2.23333E-3</v>
      </c>
      <c r="M413" s="16">
        <f t="shared" si="19"/>
        <v>-3.86</v>
      </c>
      <c r="N413" s="16">
        <f t="shared" si="20"/>
        <v>-7.73</v>
      </c>
      <c r="O413" s="14"/>
    </row>
    <row r="414" spans="1:15">
      <c r="A414" s="14" t="s">
        <v>66</v>
      </c>
      <c r="B414" s="15" t="s">
        <v>374</v>
      </c>
      <c r="C414" s="15" t="s">
        <v>375</v>
      </c>
      <c r="D414" s="14" t="s">
        <v>376</v>
      </c>
      <c r="E414" s="15" t="s">
        <v>377</v>
      </c>
      <c r="F414" s="14" t="s">
        <v>378</v>
      </c>
      <c r="G414" s="15" t="s">
        <v>23</v>
      </c>
      <c r="H414" s="15" t="s">
        <v>1530</v>
      </c>
      <c r="I414" s="15">
        <v>201411</v>
      </c>
      <c r="J414" s="16">
        <v>-119.93</v>
      </c>
      <c r="K414" s="171">
        <f t="shared" si="18"/>
        <v>6</v>
      </c>
      <c r="L414" s="17">
        <v>2.23333E-3</v>
      </c>
      <c r="M414" s="16">
        <f t="shared" si="19"/>
        <v>-1.61</v>
      </c>
      <c r="N414" s="16">
        <f t="shared" si="20"/>
        <v>-3.21</v>
      </c>
      <c r="O414" s="14"/>
    </row>
    <row r="415" spans="1:15">
      <c r="A415" s="14" t="s">
        <v>66</v>
      </c>
      <c r="B415" s="15" t="s">
        <v>379</v>
      </c>
      <c r="C415" s="15" t="s">
        <v>380</v>
      </c>
      <c r="D415" s="14" t="s">
        <v>381</v>
      </c>
      <c r="E415" s="15" t="s">
        <v>382</v>
      </c>
      <c r="F415" s="14" t="s">
        <v>212</v>
      </c>
      <c r="G415" s="15" t="s">
        <v>23</v>
      </c>
      <c r="H415" s="15" t="s">
        <v>1530</v>
      </c>
      <c r="I415" s="15">
        <v>201411</v>
      </c>
      <c r="J415" s="16">
        <v>8632.84</v>
      </c>
      <c r="K415" s="171">
        <f t="shared" si="18"/>
        <v>6</v>
      </c>
      <c r="L415" s="17">
        <v>2.23333E-3</v>
      </c>
      <c r="M415" s="16">
        <f t="shared" si="19"/>
        <v>115.68</v>
      </c>
      <c r="N415" s="16">
        <f t="shared" si="20"/>
        <v>231.36</v>
      </c>
      <c r="O415" s="14"/>
    </row>
    <row r="416" spans="1:15">
      <c r="A416" s="14" t="s">
        <v>66</v>
      </c>
      <c r="B416" s="15" t="s">
        <v>383</v>
      </c>
      <c r="C416" s="15" t="s">
        <v>384</v>
      </c>
      <c r="D416" s="14" t="s">
        <v>385</v>
      </c>
      <c r="E416" s="15" t="s">
        <v>386</v>
      </c>
      <c r="F416" s="14" t="s">
        <v>387</v>
      </c>
      <c r="G416" s="15" t="s">
        <v>23</v>
      </c>
      <c r="H416" s="15" t="s">
        <v>1530</v>
      </c>
      <c r="I416" s="15">
        <v>201411</v>
      </c>
      <c r="J416" s="16">
        <v>112142.79</v>
      </c>
      <c r="K416" s="171">
        <f t="shared" si="18"/>
        <v>6</v>
      </c>
      <c r="L416" s="17">
        <v>2.23333E-3</v>
      </c>
      <c r="M416" s="16">
        <f t="shared" si="19"/>
        <v>1502.71</v>
      </c>
      <c r="N416" s="16">
        <f t="shared" si="20"/>
        <v>3005.42</v>
      </c>
      <c r="O416" s="14"/>
    </row>
    <row r="417" spans="1:15">
      <c r="A417" s="14" t="s">
        <v>66</v>
      </c>
      <c r="B417" s="15" t="s">
        <v>388</v>
      </c>
      <c r="C417" s="15" t="s">
        <v>389</v>
      </c>
      <c r="D417" s="14" t="s">
        <v>385</v>
      </c>
      <c r="E417" s="15" t="s">
        <v>390</v>
      </c>
      <c r="F417" s="14" t="s">
        <v>387</v>
      </c>
      <c r="G417" s="15" t="s">
        <v>23</v>
      </c>
      <c r="H417" s="15" t="s">
        <v>1530</v>
      </c>
      <c r="I417" s="15">
        <v>201411</v>
      </c>
      <c r="J417" s="16">
        <v>8594.43</v>
      </c>
      <c r="K417" s="171">
        <f t="shared" si="18"/>
        <v>6</v>
      </c>
      <c r="L417" s="17">
        <v>2.23333E-3</v>
      </c>
      <c r="M417" s="16">
        <f t="shared" si="19"/>
        <v>115.17</v>
      </c>
      <c r="N417" s="16">
        <f t="shared" si="20"/>
        <v>230.33</v>
      </c>
      <c r="O417" s="14"/>
    </row>
    <row r="418" spans="1:15">
      <c r="A418" s="14" t="s">
        <v>17</v>
      </c>
      <c r="B418" s="15" t="s">
        <v>391</v>
      </c>
      <c r="C418" s="15" t="s">
        <v>392</v>
      </c>
      <c r="D418" s="14" t="s">
        <v>393</v>
      </c>
      <c r="E418" s="15" t="s">
        <v>394</v>
      </c>
      <c r="F418" s="14" t="s">
        <v>137</v>
      </c>
      <c r="G418" s="15" t="s">
        <v>23</v>
      </c>
      <c r="H418" s="15" t="s">
        <v>1526</v>
      </c>
      <c r="I418" s="15">
        <v>201411</v>
      </c>
      <c r="J418" s="16">
        <v>5763.59</v>
      </c>
      <c r="K418" s="171">
        <f t="shared" si="18"/>
        <v>6</v>
      </c>
      <c r="L418" s="17">
        <v>1.4833299999999999E-3</v>
      </c>
      <c r="M418" s="16">
        <f t="shared" si="19"/>
        <v>51.3</v>
      </c>
      <c r="N418" s="16">
        <f t="shared" si="20"/>
        <v>102.59</v>
      </c>
      <c r="O418" s="14"/>
    </row>
    <row r="419" spans="1:15">
      <c r="A419" s="14" t="s">
        <v>54</v>
      </c>
      <c r="B419" s="15" t="s">
        <v>419</v>
      </c>
      <c r="C419" s="15" t="s">
        <v>420</v>
      </c>
      <c r="D419" s="14" t="s">
        <v>421</v>
      </c>
      <c r="E419" s="15" t="s">
        <v>32</v>
      </c>
      <c r="F419" s="14" t="s">
        <v>22</v>
      </c>
      <c r="G419" s="15" t="s">
        <v>23</v>
      </c>
      <c r="H419" s="15" t="s">
        <v>1525</v>
      </c>
      <c r="I419" s="15">
        <v>201411</v>
      </c>
      <c r="J419" s="16">
        <v>-3.53</v>
      </c>
      <c r="K419" s="171">
        <f t="shared" si="18"/>
        <v>6</v>
      </c>
      <c r="L419" s="17">
        <v>1.4833299999999999E-3</v>
      </c>
      <c r="M419" s="16">
        <f t="shared" si="19"/>
        <v>-0.03</v>
      </c>
      <c r="N419" s="16">
        <f t="shared" si="20"/>
        <v>-0.06</v>
      </c>
      <c r="O419" s="14"/>
    </row>
    <row r="420" spans="1:15">
      <c r="A420" s="14" t="s">
        <v>54</v>
      </c>
      <c r="B420" s="15" t="s">
        <v>453</v>
      </c>
      <c r="C420" s="15" t="s">
        <v>454</v>
      </c>
      <c r="D420" s="14" t="s">
        <v>455</v>
      </c>
      <c r="E420" s="15" t="s">
        <v>62</v>
      </c>
      <c r="F420" s="14" t="s">
        <v>22</v>
      </c>
      <c r="G420" s="15" t="s">
        <v>23</v>
      </c>
      <c r="H420" s="15" t="s">
        <v>1525</v>
      </c>
      <c r="I420" s="15">
        <v>201411</v>
      </c>
      <c r="J420" s="16">
        <v>-29.65</v>
      </c>
      <c r="K420" s="171">
        <f t="shared" si="18"/>
        <v>6</v>
      </c>
      <c r="L420" s="17">
        <v>1.4833299999999999E-3</v>
      </c>
      <c r="M420" s="16">
        <f t="shared" si="19"/>
        <v>-0.26</v>
      </c>
      <c r="N420" s="16">
        <f t="shared" si="20"/>
        <v>-0.53</v>
      </c>
      <c r="O420" s="14"/>
    </row>
    <row r="421" spans="1:15">
      <c r="A421" s="14" t="s">
        <v>17</v>
      </c>
      <c r="B421" s="15" t="s">
        <v>480</v>
      </c>
      <c r="C421" s="15" t="s">
        <v>481</v>
      </c>
      <c r="D421" s="14" t="s">
        <v>482</v>
      </c>
      <c r="E421" s="15" t="s">
        <v>141</v>
      </c>
      <c r="F421" s="14" t="s">
        <v>142</v>
      </c>
      <c r="G421" s="15" t="s">
        <v>23</v>
      </c>
      <c r="H421" s="15" t="s">
        <v>1525</v>
      </c>
      <c r="I421" s="15">
        <v>201411</v>
      </c>
      <c r="J421" s="16">
        <v>-143.49</v>
      </c>
      <c r="K421" s="171">
        <f t="shared" si="18"/>
        <v>6</v>
      </c>
      <c r="L421" s="17">
        <v>1.4833299999999999E-3</v>
      </c>
      <c r="M421" s="16">
        <f t="shared" si="19"/>
        <v>-1.28</v>
      </c>
      <c r="N421" s="16">
        <f t="shared" si="20"/>
        <v>-2.5499999999999998</v>
      </c>
      <c r="O421" s="14"/>
    </row>
    <row r="422" spans="1:15">
      <c r="A422" s="14" t="s">
        <v>66</v>
      </c>
      <c r="B422" s="15" t="s">
        <v>489</v>
      </c>
      <c r="C422" s="15" t="s">
        <v>490</v>
      </c>
      <c r="D422" s="14" t="s">
        <v>491</v>
      </c>
      <c r="E422" s="15" t="s">
        <v>492</v>
      </c>
      <c r="F422" s="14" t="s">
        <v>378</v>
      </c>
      <c r="G422" s="15" t="s">
        <v>23</v>
      </c>
      <c r="H422" s="15" t="s">
        <v>1530</v>
      </c>
      <c r="I422" s="15">
        <v>201411</v>
      </c>
      <c r="J422" s="16">
        <v>2182.83</v>
      </c>
      <c r="K422" s="171">
        <f t="shared" si="18"/>
        <v>6</v>
      </c>
      <c r="L422" s="17">
        <v>2.23333E-3</v>
      </c>
      <c r="M422" s="16">
        <f t="shared" si="19"/>
        <v>29.25</v>
      </c>
      <c r="N422" s="16">
        <f t="shared" si="20"/>
        <v>58.5</v>
      </c>
      <c r="O422" s="14"/>
    </row>
    <row r="423" spans="1:15">
      <c r="A423" s="14" t="s">
        <v>66</v>
      </c>
      <c r="B423" s="15" t="s">
        <v>496</v>
      </c>
      <c r="C423" s="15" t="s">
        <v>497</v>
      </c>
      <c r="D423" s="14" t="s">
        <v>376</v>
      </c>
      <c r="E423" s="15" t="s">
        <v>498</v>
      </c>
      <c r="F423" s="14" t="s">
        <v>378</v>
      </c>
      <c r="G423" s="15" t="s">
        <v>23</v>
      </c>
      <c r="H423" s="15" t="s">
        <v>1530</v>
      </c>
      <c r="I423" s="15">
        <v>201411</v>
      </c>
      <c r="J423" s="16">
        <v>467</v>
      </c>
      <c r="K423" s="171">
        <f t="shared" si="18"/>
        <v>6</v>
      </c>
      <c r="L423" s="17">
        <v>2.23333E-3</v>
      </c>
      <c r="M423" s="16">
        <f t="shared" si="19"/>
        <v>6.26</v>
      </c>
      <c r="N423" s="16">
        <f t="shared" si="20"/>
        <v>12.52</v>
      </c>
      <c r="O423" s="14"/>
    </row>
    <row r="424" spans="1:15">
      <c r="A424" s="14" t="s">
        <v>66</v>
      </c>
      <c r="B424" s="15" t="s">
        <v>499</v>
      </c>
      <c r="C424" s="15" t="s">
        <v>500</v>
      </c>
      <c r="D424" s="14" t="s">
        <v>385</v>
      </c>
      <c r="E424" s="15" t="s">
        <v>501</v>
      </c>
      <c r="F424" s="14" t="s">
        <v>387</v>
      </c>
      <c r="G424" s="15" t="s">
        <v>23</v>
      </c>
      <c r="H424" s="15" t="s">
        <v>1530</v>
      </c>
      <c r="I424" s="15">
        <v>201411</v>
      </c>
      <c r="J424" s="16">
        <v>14235.91</v>
      </c>
      <c r="K424" s="171">
        <f t="shared" si="18"/>
        <v>6</v>
      </c>
      <c r="L424" s="17">
        <v>2.23333E-3</v>
      </c>
      <c r="M424" s="16">
        <f t="shared" si="19"/>
        <v>190.76</v>
      </c>
      <c r="N424" s="16">
        <f t="shared" si="20"/>
        <v>381.52</v>
      </c>
      <c r="O424" s="14"/>
    </row>
    <row r="425" spans="1:15">
      <c r="A425" s="14" t="s">
        <v>54</v>
      </c>
      <c r="B425" s="15" t="s">
        <v>543</v>
      </c>
      <c r="C425" s="15" t="s">
        <v>544</v>
      </c>
      <c r="D425" s="14" t="s">
        <v>545</v>
      </c>
      <c r="E425" s="15" t="s">
        <v>62</v>
      </c>
      <c r="F425" s="14" t="s">
        <v>22</v>
      </c>
      <c r="G425" s="15" t="s">
        <v>23</v>
      </c>
      <c r="H425" s="15" t="s">
        <v>1525</v>
      </c>
      <c r="I425" s="15">
        <v>201411</v>
      </c>
      <c r="J425" s="16">
        <v>26447.34</v>
      </c>
      <c r="K425" s="171">
        <f t="shared" si="18"/>
        <v>6</v>
      </c>
      <c r="L425" s="17">
        <v>1.4833299999999999E-3</v>
      </c>
      <c r="M425" s="16">
        <f t="shared" si="19"/>
        <v>235.38</v>
      </c>
      <c r="N425" s="16">
        <f t="shared" si="20"/>
        <v>470.76</v>
      </c>
      <c r="O425" s="14"/>
    </row>
    <row r="426" spans="1:15">
      <c r="A426" s="14" t="s">
        <v>17</v>
      </c>
      <c r="B426" s="15" t="s">
        <v>552</v>
      </c>
      <c r="C426" s="15" t="s">
        <v>553</v>
      </c>
      <c r="D426" s="14" t="s">
        <v>554</v>
      </c>
      <c r="E426" s="15" t="s">
        <v>62</v>
      </c>
      <c r="F426" s="14" t="s">
        <v>22</v>
      </c>
      <c r="G426" s="15" t="s">
        <v>23</v>
      </c>
      <c r="H426" s="15" t="s">
        <v>1525</v>
      </c>
      <c r="I426" s="15">
        <v>201411</v>
      </c>
      <c r="J426" s="16">
        <v>-5700.68</v>
      </c>
      <c r="K426" s="171">
        <f t="shared" si="18"/>
        <v>6</v>
      </c>
      <c r="L426" s="17">
        <v>1.4833299999999999E-3</v>
      </c>
      <c r="M426" s="16">
        <f t="shared" si="19"/>
        <v>-50.74</v>
      </c>
      <c r="N426" s="16">
        <f t="shared" si="20"/>
        <v>-101.47</v>
      </c>
      <c r="O426" s="14"/>
    </row>
    <row r="427" spans="1:15">
      <c r="A427" s="20" t="s">
        <v>238</v>
      </c>
      <c r="B427" s="21" t="s">
        <v>1099</v>
      </c>
      <c r="C427" s="21" t="s">
        <v>1100</v>
      </c>
      <c r="D427" s="20" t="s">
        <v>1101</v>
      </c>
      <c r="E427" s="21" t="s">
        <v>104</v>
      </c>
      <c r="F427" s="20" t="s">
        <v>41</v>
      </c>
      <c r="G427" s="21" t="s">
        <v>23</v>
      </c>
      <c r="H427" s="15" t="s">
        <v>1526</v>
      </c>
      <c r="I427" s="21">
        <v>201411</v>
      </c>
      <c r="J427" s="22">
        <v>-831.58</v>
      </c>
      <c r="K427" s="171">
        <f t="shared" si="18"/>
        <v>6</v>
      </c>
      <c r="L427" s="23">
        <v>2.3833299999999999E-3</v>
      </c>
      <c r="M427" s="22">
        <f t="shared" si="19"/>
        <v>-11.89</v>
      </c>
      <c r="N427" s="22">
        <f t="shared" si="20"/>
        <v>-23.78</v>
      </c>
      <c r="O427" s="20"/>
    </row>
    <row r="428" spans="1:15">
      <c r="A428" s="14" t="s">
        <v>54</v>
      </c>
      <c r="B428" s="15" t="s">
        <v>581</v>
      </c>
      <c r="C428" s="15" t="s">
        <v>582</v>
      </c>
      <c r="D428" s="14" t="s">
        <v>583</v>
      </c>
      <c r="E428" s="15" t="s">
        <v>104</v>
      </c>
      <c r="F428" s="14" t="s">
        <v>41</v>
      </c>
      <c r="G428" s="15" t="s">
        <v>23</v>
      </c>
      <c r="H428" s="15" t="s">
        <v>1526</v>
      </c>
      <c r="I428" s="15">
        <v>201411</v>
      </c>
      <c r="J428" s="16">
        <v>-154.51</v>
      </c>
      <c r="K428" s="171">
        <f t="shared" si="18"/>
        <v>6</v>
      </c>
      <c r="L428" s="17">
        <v>1.4833299999999999E-3</v>
      </c>
      <c r="M428" s="16">
        <f t="shared" si="19"/>
        <v>-1.38</v>
      </c>
      <c r="N428" s="16">
        <f t="shared" si="20"/>
        <v>-2.75</v>
      </c>
      <c r="O428" s="14"/>
    </row>
    <row r="429" spans="1:15">
      <c r="A429" s="14" t="s">
        <v>66</v>
      </c>
      <c r="B429" s="15" t="s">
        <v>595</v>
      </c>
      <c r="C429" s="15" t="s">
        <v>596</v>
      </c>
      <c r="D429" s="14" t="s">
        <v>597</v>
      </c>
      <c r="E429" s="15" t="s">
        <v>598</v>
      </c>
      <c r="F429" s="14" t="s">
        <v>212</v>
      </c>
      <c r="G429" s="15" t="s">
        <v>23</v>
      </c>
      <c r="H429" s="15" t="s">
        <v>1530</v>
      </c>
      <c r="I429" s="15">
        <v>201411</v>
      </c>
      <c r="J429" s="16">
        <v>46466.6</v>
      </c>
      <c r="K429" s="171">
        <f t="shared" si="18"/>
        <v>6</v>
      </c>
      <c r="L429" s="17">
        <v>2.23333E-3</v>
      </c>
      <c r="M429" s="16">
        <f t="shared" si="19"/>
        <v>622.65</v>
      </c>
      <c r="N429" s="16">
        <f t="shared" si="20"/>
        <v>1245.3</v>
      </c>
      <c r="O429" s="14"/>
    </row>
    <row r="430" spans="1:15">
      <c r="A430" s="14" t="s">
        <v>66</v>
      </c>
      <c r="B430" s="15" t="s">
        <v>599</v>
      </c>
      <c r="C430" s="15" t="s">
        <v>600</v>
      </c>
      <c r="D430" s="14" t="s">
        <v>385</v>
      </c>
      <c r="E430" s="15" t="s">
        <v>601</v>
      </c>
      <c r="F430" s="14" t="s">
        <v>387</v>
      </c>
      <c r="G430" s="15" t="s">
        <v>23</v>
      </c>
      <c r="H430" s="15" t="s">
        <v>1530</v>
      </c>
      <c r="I430" s="15">
        <v>201411</v>
      </c>
      <c r="J430" s="16">
        <v>5494.87</v>
      </c>
      <c r="K430" s="171">
        <f t="shared" si="18"/>
        <v>6</v>
      </c>
      <c r="L430" s="17">
        <v>2.23333E-3</v>
      </c>
      <c r="M430" s="16">
        <f t="shared" si="19"/>
        <v>73.63</v>
      </c>
      <c r="N430" s="16">
        <f t="shared" si="20"/>
        <v>147.26</v>
      </c>
      <c r="O430" s="14"/>
    </row>
    <row r="431" spans="1:15">
      <c r="A431" s="18" t="s">
        <v>17</v>
      </c>
      <c r="B431" s="15" t="s">
        <v>646</v>
      </c>
      <c r="C431" s="15" t="s">
        <v>647</v>
      </c>
      <c r="D431" s="14" t="s">
        <v>648</v>
      </c>
      <c r="E431" s="15" t="s">
        <v>176</v>
      </c>
      <c r="F431" s="14" t="s">
        <v>28</v>
      </c>
      <c r="G431" s="15" t="s">
        <v>23</v>
      </c>
      <c r="H431" s="15" t="s">
        <v>1525</v>
      </c>
      <c r="I431" s="15">
        <v>201411</v>
      </c>
      <c r="J431" s="16">
        <v>18.21</v>
      </c>
      <c r="K431" s="171">
        <f t="shared" si="18"/>
        <v>6</v>
      </c>
      <c r="L431" s="17">
        <v>1.4833299999999999E-3</v>
      </c>
      <c r="M431" s="16">
        <f t="shared" si="19"/>
        <v>0.16</v>
      </c>
      <c r="N431" s="16">
        <f t="shared" si="20"/>
        <v>0.32</v>
      </c>
      <c r="O431" s="14"/>
    </row>
    <row r="432" spans="1:15">
      <c r="A432" s="14" t="s">
        <v>66</v>
      </c>
      <c r="B432" s="15" t="s">
        <v>671</v>
      </c>
      <c r="C432" s="15" t="s">
        <v>672</v>
      </c>
      <c r="D432" s="14" t="s">
        <v>206</v>
      </c>
      <c r="E432" s="15" t="s">
        <v>673</v>
      </c>
      <c r="F432" s="14" t="s">
        <v>97</v>
      </c>
      <c r="G432" s="15" t="s">
        <v>23</v>
      </c>
      <c r="H432" s="15" t="s">
        <v>1530</v>
      </c>
      <c r="I432" s="15">
        <v>201411</v>
      </c>
      <c r="J432" s="16">
        <v>20.29</v>
      </c>
      <c r="K432" s="171">
        <f t="shared" si="18"/>
        <v>6</v>
      </c>
      <c r="L432" s="17">
        <v>2.23333E-3</v>
      </c>
      <c r="M432" s="16">
        <f t="shared" si="19"/>
        <v>0.27</v>
      </c>
      <c r="N432" s="16">
        <f t="shared" si="20"/>
        <v>0.54</v>
      </c>
      <c r="O432" s="14"/>
    </row>
    <row r="433" spans="1:15">
      <c r="A433" s="14" t="s">
        <v>66</v>
      </c>
      <c r="B433" s="15" t="s">
        <v>674</v>
      </c>
      <c r="C433" s="15" t="s">
        <v>675</v>
      </c>
      <c r="D433" s="14" t="s">
        <v>385</v>
      </c>
      <c r="E433" s="15" t="s">
        <v>676</v>
      </c>
      <c r="F433" s="14" t="s">
        <v>387</v>
      </c>
      <c r="G433" s="15" t="s">
        <v>23</v>
      </c>
      <c r="H433" s="15" t="s">
        <v>1530</v>
      </c>
      <c r="I433" s="15">
        <v>201411</v>
      </c>
      <c r="J433" s="16">
        <v>-5090.0600000000004</v>
      </c>
      <c r="K433" s="171">
        <f t="shared" si="18"/>
        <v>6</v>
      </c>
      <c r="L433" s="17">
        <v>2.23333E-3</v>
      </c>
      <c r="M433" s="16">
        <f t="shared" si="19"/>
        <v>-68.209999999999994</v>
      </c>
      <c r="N433" s="16">
        <f t="shared" si="20"/>
        <v>-136.41</v>
      </c>
      <c r="O433" s="14"/>
    </row>
    <row r="434" spans="1:15">
      <c r="A434" s="18" t="s">
        <v>17</v>
      </c>
      <c r="B434" s="15" t="s">
        <v>704</v>
      </c>
      <c r="C434" s="15" t="s">
        <v>705</v>
      </c>
      <c r="D434" s="14" t="s">
        <v>706</v>
      </c>
      <c r="E434" s="15" t="s">
        <v>58</v>
      </c>
      <c r="F434" s="14" t="s">
        <v>22</v>
      </c>
      <c r="G434" s="15" t="s">
        <v>23</v>
      </c>
      <c r="H434" s="15" t="s">
        <v>1525</v>
      </c>
      <c r="I434" s="15">
        <v>201411</v>
      </c>
      <c r="J434" s="16">
        <v>5238.34</v>
      </c>
      <c r="K434" s="171">
        <f t="shared" si="18"/>
        <v>6</v>
      </c>
      <c r="L434" s="17">
        <v>1.4833299999999999E-3</v>
      </c>
      <c r="M434" s="16">
        <f t="shared" si="19"/>
        <v>46.62</v>
      </c>
      <c r="N434" s="16">
        <f t="shared" si="20"/>
        <v>93.24</v>
      </c>
      <c r="O434" s="14"/>
    </row>
    <row r="435" spans="1:15">
      <c r="A435" s="14" t="s">
        <v>54</v>
      </c>
      <c r="B435" s="15" t="s">
        <v>719</v>
      </c>
      <c r="C435" s="15" t="s">
        <v>720</v>
      </c>
      <c r="D435" s="14" t="s">
        <v>721</v>
      </c>
      <c r="E435" s="15" t="s">
        <v>27</v>
      </c>
      <c r="F435" s="14" t="s">
        <v>28</v>
      </c>
      <c r="G435" s="15" t="s">
        <v>23</v>
      </c>
      <c r="H435" s="15" t="s">
        <v>1525</v>
      </c>
      <c r="I435" s="15">
        <v>201411</v>
      </c>
      <c r="J435" s="16">
        <v>0</v>
      </c>
      <c r="K435" s="171">
        <f t="shared" si="18"/>
        <v>6</v>
      </c>
      <c r="L435" s="17">
        <v>1.4833299999999999E-3</v>
      </c>
      <c r="M435" s="16">
        <f t="shared" si="19"/>
        <v>0</v>
      </c>
      <c r="N435" s="16">
        <f t="shared" si="20"/>
        <v>0</v>
      </c>
      <c r="O435" s="14"/>
    </row>
    <row r="436" spans="1:15">
      <c r="A436" s="14" t="s">
        <v>66</v>
      </c>
      <c r="B436" s="15" t="s">
        <v>741</v>
      </c>
      <c r="C436" s="15" t="s">
        <v>742</v>
      </c>
      <c r="D436" s="14" t="s">
        <v>69</v>
      </c>
      <c r="E436" s="15" t="s">
        <v>70</v>
      </c>
      <c r="F436" s="14" t="s">
        <v>71</v>
      </c>
      <c r="G436" s="15" t="s">
        <v>23</v>
      </c>
      <c r="H436" s="15" t="s">
        <v>1530</v>
      </c>
      <c r="I436" s="15">
        <v>201411</v>
      </c>
      <c r="J436" s="16">
        <v>-127.08</v>
      </c>
      <c r="K436" s="171">
        <f t="shared" si="18"/>
        <v>6</v>
      </c>
      <c r="L436" s="17">
        <v>2.23333E-3</v>
      </c>
      <c r="M436" s="16">
        <f t="shared" si="19"/>
        <v>-1.7</v>
      </c>
      <c r="N436" s="16">
        <f t="shared" si="20"/>
        <v>-3.41</v>
      </c>
      <c r="O436" s="14"/>
    </row>
    <row r="437" spans="1:15">
      <c r="A437" s="14" t="s">
        <v>66</v>
      </c>
      <c r="B437" s="15" t="s">
        <v>743</v>
      </c>
      <c r="C437" s="15" t="s">
        <v>744</v>
      </c>
      <c r="D437" s="14" t="s">
        <v>745</v>
      </c>
      <c r="E437" s="15" t="s">
        <v>746</v>
      </c>
      <c r="F437" s="14" t="s">
        <v>80</v>
      </c>
      <c r="G437" s="15" t="s">
        <v>23</v>
      </c>
      <c r="H437" s="15" t="s">
        <v>1530</v>
      </c>
      <c r="I437" s="15">
        <v>201411</v>
      </c>
      <c r="J437" s="16">
        <v>8037.46</v>
      </c>
      <c r="K437" s="171">
        <f t="shared" si="18"/>
        <v>6</v>
      </c>
      <c r="L437" s="17">
        <v>2.23333E-3</v>
      </c>
      <c r="M437" s="16">
        <f t="shared" si="19"/>
        <v>107.7</v>
      </c>
      <c r="N437" s="16">
        <f t="shared" si="20"/>
        <v>215.4</v>
      </c>
      <c r="O437" s="14"/>
    </row>
    <row r="438" spans="1:15">
      <c r="A438" s="14" t="s">
        <v>66</v>
      </c>
      <c r="B438" s="15" t="s">
        <v>747</v>
      </c>
      <c r="C438" s="15" t="s">
        <v>748</v>
      </c>
      <c r="D438" s="14" t="s">
        <v>78</v>
      </c>
      <c r="E438" s="15" t="s">
        <v>749</v>
      </c>
      <c r="F438" s="14" t="s">
        <v>80</v>
      </c>
      <c r="G438" s="15" t="s">
        <v>23</v>
      </c>
      <c r="H438" s="15" t="s">
        <v>1530</v>
      </c>
      <c r="I438" s="15">
        <v>201411</v>
      </c>
      <c r="J438" s="16">
        <v>-983.36</v>
      </c>
      <c r="K438" s="171">
        <f t="shared" si="18"/>
        <v>6</v>
      </c>
      <c r="L438" s="17">
        <v>2.23333E-3</v>
      </c>
      <c r="M438" s="16">
        <f t="shared" si="19"/>
        <v>-13.18</v>
      </c>
      <c r="N438" s="16">
        <f t="shared" si="20"/>
        <v>-26.35</v>
      </c>
      <c r="O438" s="14"/>
    </row>
    <row r="439" spans="1:15">
      <c r="A439" s="14" t="s">
        <v>66</v>
      </c>
      <c r="B439" s="15" t="s">
        <v>753</v>
      </c>
      <c r="C439" s="15" t="s">
        <v>754</v>
      </c>
      <c r="D439" s="14" t="s">
        <v>206</v>
      </c>
      <c r="E439" s="15" t="s">
        <v>755</v>
      </c>
      <c r="F439" s="14" t="s">
        <v>97</v>
      </c>
      <c r="G439" s="15" t="s">
        <v>23</v>
      </c>
      <c r="H439" s="15" t="s">
        <v>1530</v>
      </c>
      <c r="I439" s="15">
        <v>201411</v>
      </c>
      <c r="J439" s="16">
        <v>8010.12</v>
      </c>
      <c r="K439" s="171">
        <f t="shared" si="18"/>
        <v>6</v>
      </c>
      <c r="L439" s="17">
        <v>2.23333E-3</v>
      </c>
      <c r="M439" s="16">
        <f t="shared" si="19"/>
        <v>107.34</v>
      </c>
      <c r="N439" s="16">
        <f t="shared" si="20"/>
        <v>214.67</v>
      </c>
      <c r="O439" s="14"/>
    </row>
    <row r="440" spans="1:15">
      <c r="A440" s="14" t="s">
        <v>17</v>
      </c>
      <c r="B440" s="15" t="s">
        <v>759</v>
      </c>
      <c r="C440" s="15" t="s">
        <v>760</v>
      </c>
      <c r="D440" s="14" t="s">
        <v>761</v>
      </c>
      <c r="E440" s="15" t="s">
        <v>62</v>
      </c>
      <c r="F440" s="14" t="s">
        <v>22</v>
      </c>
      <c r="G440" s="15" t="s">
        <v>23</v>
      </c>
      <c r="H440" s="15" t="s">
        <v>1525</v>
      </c>
      <c r="I440" s="15">
        <v>201411</v>
      </c>
      <c r="J440" s="16">
        <v>205.63</v>
      </c>
      <c r="K440" s="171">
        <f t="shared" si="18"/>
        <v>6</v>
      </c>
      <c r="L440" s="17">
        <v>1.4833299999999999E-3</v>
      </c>
      <c r="M440" s="16">
        <f t="shared" si="19"/>
        <v>1.83</v>
      </c>
      <c r="N440" s="16">
        <f t="shared" si="20"/>
        <v>3.66</v>
      </c>
      <c r="O440" s="14"/>
    </row>
    <row r="441" spans="1:15">
      <c r="A441" s="14" t="s">
        <v>54</v>
      </c>
      <c r="B441" s="15" t="s">
        <v>813</v>
      </c>
      <c r="C441" s="15" t="s">
        <v>814</v>
      </c>
      <c r="D441" s="14" t="s">
        <v>815</v>
      </c>
      <c r="E441" s="15" t="s">
        <v>62</v>
      </c>
      <c r="F441" s="14" t="s">
        <v>22</v>
      </c>
      <c r="G441" s="15" t="s">
        <v>23</v>
      </c>
      <c r="H441" s="15" t="s">
        <v>1525</v>
      </c>
      <c r="I441" s="15">
        <v>201411</v>
      </c>
      <c r="J441" s="16">
        <v>611627.82999999996</v>
      </c>
      <c r="K441" s="171">
        <f t="shared" si="18"/>
        <v>6</v>
      </c>
      <c r="L441" s="17">
        <v>1.4833299999999999E-3</v>
      </c>
      <c r="M441" s="16">
        <f t="shared" si="19"/>
        <v>5443.48</v>
      </c>
      <c r="N441" s="16">
        <f t="shared" si="20"/>
        <v>10886.95</v>
      </c>
      <c r="O441" s="14"/>
    </row>
    <row r="442" spans="1:15">
      <c r="A442" s="14" t="s">
        <v>17</v>
      </c>
      <c r="B442" s="15" t="s">
        <v>819</v>
      </c>
      <c r="C442" s="15" t="s">
        <v>820</v>
      </c>
      <c r="D442" s="14" t="s">
        <v>821</v>
      </c>
      <c r="E442" s="15" t="s">
        <v>822</v>
      </c>
      <c r="F442" s="14" t="s">
        <v>823</v>
      </c>
      <c r="G442" s="15" t="s">
        <v>23</v>
      </c>
      <c r="H442" s="15" t="s">
        <v>1526</v>
      </c>
      <c r="I442" s="15">
        <v>201411</v>
      </c>
      <c r="J442" s="16">
        <v>1769.72</v>
      </c>
      <c r="K442" s="171">
        <f t="shared" si="18"/>
        <v>6</v>
      </c>
      <c r="L442" s="17">
        <v>1.4833299999999999E-3</v>
      </c>
      <c r="M442" s="16">
        <f t="shared" si="19"/>
        <v>15.75</v>
      </c>
      <c r="N442" s="16">
        <f t="shared" si="20"/>
        <v>31.5</v>
      </c>
      <c r="O442" s="14"/>
    </row>
    <row r="443" spans="1:15">
      <c r="A443" s="14" t="s">
        <v>54</v>
      </c>
      <c r="B443" s="15" t="s">
        <v>830</v>
      </c>
      <c r="C443" s="15" t="s">
        <v>831</v>
      </c>
      <c r="D443" s="14" t="s">
        <v>832</v>
      </c>
      <c r="E443" s="15" t="s">
        <v>62</v>
      </c>
      <c r="F443" s="14" t="s">
        <v>22</v>
      </c>
      <c r="G443" s="15" t="s">
        <v>23</v>
      </c>
      <c r="H443" s="15" t="s">
        <v>1525</v>
      </c>
      <c r="I443" s="15">
        <v>201411</v>
      </c>
      <c r="J443" s="16">
        <v>35798.080000000002</v>
      </c>
      <c r="K443" s="171">
        <f t="shared" si="18"/>
        <v>6</v>
      </c>
      <c r="L443" s="17">
        <v>1.4833299999999999E-3</v>
      </c>
      <c r="M443" s="16">
        <f t="shared" si="19"/>
        <v>318.60000000000002</v>
      </c>
      <c r="N443" s="16">
        <f t="shared" si="20"/>
        <v>637.20000000000005</v>
      </c>
      <c r="O443" s="14"/>
    </row>
    <row r="444" spans="1:15">
      <c r="A444" s="14" t="s">
        <v>17</v>
      </c>
      <c r="B444" s="15" t="s">
        <v>843</v>
      </c>
      <c r="C444" s="15" t="s">
        <v>844</v>
      </c>
      <c r="D444" s="14" t="s">
        <v>845</v>
      </c>
      <c r="E444" s="15" t="s">
        <v>45</v>
      </c>
      <c r="F444" s="14" t="s">
        <v>22</v>
      </c>
      <c r="G444" s="15" t="s">
        <v>23</v>
      </c>
      <c r="H444" s="15" t="s">
        <v>1525</v>
      </c>
      <c r="I444" s="15">
        <v>201411</v>
      </c>
      <c r="J444" s="16">
        <v>-85.84</v>
      </c>
      <c r="K444" s="171">
        <f t="shared" si="18"/>
        <v>6</v>
      </c>
      <c r="L444" s="17">
        <v>1.4833299999999999E-3</v>
      </c>
      <c r="M444" s="16">
        <f t="shared" si="19"/>
        <v>-0.76</v>
      </c>
      <c r="N444" s="16">
        <f t="shared" si="20"/>
        <v>-1.53</v>
      </c>
      <c r="O444" s="14"/>
    </row>
    <row r="445" spans="1:15">
      <c r="A445" s="14" t="s">
        <v>54</v>
      </c>
      <c r="B445" s="15" t="s">
        <v>846</v>
      </c>
      <c r="C445" s="15" t="s">
        <v>847</v>
      </c>
      <c r="D445" s="14" t="s">
        <v>848</v>
      </c>
      <c r="E445" s="15" t="s">
        <v>141</v>
      </c>
      <c r="F445" s="14" t="s">
        <v>142</v>
      </c>
      <c r="G445" s="15" t="s">
        <v>23</v>
      </c>
      <c r="H445" s="15" t="s">
        <v>1525</v>
      </c>
      <c r="I445" s="15">
        <v>201411</v>
      </c>
      <c r="J445" s="16">
        <v>11927.86</v>
      </c>
      <c r="K445" s="171">
        <f t="shared" si="18"/>
        <v>6</v>
      </c>
      <c r="L445" s="17">
        <v>1.4833299999999999E-3</v>
      </c>
      <c r="M445" s="16">
        <f t="shared" si="19"/>
        <v>106.16</v>
      </c>
      <c r="N445" s="16">
        <f t="shared" si="20"/>
        <v>212.32</v>
      </c>
      <c r="O445" s="14"/>
    </row>
    <row r="446" spans="1:15">
      <c r="A446" s="14" t="s">
        <v>54</v>
      </c>
      <c r="B446" s="15" t="s">
        <v>852</v>
      </c>
      <c r="C446" s="15" t="s">
        <v>853</v>
      </c>
      <c r="D446" s="14" t="s">
        <v>854</v>
      </c>
      <c r="E446" s="15" t="s">
        <v>62</v>
      </c>
      <c r="F446" s="14" t="s">
        <v>22</v>
      </c>
      <c r="G446" s="15" t="s">
        <v>23</v>
      </c>
      <c r="H446" s="15" t="s">
        <v>1525</v>
      </c>
      <c r="I446" s="15">
        <v>201411</v>
      </c>
      <c r="J446" s="16">
        <v>2279.85</v>
      </c>
      <c r="K446" s="171">
        <f t="shared" si="18"/>
        <v>6</v>
      </c>
      <c r="L446" s="17">
        <v>1.4833299999999999E-3</v>
      </c>
      <c r="M446" s="16">
        <f t="shared" si="19"/>
        <v>20.29</v>
      </c>
      <c r="N446" s="16">
        <f t="shared" si="20"/>
        <v>40.58</v>
      </c>
      <c r="O446" s="14"/>
    </row>
    <row r="447" spans="1:15">
      <c r="A447" s="14" t="s">
        <v>54</v>
      </c>
      <c r="B447" s="15" t="s">
        <v>858</v>
      </c>
      <c r="C447" s="15" t="s">
        <v>859</v>
      </c>
      <c r="D447" s="14" t="s">
        <v>860</v>
      </c>
      <c r="E447" s="15" t="s">
        <v>62</v>
      </c>
      <c r="F447" s="14" t="s">
        <v>22</v>
      </c>
      <c r="G447" s="15" t="s">
        <v>23</v>
      </c>
      <c r="H447" s="15" t="s">
        <v>1525</v>
      </c>
      <c r="I447" s="15">
        <v>201411</v>
      </c>
      <c r="J447" s="16">
        <v>-3013.95</v>
      </c>
      <c r="K447" s="171">
        <f t="shared" si="18"/>
        <v>6</v>
      </c>
      <c r="L447" s="17">
        <v>1.4833299999999999E-3</v>
      </c>
      <c r="M447" s="16">
        <f t="shared" si="19"/>
        <v>-26.82</v>
      </c>
      <c r="N447" s="16">
        <f t="shared" si="20"/>
        <v>-53.65</v>
      </c>
      <c r="O447" s="14"/>
    </row>
    <row r="448" spans="1:15">
      <c r="A448" s="14" t="s">
        <v>54</v>
      </c>
      <c r="B448" s="15" t="s">
        <v>876</v>
      </c>
      <c r="C448" s="15" t="s">
        <v>877</v>
      </c>
      <c r="D448" s="14" t="s">
        <v>878</v>
      </c>
      <c r="E448" s="15" t="s">
        <v>62</v>
      </c>
      <c r="F448" s="14" t="s">
        <v>22</v>
      </c>
      <c r="G448" s="15" t="s">
        <v>23</v>
      </c>
      <c r="H448" s="15" t="s">
        <v>1525</v>
      </c>
      <c r="I448" s="15">
        <v>201411</v>
      </c>
      <c r="J448" s="16">
        <v>8478.08</v>
      </c>
      <c r="K448" s="171">
        <f t="shared" si="18"/>
        <v>6</v>
      </c>
      <c r="L448" s="17">
        <v>1.4833299999999999E-3</v>
      </c>
      <c r="M448" s="16">
        <f t="shared" si="19"/>
        <v>75.45</v>
      </c>
      <c r="N448" s="16">
        <f t="shared" si="20"/>
        <v>150.91</v>
      </c>
      <c r="O448" s="14"/>
    </row>
    <row r="449" spans="1:15">
      <c r="A449" s="14" t="s">
        <v>54</v>
      </c>
      <c r="B449" s="15" t="s">
        <v>879</v>
      </c>
      <c r="C449" s="15" t="s">
        <v>880</v>
      </c>
      <c r="D449" s="14" t="s">
        <v>881</v>
      </c>
      <c r="E449" s="15" t="s">
        <v>53</v>
      </c>
      <c r="F449" s="14" t="s">
        <v>41</v>
      </c>
      <c r="G449" s="15" t="s">
        <v>23</v>
      </c>
      <c r="H449" s="15" t="s">
        <v>1526</v>
      </c>
      <c r="I449" s="15">
        <v>201411</v>
      </c>
      <c r="J449" s="16">
        <v>195.47</v>
      </c>
      <c r="K449" s="171">
        <f t="shared" si="18"/>
        <v>6</v>
      </c>
      <c r="L449" s="17">
        <v>1.4833299999999999E-3</v>
      </c>
      <c r="M449" s="16">
        <f t="shared" si="19"/>
        <v>1.74</v>
      </c>
      <c r="N449" s="16">
        <f t="shared" si="20"/>
        <v>3.48</v>
      </c>
      <c r="O449" s="14"/>
    </row>
    <row r="450" spans="1:15">
      <c r="A450" s="14" t="s">
        <v>17</v>
      </c>
      <c r="B450" s="15" t="s">
        <v>894</v>
      </c>
      <c r="C450" s="15" t="s">
        <v>895</v>
      </c>
      <c r="D450" s="14" t="s">
        <v>896</v>
      </c>
      <c r="E450" s="15" t="s">
        <v>440</v>
      </c>
      <c r="F450" s="14" t="s">
        <v>28</v>
      </c>
      <c r="G450" s="15" t="s">
        <v>23</v>
      </c>
      <c r="H450" s="15" t="s">
        <v>1525</v>
      </c>
      <c r="I450" s="15">
        <v>201411</v>
      </c>
      <c r="J450" s="16">
        <v>63.81</v>
      </c>
      <c r="K450" s="171">
        <f t="shared" si="18"/>
        <v>6</v>
      </c>
      <c r="L450" s="17">
        <v>1.4833299999999999E-3</v>
      </c>
      <c r="M450" s="16">
        <f t="shared" si="19"/>
        <v>0.56999999999999995</v>
      </c>
      <c r="N450" s="16">
        <f t="shared" si="20"/>
        <v>1.1399999999999999</v>
      </c>
      <c r="O450" s="14"/>
    </row>
    <row r="451" spans="1:15">
      <c r="A451" s="14" t="s">
        <v>17</v>
      </c>
      <c r="B451" s="15" t="s">
        <v>903</v>
      </c>
      <c r="C451" s="15" t="s">
        <v>904</v>
      </c>
      <c r="D451" s="14" t="s">
        <v>905</v>
      </c>
      <c r="E451" s="15" t="s">
        <v>49</v>
      </c>
      <c r="F451" s="14" t="s">
        <v>22</v>
      </c>
      <c r="G451" s="15" t="s">
        <v>23</v>
      </c>
      <c r="H451" s="15" t="s">
        <v>1525</v>
      </c>
      <c r="I451" s="15">
        <v>201411</v>
      </c>
      <c r="J451" s="16">
        <v>-25.51</v>
      </c>
      <c r="K451" s="171">
        <f t="shared" si="18"/>
        <v>6</v>
      </c>
      <c r="L451" s="17">
        <v>1.4833299999999999E-3</v>
      </c>
      <c r="M451" s="16">
        <f t="shared" si="19"/>
        <v>-0.23</v>
      </c>
      <c r="N451" s="16">
        <f t="shared" si="20"/>
        <v>-0.45</v>
      </c>
      <c r="O451" s="14"/>
    </row>
    <row r="452" spans="1:15">
      <c r="A452" s="14" t="s">
        <v>54</v>
      </c>
      <c r="B452" s="15" t="s">
        <v>906</v>
      </c>
      <c r="C452" s="15" t="s">
        <v>907</v>
      </c>
      <c r="D452" s="14" t="s">
        <v>908</v>
      </c>
      <c r="E452" s="15" t="s">
        <v>909</v>
      </c>
      <c r="F452" s="14" t="s">
        <v>22</v>
      </c>
      <c r="G452" s="15" t="s">
        <v>23</v>
      </c>
      <c r="H452" s="15" t="s">
        <v>1525</v>
      </c>
      <c r="I452" s="15">
        <v>201411</v>
      </c>
      <c r="J452" s="16">
        <v>0</v>
      </c>
      <c r="K452" s="171">
        <f t="shared" si="18"/>
        <v>6</v>
      </c>
      <c r="L452" s="17">
        <v>1.4833299999999999E-3</v>
      </c>
      <c r="M452" s="16">
        <f t="shared" si="19"/>
        <v>0</v>
      </c>
      <c r="N452" s="16">
        <f t="shared" si="20"/>
        <v>0</v>
      </c>
      <c r="O452" s="14"/>
    </row>
    <row r="453" spans="1:15">
      <c r="A453" s="14" t="s">
        <v>17</v>
      </c>
      <c r="B453" s="15" t="s">
        <v>910</v>
      </c>
      <c r="C453" s="15" t="s">
        <v>911</v>
      </c>
      <c r="D453" s="14" t="s">
        <v>912</v>
      </c>
      <c r="E453" s="15" t="s">
        <v>362</v>
      </c>
      <c r="F453" s="14" t="s">
        <v>41</v>
      </c>
      <c r="G453" s="15" t="s">
        <v>23</v>
      </c>
      <c r="H453" s="15" t="s">
        <v>1526</v>
      </c>
      <c r="I453" s="15">
        <v>201411</v>
      </c>
      <c r="J453" s="16">
        <v>0.95</v>
      </c>
      <c r="K453" s="171">
        <f t="shared" ref="K453:K516" si="21">VLOOKUP(I453,$Q$7:$R$15,2)</f>
        <v>6</v>
      </c>
      <c r="L453" s="17">
        <v>1.4833299999999999E-3</v>
      </c>
      <c r="M453" s="16">
        <f t="shared" ref="M453:M516" si="22">ROUND(J453*K453*L453,2)</f>
        <v>0.01</v>
      </c>
      <c r="N453" s="16">
        <f t="shared" ref="N453:N516" si="23">ROUND(J453*L453*12,2)</f>
        <v>0.02</v>
      </c>
      <c r="O453" s="14"/>
    </row>
    <row r="454" spans="1:15">
      <c r="A454" s="14" t="s">
        <v>54</v>
      </c>
      <c r="B454" s="15" t="s">
        <v>913</v>
      </c>
      <c r="C454" s="15" t="s">
        <v>914</v>
      </c>
      <c r="D454" s="14" t="s">
        <v>915</v>
      </c>
      <c r="E454" s="15" t="s">
        <v>36</v>
      </c>
      <c r="F454" s="14" t="s">
        <v>22</v>
      </c>
      <c r="G454" s="15" t="s">
        <v>23</v>
      </c>
      <c r="H454" s="15" t="s">
        <v>1525</v>
      </c>
      <c r="I454" s="15">
        <v>201411</v>
      </c>
      <c r="J454" s="16">
        <v>-1080.8800000000001</v>
      </c>
      <c r="K454" s="171">
        <f t="shared" si="21"/>
        <v>6</v>
      </c>
      <c r="L454" s="17">
        <v>1.4833299999999999E-3</v>
      </c>
      <c r="M454" s="16">
        <f t="shared" si="22"/>
        <v>-9.6199999999999992</v>
      </c>
      <c r="N454" s="16">
        <f t="shared" si="23"/>
        <v>-19.239999999999998</v>
      </c>
      <c r="O454" s="14"/>
    </row>
    <row r="455" spans="1:15">
      <c r="A455" s="14" t="s">
        <v>54</v>
      </c>
      <c r="B455" s="15" t="s">
        <v>919</v>
      </c>
      <c r="C455" s="15" t="s">
        <v>920</v>
      </c>
      <c r="D455" s="14" t="s">
        <v>921</v>
      </c>
      <c r="E455" s="15" t="s">
        <v>362</v>
      </c>
      <c r="F455" s="14" t="s">
        <v>41</v>
      </c>
      <c r="G455" s="15" t="s">
        <v>23</v>
      </c>
      <c r="H455" s="15" t="s">
        <v>1526</v>
      </c>
      <c r="I455" s="15">
        <v>201411</v>
      </c>
      <c r="J455" s="16">
        <v>156809.47</v>
      </c>
      <c r="K455" s="171">
        <f t="shared" si="21"/>
        <v>6</v>
      </c>
      <c r="L455" s="17">
        <v>1.4833299999999999E-3</v>
      </c>
      <c r="M455" s="16">
        <f t="shared" si="22"/>
        <v>1395.6</v>
      </c>
      <c r="N455" s="16">
        <f t="shared" si="23"/>
        <v>2791.2</v>
      </c>
      <c r="O455" s="14"/>
    </row>
    <row r="456" spans="1:15">
      <c r="A456" s="14" t="s">
        <v>54</v>
      </c>
      <c r="B456" s="15" t="s">
        <v>922</v>
      </c>
      <c r="C456" s="15" t="s">
        <v>923</v>
      </c>
      <c r="D456" s="14" t="s">
        <v>924</v>
      </c>
      <c r="E456" s="15" t="s">
        <v>925</v>
      </c>
      <c r="F456" s="14" t="s">
        <v>41</v>
      </c>
      <c r="G456" s="15" t="s">
        <v>23</v>
      </c>
      <c r="H456" s="15" t="s">
        <v>1526</v>
      </c>
      <c r="I456" s="15">
        <v>201411</v>
      </c>
      <c r="J456" s="16">
        <v>100429.48</v>
      </c>
      <c r="K456" s="171">
        <f t="shared" si="21"/>
        <v>6</v>
      </c>
      <c r="L456" s="17">
        <v>1.4833299999999999E-3</v>
      </c>
      <c r="M456" s="16">
        <f t="shared" si="22"/>
        <v>893.82</v>
      </c>
      <c r="N456" s="16">
        <f t="shared" si="23"/>
        <v>1787.64</v>
      </c>
      <c r="O456" s="14"/>
    </row>
    <row r="457" spans="1:15">
      <c r="A457" s="14" t="s">
        <v>54</v>
      </c>
      <c r="B457" s="15" t="s">
        <v>929</v>
      </c>
      <c r="C457" s="15" t="s">
        <v>930</v>
      </c>
      <c r="D457" s="14" t="s">
        <v>931</v>
      </c>
      <c r="E457" s="15" t="s">
        <v>394</v>
      </c>
      <c r="F457" s="14" t="s">
        <v>137</v>
      </c>
      <c r="G457" s="15" t="s">
        <v>23</v>
      </c>
      <c r="H457" s="15" t="s">
        <v>1526</v>
      </c>
      <c r="I457" s="15">
        <v>201411</v>
      </c>
      <c r="J457" s="16">
        <v>37016.21</v>
      </c>
      <c r="K457" s="171">
        <f t="shared" si="21"/>
        <v>6</v>
      </c>
      <c r="L457" s="17">
        <v>1.4833299999999999E-3</v>
      </c>
      <c r="M457" s="16">
        <f t="shared" si="22"/>
        <v>329.44</v>
      </c>
      <c r="N457" s="16">
        <f t="shared" si="23"/>
        <v>658.89</v>
      </c>
      <c r="O457" s="14"/>
    </row>
    <row r="458" spans="1:15">
      <c r="A458" s="14" t="s">
        <v>54</v>
      </c>
      <c r="B458" s="15" t="s">
        <v>938</v>
      </c>
      <c r="C458" s="15" t="s">
        <v>939</v>
      </c>
      <c r="D458" s="14" t="s">
        <v>940</v>
      </c>
      <c r="E458" s="15" t="s">
        <v>141</v>
      </c>
      <c r="F458" s="14" t="s">
        <v>142</v>
      </c>
      <c r="G458" s="15" t="s">
        <v>23</v>
      </c>
      <c r="H458" s="15" t="s">
        <v>1525</v>
      </c>
      <c r="I458" s="15">
        <v>201411</v>
      </c>
      <c r="J458" s="16">
        <v>-767.04</v>
      </c>
      <c r="K458" s="171">
        <f t="shared" si="21"/>
        <v>6</v>
      </c>
      <c r="L458" s="17">
        <v>1.4833299999999999E-3</v>
      </c>
      <c r="M458" s="16">
        <f t="shared" si="22"/>
        <v>-6.83</v>
      </c>
      <c r="N458" s="16">
        <f t="shared" si="23"/>
        <v>-13.65</v>
      </c>
      <c r="O458" s="14"/>
    </row>
    <row r="459" spans="1:15">
      <c r="A459" s="14" t="s">
        <v>17</v>
      </c>
      <c r="B459" s="15" t="s">
        <v>944</v>
      </c>
      <c r="C459" s="15" t="s">
        <v>945</v>
      </c>
      <c r="D459" s="14" t="s">
        <v>946</v>
      </c>
      <c r="E459" s="15" t="s">
        <v>104</v>
      </c>
      <c r="F459" s="14" t="s">
        <v>41</v>
      </c>
      <c r="G459" s="15" t="s">
        <v>23</v>
      </c>
      <c r="H459" s="15" t="s">
        <v>1526</v>
      </c>
      <c r="I459" s="15">
        <v>201411</v>
      </c>
      <c r="J459" s="16">
        <v>-42.39</v>
      </c>
      <c r="K459" s="171">
        <f t="shared" si="21"/>
        <v>6</v>
      </c>
      <c r="L459" s="17">
        <v>1.4833299999999999E-3</v>
      </c>
      <c r="M459" s="16">
        <f t="shared" si="22"/>
        <v>-0.38</v>
      </c>
      <c r="N459" s="16">
        <f t="shared" si="23"/>
        <v>-0.75</v>
      </c>
      <c r="O459" s="14"/>
    </row>
    <row r="460" spans="1:15">
      <c r="A460" s="14" t="s">
        <v>54</v>
      </c>
      <c r="B460" s="15" t="s">
        <v>947</v>
      </c>
      <c r="C460" s="15" t="s">
        <v>948</v>
      </c>
      <c r="D460" s="14" t="s">
        <v>949</v>
      </c>
      <c r="E460" s="15" t="s">
        <v>141</v>
      </c>
      <c r="F460" s="14" t="s">
        <v>142</v>
      </c>
      <c r="G460" s="15" t="s">
        <v>23</v>
      </c>
      <c r="H460" s="15" t="s">
        <v>1525</v>
      </c>
      <c r="I460" s="15">
        <v>201411</v>
      </c>
      <c r="J460" s="16">
        <v>88675.88</v>
      </c>
      <c r="K460" s="171">
        <f t="shared" si="21"/>
        <v>6</v>
      </c>
      <c r="L460" s="17">
        <v>1.4833299999999999E-3</v>
      </c>
      <c r="M460" s="16">
        <f t="shared" si="22"/>
        <v>789.21</v>
      </c>
      <c r="N460" s="16">
        <f t="shared" si="23"/>
        <v>1578.43</v>
      </c>
      <c r="O460" s="14"/>
    </row>
    <row r="461" spans="1:15">
      <c r="A461" s="14" t="s">
        <v>54</v>
      </c>
      <c r="B461" s="15" t="s">
        <v>950</v>
      </c>
      <c r="C461" s="15" t="s">
        <v>951</v>
      </c>
      <c r="D461" s="14" t="s">
        <v>952</v>
      </c>
      <c r="E461" s="15" t="s">
        <v>141</v>
      </c>
      <c r="F461" s="14" t="s">
        <v>142</v>
      </c>
      <c r="G461" s="15" t="s">
        <v>23</v>
      </c>
      <c r="H461" s="15" t="s">
        <v>1525</v>
      </c>
      <c r="I461" s="15">
        <v>201411</v>
      </c>
      <c r="J461" s="16">
        <v>11910.35</v>
      </c>
      <c r="K461" s="171">
        <f t="shared" si="21"/>
        <v>6</v>
      </c>
      <c r="L461" s="17">
        <v>1.4833299999999999E-3</v>
      </c>
      <c r="M461" s="16">
        <f t="shared" si="22"/>
        <v>106</v>
      </c>
      <c r="N461" s="16">
        <f t="shared" si="23"/>
        <v>212</v>
      </c>
      <c r="O461" s="14"/>
    </row>
    <row r="462" spans="1:15">
      <c r="A462" s="14" t="s">
        <v>17</v>
      </c>
      <c r="B462" s="15" t="s">
        <v>953</v>
      </c>
      <c r="C462" s="15" t="s">
        <v>954</v>
      </c>
      <c r="D462" s="14" t="s">
        <v>955</v>
      </c>
      <c r="E462" s="15" t="s">
        <v>40</v>
      </c>
      <c r="F462" s="14" t="s">
        <v>41</v>
      </c>
      <c r="G462" s="15" t="s">
        <v>23</v>
      </c>
      <c r="H462" s="15" t="s">
        <v>1526</v>
      </c>
      <c r="I462" s="15">
        <v>201411</v>
      </c>
      <c r="J462" s="16">
        <v>0</v>
      </c>
      <c r="K462" s="171">
        <f t="shared" si="21"/>
        <v>6</v>
      </c>
      <c r="L462" s="17">
        <v>1.4833299999999999E-3</v>
      </c>
      <c r="M462" s="16">
        <f t="shared" si="22"/>
        <v>0</v>
      </c>
      <c r="N462" s="16">
        <f t="shared" si="23"/>
        <v>0</v>
      </c>
      <c r="O462" s="14"/>
    </row>
    <row r="463" spans="1:15">
      <c r="A463" s="14" t="s">
        <v>17</v>
      </c>
      <c r="B463" s="15" t="s">
        <v>956</v>
      </c>
      <c r="C463" s="15" t="s">
        <v>957</v>
      </c>
      <c r="D463" s="14" t="s">
        <v>958</v>
      </c>
      <c r="E463" s="15" t="s">
        <v>40</v>
      </c>
      <c r="F463" s="14" t="s">
        <v>41</v>
      </c>
      <c r="G463" s="15" t="s">
        <v>23</v>
      </c>
      <c r="H463" s="15" t="s">
        <v>1526</v>
      </c>
      <c r="I463" s="15">
        <v>201411</v>
      </c>
      <c r="J463" s="16">
        <v>-45.74</v>
      </c>
      <c r="K463" s="171">
        <f t="shared" si="21"/>
        <v>6</v>
      </c>
      <c r="L463" s="17">
        <v>1.4833299999999999E-3</v>
      </c>
      <c r="M463" s="16">
        <f t="shared" si="22"/>
        <v>-0.41</v>
      </c>
      <c r="N463" s="16">
        <f t="shared" si="23"/>
        <v>-0.81</v>
      </c>
      <c r="O463" s="14"/>
    </row>
    <row r="464" spans="1:15">
      <c r="A464" s="14" t="s">
        <v>54</v>
      </c>
      <c r="B464" s="15" t="s">
        <v>962</v>
      </c>
      <c r="C464" s="15" t="s">
        <v>963</v>
      </c>
      <c r="D464" s="14" t="s">
        <v>964</v>
      </c>
      <c r="E464" s="15" t="s">
        <v>40</v>
      </c>
      <c r="F464" s="14" t="s">
        <v>41</v>
      </c>
      <c r="G464" s="15" t="s">
        <v>23</v>
      </c>
      <c r="H464" s="15" t="s">
        <v>1526</v>
      </c>
      <c r="I464" s="15">
        <v>201411</v>
      </c>
      <c r="J464" s="16">
        <v>1379.28</v>
      </c>
      <c r="K464" s="171">
        <f t="shared" si="21"/>
        <v>6</v>
      </c>
      <c r="L464" s="17">
        <v>1.4833299999999999E-3</v>
      </c>
      <c r="M464" s="16">
        <f t="shared" si="22"/>
        <v>12.28</v>
      </c>
      <c r="N464" s="16">
        <f t="shared" si="23"/>
        <v>24.55</v>
      </c>
      <c r="O464" s="14"/>
    </row>
    <row r="465" spans="1:15">
      <c r="A465" s="14" t="s">
        <v>54</v>
      </c>
      <c r="B465" s="15" t="s">
        <v>965</v>
      </c>
      <c r="C465" s="15" t="s">
        <v>966</v>
      </c>
      <c r="D465" s="14" t="s">
        <v>967</v>
      </c>
      <c r="E465" s="15" t="s">
        <v>53</v>
      </c>
      <c r="F465" s="14" t="s">
        <v>41</v>
      </c>
      <c r="G465" s="15" t="s">
        <v>23</v>
      </c>
      <c r="H465" s="15" t="s">
        <v>1526</v>
      </c>
      <c r="I465" s="15">
        <v>201411</v>
      </c>
      <c r="J465" s="16">
        <v>-10648.99</v>
      </c>
      <c r="K465" s="171">
        <f t="shared" si="21"/>
        <v>6</v>
      </c>
      <c r="L465" s="17">
        <v>1.4833299999999999E-3</v>
      </c>
      <c r="M465" s="16">
        <f t="shared" si="22"/>
        <v>-94.78</v>
      </c>
      <c r="N465" s="16">
        <f t="shared" si="23"/>
        <v>-189.55</v>
      </c>
      <c r="O465" s="14"/>
    </row>
    <row r="466" spans="1:15">
      <c r="A466" s="14" t="s">
        <v>54</v>
      </c>
      <c r="B466" s="15" t="s">
        <v>968</v>
      </c>
      <c r="C466" s="15" t="s">
        <v>969</v>
      </c>
      <c r="D466" s="14" t="s">
        <v>970</v>
      </c>
      <c r="E466" s="15" t="s">
        <v>394</v>
      </c>
      <c r="F466" s="14" t="s">
        <v>137</v>
      </c>
      <c r="G466" s="15" t="s">
        <v>23</v>
      </c>
      <c r="H466" s="15" t="s">
        <v>1526</v>
      </c>
      <c r="I466" s="15">
        <v>201411</v>
      </c>
      <c r="J466" s="16">
        <v>46130.239999999998</v>
      </c>
      <c r="K466" s="171">
        <f t="shared" si="21"/>
        <v>6</v>
      </c>
      <c r="L466" s="17">
        <v>1.4833299999999999E-3</v>
      </c>
      <c r="M466" s="16">
        <f t="shared" si="22"/>
        <v>410.56</v>
      </c>
      <c r="N466" s="16">
        <f t="shared" si="23"/>
        <v>821.12</v>
      </c>
      <c r="O466" s="14"/>
    </row>
    <row r="467" spans="1:15">
      <c r="A467" s="14" t="s">
        <v>54</v>
      </c>
      <c r="B467" s="15" t="s">
        <v>971</v>
      </c>
      <c r="C467" s="15" t="s">
        <v>972</v>
      </c>
      <c r="D467" s="14" t="s">
        <v>973</v>
      </c>
      <c r="E467" s="15" t="s">
        <v>567</v>
      </c>
      <c r="F467" s="14" t="s">
        <v>137</v>
      </c>
      <c r="G467" s="15" t="s">
        <v>23</v>
      </c>
      <c r="H467" s="15" t="s">
        <v>1526</v>
      </c>
      <c r="I467" s="15">
        <v>201411</v>
      </c>
      <c r="J467" s="16">
        <v>35042.230000000003</v>
      </c>
      <c r="K467" s="171">
        <f t="shared" si="21"/>
        <v>6</v>
      </c>
      <c r="L467" s="17">
        <v>1.4833299999999999E-3</v>
      </c>
      <c r="M467" s="16">
        <f t="shared" si="22"/>
        <v>311.88</v>
      </c>
      <c r="N467" s="16">
        <f t="shared" si="23"/>
        <v>623.75</v>
      </c>
      <c r="O467" s="14"/>
    </row>
    <row r="468" spans="1:15">
      <c r="A468" s="14" t="s">
        <v>54</v>
      </c>
      <c r="B468" s="15" t="s">
        <v>974</v>
      </c>
      <c r="C468" s="15" t="s">
        <v>975</v>
      </c>
      <c r="D468" s="14" t="s">
        <v>976</v>
      </c>
      <c r="E468" s="15" t="s">
        <v>141</v>
      </c>
      <c r="F468" s="14" t="s">
        <v>142</v>
      </c>
      <c r="G468" s="15" t="s">
        <v>23</v>
      </c>
      <c r="H468" s="15" t="s">
        <v>1525</v>
      </c>
      <c r="I468" s="15">
        <v>201411</v>
      </c>
      <c r="J468" s="16">
        <v>-208.96</v>
      </c>
      <c r="K468" s="171">
        <f t="shared" si="21"/>
        <v>6</v>
      </c>
      <c r="L468" s="17">
        <v>1.4833299999999999E-3</v>
      </c>
      <c r="M468" s="16">
        <f t="shared" si="22"/>
        <v>-1.86</v>
      </c>
      <c r="N468" s="16">
        <f t="shared" si="23"/>
        <v>-3.72</v>
      </c>
      <c r="O468" s="14"/>
    </row>
    <row r="469" spans="1:15">
      <c r="A469" s="14" t="s">
        <v>54</v>
      </c>
      <c r="B469" s="15" t="s">
        <v>990</v>
      </c>
      <c r="C469" s="15" t="s">
        <v>991</v>
      </c>
      <c r="D469" s="14" t="s">
        <v>992</v>
      </c>
      <c r="E469" s="15" t="s">
        <v>141</v>
      </c>
      <c r="F469" s="14" t="s">
        <v>142</v>
      </c>
      <c r="G469" s="15" t="s">
        <v>23</v>
      </c>
      <c r="H469" s="15" t="s">
        <v>1525</v>
      </c>
      <c r="I469" s="15">
        <v>201411</v>
      </c>
      <c r="J469" s="16">
        <v>-8191.63</v>
      </c>
      <c r="K469" s="171">
        <f t="shared" si="21"/>
        <v>6</v>
      </c>
      <c r="L469" s="17">
        <v>1.4833299999999999E-3</v>
      </c>
      <c r="M469" s="16">
        <f t="shared" si="22"/>
        <v>-72.91</v>
      </c>
      <c r="N469" s="16">
        <f t="shared" si="23"/>
        <v>-145.81</v>
      </c>
      <c r="O469" s="14"/>
    </row>
    <row r="470" spans="1:15">
      <c r="A470" s="14" t="s">
        <v>54</v>
      </c>
      <c r="B470" s="15" t="s">
        <v>993</v>
      </c>
      <c r="C470" s="15" t="s">
        <v>994</v>
      </c>
      <c r="D470" s="14" t="s">
        <v>995</v>
      </c>
      <c r="E470" s="15" t="s">
        <v>40</v>
      </c>
      <c r="F470" s="14" t="s">
        <v>41</v>
      </c>
      <c r="G470" s="15" t="s">
        <v>23</v>
      </c>
      <c r="H470" s="15" t="s">
        <v>1526</v>
      </c>
      <c r="I470" s="15">
        <v>201411</v>
      </c>
      <c r="J470" s="16">
        <v>19878.39</v>
      </c>
      <c r="K470" s="171">
        <f t="shared" si="21"/>
        <v>6</v>
      </c>
      <c r="L470" s="17">
        <v>1.4833299999999999E-3</v>
      </c>
      <c r="M470" s="16">
        <f t="shared" si="22"/>
        <v>176.92</v>
      </c>
      <c r="N470" s="16">
        <f t="shared" si="23"/>
        <v>353.83</v>
      </c>
      <c r="O470" s="14"/>
    </row>
    <row r="471" spans="1:15">
      <c r="A471" s="14" t="s">
        <v>54</v>
      </c>
      <c r="B471" s="15" t="s">
        <v>996</v>
      </c>
      <c r="C471" s="15" t="s">
        <v>997</v>
      </c>
      <c r="D471" s="14" t="s">
        <v>998</v>
      </c>
      <c r="E471" s="15" t="s">
        <v>27</v>
      </c>
      <c r="F471" s="14" t="s">
        <v>28</v>
      </c>
      <c r="G471" s="15" t="s">
        <v>23</v>
      </c>
      <c r="H471" s="15" t="s">
        <v>1525</v>
      </c>
      <c r="I471" s="15">
        <v>201411</v>
      </c>
      <c r="J471" s="16">
        <v>20478.060000000001</v>
      </c>
      <c r="K471" s="171">
        <f t="shared" si="21"/>
        <v>6</v>
      </c>
      <c r="L471" s="17">
        <v>1.4833299999999999E-3</v>
      </c>
      <c r="M471" s="16">
        <f t="shared" si="22"/>
        <v>182.25</v>
      </c>
      <c r="N471" s="16">
        <f t="shared" si="23"/>
        <v>364.51</v>
      </c>
      <c r="O471" s="14"/>
    </row>
    <row r="472" spans="1:15">
      <c r="A472" s="14" t="s">
        <v>17</v>
      </c>
      <c r="B472" s="15" t="s">
        <v>999</v>
      </c>
      <c r="C472" s="15" t="s">
        <v>1000</v>
      </c>
      <c r="D472" s="14" t="s">
        <v>1001</v>
      </c>
      <c r="E472" s="15" t="s">
        <v>176</v>
      </c>
      <c r="F472" s="14" t="s">
        <v>28</v>
      </c>
      <c r="G472" s="15" t="s">
        <v>23</v>
      </c>
      <c r="H472" s="15" t="s">
        <v>1525</v>
      </c>
      <c r="I472" s="15">
        <v>201411</v>
      </c>
      <c r="J472" s="16">
        <v>-626</v>
      </c>
      <c r="K472" s="171">
        <f t="shared" si="21"/>
        <v>6</v>
      </c>
      <c r="L472" s="17">
        <v>1.4833299999999999E-3</v>
      </c>
      <c r="M472" s="16">
        <f t="shared" si="22"/>
        <v>-5.57</v>
      </c>
      <c r="N472" s="16">
        <f t="shared" si="23"/>
        <v>-11.14</v>
      </c>
      <c r="O472" s="14"/>
    </row>
    <row r="473" spans="1:15">
      <c r="A473" s="14" t="s">
        <v>54</v>
      </c>
      <c r="B473" s="15" t="s">
        <v>1002</v>
      </c>
      <c r="C473" s="15" t="s">
        <v>1003</v>
      </c>
      <c r="D473" s="14" t="s">
        <v>1004</v>
      </c>
      <c r="E473" s="15" t="s">
        <v>216</v>
      </c>
      <c r="F473" s="14" t="s">
        <v>22</v>
      </c>
      <c r="G473" s="15" t="s">
        <v>23</v>
      </c>
      <c r="H473" s="15" t="s">
        <v>1525</v>
      </c>
      <c r="I473" s="15">
        <v>201411</v>
      </c>
      <c r="J473" s="16">
        <v>19239.02</v>
      </c>
      <c r="K473" s="171">
        <f t="shared" si="21"/>
        <v>6</v>
      </c>
      <c r="L473" s="17">
        <v>1.4833299999999999E-3</v>
      </c>
      <c r="M473" s="16">
        <f t="shared" si="22"/>
        <v>171.23</v>
      </c>
      <c r="N473" s="16">
        <f t="shared" si="23"/>
        <v>342.45</v>
      </c>
      <c r="O473" s="14"/>
    </row>
    <row r="474" spans="1:15">
      <c r="A474" s="14" t="s">
        <v>54</v>
      </c>
      <c r="B474" s="15" t="s">
        <v>1005</v>
      </c>
      <c r="C474" s="15" t="s">
        <v>1006</v>
      </c>
      <c r="D474" s="14" t="s">
        <v>1007</v>
      </c>
      <c r="E474" s="15" t="s">
        <v>141</v>
      </c>
      <c r="F474" s="14" t="s">
        <v>142</v>
      </c>
      <c r="G474" s="15" t="s">
        <v>23</v>
      </c>
      <c r="H474" s="15" t="s">
        <v>1525</v>
      </c>
      <c r="I474" s="15">
        <v>201411</v>
      </c>
      <c r="J474" s="16">
        <v>8538.86</v>
      </c>
      <c r="K474" s="171">
        <f t="shared" si="21"/>
        <v>6</v>
      </c>
      <c r="L474" s="17">
        <v>1.4833299999999999E-3</v>
      </c>
      <c r="M474" s="16">
        <f t="shared" si="22"/>
        <v>76</v>
      </c>
      <c r="N474" s="16">
        <f t="shared" si="23"/>
        <v>151.99</v>
      </c>
      <c r="O474" s="14"/>
    </row>
    <row r="475" spans="1:15">
      <c r="A475" s="14" t="s">
        <v>54</v>
      </c>
      <c r="B475" s="15" t="s">
        <v>1008</v>
      </c>
      <c r="C475" s="15" t="s">
        <v>1009</v>
      </c>
      <c r="D475" s="14" t="s">
        <v>1010</v>
      </c>
      <c r="E475" s="15" t="s">
        <v>49</v>
      </c>
      <c r="F475" s="14" t="s">
        <v>22</v>
      </c>
      <c r="G475" s="15" t="s">
        <v>23</v>
      </c>
      <c r="H475" s="15" t="s">
        <v>1525</v>
      </c>
      <c r="I475" s="15">
        <v>201411</v>
      </c>
      <c r="J475" s="16">
        <v>-4489.25</v>
      </c>
      <c r="K475" s="171">
        <f t="shared" si="21"/>
        <v>6</v>
      </c>
      <c r="L475" s="17">
        <v>1.4833299999999999E-3</v>
      </c>
      <c r="M475" s="16">
        <f t="shared" si="22"/>
        <v>-39.950000000000003</v>
      </c>
      <c r="N475" s="16">
        <f t="shared" si="23"/>
        <v>-79.91</v>
      </c>
      <c r="O475" s="14"/>
    </row>
    <row r="476" spans="1:15">
      <c r="A476" s="14" t="s">
        <v>54</v>
      </c>
      <c r="B476" s="15" t="s">
        <v>1014</v>
      </c>
      <c r="C476" s="15" t="s">
        <v>1015</v>
      </c>
      <c r="D476" s="14" t="s">
        <v>1016</v>
      </c>
      <c r="E476" s="15" t="s">
        <v>296</v>
      </c>
      <c r="F476" s="14" t="s">
        <v>28</v>
      </c>
      <c r="G476" s="15" t="s">
        <v>23</v>
      </c>
      <c r="H476" s="15" t="s">
        <v>1525</v>
      </c>
      <c r="I476" s="15">
        <v>201411</v>
      </c>
      <c r="J476" s="16">
        <v>-4496.3500000000004</v>
      </c>
      <c r="K476" s="171">
        <f t="shared" si="21"/>
        <v>6</v>
      </c>
      <c r="L476" s="17">
        <v>1.4833299999999999E-3</v>
      </c>
      <c r="M476" s="16">
        <f t="shared" si="22"/>
        <v>-40.020000000000003</v>
      </c>
      <c r="N476" s="16">
        <f t="shared" si="23"/>
        <v>-80.03</v>
      </c>
      <c r="O476" s="14"/>
    </row>
    <row r="477" spans="1:15">
      <c r="A477" s="14" t="s">
        <v>54</v>
      </c>
      <c r="B477" s="15" t="s">
        <v>1017</v>
      </c>
      <c r="C477" s="15" t="s">
        <v>1018</v>
      </c>
      <c r="D477" s="14" t="s">
        <v>1019</v>
      </c>
      <c r="E477" s="15" t="s">
        <v>1020</v>
      </c>
      <c r="F477" s="14" t="s">
        <v>22</v>
      </c>
      <c r="G477" s="15" t="s">
        <v>23</v>
      </c>
      <c r="H477" s="15" t="s">
        <v>1525</v>
      </c>
      <c r="I477" s="15">
        <v>201411</v>
      </c>
      <c r="J477" s="16">
        <v>5145.3999999999996</v>
      </c>
      <c r="K477" s="171">
        <f t="shared" si="21"/>
        <v>6</v>
      </c>
      <c r="L477" s="17">
        <v>1.4833299999999999E-3</v>
      </c>
      <c r="M477" s="16">
        <f t="shared" si="22"/>
        <v>45.79</v>
      </c>
      <c r="N477" s="16">
        <f t="shared" si="23"/>
        <v>91.59</v>
      </c>
      <c r="O477" s="14"/>
    </row>
    <row r="478" spans="1:15">
      <c r="A478" s="14" t="s">
        <v>54</v>
      </c>
      <c r="B478" s="15" t="s">
        <v>1021</v>
      </c>
      <c r="C478" s="15" t="s">
        <v>1022</v>
      </c>
      <c r="D478" s="14" t="s">
        <v>1023</v>
      </c>
      <c r="E478" s="15" t="s">
        <v>108</v>
      </c>
      <c r="F478" s="14" t="s">
        <v>28</v>
      </c>
      <c r="G478" s="15" t="s">
        <v>23</v>
      </c>
      <c r="H478" s="15" t="s">
        <v>1525</v>
      </c>
      <c r="I478" s="15">
        <v>201411</v>
      </c>
      <c r="J478" s="16">
        <v>-13.74</v>
      </c>
      <c r="K478" s="171">
        <f t="shared" si="21"/>
        <v>6</v>
      </c>
      <c r="L478" s="17">
        <v>1.4833299999999999E-3</v>
      </c>
      <c r="M478" s="16">
        <f t="shared" si="22"/>
        <v>-0.12</v>
      </c>
      <c r="N478" s="16">
        <f t="shared" si="23"/>
        <v>-0.24</v>
      </c>
      <c r="O478" s="14"/>
    </row>
    <row r="479" spans="1:15">
      <c r="A479" s="14" t="s">
        <v>66</v>
      </c>
      <c r="B479" s="15" t="s">
        <v>1105</v>
      </c>
      <c r="C479" s="15" t="s">
        <v>1106</v>
      </c>
      <c r="D479" s="14" t="s">
        <v>1107</v>
      </c>
      <c r="E479" s="15" t="s">
        <v>466</v>
      </c>
      <c r="F479" s="14" t="s">
        <v>467</v>
      </c>
      <c r="G479" s="15" t="s">
        <v>23</v>
      </c>
      <c r="H479" s="15" t="s">
        <v>1527</v>
      </c>
      <c r="I479" s="15">
        <v>201411</v>
      </c>
      <c r="J479" s="16">
        <v>-35.93</v>
      </c>
      <c r="K479" s="171">
        <f t="shared" si="21"/>
        <v>6</v>
      </c>
      <c r="L479" s="17">
        <v>2.23333E-3</v>
      </c>
      <c r="M479" s="16">
        <f t="shared" si="22"/>
        <v>-0.48</v>
      </c>
      <c r="N479" s="16">
        <f t="shared" si="23"/>
        <v>-0.96</v>
      </c>
      <c r="O479" s="14"/>
    </row>
    <row r="480" spans="1:15">
      <c r="A480" s="14" t="s">
        <v>54</v>
      </c>
      <c r="B480" s="15" t="s">
        <v>55</v>
      </c>
      <c r="C480" s="15" t="s">
        <v>56</v>
      </c>
      <c r="D480" s="14" t="s">
        <v>57</v>
      </c>
      <c r="E480" s="15" t="s">
        <v>58</v>
      </c>
      <c r="F480" s="14" t="s">
        <v>22</v>
      </c>
      <c r="G480" s="15" t="s">
        <v>23</v>
      </c>
      <c r="H480" s="15" t="s">
        <v>1525</v>
      </c>
      <c r="I480" s="15">
        <v>201412</v>
      </c>
      <c r="J480" s="16">
        <v>395.39</v>
      </c>
      <c r="K480" s="171">
        <f t="shared" si="21"/>
        <v>5</v>
      </c>
      <c r="L480" s="17">
        <v>1.4833299999999999E-3</v>
      </c>
      <c r="M480" s="16">
        <f t="shared" si="22"/>
        <v>2.93</v>
      </c>
      <c r="N480" s="16">
        <f t="shared" si="23"/>
        <v>7.04</v>
      </c>
      <c r="O480" s="14"/>
    </row>
    <row r="481" spans="1:15">
      <c r="A481" s="14" t="s">
        <v>66</v>
      </c>
      <c r="B481" s="15" t="s">
        <v>72</v>
      </c>
      <c r="C481" s="15" t="s">
        <v>73</v>
      </c>
      <c r="D481" s="14" t="s">
        <v>74</v>
      </c>
      <c r="E481" s="15" t="s">
        <v>75</v>
      </c>
      <c r="F481" s="14" t="s">
        <v>71</v>
      </c>
      <c r="G481" s="15" t="s">
        <v>23</v>
      </c>
      <c r="H481" s="15" t="s">
        <v>1530</v>
      </c>
      <c r="I481" s="15">
        <v>201412</v>
      </c>
      <c r="J481" s="16">
        <v>137868.63</v>
      </c>
      <c r="K481" s="171">
        <f t="shared" si="21"/>
        <v>5</v>
      </c>
      <c r="L481" s="17">
        <v>2.23333E-3</v>
      </c>
      <c r="M481" s="16">
        <f t="shared" si="22"/>
        <v>1539.53</v>
      </c>
      <c r="N481" s="16">
        <f t="shared" si="23"/>
        <v>3694.87</v>
      </c>
      <c r="O481" s="14"/>
    </row>
    <row r="482" spans="1:15">
      <c r="A482" s="14" t="s">
        <v>66</v>
      </c>
      <c r="B482" s="15" t="s">
        <v>81</v>
      </c>
      <c r="C482" s="15" t="s">
        <v>82</v>
      </c>
      <c r="D482" s="14" t="s">
        <v>83</v>
      </c>
      <c r="E482" s="15" t="s">
        <v>84</v>
      </c>
      <c r="F482" s="14" t="s">
        <v>85</v>
      </c>
      <c r="G482" s="15" t="s">
        <v>23</v>
      </c>
      <c r="H482" s="15" t="s">
        <v>1530</v>
      </c>
      <c r="I482" s="15">
        <v>201412</v>
      </c>
      <c r="J482" s="16">
        <v>21637.919999999998</v>
      </c>
      <c r="K482" s="171">
        <f t="shared" si="21"/>
        <v>5</v>
      </c>
      <c r="L482" s="17">
        <v>2.23333E-3</v>
      </c>
      <c r="M482" s="16">
        <f t="shared" si="22"/>
        <v>241.62</v>
      </c>
      <c r="N482" s="16">
        <f t="shared" si="23"/>
        <v>579.9</v>
      </c>
      <c r="O482" s="14"/>
    </row>
    <row r="483" spans="1:15">
      <c r="A483" s="14" t="s">
        <v>66</v>
      </c>
      <c r="B483" s="15" t="s">
        <v>90</v>
      </c>
      <c r="C483" s="15" t="s">
        <v>91</v>
      </c>
      <c r="D483" s="14" t="s">
        <v>78</v>
      </c>
      <c r="E483" s="15" t="s">
        <v>92</v>
      </c>
      <c r="F483" s="14" t="s">
        <v>80</v>
      </c>
      <c r="G483" s="15" t="s">
        <v>23</v>
      </c>
      <c r="H483" s="15" t="s">
        <v>1530</v>
      </c>
      <c r="I483" s="15">
        <v>201412</v>
      </c>
      <c r="J483" s="16">
        <v>11747.82</v>
      </c>
      <c r="K483" s="171">
        <f t="shared" si="21"/>
        <v>5</v>
      </c>
      <c r="L483" s="17">
        <v>2.23333E-3</v>
      </c>
      <c r="M483" s="16">
        <f t="shared" si="22"/>
        <v>131.18</v>
      </c>
      <c r="N483" s="16">
        <f t="shared" si="23"/>
        <v>314.83999999999997</v>
      </c>
      <c r="O483" s="14"/>
    </row>
    <row r="484" spans="1:15">
      <c r="A484" s="14" t="s">
        <v>54</v>
      </c>
      <c r="B484" s="15" t="s">
        <v>146</v>
      </c>
      <c r="C484" s="15" t="s">
        <v>147</v>
      </c>
      <c r="D484" s="14" t="s">
        <v>148</v>
      </c>
      <c r="E484" s="15" t="s">
        <v>62</v>
      </c>
      <c r="F484" s="14" t="s">
        <v>22</v>
      </c>
      <c r="G484" s="15" t="s">
        <v>23</v>
      </c>
      <c r="H484" s="15" t="s">
        <v>1525</v>
      </c>
      <c r="I484" s="15">
        <v>201412</v>
      </c>
      <c r="J484" s="16">
        <v>4971.3500000000004</v>
      </c>
      <c r="K484" s="171">
        <f t="shared" si="21"/>
        <v>5</v>
      </c>
      <c r="L484" s="17">
        <v>1.4833299999999999E-3</v>
      </c>
      <c r="M484" s="16">
        <f t="shared" si="22"/>
        <v>36.869999999999997</v>
      </c>
      <c r="N484" s="16">
        <f t="shared" si="23"/>
        <v>88.49</v>
      </c>
      <c r="O484" s="14"/>
    </row>
    <row r="485" spans="1:15">
      <c r="A485" s="14" t="s">
        <v>17</v>
      </c>
      <c r="B485" s="15" t="s">
        <v>149</v>
      </c>
      <c r="C485" s="15" t="s">
        <v>150</v>
      </c>
      <c r="D485" s="14" t="s">
        <v>151</v>
      </c>
      <c r="E485" s="15" t="s">
        <v>40</v>
      </c>
      <c r="F485" s="14" t="s">
        <v>41</v>
      </c>
      <c r="G485" s="15" t="s">
        <v>23</v>
      </c>
      <c r="H485" s="15" t="s">
        <v>1526</v>
      </c>
      <c r="I485" s="15">
        <v>201412</v>
      </c>
      <c r="J485" s="16">
        <v>19553.21</v>
      </c>
      <c r="K485" s="171">
        <f t="shared" si="21"/>
        <v>5</v>
      </c>
      <c r="L485" s="17">
        <v>1.4833299999999999E-3</v>
      </c>
      <c r="M485" s="16">
        <f t="shared" si="22"/>
        <v>145.02000000000001</v>
      </c>
      <c r="N485" s="16">
        <f t="shared" si="23"/>
        <v>348.05</v>
      </c>
      <c r="O485" s="14"/>
    </row>
    <row r="486" spans="1:15">
      <c r="A486" s="14" t="s">
        <v>66</v>
      </c>
      <c r="B486" s="15" t="s">
        <v>192</v>
      </c>
      <c r="C486" s="15" t="s">
        <v>193</v>
      </c>
      <c r="D486" s="14" t="s">
        <v>194</v>
      </c>
      <c r="E486" s="15" t="s">
        <v>195</v>
      </c>
      <c r="F486" s="14" t="s">
        <v>196</v>
      </c>
      <c r="G486" s="15" t="s">
        <v>23</v>
      </c>
      <c r="H486" s="15" t="s">
        <v>1530</v>
      </c>
      <c r="I486" s="15">
        <v>201412</v>
      </c>
      <c r="J486" s="16">
        <v>-8.64</v>
      </c>
      <c r="K486" s="171">
        <f t="shared" si="21"/>
        <v>5</v>
      </c>
      <c r="L486" s="17">
        <v>2.23333E-3</v>
      </c>
      <c r="M486" s="16">
        <f t="shared" si="22"/>
        <v>-0.1</v>
      </c>
      <c r="N486" s="16">
        <f t="shared" si="23"/>
        <v>-0.23</v>
      </c>
      <c r="O486" s="14"/>
    </row>
    <row r="487" spans="1:15">
      <c r="A487" s="14" t="s">
        <v>66</v>
      </c>
      <c r="B487" s="15" t="s">
        <v>197</v>
      </c>
      <c r="C487" s="15" t="s">
        <v>198</v>
      </c>
      <c r="D487" s="14" t="s">
        <v>69</v>
      </c>
      <c r="E487" s="15" t="s">
        <v>199</v>
      </c>
      <c r="F487" s="14" t="s">
        <v>71</v>
      </c>
      <c r="G487" s="15" t="s">
        <v>23</v>
      </c>
      <c r="H487" s="15" t="s">
        <v>1530</v>
      </c>
      <c r="I487" s="15">
        <v>201412</v>
      </c>
      <c r="J487" s="16">
        <v>28.04</v>
      </c>
      <c r="K487" s="171">
        <f t="shared" si="21"/>
        <v>5</v>
      </c>
      <c r="L487" s="17">
        <v>2.23333E-3</v>
      </c>
      <c r="M487" s="16">
        <f t="shared" si="22"/>
        <v>0.31</v>
      </c>
      <c r="N487" s="16">
        <f t="shared" si="23"/>
        <v>0.75</v>
      </c>
      <c r="O487" s="14"/>
    </row>
    <row r="488" spans="1:15">
      <c r="A488" s="14" t="s">
        <v>66</v>
      </c>
      <c r="B488" s="15" t="s">
        <v>200</v>
      </c>
      <c r="C488" s="15" t="s">
        <v>201</v>
      </c>
      <c r="D488" s="14" t="s">
        <v>202</v>
      </c>
      <c r="E488" s="15" t="s">
        <v>203</v>
      </c>
      <c r="F488" s="14" t="s">
        <v>80</v>
      </c>
      <c r="G488" s="15" t="s">
        <v>23</v>
      </c>
      <c r="H488" s="15" t="s">
        <v>1530</v>
      </c>
      <c r="I488" s="15">
        <v>201412</v>
      </c>
      <c r="J488" s="16">
        <v>23427.599999999999</v>
      </c>
      <c r="K488" s="171">
        <f t="shared" si="21"/>
        <v>5</v>
      </c>
      <c r="L488" s="17">
        <v>2.23333E-3</v>
      </c>
      <c r="M488" s="16">
        <f t="shared" si="22"/>
        <v>261.61</v>
      </c>
      <c r="N488" s="16">
        <f t="shared" si="23"/>
        <v>627.86</v>
      </c>
      <c r="O488" s="14"/>
    </row>
    <row r="489" spans="1:15">
      <c r="A489" s="14" t="s">
        <v>217</v>
      </c>
      <c r="B489" s="15" t="s">
        <v>218</v>
      </c>
      <c r="C489" s="15" t="s">
        <v>219</v>
      </c>
      <c r="D489" s="14" t="s">
        <v>220</v>
      </c>
      <c r="E489" s="15" t="s">
        <v>221</v>
      </c>
      <c r="F489" s="14" t="s">
        <v>222</v>
      </c>
      <c r="G489" s="15" t="s">
        <v>23</v>
      </c>
      <c r="H489" s="15" t="s">
        <v>1524</v>
      </c>
      <c r="I489" s="15">
        <v>201412</v>
      </c>
      <c r="J489" s="16">
        <v>30904.42</v>
      </c>
      <c r="K489" s="171">
        <f t="shared" si="21"/>
        <v>5</v>
      </c>
      <c r="L489" s="17">
        <v>1.4833299999999999E-3</v>
      </c>
      <c r="M489" s="16">
        <f t="shared" si="22"/>
        <v>229.21</v>
      </c>
      <c r="N489" s="16">
        <f t="shared" si="23"/>
        <v>550.1</v>
      </c>
      <c r="O489" s="14"/>
    </row>
    <row r="490" spans="1:15">
      <c r="A490" s="14" t="s">
        <v>66</v>
      </c>
      <c r="B490" s="15" t="s">
        <v>223</v>
      </c>
      <c r="C490" s="15" t="s">
        <v>224</v>
      </c>
      <c r="D490" s="14" t="s">
        <v>88</v>
      </c>
      <c r="E490" s="15" t="s">
        <v>225</v>
      </c>
      <c r="F490" s="14" t="s">
        <v>85</v>
      </c>
      <c r="G490" s="15" t="s">
        <v>23</v>
      </c>
      <c r="H490" s="15" t="s">
        <v>1530</v>
      </c>
      <c r="I490" s="15">
        <v>201412</v>
      </c>
      <c r="J490" s="16">
        <v>18.05</v>
      </c>
      <c r="K490" s="171">
        <f t="shared" si="21"/>
        <v>5</v>
      </c>
      <c r="L490" s="17">
        <v>2.23333E-3</v>
      </c>
      <c r="M490" s="16">
        <f t="shared" si="22"/>
        <v>0.2</v>
      </c>
      <c r="N490" s="16">
        <f t="shared" si="23"/>
        <v>0.48</v>
      </c>
      <c r="O490" s="14"/>
    </row>
    <row r="491" spans="1:15">
      <c r="A491" s="14" t="s">
        <v>66</v>
      </c>
      <c r="B491" s="15" t="s">
        <v>226</v>
      </c>
      <c r="C491" s="15" t="s">
        <v>227</v>
      </c>
      <c r="D491" s="14" t="s">
        <v>78</v>
      </c>
      <c r="E491" s="15" t="s">
        <v>228</v>
      </c>
      <c r="F491" s="14" t="s">
        <v>80</v>
      </c>
      <c r="G491" s="15" t="s">
        <v>23</v>
      </c>
      <c r="H491" s="15" t="s">
        <v>1530</v>
      </c>
      <c r="I491" s="15">
        <v>201412</v>
      </c>
      <c r="J491" s="16">
        <v>148.91</v>
      </c>
      <c r="K491" s="171">
        <f t="shared" si="21"/>
        <v>5</v>
      </c>
      <c r="L491" s="17">
        <v>2.23333E-3</v>
      </c>
      <c r="M491" s="16">
        <f t="shared" si="22"/>
        <v>1.66</v>
      </c>
      <c r="N491" s="16">
        <f t="shared" si="23"/>
        <v>3.99</v>
      </c>
      <c r="O491" s="14"/>
    </row>
    <row r="492" spans="1:15">
      <c r="A492" s="14" t="s">
        <v>66</v>
      </c>
      <c r="B492" s="15" t="s">
        <v>229</v>
      </c>
      <c r="C492" s="15" t="s">
        <v>230</v>
      </c>
      <c r="D492" s="14" t="s">
        <v>78</v>
      </c>
      <c r="E492" s="15" t="s">
        <v>231</v>
      </c>
      <c r="F492" s="14" t="s">
        <v>80</v>
      </c>
      <c r="G492" s="15" t="s">
        <v>23</v>
      </c>
      <c r="H492" s="15" t="s">
        <v>1530</v>
      </c>
      <c r="I492" s="15">
        <v>201412</v>
      </c>
      <c r="J492" s="16">
        <v>4761.8599999999997</v>
      </c>
      <c r="K492" s="171">
        <f t="shared" si="21"/>
        <v>5</v>
      </c>
      <c r="L492" s="17">
        <v>2.23333E-3</v>
      </c>
      <c r="M492" s="16">
        <f t="shared" si="22"/>
        <v>53.17</v>
      </c>
      <c r="N492" s="16">
        <f t="shared" si="23"/>
        <v>127.62</v>
      </c>
      <c r="O492" s="14"/>
    </row>
    <row r="493" spans="1:15">
      <c r="A493" s="14" t="s">
        <v>17</v>
      </c>
      <c r="B493" s="15" t="s">
        <v>278</v>
      </c>
      <c r="C493" s="15" t="s">
        <v>279</v>
      </c>
      <c r="D493" s="14" t="s">
        <v>280</v>
      </c>
      <c r="E493" s="15" t="s">
        <v>104</v>
      </c>
      <c r="F493" s="14" t="s">
        <v>41</v>
      </c>
      <c r="G493" s="15" t="s">
        <v>23</v>
      </c>
      <c r="H493" s="15" t="s">
        <v>1526</v>
      </c>
      <c r="I493" s="15">
        <v>201412</v>
      </c>
      <c r="J493" s="16">
        <v>-1972.63</v>
      </c>
      <c r="K493" s="171">
        <f t="shared" si="21"/>
        <v>5</v>
      </c>
      <c r="L493" s="17">
        <v>1.4833299999999999E-3</v>
      </c>
      <c r="M493" s="16">
        <f t="shared" si="22"/>
        <v>-14.63</v>
      </c>
      <c r="N493" s="16">
        <f t="shared" si="23"/>
        <v>-35.11</v>
      </c>
      <c r="O493" s="14"/>
    </row>
    <row r="494" spans="1:15">
      <c r="A494" s="14" t="s">
        <v>54</v>
      </c>
      <c r="B494" s="15" t="s">
        <v>278</v>
      </c>
      <c r="C494" s="15" t="s">
        <v>279</v>
      </c>
      <c r="D494" s="14" t="s">
        <v>280</v>
      </c>
      <c r="E494" s="15" t="s">
        <v>104</v>
      </c>
      <c r="F494" s="14" t="s">
        <v>41</v>
      </c>
      <c r="G494" s="15" t="s">
        <v>23</v>
      </c>
      <c r="H494" s="15" t="s">
        <v>1526</v>
      </c>
      <c r="I494" s="15">
        <v>201412</v>
      </c>
      <c r="J494" s="16">
        <v>1972.63</v>
      </c>
      <c r="K494" s="171">
        <f t="shared" si="21"/>
        <v>5</v>
      </c>
      <c r="L494" s="17">
        <v>1.4833299999999999E-3</v>
      </c>
      <c r="M494" s="16">
        <f t="shared" si="22"/>
        <v>14.63</v>
      </c>
      <c r="N494" s="16">
        <f t="shared" si="23"/>
        <v>35.11</v>
      </c>
      <c r="O494" s="14"/>
    </row>
    <row r="495" spans="1:15">
      <c r="A495" s="14" t="s">
        <v>17</v>
      </c>
      <c r="B495" s="15" t="s">
        <v>1024</v>
      </c>
      <c r="C495" s="15" t="s">
        <v>1025</v>
      </c>
      <c r="D495" s="14" t="s">
        <v>1026</v>
      </c>
      <c r="E495" s="15" t="s">
        <v>216</v>
      </c>
      <c r="F495" s="14" t="s">
        <v>22</v>
      </c>
      <c r="G495" s="15" t="s">
        <v>23</v>
      </c>
      <c r="H495" s="15" t="s">
        <v>1525</v>
      </c>
      <c r="I495" s="15">
        <v>201412</v>
      </c>
      <c r="J495" s="16">
        <v>48840.31</v>
      </c>
      <c r="K495" s="171">
        <f t="shared" si="21"/>
        <v>5</v>
      </c>
      <c r="L495" s="17">
        <v>1.4833299999999999E-3</v>
      </c>
      <c r="M495" s="16">
        <f t="shared" si="22"/>
        <v>362.23</v>
      </c>
      <c r="N495" s="16">
        <f t="shared" si="23"/>
        <v>869.36</v>
      </c>
      <c r="O495" s="14"/>
    </row>
    <row r="496" spans="1:15">
      <c r="A496" s="14" t="s">
        <v>54</v>
      </c>
      <c r="B496" s="15" t="s">
        <v>309</v>
      </c>
      <c r="C496" s="15" t="s">
        <v>310</v>
      </c>
      <c r="D496" s="14" t="s">
        <v>311</v>
      </c>
      <c r="E496" s="15" t="s">
        <v>216</v>
      </c>
      <c r="F496" s="14" t="s">
        <v>22</v>
      </c>
      <c r="G496" s="15" t="s">
        <v>23</v>
      </c>
      <c r="H496" s="15" t="s">
        <v>1525</v>
      </c>
      <c r="I496" s="15">
        <v>201412</v>
      </c>
      <c r="J496" s="16">
        <v>-104.47</v>
      </c>
      <c r="K496" s="171">
        <f t="shared" si="21"/>
        <v>5</v>
      </c>
      <c r="L496" s="17">
        <v>1.4833299999999999E-3</v>
      </c>
      <c r="M496" s="16">
        <f t="shared" si="22"/>
        <v>-0.77</v>
      </c>
      <c r="N496" s="16">
        <f t="shared" si="23"/>
        <v>-1.86</v>
      </c>
      <c r="O496" s="14"/>
    </row>
    <row r="497" spans="1:15">
      <c r="A497" s="14" t="s">
        <v>17</v>
      </c>
      <c r="B497" s="15" t="s">
        <v>347</v>
      </c>
      <c r="C497" s="15" t="s">
        <v>348</v>
      </c>
      <c r="D497" s="14" t="s">
        <v>349</v>
      </c>
      <c r="E497" s="15" t="s">
        <v>324</v>
      </c>
      <c r="F497" s="14" t="s">
        <v>325</v>
      </c>
      <c r="G497" s="15" t="s">
        <v>23</v>
      </c>
      <c r="H497" s="15" t="s">
        <v>1525</v>
      </c>
      <c r="I497" s="15">
        <v>201412</v>
      </c>
      <c r="J497" s="16">
        <v>5.46</v>
      </c>
      <c r="K497" s="171">
        <f t="shared" si="21"/>
        <v>5</v>
      </c>
      <c r="L497" s="17">
        <v>1.4833299999999999E-3</v>
      </c>
      <c r="M497" s="16">
        <f t="shared" si="22"/>
        <v>0.04</v>
      </c>
      <c r="N497" s="16">
        <f t="shared" si="23"/>
        <v>0.1</v>
      </c>
      <c r="O497" s="14"/>
    </row>
    <row r="498" spans="1:15">
      <c r="A498" s="14" t="s">
        <v>54</v>
      </c>
      <c r="B498" s="15" t="s">
        <v>359</v>
      </c>
      <c r="C498" s="15" t="s">
        <v>360</v>
      </c>
      <c r="D498" s="14" t="s">
        <v>361</v>
      </c>
      <c r="E498" s="15" t="s">
        <v>362</v>
      </c>
      <c r="F498" s="14" t="s">
        <v>41</v>
      </c>
      <c r="G498" s="15" t="s">
        <v>23</v>
      </c>
      <c r="H498" s="15" t="s">
        <v>1526</v>
      </c>
      <c r="I498" s="15">
        <v>201412</v>
      </c>
      <c r="J498" s="16">
        <v>-242.08</v>
      </c>
      <c r="K498" s="171">
        <f t="shared" si="21"/>
        <v>5</v>
      </c>
      <c r="L498" s="17">
        <v>1.4833299999999999E-3</v>
      </c>
      <c r="M498" s="16">
        <f t="shared" si="22"/>
        <v>-1.8</v>
      </c>
      <c r="N498" s="16">
        <f t="shared" si="23"/>
        <v>-4.3099999999999996</v>
      </c>
      <c r="O498" s="14"/>
    </row>
    <row r="499" spans="1:15">
      <c r="A499" s="14" t="s">
        <v>17</v>
      </c>
      <c r="B499" s="15" t="s">
        <v>366</v>
      </c>
      <c r="C499" s="15" t="s">
        <v>367</v>
      </c>
      <c r="D499" s="14" t="s">
        <v>368</v>
      </c>
      <c r="E499" s="15" t="s">
        <v>369</v>
      </c>
      <c r="F499" s="14" t="s">
        <v>41</v>
      </c>
      <c r="G499" s="15" t="s">
        <v>23</v>
      </c>
      <c r="H499" s="15" t="s">
        <v>1526</v>
      </c>
      <c r="I499" s="15">
        <v>201412</v>
      </c>
      <c r="J499" s="16">
        <v>11025.12</v>
      </c>
      <c r="K499" s="171">
        <f t="shared" si="21"/>
        <v>5</v>
      </c>
      <c r="L499" s="17">
        <v>1.4833299999999999E-3</v>
      </c>
      <c r="M499" s="16">
        <f t="shared" si="22"/>
        <v>81.77</v>
      </c>
      <c r="N499" s="16">
        <f t="shared" si="23"/>
        <v>196.25</v>
      </c>
      <c r="O499" s="14"/>
    </row>
    <row r="500" spans="1:15">
      <c r="A500" s="14" t="s">
        <v>66</v>
      </c>
      <c r="B500" s="15" t="s">
        <v>371</v>
      </c>
      <c r="C500" s="15" t="s">
        <v>372</v>
      </c>
      <c r="D500" s="14" t="s">
        <v>88</v>
      </c>
      <c r="E500" s="15" t="s">
        <v>373</v>
      </c>
      <c r="F500" s="14" t="s">
        <v>85</v>
      </c>
      <c r="G500" s="15" t="s">
        <v>23</v>
      </c>
      <c r="H500" s="15" t="s">
        <v>1530</v>
      </c>
      <c r="I500" s="15">
        <v>201412</v>
      </c>
      <c r="J500" s="16">
        <v>2148.71</v>
      </c>
      <c r="K500" s="171">
        <f t="shared" si="21"/>
        <v>5</v>
      </c>
      <c r="L500" s="17">
        <v>2.23333E-3</v>
      </c>
      <c r="M500" s="16">
        <f t="shared" si="22"/>
        <v>23.99</v>
      </c>
      <c r="N500" s="16">
        <f t="shared" si="23"/>
        <v>57.59</v>
      </c>
      <c r="O500" s="14"/>
    </row>
    <row r="501" spans="1:15">
      <c r="A501" s="14" t="s">
        <v>66</v>
      </c>
      <c r="B501" s="15" t="s">
        <v>374</v>
      </c>
      <c r="C501" s="15" t="s">
        <v>375</v>
      </c>
      <c r="D501" s="14" t="s">
        <v>376</v>
      </c>
      <c r="E501" s="15" t="s">
        <v>377</v>
      </c>
      <c r="F501" s="14" t="s">
        <v>378</v>
      </c>
      <c r="G501" s="15" t="s">
        <v>23</v>
      </c>
      <c r="H501" s="15" t="s">
        <v>1530</v>
      </c>
      <c r="I501" s="15">
        <v>201412</v>
      </c>
      <c r="J501" s="16">
        <v>1572.18</v>
      </c>
      <c r="K501" s="171">
        <f t="shared" si="21"/>
        <v>5</v>
      </c>
      <c r="L501" s="17">
        <v>2.23333E-3</v>
      </c>
      <c r="M501" s="16">
        <f t="shared" si="22"/>
        <v>17.559999999999999</v>
      </c>
      <c r="N501" s="16">
        <f t="shared" si="23"/>
        <v>42.13</v>
      </c>
      <c r="O501" s="14"/>
    </row>
    <row r="502" spans="1:15">
      <c r="A502" s="14" t="s">
        <v>66</v>
      </c>
      <c r="B502" s="15" t="s">
        <v>379</v>
      </c>
      <c r="C502" s="15" t="s">
        <v>380</v>
      </c>
      <c r="D502" s="14" t="s">
        <v>381</v>
      </c>
      <c r="E502" s="15" t="s">
        <v>382</v>
      </c>
      <c r="F502" s="14" t="s">
        <v>212</v>
      </c>
      <c r="G502" s="15" t="s">
        <v>23</v>
      </c>
      <c r="H502" s="15" t="s">
        <v>1530</v>
      </c>
      <c r="I502" s="15">
        <v>201412</v>
      </c>
      <c r="J502" s="16">
        <v>-3419.01</v>
      </c>
      <c r="K502" s="171">
        <f t="shared" si="21"/>
        <v>5</v>
      </c>
      <c r="L502" s="17">
        <v>2.23333E-3</v>
      </c>
      <c r="M502" s="16">
        <f t="shared" si="22"/>
        <v>-38.18</v>
      </c>
      <c r="N502" s="16">
        <f t="shared" si="23"/>
        <v>-91.63</v>
      </c>
      <c r="O502" s="14"/>
    </row>
    <row r="503" spans="1:15">
      <c r="A503" s="14" t="s">
        <v>66</v>
      </c>
      <c r="B503" s="15" t="s">
        <v>383</v>
      </c>
      <c r="C503" s="15" t="s">
        <v>384</v>
      </c>
      <c r="D503" s="14" t="s">
        <v>385</v>
      </c>
      <c r="E503" s="15" t="s">
        <v>386</v>
      </c>
      <c r="F503" s="14" t="s">
        <v>387</v>
      </c>
      <c r="G503" s="15" t="s">
        <v>23</v>
      </c>
      <c r="H503" s="15" t="s">
        <v>1530</v>
      </c>
      <c r="I503" s="15">
        <v>201412</v>
      </c>
      <c r="J503" s="16">
        <v>155294.04</v>
      </c>
      <c r="K503" s="171">
        <f t="shared" si="21"/>
        <v>5</v>
      </c>
      <c r="L503" s="17">
        <v>2.23333E-3</v>
      </c>
      <c r="M503" s="16">
        <f t="shared" si="22"/>
        <v>1734.11</v>
      </c>
      <c r="N503" s="16">
        <f t="shared" si="23"/>
        <v>4161.87</v>
      </c>
      <c r="O503" s="14"/>
    </row>
    <row r="504" spans="1:15">
      <c r="A504" s="14" t="s">
        <v>66</v>
      </c>
      <c r="B504" s="15" t="s">
        <v>388</v>
      </c>
      <c r="C504" s="15" t="s">
        <v>389</v>
      </c>
      <c r="D504" s="14" t="s">
        <v>385</v>
      </c>
      <c r="E504" s="15" t="s">
        <v>390</v>
      </c>
      <c r="F504" s="14" t="s">
        <v>387</v>
      </c>
      <c r="G504" s="15" t="s">
        <v>23</v>
      </c>
      <c r="H504" s="15" t="s">
        <v>1530</v>
      </c>
      <c r="I504" s="15">
        <v>201412</v>
      </c>
      <c r="J504" s="16">
        <v>24453.55</v>
      </c>
      <c r="K504" s="171">
        <f t="shared" si="21"/>
        <v>5</v>
      </c>
      <c r="L504" s="17">
        <v>2.23333E-3</v>
      </c>
      <c r="M504" s="16">
        <f t="shared" si="22"/>
        <v>273.06</v>
      </c>
      <c r="N504" s="16">
        <f t="shared" si="23"/>
        <v>655.35</v>
      </c>
      <c r="O504" s="14"/>
    </row>
    <row r="505" spans="1:15">
      <c r="A505" s="14" t="s">
        <v>17</v>
      </c>
      <c r="B505" s="15" t="s">
        <v>391</v>
      </c>
      <c r="C505" s="15" t="s">
        <v>392</v>
      </c>
      <c r="D505" s="14" t="s">
        <v>393</v>
      </c>
      <c r="E505" s="15" t="s">
        <v>394</v>
      </c>
      <c r="F505" s="14" t="s">
        <v>137</v>
      </c>
      <c r="G505" s="15" t="s">
        <v>23</v>
      </c>
      <c r="H505" s="15" t="s">
        <v>1526</v>
      </c>
      <c r="I505" s="15">
        <v>201412</v>
      </c>
      <c r="J505" s="16">
        <v>-583.21</v>
      </c>
      <c r="K505" s="171">
        <f t="shared" si="21"/>
        <v>5</v>
      </c>
      <c r="L505" s="17">
        <v>1.4833299999999999E-3</v>
      </c>
      <c r="M505" s="16">
        <f t="shared" si="22"/>
        <v>-4.33</v>
      </c>
      <c r="N505" s="16">
        <f t="shared" si="23"/>
        <v>-10.38</v>
      </c>
      <c r="O505" s="14"/>
    </row>
    <row r="506" spans="1:15">
      <c r="A506" s="14" t="s">
        <v>54</v>
      </c>
      <c r="B506" s="15" t="s">
        <v>419</v>
      </c>
      <c r="C506" s="15" t="s">
        <v>420</v>
      </c>
      <c r="D506" s="14" t="s">
        <v>421</v>
      </c>
      <c r="E506" s="15" t="s">
        <v>32</v>
      </c>
      <c r="F506" s="14" t="s">
        <v>22</v>
      </c>
      <c r="G506" s="15" t="s">
        <v>23</v>
      </c>
      <c r="H506" s="15" t="s">
        <v>1525</v>
      </c>
      <c r="I506" s="15">
        <v>201412</v>
      </c>
      <c r="J506" s="16">
        <v>-11.23</v>
      </c>
      <c r="K506" s="171">
        <f t="shared" si="21"/>
        <v>5</v>
      </c>
      <c r="L506" s="17">
        <v>1.4833299999999999E-3</v>
      </c>
      <c r="M506" s="16">
        <f t="shared" si="22"/>
        <v>-0.08</v>
      </c>
      <c r="N506" s="16">
        <f t="shared" si="23"/>
        <v>-0.2</v>
      </c>
      <c r="O506" s="14"/>
    </row>
    <row r="507" spans="1:15">
      <c r="A507" s="14" t="s">
        <v>54</v>
      </c>
      <c r="B507" s="15" t="s">
        <v>453</v>
      </c>
      <c r="C507" s="15" t="s">
        <v>454</v>
      </c>
      <c r="D507" s="14" t="s">
        <v>455</v>
      </c>
      <c r="E507" s="15" t="s">
        <v>62</v>
      </c>
      <c r="F507" s="14" t="s">
        <v>22</v>
      </c>
      <c r="G507" s="15" t="s">
        <v>23</v>
      </c>
      <c r="H507" s="15" t="s">
        <v>1525</v>
      </c>
      <c r="I507" s="15">
        <v>201412</v>
      </c>
      <c r="J507" s="16">
        <v>-93.8</v>
      </c>
      <c r="K507" s="171">
        <f t="shared" si="21"/>
        <v>5</v>
      </c>
      <c r="L507" s="17">
        <v>1.4833299999999999E-3</v>
      </c>
      <c r="M507" s="16">
        <f t="shared" si="22"/>
        <v>-0.7</v>
      </c>
      <c r="N507" s="16">
        <f t="shared" si="23"/>
        <v>-1.67</v>
      </c>
      <c r="O507" s="14"/>
    </row>
    <row r="508" spans="1:15">
      <c r="A508" s="14" t="s">
        <v>17</v>
      </c>
      <c r="B508" s="15" t="s">
        <v>480</v>
      </c>
      <c r="C508" s="15" t="s">
        <v>481</v>
      </c>
      <c r="D508" s="14" t="s">
        <v>482</v>
      </c>
      <c r="E508" s="15" t="s">
        <v>141</v>
      </c>
      <c r="F508" s="14" t="s">
        <v>142</v>
      </c>
      <c r="G508" s="15" t="s">
        <v>23</v>
      </c>
      <c r="H508" s="15" t="s">
        <v>1525</v>
      </c>
      <c r="I508" s="15">
        <v>201412</v>
      </c>
      <c r="J508" s="16">
        <v>-12.75</v>
      </c>
      <c r="K508" s="171">
        <f t="shared" si="21"/>
        <v>5</v>
      </c>
      <c r="L508" s="17">
        <v>1.4833299999999999E-3</v>
      </c>
      <c r="M508" s="16">
        <f t="shared" si="22"/>
        <v>-0.09</v>
      </c>
      <c r="N508" s="16">
        <f t="shared" si="23"/>
        <v>-0.23</v>
      </c>
      <c r="O508" s="14"/>
    </row>
    <row r="509" spans="1:15">
      <c r="A509" s="14" t="s">
        <v>66</v>
      </c>
      <c r="B509" s="15" t="s">
        <v>489</v>
      </c>
      <c r="C509" s="15" t="s">
        <v>490</v>
      </c>
      <c r="D509" s="14" t="s">
        <v>491</v>
      </c>
      <c r="E509" s="15" t="s">
        <v>492</v>
      </c>
      <c r="F509" s="14" t="s">
        <v>378</v>
      </c>
      <c r="G509" s="15" t="s">
        <v>23</v>
      </c>
      <c r="H509" s="15" t="s">
        <v>1530</v>
      </c>
      <c r="I509" s="15">
        <v>201412</v>
      </c>
      <c r="J509" s="16">
        <v>-341.38</v>
      </c>
      <c r="K509" s="171">
        <f t="shared" si="21"/>
        <v>5</v>
      </c>
      <c r="L509" s="17">
        <v>2.23333E-3</v>
      </c>
      <c r="M509" s="16">
        <f t="shared" si="22"/>
        <v>-3.81</v>
      </c>
      <c r="N509" s="16">
        <f t="shared" si="23"/>
        <v>-9.15</v>
      </c>
      <c r="O509" s="14"/>
    </row>
    <row r="510" spans="1:15">
      <c r="A510" s="14" t="s">
        <v>66</v>
      </c>
      <c r="B510" s="15" t="s">
        <v>496</v>
      </c>
      <c r="C510" s="15" t="s">
        <v>497</v>
      </c>
      <c r="D510" s="14" t="s">
        <v>376</v>
      </c>
      <c r="E510" s="15" t="s">
        <v>498</v>
      </c>
      <c r="F510" s="14" t="s">
        <v>378</v>
      </c>
      <c r="G510" s="15" t="s">
        <v>23</v>
      </c>
      <c r="H510" s="15" t="s">
        <v>1530</v>
      </c>
      <c r="I510" s="15">
        <v>201412</v>
      </c>
      <c r="J510" s="16">
        <v>44688.62</v>
      </c>
      <c r="K510" s="171">
        <f t="shared" si="21"/>
        <v>5</v>
      </c>
      <c r="L510" s="17">
        <v>2.23333E-3</v>
      </c>
      <c r="M510" s="16">
        <f t="shared" si="22"/>
        <v>499.02</v>
      </c>
      <c r="N510" s="16">
        <f t="shared" si="23"/>
        <v>1197.6500000000001</v>
      </c>
      <c r="O510" s="14"/>
    </row>
    <row r="511" spans="1:15">
      <c r="A511" s="14" t="s">
        <v>66</v>
      </c>
      <c r="B511" s="15" t="s">
        <v>499</v>
      </c>
      <c r="C511" s="15" t="s">
        <v>500</v>
      </c>
      <c r="D511" s="14" t="s">
        <v>385</v>
      </c>
      <c r="E511" s="15" t="s">
        <v>501</v>
      </c>
      <c r="F511" s="14" t="s">
        <v>387</v>
      </c>
      <c r="G511" s="15" t="s">
        <v>23</v>
      </c>
      <c r="H511" s="15" t="s">
        <v>1530</v>
      </c>
      <c r="I511" s="15">
        <v>201412</v>
      </c>
      <c r="J511" s="16">
        <v>-1460.39</v>
      </c>
      <c r="K511" s="171">
        <f t="shared" si="21"/>
        <v>5</v>
      </c>
      <c r="L511" s="17">
        <v>2.23333E-3</v>
      </c>
      <c r="M511" s="16">
        <f t="shared" si="22"/>
        <v>-16.309999999999999</v>
      </c>
      <c r="N511" s="16">
        <f t="shared" si="23"/>
        <v>-39.14</v>
      </c>
      <c r="O511" s="14"/>
    </row>
    <row r="512" spans="1:15">
      <c r="A512" s="14" t="s">
        <v>54</v>
      </c>
      <c r="B512" s="15" t="s">
        <v>543</v>
      </c>
      <c r="C512" s="15" t="s">
        <v>544</v>
      </c>
      <c r="D512" s="14" t="s">
        <v>545</v>
      </c>
      <c r="E512" s="15" t="s">
        <v>62</v>
      </c>
      <c r="F512" s="14" t="s">
        <v>22</v>
      </c>
      <c r="G512" s="15" t="s">
        <v>23</v>
      </c>
      <c r="H512" s="15" t="s">
        <v>1525</v>
      </c>
      <c r="I512" s="15">
        <v>201412</v>
      </c>
      <c r="J512" s="16">
        <v>-151.33000000000001</v>
      </c>
      <c r="K512" s="171">
        <f t="shared" si="21"/>
        <v>5</v>
      </c>
      <c r="L512" s="17">
        <v>1.4833299999999999E-3</v>
      </c>
      <c r="M512" s="16">
        <f t="shared" si="22"/>
        <v>-1.1200000000000001</v>
      </c>
      <c r="N512" s="16">
        <f t="shared" si="23"/>
        <v>-2.69</v>
      </c>
      <c r="O512" s="14"/>
    </row>
    <row r="513" spans="1:15">
      <c r="A513" s="14" t="s">
        <v>17</v>
      </c>
      <c r="B513" s="15" t="s">
        <v>552</v>
      </c>
      <c r="C513" s="15" t="s">
        <v>553</v>
      </c>
      <c r="D513" s="14" t="s">
        <v>554</v>
      </c>
      <c r="E513" s="15" t="s">
        <v>62</v>
      </c>
      <c r="F513" s="14" t="s">
        <v>22</v>
      </c>
      <c r="G513" s="15" t="s">
        <v>23</v>
      </c>
      <c r="H513" s="15" t="s">
        <v>1525</v>
      </c>
      <c r="I513" s="15">
        <v>201412</v>
      </c>
      <c r="J513" s="16">
        <v>2866.12</v>
      </c>
      <c r="K513" s="171">
        <f t="shared" si="21"/>
        <v>5</v>
      </c>
      <c r="L513" s="17">
        <v>1.4833299999999999E-3</v>
      </c>
      <c r="M513" s="16">
        <f t="shared" si="22"/>
        <v>21.26</v>
      </c>
      <c r="N513" s="16">
        <f t="shared" si="23"/>
        <v>51.02</v>
      </c>
      <c r="O513" s="14"/>
    </row>
    <row r="514" spans="1:15">
      <c r="A514" s="20" t="s">
        <v>238</v>
      </c>
      <c r="B514" s="21" t="s">
        <v>1099</v>
      </c>
      <c r="C514" s="21" t="s">
        <v>1100</v>
      </c>
      <c r="D514" s="20" t="s">
        <v>1101</v>
      </c>
      <c r="E514" s="21" t="s">
        <v>104</v>
      </c>
      <c r="F514" s="20" t="s">
        <v>41</v>
      </c>
      <c r="G514" s="21" t="s">
        <v>23</v>
      </c>
      <c r="H514" s="15" t="s">
        <v>1526</v>
      </c>
      <c r="I514" s="21">
        <v>201412</v>
      </c>
      <c r="J514" s="22">
        <v>2739.95</v>
      </c>
      <c r="K514" s="171">
        <f t="shared" si="21"/>
        <v>5</v>
      </c>
      <c r="L514" s="23">
        <v>2.3833299999999999E-3</v>
      </c>
      <c r="M514" s="22">
        <f t="shared" si="22"/>
        <v>32.65</v>
      </c>
      <c r="N514" s="22">
        <f t="shared" si="23"/>
        <v>78.36</v>
      </c>
      <c r="O514" s="20"/>
    </row>
    <row r="515" spans="1:15">
      <c r="A515" s="14" t="s">
        <v>17</v>
      </c>
      <c r="B515" s="15" t="s">
        <v>581</v>
      </c>
      <c r="C515" s="15" t="s">
        <v>582</v>
      </c>
      <c r="D515" s="14" t="s">
        <v>583</v>
      </c>
      <c r="E515" s="15" t="s">
        <v>104</v>
      </c>
      <c r="F515" s="14" t="s">
        <v>41</v>
      </c>
      <c r="G515" s="15" t="s">
        <v>23</v>
      </c>
      <c r="H515" s="15" t="s">
        <v>1526</v>
      </c>
      <c r="I515" s="15">
        <v>201412</v>
      </c>
      <c r="J515" s="16">
        <v>1337.3</v>
      </c>
      <c r="K515" s="171">
        <f t="shared" si="21"/>
        <v>5</v>
      </c>
      <c r="L515" s="17">
        <v>1.4833299999999999E-3</v>
      </c>
      <c r="M515" s="16">
        <f t="shared" si="22"/>
        <v>9.92</v>
      </c>
      <c r="N515" s="16">
        <f t="shared" si="23"/>
        <v>23.8</v>
      </c>
      <c r="O515" s="14"/>
    </row>
    <row r="516" spans="1:15">
      <c r="A516" s="14" t="s">
        <v>54</v>
      </c>
      <c r="B516" s="15" t="s">
        <v>581</v>
      </c>
      <c r="C516" s="15" t="s">
        <v>582</v>
      </c>
      <c r="D516" s="14" t="s">
        <v>583</v>
      </c>
      <c r="E516" s="15" t="s">
        <v>104</v>
      </c>
      <c r="F516" s="14" t="s">
        <v>41</v>
      </c>
      <c r="G516" s="15" t="s">
        <v>23</v>
      </c>
      <c r="H516" s="15" t="s">
        <v>1526</v>
      </c>
      <c r="I516" s="15">
        <v>201412</v>
      </c>
      <c r="J516" s="16">
        <v>-1826.47</v>
      </c>
      <c r="K516" s="171">
        <f t="shared" si="21"/>
        <v>5</v>
      </c>
      <c r="L516" s="17">
        <v>1.4833299999999999E-3</v>
      </c>
      <c r="M516" s="16">
        <f t="shared" si="22"/>
        <v>-13.55</v>
      </c>
      <c r="N516" s="16">
        <f t="shared" si="23"/>
        <v>-32.51</v>
      </c>
      <c r="O516" s="14"/>
    </row>
    <row r="517" spans="1:15">
      <c r="A517" s="14" t="s">
        <v>66</v>
      </c>
      <c r="B517" s="15" t="s">
        <v>1027</v>
      </c>
      <c r="C517" s="15" t="s">
        <v>1028</v>
      </c>
      <c r="D517" s="14" t="s">
        <v>194</v>
      </c>
      <c r="E517" s="15" t="s">
        <v>1029</v>
      </c>
      <c r="F517" s="14" t="s">
        <v>196</v>
      </c>
      <c r="G517" s="15" t="s">
        <v>23</v>
      </c>
      <c r="H517" s="15" t="s">
        <v>1530</v>
      </c>
      <c r="I517" s="15">
        <v>201412</v>
      </c>
      <c r="J517" s="16">
        <v>463.42</v>
      </c>
      <c r="K517" s="171">
        <f t="shared" ref="K517:K579" si="24">VLOOKUP(I517,$Q$7:$R$15,2)</f>
        <v>5</v>
      </c>
      <c r="L517" s="17">
        <v>2.23333E-3</v>
      </c>
      <c r="M517" s="16">
        <f t="shared" ref="M517:M579" si="25">ROUND(J517*K517*L517,2)</f>
        <v>5.17</v>
      </c>
      <c r="N517" s="16">
        <f t="shared" ref="N517:N579" si="26">ROUND(J517*L517*12,2)</f>
        <v>12.42</v>
      </c>
      <c r="O517" s="14"/>
    </row>
    <row r="518" spans="1:15">
      <c r="A518" s="14" t="s">
        <v>66</v>
      </c>
      <c r="B518" s="15" t="s">
        <v>595</v>
      </c>
      <c r="C518" s="15" t="s">
        <v>596</v>
      </c>
      <c r="D518" s="14" t="s">
        <v>597</v>
      </c>
      <c r="E518" s="15" t="s">
        <v>598</v>
      </c>
      <c r="F518" s="14" t="s">
        <v>212</v>
      </c>
      <c r="G518" s="15" t="s">
        <v>23</v>
      </c>
      <c r="H518" s="15" t="s">
        <v>1530</v>
      </c>
      <c r="I518" s="15">
        <v>201412</v>
      </c>
      <c r="J518" s="16">
        <v>24356.41</v>
      </c>
      <c r="K518" s="171">
        <f t="shared" si="24"/>
        <v>5</v>
      </c>
      <c r="L518" s="17">
        <v>2.23333E-3</v>
      </c>
      <c r="M518" s="16">
        <f t="shared" si="25"/>
        <v>271.98</v>
      </c>
      <c r="N518" s="16">
        <f t="shared" si="26"/>
        <v>652.75</v>
      </c>
      <c r="O518" s="14"/>
    </row>
    <row r="519" spans="1:15">
      <c r="A519" s="14" t="s">
        <v>66</v>
      </c>
      <c r="B519" s="15" t="s">
        <v>599</v>
      </c>
      <c r="C519" s="15" t="s">
        <v>600</v>
      </c>
      <c r="D519" s="14" t="s">
        <v>385</v>
      </c>
      <c r="E519" s="15" t="s">
        <v>601</v>
      </c>
      <c r="F519" s="14" t="s">
        <v>387</v>
      </c>
      <c r="G519" s="15" t="s">
        <v>23</v>
      </c>
      <c r="H519" s="15" t="s">
        <v>1530</v>
      </c>
      <c r="I519" s="15">
        <v>201412</v>
      </c>
      <c r="J519" s="16">
        <v>5423.03</v>
      </c>
      <c r="K519" s="171">
        <f t="shared" si="24"/>
        <v>5</v>
      </c>
      <c r="L519" s="17">
        <v>2.23333E-3</v>
      </c>
      <c r="M519" s="16">
        <f t="shared" si="25"/>
        <v>60.56</v>
      </c>
      <c r="N519" s="16">
        <f t="shared" si="26"/>
        <v>145.34</v>
      </c>
      <c r="O519" s="14"/>
    </row>
    <row r="520" spans="1:15">
      <c r="A520" s="14" t="s">
        <v>17</v>
      </c>
      <c r="B520" s="15" t="s">
        <v>1030</v>
      </c>
      <c r="C520" s="15" t="s">
        <v>1031</v>
      </c>
      <c r="D520" s="14" t="s">
        <v>1032</v>
      </c>
      <c r="E520" s="15" t="s">
        <v>53</v>
      </c>
      <c r="F520" s="14" t="s">
        <v>41</v>
      </c>
      <c r="G520" s="15" t="s">
        <v>23</v>
      </c>
      <c r="H520" s="15" t="s">
        <v>1526</v>
      </c>
      <c r="I520" s="15">
        <v>201412</v>
      </c>
      <c r="J520" s="16">
        <v>77100.09</v>
      </c>
      <c r="K520" s="171">
        <f t="shared" si="24"/>
        <v>5</v>
      </c>
      <c r="L520" s="17">
        <v>1.4833299999999999E-3</v>
      </c>
      <c r="M520" s="16">
        <f t="shared" si="25"/>
        <v>571.82000000000005</v>
      </c>
      <c r="N520" s="16">
        <f t="shared" si="26"/>
        <v>1372.38</v>
      </c>
      <c r="O520" s="14"/>
    </row>
    <row r="521" spans="1:15">
      <c r="A521" s="14" t="s">
        <v>17</v>
      </c>
      <c r="B521" s="15" t="s">
        <v>646</v>
      </c>
      <c r="C521" s="15" t="s">
        <v>647</v>
      </c>
      <c r="D521" s="14" t="s">
        <v>648</v>
      </c>
      <c r="E521" s="15" t="s">
        <v>176</v>
      </c>
      <c r="F521" s="14" t="s">
        <v>28</v>
      </c>
      <c r="G521" s="15" t="s">
        <v>23</v>
      </c>
      <c r="H521" s="15" t="s">
        <v>1525</v>
      </c>
      <c r="I521" s="15">
        <v>201412</v>
      </c>
      <c r="J521" s="16">
        <v>-0.08</v>
      </c>
      <c r="K521" s="171">
        <f t="shared" si="24"/>
        <v>5</v>
      </c>
      <c r="L521" s="17">
        <v>1.4833299999999999E-3</v>
      </c>
      <c r="M521" s="16">
        <f t="shared" si="25"/>
        <v>0</v>
      </c>
      <c r="N521" s="16">
        <f t="shared" si="26"/>
        <v>0</v>
      </c>
      <c r="O521" s="14"/>
    </row>
    <row r="522" spans="1:15">
      <c r="A522" s="14" t="s">
        <v>66</v>
      </c>
      <c r="B522" s="15" t="s">
        <v>671</v>
      </c>
      <c r="C522" s="15" t="s">
        <v>672</v>
      </c>
      <c r="D522" s="14" t="s">
        <v>206</v>
      </c>
      <c r="E522" s="15" t="s">
        <v>673</v>
      </c>
      <c r="F522" s="14" t="s">
        <v>97</v>
      </c>
      <c r="G522" s="15" t="s">
        <v>23</v>
      </c>
      <c r="H522" s="15" t="s">
        <v>1530</v>
      </c>
      <c r="I522" s="15">
        <v>201412</v>
      </c>
      <c r="J522" s="16">
        <v>64.27</v>
      </c>
      <c r="K522" s="171">
        <f t="shared" si="24"/>
        <v>5</v>
      </c>
      <c r="L522" s="17">
        <v>2.23333E-3</v>
      </c>
      <c r="M522" s="16">
        <f t="shared" si="25"/>
        <v>0.72</v>
      </c>
      <c r="N522" s="16">
        <f t="shared" si="26"/>
        <v>1.72</v>
      </c>
      <c r="O522" s="14"/>
    </row>
    <row r="523" spans="1:15">
      <c r="A523" s="14" t="s">
        <v>66</v>
      </c>
      <c r="B523" s="15" t="s">
        <v>674</v>
      </c>
      <c r="C523" s="15" t="s">
        <v>675</v>
      </c>
      <c r="D523" s="14" t="s">
        <v>385</v>
      </c>
      <c r="E523" s="15" t="s">
        <v>676</v>
      </c>
      <c r="F523" s="14" t="s">
        <v>387</v>
      </c>
      <c r="G523" s="15" t="s">
        <v>23</v>
      </c>
      <c r="H523" s="15" t="s">
        <v>1530</v>
      </c>
      <c r="I523" s="15">
        <v>201412</v>
      </c>
      <c r="J523" s="16">
        <v>4755.1000000000004</v>
      </c>
      <c r="K523" s="171">
        <f t="shared" si="24"/>
        <v>5</v>
      </c>
      <c r="L523" s="17">
        <v>2.23333E-3</v>
      </c>
      <c r="M523" s="16">
        <f t="shared" si="25"/>
        <v>53.1</v>
      </c>
      <c r="N523" s="16">
        <f t="shared" si="26"/>
        <v>127.44</v>
      </c>
      <c r="O523" s="14"/>
    </row>
    <row r="524" spans="1:15">
      <c r="A524" s="14" t="s">
        <v>17</v>
      </c>
      <c r="B524" s="15" t="s">
        <v>704</v>
      </c>
      <c r="C524" s="15" t="s">
        <v>705</v>
      </c>
      <c r="D524" s="14" t="s">
        <v>706</v>
      </c>
      <c r="E524" s="15" t="s">
        <v>58</v>
      </c>
      <c r="F524" s="14" t="s">
        <v>22</v>
      </c>
      <c r="G524" s="15" t="s">
        <v>23</v>
      </c>
      <c r="H524" s="15" t="s">
        <v>1525</v>
      </c>
      <c r="I524" s="15">
        <v>201412</v>
      </c>
      <c r="J524" s="16">
        <v>7983.95</v>
      </c>
      <c r="K524" s="171">
        <f t="shared" si="24"/>
        <v>5</v>
      </c>
      <c r="L524" s="17">
        <v>1.4833299999999999E-3</v>
      </c>
      <c r="M524" s="16">
        <f t="shared" si="25"/>
        <v>59.21</v>
      </c>
      <c r="N524" s="16">
        <f t="shared" si="26"/>
        <v>142.11000000000001</v>
      </c>
      <c r="O524" s="14"/>
    </row>
    <row r="525" spans="1:15">
      <c r="A525" s="14" t="s">
        <v>17</v>
      </c>
      <c r="B525" s="15" t="s">
        <v>1033</v>
      </c>
      <c r="C525" s="15" t="s">
        <v>1034</v>
      </c>
      <c r="D525" s="14" t="s">
        <v>1035</v>
      </c>
      <c r="E525" s="15" t="s">
        <v>58</v>
      </c>
      <c r="F525" s="14" t="s">
        <v>22</v>
      </c>
      <c r="G525" s="15" t="s">
        <v>23</v>
      </c>
      <c r="H525" s="15" t="s">
        <v>1525</v>
      </c>
      <c r="I525" s="15">
        <v>201412</v>
      </c>
      <c r="J525" s="16">
        <v>192036.17</v>
      </c>
      <c r="K525" s="171">
        <f t="shared" si="24"/>
        <v>5</v>
      </c>
      <c r="L525" s="17">
        <v>1.4833299999999999E-3</v>
      </c>
      <c r="M525" s="16">
        <f t="shared" si="25"/>
        <v>1424.27</v>
      </c>
      <c r="N525" s="16">
        <f t="shared" si="26"/>
        <v>3418.24</v>
      </c>
      <c r="O525" s="14"/>
    </row>
    <row r="526" spans="1:15">
      <c r="A526" s="14" t="s">
        <v>66</v>
      </c>
      <c r="B526" s="15" t="s">
        <v>741</v>
      </c>
      <c r="C526" s="15" t="s">
        <v>742</v>
      </c>
      <c r="D526" s="14" t="s">
        <v>69</v>
      </c>
      <c r="E526" s="15" t="s">
        <v>70</v>
      </c>
      <c r="F526" s="14" t="s">
        <v>71</v>
      </c>
      <c r="G526" s="15" t="s">
        <v>23</v>
      </c>
      <c r="H526" s="15" t="s">
        <v>1530</v>
      </c>
      <c r="I526" s="15">
        <v>201412</v>
      </c>
      <c r="J526" s="16">
        <v>8.01</v>
      </c>
      <c r="K526" s="171">
        <f t="shared" si="24"/>
        <v>5</v>
      </c>
      <c r="L526" s="17">
        <v>2.23333E-3</v>
      </c>
      <c r="M526" s="16">
        <f t="shared" si="25"/>
        <v>0.09</v>
      </c>
      <c r="N526" s="16">
        <f t="shared" si="26"/>
        <v>0.21</v>
      </c>
      <c r="O526" s="14"/>
    </row>
    <row r="527" spans="1:15">
      <c r="A527" s="14" t="s">
        <v>66</v>
      </c>
      <c r="B527" s="15" t="s">
        <v>743</v>
      </c>
      <c r="C527" s="15" t="s">
        <v>744</v>
      </c>
      <c r="D527" s="14" t="s">
        <v>745</v>
      </c>
      <c r="E527" s="15" t="s">
        <v>746</v>
      </c>
      <c r="F527" s="14" t="s">
        <v>80</v>
      </c>
      <c r="G527" s="15" t="s">
        <v>23</v>
      </c>
      <c r="H527" s="15" t="s">
        <v>1530</v>
      </c>
      <c r="I527" s="15">
        <v>201412</v>
      </c>
      <c r="J527" s="16">
        <v>-3814.16</v>
      </c>
      <c r="K527" s="171">
        <f t="shared" si="24"/>
        <v>5</v>
      </c>
      <c r="L527" s="17">
        <v>2.23333E-3</v>
      </c>
      <c r="M527" s="16">
        <f t="shared" si="25"/>
        <v>-42.59</v>
      </c>
      <c r="N527" s="16">
        <f t="shared" si="26"/>
        <v>-102.22</v>
      </c>
      <c r="O527" s="14"/>
    </row>
    <row r="528" spans="1:15">
      <c r="A528" s="14" t="s">
        <v>66</v>
      </c>
      <c r="B528" s="15" t="s">
        <v>747</v>
      </c>
      <c r="C528" s="15" t="s">
        <v>748</v>
      </c>
      <c r="D528" s="14" t="s">
        <v>78</v>
      </c>
      <c r="E528" s="15" t="s">
        <v>749</v>
      </c>
      <c r="F528" s="14" t="s">
        <v>80</v>
      </c>
      <c r="G528" s="15" t="s">
        <v>23</v>
      </c>
      <c r="H528" s="15" t="s">
        <v>1530</v>
      </c>
      <c r="I528" s="15">
        <v>201412</v>
      </c>
      <c r="J528" s="16">
        <v>8776.2099999999991</v>
      </c>
      <c r="K528" s="171">
        <f t="shared" si="24"/>
        <v>5</v>
      </c>
      <c r="L528" s="17">
        <v>2.23333E-3</v>
      </c>
      <c r="M528" s="16">
        <f t="shared" si="25"/>
        <v>98</v>
      </c>
      <c r="N528" s="16">
        <f t="shared" si="26"/>
        <v>235.2</v>
      </c>
      <c r="O528" s="14"/>
    </row>
    <row r="529" spans="1:15">
      <c r="A529" s="14" t="s">
        <v>66</v>
      </c>
      <c r="B529" s="15" t="s">
        <v>750</v>
      </c>
      <c r="C529" s="15" t="s">
        <v>751</v>
      </c>
      <c r="D529" s="14" t="s">
        <v>78</v>
      </c>
      <c r="E529" s="15" t="s">
        <v>752</v>
      </c>
      <c r="F529" s="14" t="s">
        <v>80</v>
      </c>
      <c r="G529" s="15" t="s">
        <v>23</v>
      </c>
      <c r="H529" s="15" t="s">
        <v>1530</v>
      </c>
      <c r="I529" s="15">
        <v>201412</v>
      </c>
      <c r="J529" s="16">
        <v>48.78</v>
      </c>
      <c r="K529" s="171">
        <f t="shared" si="24"/>
        <v>5</v>
      </c>
      <c r="L529" s="17">
        <v>2.23333E-3</v>
      </c>
      <c r="M529" s="16">
        <f t="shared" si="25"/>
        <v>0.54</v>
      </c>
      <c r="N529" s="16">
        <f t="shared" si="26"/>
        <v>1.31</v>
      </c>
      <c r="O529" s="14"/>
    </row>
    <row r="530" spans="1:15">
      <c r="A530" s="14" t="s">
        <v>66</v>
      </c>
      <c r="B530" s="15" t="s">
        <v>753</v>
      </c>
      <c r="C530" s="15" t="s">
        <v>754</v>
      </c>
      <c r="D530" s="14" t="s">
        <v>206</v>
      </c>
      <c r="E530" s="15" t="s">
        <v>755</v>
      </c>
      <c r="F530" s="14" t="s">
        <v>97</v>
      </c>
      <c r="G530" s="15" t="s">
        <v>23</v>
      </c>
      <c r="H530" s="15" t="s">
        <v>1530</v>
      </c>
      <c r="I530" s="15">
        <v>201412</v>
      </c>
      <c r="J530" s="16">
        <v>2824.7</v>
      </c>
      <c r="K530" s="171">
        <f t="shared" si="24"/>
        <v>5</v>
      </c>
      <c r="L530" s="17">
        <v>2.23333E-3</v>
      </c>
      <c r="M530" s="16">
        <f t="shared" si="25"/>
        <v>31.54</v>
      </c>
      <c r="N530" s="16">
        <f t="shared" si="26"/>
        <v>75.7</v>
      </c>
      <c r="O530" s="14"/>
    </row>
    <row r="531" spans="1:15">
      <c r="A531" s="14" t="s">
        <v>17</v>
      </c>
      <c r="B531" s="15" t="s">
        <v>759</v>
      </c>
      <c r="C531" s="15" t="s">
        <v>760</v>
      </c>
      <c r="D531" s="14" t="s">
        <v>761</v>
      </c>
      <c r="E531" s="15" t="s">
        <v>62</v>
      </c>
      <c r="F531" s="14" t="s">
        <v>22</v>
      </c>
      <c r="G531" s="15" t="s">
        <v>23</v>
      </c>
      <c r="H531" s="15" t="s">
        <v>1525</v>
      </c>
      <c r="I531" s="15">
        <v>201412</v>
      </c>
      <c r="J531" s="16">
        <v>-35.33</v>
      </c>
      <c r="K531" s="171">
        <f t="shared" si="24"/>
        <v>5</v>
      </c>
      <c r="L531" s="17">
        <v>1.4833299999999999E-3</v>
      </c>
      <c r="M531" s="16">
        <f t="shared" si="25"/>
        <v>-0.26</v>
      </c>
      <c r="N531" s="16">
        <f t="shared" si="26"/>
        <v>-0.63</v>
      </c>
      <c r="O531" s="14"/>
    </row>
    <row r="532" spans="1:15">
      <c r="A532" s="14" t="s">
        <v>17</v>
      </c>
      <c r="B532" s="15" t="s">
        <v>1036</v>
      </c>
      <c r="C532" s="15" t="s">
        <v>1037</v>
      </c>
      <c r="D532" s="14" t="s">
        <v>1038</v>
      </c>
      <c r="E532" s="15" t="s">
        <v>40</v>
      </c>
      <c r="F532" s="14" t="s">
        <v>41</v>
      </c>
      <c r="G532" s="15" t="s">
        <v>23</v>
      </c>
      <c r="H532" s="15" t="s">
        <v>1526</v>
      </c>
      <c r="I532" s="15">
        <v>201412</v>
      </c>
      <c r="J532" s="16">
        <v>423003.39</v>
      </c>
      <c r="K532" s="171">
        <f t="shared" si="24"/>
        <v>5</v>
      </c>
      <c r="L532" s="17">
        <v>1.4833299999999999E-3</v>
      </c>
      <c r="M532" s="16">
        <f t="shared" si="25"/>
        <v>3137.27</v>
      </c>
      <c r="N532" s="16">
        <f t="shared" si="26"/>
        <v>7529.44</v>
      </c>
      <c r="O532" s="14"/>
    </row>
    <row r="533" spans="1:15">
      <c r="A533" s="14" t="s">
        <v>17</v>
      </c>
      <c r="B533" s="15" t="s">
        <v>1039</v>
      </c>
      <c r="C533" s="15" t="s">
        <v>1040</v>
      </c>
      <c r="D533" s="14" t="s">
        <v>1041</v>
      </c>
      <c r="E533" s="15" t="s">
        <v>40</v>
      </c>
      <c r="F533" s="14" t="s">
        <v>41</v>
      </c>
      <c r="G533" s="15" t="s">
        <v>23</v>
      </c>
      <c r="H533" s="15" t="s">
        <v>1526</v>
      </c>
      <c r="I533" s="15">
        <v>201412</v>
      </c>
      <c r="J533" s="16">
        <v>4268934.05</v>
      </c>
      <c r="K533" s="171">
        <f t="shared" si="24"/>
        <v>5</v>
      </c>
      <c r="L533" s="17">
        <v>1.4833299999999999E-3</v>
      </c>
      <c r="M533" s="16">
        <f t="shared" si="25"/>
        <v>31661.19</v>
      </c>
      <c r="N533" s="16">
        <f t="shared" si="26"/>
        <v>75986.86</v>
      </c>
      <c r="O533" s="14"/>
    </row>
    <row r="534" spans="1:15">
      <c r="A534" s="14" t="s">
        <v>54</v>
      </c>
      <c r="B534" s="15" t="s">
        <v>813</v>
      </c>
      <c r="C534" s="15" t="s">
        <v>814</v>
      </c>
      <c r="D534" s="14" t="s">
        <v>815</v>
      </c>
      <c r="E534" s="15" t="s">
        <v>62</v>
      </c>
      <c r="F534" s="14" t="s">
        <v>22</v>
      </c>
      <c r="G534" s="15" t="s">
        <v>23</v>
      </c>
      <c r="H534" s="15" t="s">
        <v>1525</v>
      </c>
      <c r="I534" s="15">
        <v>201412</v>
      </c>
      <c r="J534" s="16">
        <v>14879.8</v>
      </c>
      <c r="K534" s="171">
        <f t="shared" si="24"/>
        <v>5</v>
      </c>
      <c r="L534" s="17">
        <v>1.4833299999999999E-3</v>
      </c>
      <c r="M534" s="16">
        <f t="shared" si="25"/>
        <v>110.36</v>
      </c>
      <c r="N534" s="16">
        <f t="shared" si="26"/>
        <v>264.86</v>
      </c>
      <c r="O534" s="14"/>
    </row>
    <row r="535" spans="1:15">
      <c r="A535" s="14" t="s">
        <v>17</v>
      </c>
      <c r="B535" s="15" t="s">
        <v>819</v>
      </c>
      <c r="C535" s="15" t="s">
        <v>820</v>
      </c>
      <c r="D535" s="14" t="s">
        <v>821</v>
      </c>
      <c r="E535" s="15" t="s">
        <v>822</v>
      </c>
      <c r="F535" s="14" t="s">
        <v>823</v>
      </c>
      <c r="G535" s="15" t="s">
        <v>23</v>
      </c>
      <c r="H535" s="15" t="s">
        <v>1526</v>
      </c>
      <c r="I535" s="15">
        <v>201412</v>
      </c>
      <c r="J535" s="16">
        <v>-166.27</v>
      </c>
      <c r="K535" s="171">
        <f t="shared" si="24"/>
        <v>5</v>
      </c>
      <c r="L535" s="17">
        <v>1.4833299999999999E-3</v>
      </c>
      <c r="M535" s="16">
        <f t="shared" si="25"/>
        <v>-1.23</v>
      </c>
      <c r="N535" s="16">
        <f t="shared" si="26"/>
        <v>-2.96</v>
      </c>
      <c r="O535" s="14"/>
    </row>
    <row r="536" spans="1:15">
      <c r="A536" s="14" t="s">
        <v>54</v>
      </c>
      <c r="B536" s="15" t="s">
        <v>830</v>
      </c>
      <c r="C536" s="15" t="s">
        <v>831</v>
      </c>
      <c r="D536" s="14" t="s">
        <v>832</v>
      </c>
      <c r="E536" s="15" t="s">
        <v>62</v>
      </c>
      <c r="F536" s="14" t="s">
        <v>22</v>
      </c>
      <c r="G536" s="15" t="s">
        <v>23</v>
      </c>
      <c r="H536" s="15" t="s">
        <v>1525</v>
      </c>
      <c r="I536" s="15">
        <v>201412</v>
      </c>
      <c r="J536" s="16">
        <v>-96.51</v>
      </c>
      <c r="K536" s="171">
        <f t="shared" si="24"/>
        <v>5</v>
      </c>
      <c r="L536" s="17">
        <v>1.4833299999999999E-3</v>
      </c>
      <c r="M536" s="16">
        <f t="shared" si="25"/>
        <v>-0.72</v>
      </c>
      <c r="N536" s="16">
        <f t="shared" si="26"/>
        <v>-1.72</v>
      </c>
      <c r="O536" s="14"/>
    </row>
    <row r="537" spans="1:15">
      <c r="A537" s="14" t="s">
        <v>17</v>
      </c>
      <c r="B537" s="15" t="s">
        <v>843</v>
      </c>
      <c r="C537" s="15" t="s">
        <v>844</v>
      </c>
      <c r="D537" s="14" t="s">
        <v>845</v>
      </c>
      <c r="E537" s="15" t="s">
        <v>45</v>
      </c>
      <c r="F537" s="14" t="s">
        <v>22</v>
      </c>
      <c r="G537" s="15" t="s">
        <v>23</v>
      </c>
      <c r="H537" s="15" t="s">
        <v>1525</v>
      </c>
      <c r="I537" s="15">
        <v>201412</v>
      </c>
      <c r="J537" s="16">
        <v>-122.95</v>
      </c>
      <c r="K537" s="171">
        <f t="shared" si="24"/>
        <v>5</v>
      </c>
      <c r="L537" s="17">
        <v>1.4833299999999999E-3</v>
      </c>
      <c r="M537" s="16">
        <f t="shared" si="25"/>
        <v>-0.91</v>
      </c>
      <c r="N537" s="16">
        <f t="shared" si="26"/>
        <v>-2.19</v>
      </c>
      <c r="O537" s="14"/>
    </row>
    <row r="538" spans="1:15">
      <c r="A538" s="14" t="s">
        <v>54</v>
      </c>
      <c r="B538" s="15" t="s">
        <v>846</v>
      </c>
      <c r="C538" s="15" t="s">
        <v>847</v>
      </c>
      <c r="D538" s="14" t="s">
        <v>848</v>
      </c>
      <c r="E538" s="15" t="s">
        <v>141</v>
      </c>
      <c r="F538" s="14" t="s">
        <v>142</v>
      </c>
      <c r="G538" s="15" t="s">
        <v>23</v>
      </c>
      <c r="H538" s="15" t="s">
        <v>1525</v>
      </c>
      <c r="I538" s="15">
        <v>201412</v>
      </c>
      <c r="J538" s="16">
        <v>-1373.08</v>
      </c>
      <c r="K538" s="171">
        <f t="shared" si="24"/>
        <v>5</v>
      </c>
      <c r="L538" s="17">
        <v>1.4833299999999999E-3</v>
      </c>
      <c r="M538" s="16">
        <f t="shared" si="25"/>
        <v>-10.18</v>
      </c>
      <c r="N538" s="16">
        <f t="shared" si="26"/>
        <v>-24.44</v>
      </c>
      <c r="O538" s="14"/>
    </row>
    <row r="539" spans="1:15">
      <c r="A539" s="14" t="s">
        <v>17</v>
      </c>
      <c r="B539" s="15" t="s">
        <v>849</v>
      </c>
      <c r="C539" s="15" t="s">
        <v>850</v>
      </c>
      <c r="D539" s="14" t="s">
        <v>851</v>
      </c>
      <c r="E539" s="15" t="s">
        <v>27</v>
      </c>
      <c r="F539" s="14" t="s">
        <v>28</v>
      </c>
      <c r="G539" s="15" t="s">
        <v>23</v>
      </c>
      <c r="H539" s="15" t="s">
        <v>1525</v>
      </c>
      <c r="I539" s="15">
        <v>201412</v>
      </c>
      <c r="J539" s="16">
        <v>58.38</v>
      </c>
      <c r="K539" s="171">
        <f t="shared" si="24"/>
        <v>5</v>
      </c>
      <c r="L539" s="17">
        <v>1.4833299999999999E-3</v>
      </c>
      <c r="M539" s="16">
        <f t="shared" si="25"/>
        <v>0.43</v>
      </c>
      <c r="N539" s="16">
        <f t="shared" si="26"/>
        <v>1.04</v>
      </c>
      <c r="O539" s="14"/>
    </row>
    <row r="540" spans="1:15">
      <c r="A540" s="14" t="s">
        <v>54</v>
      </c>
      <c r="B540" s="15" t="s">
        <v>852</v>
      </c>
      <c r="C540" s="15" t="s">
        <v>853</v>
      </c>
      <c r="D540" s="14" t="s">
        <v>854</v>
      </c>
      <c r="E540" s="15" t="s">
        <v>62</v>
      </c>
      <c r="F540" s="14" t="s">
        <v>22</v>
      </c>
      <c r="G540" s="15" t="s">
        <v>23</v>
      </c>
      <c r="H540" s="15" t="s">
        <v>1525</v>
      </c>
      <c r="I540" s="15">
        <v>201412</v>
      </c>
      <c r="J540" s="16">
        <v>-428.47</v>
      </c>
      <c r="K540" s="171">
        <f t="shared" si="24"/>
        <v>5</v>
      </c>
      <c r="L540" s="17">
        <v>1.4833299999999999E-3</v>
      </c>
      <c r="M540" s="16">
        <f t="shared" si="25"/>
        <v>-3.18</v>
      </c>
      <c r="N540" s="16">
        <f t="shared" si="26"/>
        <v>-7.63</v>
      </c>
      <c r="O540" s="14"/>
    </row>
    <row r="541" spans="1:15">
      <c r="A541" s="14" t="s">
        <v>54</v>
      </c>
      <c r="B541" s="15" t="s">
        <v>858</v>
      </c>
      <c r="C541" s="15" t="s">
        <v>859</v>
      </c>
      <c r="D541" s="14" t="s">
        <v>860</v>
      </c>
      <c r="E541" s="15" t="s">
        <v>62</v>
      </c>
      <c r="F541" s="14" t="s">
        <v>22</v>
      </c>
      <c r="G541" s="15" t="s">
        <v>23</v>
      </c>
      <c r="H541" s="15" t="s">
        <v>1525</v>
      </c>
      <c r="I541" s="15">
        <v>201412</v>
      </c>
      <c r="J541" s="16">
        <v>45.84</v>
      </c>
      <c r="K541" s="171">
        <f t="shared" si="24"/>
        <v>5</v>
      </c>
      <c r="L541" s="17">
        <v>1.4833299999999999E-3</v>
      </c>
      <c r="M541" s="16">
        <f t="shared" si="25"/>
        <v>0.34</v>
      </c>
      <c r="N541" s="16">
        <f t="shared" si="26"/>
        <v>0.82</v>
      </c>
      <c r="O541" s="14"/>
    </row>
    <row r="542" spans="1:15">
      <c r="A542" s="14" t="s">
        <v>238</v>
      </c>
      <c r="B542" s="15" t="s">
        <v>1042</v>
      </c>
      <c r="C542" s="15" t="s">
        <v>1043</v>
      </c>
      <c r="D542" s="14" t="s">
        <v>1044</v>
      </c>
      <c r="E542" s="15" t="s">
        <v>168</v>
      </c>
      <c r="F542" s="14" t="s">
        <v>169</v>
      </c>
      <c r="G542" s="15" t="s">
        <v>23</v>
      </c>
      <c r="H542" s="15" t="s">
        <v>1528</v>
      </c>
      <c r="I542" s="15">
        <v>201412</v>
      </c>
      <c r="J542" s="16">
        <v>32263.57</v>
      </c>
      <c r="K542" s="171">
        <f t="shared" si="24"/>
        <v>5</v>
      </c>
      <c r="L542" s="17">
        <v>2.3833299999999999E-3</v>
      </c>
      <c r="M542" s="16">
        <f t="shared" si="25"/>
        <v>384.47</v>
      </c>
      <c r="N542" s="16">
        <f t="shared" si="26"/>
        <v>922.74</v>
      </c>
      <c r="O542" s="14"/>
    </row>
    <row r="543" spans="1:15">
      <c r="A543" s="14" t="s">
        <v>54</v>
      </c>
      <c r="B543" s="15" t="s">
        <v>876</v>
      </c>
      <c r="C543" s="15" t="s">
        <v>877</v>
      </c>
      <c r="D543" s="14" t="s">
        <v>878</v>
      </c>
      <c r="E543" s="15" t="s">
        <v>62</v>
      </c>
      <c r="F543" s="14" t="s">
        <v>22</v>
      </c>
      <c r="G543" s="15" t="s">
        <v>23</v>
      </c>
      <c r="H543" s="15" t="s">
        <v>1525</v>
      </c>
      <c r="I543" s="15">
        <v>201412</v>
      </c>
      <c r="J543" s="16">
        <v>-865.92</v>
      </c>
      <c r="K543" s="171">
        <f t="shared" si="24"/>
        <v>5</v>
      </c>
      <c r="L543" s="17">
        <v>1.4833299999999999E-3</v>
      </c>
      <c r="M543" s="16">
        <f t="shared" si="25"/>
        <v>-6.42</v>
      </c>
      <c r="N543" s="16">
        <f t="shared" si="26"/>
        <v>-15.41</v>
      </c>
      <c r="O543" s="14"/>
    </row>
    <row r="544" spans="1:15">
      <c r="A544" s="14" t="s">
        <v>54</v>
      </c>
      <c r="B544" s="15" t="s">
        <v>1045</v>
      </c>
      <c r="C544" s="15" t="s">
        <v>1046</v>
      </c>
      <c r="D544" s="14" t="s">
        <v>1047</v>
      </c>
      <c r="E544" s="15" t="s">
        <v>462</v>
      </c>
      <c r="F544" s="14" t="s">
        <v>142</v>
      </c>
      <c r="G544" s="15" t="s">
        <v>23</v>
      </c>
      <c r="H544" s="15" t="s">
        <v>1525</v>
      </c>
      <c r="I544" s="15">
        <v>201412</v>
      </c>
      <c r="J544" s="16">
        <v>5321.09</v>
      </c>
      <c r="K544" s="171">
        <f t="shared" si="24"/>
        <v>5</v>
      </c>
      <c r="L544" s="17">
        <v>1.4833299999999999E-3</v>
      </c>
      <c r="M544" s="16">
        <f t="shared" si="25"/>
        <v>39.46</v>
      </c>
      <c r="N544" s="16">
        <f t="shared" si="26"/>
        <v>94.72</v>
      </c>
      <c r="O544" s="14"/>
    </row>
    <row r="545" spans="1:15">
      <c r="A545" s="14" t="s">
        <v>54</v>
      </c>
      <c r="B545" s="15" t="s">
        <v>879</v>
      </c>
      <c r="C545" s="15" t="s">
        <v>880</v>
      </c>
      <c r="D545" s="14" t="s">
        <v>881</v>
      </c>
      <c r="E545" s="15" t="s">
        <v>53</v>
      </c>
      <c r="F545" s="14" t="s">
        <v>41</v>
      </c>
      <c r="G545" s="15" t="s">
        <v>23</v>
      </c>
      <c r="H545" s="15" t="s">
        <v>1526</v>
      </c>
      <c r="I545" s="15">
        <v>201412</v>
      </c>
      <c r="J545" s="16">
        <v>544.26</v>
      </c>
      <c r="K545" s="171">
        <f t="shared" si="24"/>
        <v>5</v>
      </c>
      <c r="L545" s="17">
        <v>1.4833299999999999E-3</v>
      </c>
      <c r="M545" s="16">
        <f t="shared" si="25"/>
        <v>4.04</v>
      </c>
      <c r="N545" s="16">
        <f t="shared" si="26"/>
        <v>9.69</v>
      </c>
      <c r="O545" s="14"/>
    </row>
    <row r="546" spans="1:15">
      <c r="A546" s="14" t="s">
        <v>54</v>
      </c>
      <c r="B546" s="15" t="s">
        <v>1048</v>
      </c>
      <c r="C546" s="15" t="s">
        <v>1049</v>
      </c>
      <c r="D546" s="14" t="s">
        <v>1050</v>
      </c>
      <c r="E546" s="15" t="s">
        <v>925</v>
      </c>
      <c r="F546" s="14" t="s">
        <v>41</v>
      </c>
      <c r="G546" s="15" t="s">
        <v>23</v>
      </c>
      <c r="H546" s="15" t="s">
        <v>1526</v>
      </c>
      <c r="I546" s="15">
        <v>201412</v>
      </c>
      <c r="J546" s="16">
        <v>310904.90000000002</v>
      </c>
      <c r="K546" s="171">
        <f t="shared" si="24"/>
        <v>5</v>
      </c>
      <c r="L546" s="17">
        <v>1.4833299999999999E-3</v>
      </c>
      <c r="M546" s="16">
        <f t="shared" si="25"/>
        <v>2305.87</v>
      </c>
      <c r="N546" s="16">
        <f t="shared" si="26"/>
        <v>5534.09</v>
      </c>
      <c r="O546" s="14"/>
    </row>
    <row r="547" spans="1:15">
      <c r="A547" s="14" t="s">
        <v>54</v>
      </c>
      <c r="B547" s="15" t="s">
        <v>1051</v>
      </c>
      <c r="C547" s="15" t="s">
        <v>1052</v>
      </c>
      <c r="D547" s="14" t="s">
        <v>1053</v>
      </c>
      <c r="E547" s="15" t="s">
        <v>45</v>
      </c>
      <c r="F547" s="14" t="s">
        <v>22</v>
      </c>
      <c r="G547" s="15" t="s">
        <v>23</v>
      </c>
      <c r="H547" s="15" t="s">
        <v>1525</v>
      </c>
      <c r="I547" s="15">
        <v>201412</v>
      </c>
      <c r="J547" s="16">
        <v>74180.240000000005</v>
      </c>
      <c r="K547" s="171">
        <f t="shared" si="24"/>
        <v>5</v>
      </c>
      <c r="L547" s="17">
        <v>1.4833299999999999E-3</v>
      </c>
      <c r="M547" s="16">
        <f t="shared" si="25"/>
        <v>550.16999999999996</v>
      </c>
      <c r="N547" s="16">
        <f t="shared" si="26"/>
        <v>1320.41</v>
      </c>
      <c r="O547" s="14"/>
    </row>
    <row r="548" spans="1:15">
      <c r="A548" s="14" t="s">
        <v>17</v>
      </c>
      <c r="B548" s="15" t="s">
        <v>891</v>
      </c>
      <c r="C548" s="15" t="s">
        <v>892</v>
      </c>
      <c r="D548" s="14" t="s">
        <v>893</v>
      </c>
      <c r="E548" s="15" t="s">
        <v>32</v>
      </c>
      <c r="F548" s="14" t="s">
        <v>22</v>
      </c>
      <c r="G548" s="15" t="s">
        <v>23</v>
      </c>
      <c r="H548" s="15" t="s">
        <v>1525</v>
      </c>
      <c r="I548" s="15">
        <v>201412</v>
      </c>
      <c r="J548" s="16">
        <v>-568.53</v>
      </c>
      <c r="K548" s="171">
        <f t="shared" si="24"/>
        <v>5</v>
      </c>
      <c r="L548" s="17">
        <v>1.4833299999999999E-3</v>
      </c>
      <c r="M548" s="16">
        <f t="shared" si="25"/>
        <v>-4.22</v>
      </c>
      <c r="N548" s="16">
        <f t="shared" si="26"/>
        <v>-10.119999999999999</v>
      </c>
      <c r="O548" s="14"/>
    </row>
    <row r="549" spans="1:15">
      <c r="A549" s="14" t="s">
        <v>54</v>
      </c>
      <c r="B549" s="15" t="s">
        <v>891</v>
      </c>
      <c r="C549" s="15" t="s">
        <v>892</v>
      </c>
      <c r="D549" s="14" t="s">
        <v>893</v>
      </c>
      <c r="E549" s="15" t="s">
        <v>32</v>
      </c>
      <c r="F549" s="14" t="s">
        <v>22</v>
      </c>
      <c r="G549" s="15" t="s">
        <v>23</v>
      </c>
      <c r="H549" s="15" t="s">
        <v>1525</v>
      </c>
      <c r="I549" s="15">
        <v>201412</v>
      </c>
      <c r="J549" s="16">
        <v>446.02</v>
      </c>
      <c r="K549" s="171">
        <f t="shared" si="24"/>
        <v>5</v>
      </c>
      <c r="L549" s="17">
        <v>1.4833299999999999E-3</v>
      </c>
      <c r="M549" s="16">
        <f t="shared" si="25"/>
        <v>3.31</v>
      </c>
      <c r="N549" s="16">
        <f t="shared" si="26"/>
        <v>7.94</v>
      </c>
      <c r="O549" s="14"/>
    </row>
    <row r="550" spans="1:15">
      <c r="A550" s="14" t="s">
        <v>54</v>
      </c>
      <c r="B550" s="15" t="s">
        <v>1054</v>
      </c>
      <c r="C550" s="15" t="s">
        <v>1055</v>
      </c>
      <c r="D550" s="14" t="s">
        <v>1056</v>
      </c>
      <c r="E550" s="15" t="s">
        <v>141</v>
      </c>
      <c r="F550" s="14" t="s">
        <v>142</v>
      </c>
      <c r="G550" s="15" t="s">
        <v>23</v>
      </c>
      <c r="H550" s="15" t="s">
        <v>1525</v>
      </c>
      <c r="I550" s="15">
        <v>201412</v>
      </c>
      <c r="J550" s="16">
        <v>887506.89</v>
      </c>
      <c r="K550" s="171">
        <f t="shared" si="24"/>
        <v>5</v>
      </c>
      <c r="L550" s="17">
        <v>1.4833299999999999E-3</v>
      </c>
      <c r="M550" s="16">
        <f t="shared" si="25"/>
        <v>6582.33</v>
      </c>
      <c r="N550" s="16">
        <f t="shared" si="26"/>
        <v>15797.59</v>
      </c>
      <c r="O550" s="14"/>
    </row>
    <row r="551" spans="1:15">
      <c r="A551" s="14" t="s">
        <v>17</v>
      </c>
      <c r="B551" s="15" t="s">
        <v>903</v>
      </c>
      <c r="C551" s="15" t="s">
        <v>904</v>
      </c>
      <c r="D551" s="14" t="s">
        <v>905</v>
      </c>
      <c r="E551" s="15" t="s">
        <v>49</v>
      </c>
      <c r="F551" s="14" t="s">
        <v>22</v>
      </c>
      <c r="G551" s="15" t="s">
        <v>23</v>
      </c>
      <c r="H551" s="15" t="s">
        <v>1525</v>
      </c>
      <c r="I551" s="15">
        <v>201412</v>
      </c>
      <c r="J551" s="16">
        <v>-20.71</v>
      </c>
      <c r="K551" s="171">
        <f t="shared" si="24"/>
        <v>5</v>
      </c>
      <c r="L551" s="17">
        <v>1.4833299999999999E-3</v>
      </c>
      <c r="M551" s="16">
        <f t="shared" si="25"/>
        <v>-0.15</v>
      </c>
      <c r="N551" s="16">
        <f t="shared" si="26"/>
        <v>-0.37</v>
      </c>
      <c r="O551" s="14"/>
    </row>
    <row r="552" spans="1:15">
      <c r="A552" s="14" t="s">
        <v>54</v>
      </c>
      <c r="B552" s="15" t="s">
        <v>906</v>
      </c>
      <c r="C552" s="15" t="s">
        <v>907</v>
      </c>
      <c r="D552" s="14" t="s">
        <v>908</v>
      </c>
      <c r="E552" s="15" t="s">
        <v>909</v>
      </c>
      <c r="F552" s="14" t="s">
        <v>22</v>
      </c>
      <c r="G552" s="15" t="s">
        <v>23</v>
      </c>
      <c r="H552" s="15" t="s">
        <v>1525</v>
      </c>
      <c r="I552" s="15">
        <v>201412</v>
      </c>
      <c r="J552" s="16">
        <v>1.08</v>
      </c>
      <c r="K552" s="171">
        <f t="shared" si="24"/>
        <v>5</v>
      </c>
      <c r="L552" s="17">
        <v>1.4833299999999999E-3</v>
      </c>
      <c r="M552" s="16">
        <f t="shared" si="25"/>
        <v>0.01</v>
      </c>
      <c r="N552" s="16">
        <f t="shared" si="26"/>
        <v>0.02</v>
      </c>
      <c r="O552" s="14"/>
    </row>
    <row r="553" spans="1:15">
      <c r="A553" s="14" t="s">
        <v>54</v>
      </c>
      <c r="B553" s="15" t="s">
        <v>913</v>
      </c>
      <c r="C553" s="15" t="s">
        <v>914</v>
      </c>
      <c r="D553" s="14" t="s">
        <v>915</v>
      </c>
      <c r="E553" s="15" t="s">
        <v>36</v>
      </c>
      <c r="F553" s="14" t="s">
        <v>22</v>
      </c>
      <c r="G553" s="15" t="s">
        <v>23</v>
      </c>
      <c r="H553" s="15" t="s">
        <v>1525</v>
      </c>
      <c r="I553" s="15">
        <v>201412</v>
      </c>
      <c r="J553" s="16">
        <v>136.69</v>
      </c>
      <c r="K553" s="171">
        <f t="shared" si="24"/>
        <v>5</v>
      </c>
      <c r="L553" s="17">
        <v>1.4833299999999999E-3</v>
      </c>
      <c r="M553" s="16">
        <f t="shared" si="25"/>
        <v>1.01</v>
      </c>
      <c r="N553" s="16">
        <f t="shared" si="26"/>
        <v>2.4300000000000002</v>
      </c>
      <c r="O553" s="14"/>
    </row>
    <row r="554" spans="1:15">
      <c r="A554" s="14" t="s">
        <v>54</v>
      </c>
      <c r="B554" s="15" t="s">
        <v>919</v>
      </c>
      <c r="C554" s="15" t="s">
        <v>920</v>
      </c>
      <c r="D554" s="14" t="s">
        <v>921</v>
      </c>
      <c r="E554" s="15" t="s">
        <v>362</v>
      </c>
      <c r="F554" s="14" t="s">
        <v>41</v>
      </c>
      <c r="G554" s="15" t="s">
        <v>23</v>
      </c>
      <c r="H554" s="15" t="s">
        <v>1526</v>
      </c>
      <c r="I554" s="15">
        <v>201412</v>
      </c>
      <c r="J554" s="16">
        <v>-653.91</v>
      </c>
      <c r="K554" s="171">
        <f t="shared" si="24"/>
        <v>5</v>
      </c>
      <c r="L554" s="17">
        <v>1.4833299999999999E-3</v>
      </c>
      <c r="M554" s="16">
        <f t="shared" si="25"/>
        <v>-4.8499999999999996</v>
      </c>
      <c r="N554" s="16">
        <f t="shared" si="26"/>
        <v>-11.64</v>
      </c>
      <c r="O554" s="14"/>
    </row>
    <row r="555" spans="1:15">
      <c r="A555" s="14" t="s">
        <v>17</v>
      </c>
      <c r="B555" s="15" t="s">
        <v>1057</v>
      </c>
      <c r="C555" s="15" t="s">
        <v>1058</v>
      </c>
      <c r="D555" s="14" t="s">
        <v>1059</v>
      </c>
      <c r="E555" s="15" t="s">
        <v>925</v>
      </c>
      <c r="F555" s="14" t="s">
        <v>41</v>
      </c>
      <c r="G555" s="15" t="s">
        <v>23</v>
      </c>
      <c r="H555" s="15" t="s">
        <v>1526</v>
      </c>
      <c r="I555" s="15">
        <v>201412</v>
      </c>
      <c r="J555" s="16">
        <v>37991.93</v>
      </c>
      <c r="K555" s="171">
        <f t="shared" si="24"/>
        <v>5</v>
      </c>
      <c r="L555" s="17">
        <v>1.4833299999999999E-3</v>
      </c>
      <c r="M555" s="16">
        <f t="shared" si="25"/>
        <v>281.77</v>
      </c>
      <c r="N555" s="16">
        <f t="shared" si="26"/>
        <v>676.25</v>
      </c>
      <c r="O555" s="14"/>
    </row>
    <row r="556" spans="1:15">
      <c r="A556" s="14" t="s">
        <v>54</v>
      </c>
      <c r="B556" s="15" t="s">
        <v>922</v>
      </c>
      <c r="C556" s="15" t="s">
        <v>923</v>
      </c>
      <c r="D556" s="14" t="s">
        <v>924</v>
      </c>
      <c r="E556" s="15" t="s">
        <v>925</v>
      </c>
      <c r="F556" s="14" t="s">
        <v>41</v>
      </c>
      <c r="G556" s="15" t="s">
        <v>23</v>
      </c>
      <c r="H556" s="15" t="s">
        <v>1526</v>
      </c>
      <c r="I556" s="15">
        <v>201412</v>
      </c>
      <c r="J556" s="16">
        <v>1865.84</v>
      </c>
      <c r="K556" s="171">
        <f t="shared" si="24"/>
        <v>5</v>
      </c>
      <c r="L556" s="17">
        <v>1.4833299999999999E-3</v>
      </c>
      <c r="M556" s="16">
        <f t="shared" si="25"/>
        <v>13.84</v>
      </c>
      <c r="N556" s="16">
        <f t="shared" si="26"/>
        <v>33.21</v>
      </c>
      <c r="O556" s="14"/>
    </row>
    <row r="557" spans="1:15">
      <c r="A557" s="14" t="s">
        <v>54</v>
      </c>
      <c r="B557" s="15" t="s">
        <v>929</v>
      </c>
      <c r="C557" s="15" t="s">
        <v>930</v>
      </c>
      <c r="D557" s="14" t="s">
        <v>931</v>
      </c>
      <c r="E557" s="15" t="s">
        <v>394</v>
      </c>
      <c r="F557" s="14" t="s">
        <v>137</v>
      </c>
      <c r="G557" s="15" t="s">
        <v>23</v>
      </c>
      <c r="H557" s="15" t="s">
        <v>1526</v>
      </c>
      <c r="I557" s="15">
        <v>201412</v>
      </c>
      <c r="J557" s="16">
        <v>237.88</v>
      </c>
      <c r="K557" s="171">
        <f t="shared" si="24"/>
        <v>5</v>
      </c>
      <c r="L557" s="17">
        <v>1.4833299999999999E-3</v>
      </c>
      <c r="M557" s="16">
        <f t="shared" si="25"/>
        <v>1.76</v>
      </c>
      <c r="N557" s="16">
        <f t="shared" si="26"/>
        <v>4.2300000000000004</v>
      </c>
      <c r="O557" s="14"/>
    </row>
    <row r="558" spans="1:15">
      <c r="A558" s="14" t="s">
        <v>54</v>
      </c>
      <c r="B558" s="15" t="s">
        <v>1060</v>
      </c>
      <c r="C558" s="15" t="s">
        <v>1061</v>
      </c>
      <c r="D558" s="14" t="s">
        <v>1062</v>
      </c>
      <c r="E558" s="15" t="s">
        <v>53</v>
      </c>
      <c r="F558" s="14" t="s">
        <v>41</v>
      </c>
      <c r="G558" s="15" t="s">
        <v>23</v>
      </c>
      <c r="H558" s="15" t="s">
        <v>1526</v>
      </c>
      <c r="I558" s="15">
        <v>201412</v>
      </c>
      <c r="J558" s="16">
        <v>116872.01</v>
      </c>
      <c r="K558" s="171">
        <f t="shared" si="24"/>
        <v>5</v>
      </c>
      <c r="L558" s="17">
        <v>1.4833299999999999E-3</v>
      </c>
      <c r="M558" s="16">
        <f t="shared" si="25"/>
        <v>866.8</v>
      </c>
      <c r="N558" s="16">
        <f t="shared" si="26"/>
        <v>2080.3200000000002</v>
      </c>
      <c r="O558" s="14"/>
    </row>
    <row r="559" spans="1:15">
      <c r="A559" s="14" t="s">
        <v>54</v>
      </c>
      <c r="B559" s="15" t="s">
        <v>938</v>
      </c>
      <c r="C559" s="15" t="s">
        <v>939</v>
      </c>
      <c r="D559" s="14" t="s">
        <v>940</v>
      </c>
      <c r="E559" s="15" t="s">
        <v>141</v>
      </c>
      <c r="F559" s="14" t="s">
        <v>142</v>
      </c>
      <c r="G559" s="15" t="s">
        <v>23</v>
      </c>
      <c r="H559" s="15" t="s">
        <v>1525</v>
      </c>
      <c r="I559" s="15">
        <v>201412</v>
      </c>
      <c r="J559" s="16">
        <v>-683.61</v>
      </c>
      <c r="K559" s="171">
        <f t="shared" si="24"/>
        <v>5</v>
      </c>
      <c r="L559" s="17">
        <v>1.4833299999999999E-3</v>
      </c>
      <c r="M559" s="16">
        <f t="shared" si="25"/>
        <v>-5.07</v>
      </c>
      <c r="N559" s="16">
        <f t="shared" si="26"/>
        <v>-12.17</v>
      </c>
      <c r="O559" s="14"/>
    </row>
    <row r="560" spans="1:15">
      <c r="A560" s="14" t="s">
        <v>17</v>
      </c>
      <c r="B560" s="15" t="s">
        <v>944</v>
      </c>
      <c r="C560" s="15" t="s">
        <v>945</v>
      </c>
      <c r="D560" s="14" t="s">
        <v>946</v>
      </c>
      <c r="E560" s="15" t="s">
        <v>104</v>
      </c>
      <c r="F560" s="14" t="s">
        <v>41</v>
      </c>
      <c r="G560" s="15" t="s">
        <v>23</v>
      </c>
      <c r="H560" s="15" t="s">
        <v>1526</v>
      </c>
      <c r="I560" s="15">
        <v>201412</v>
      </c>
      <c r="J560" s="16">
        <v>-69.72</v>
      </c>
      <c r="K560" s="171">
        <f t="shared" si="24"/>
        <v>5</v>
      </c>
      <c r="L560" s="17">
        <v>1.4833299999999999E-3</v>
      </c>
      <c r="M560" s="16">
        <f t="shared" si="25"/>
        <v>-0.52</v>
      </c>
      <c r="N560" s="16">
        <f t="shared" si="26"/>
        <v>-1.24</v>
      </c>
      <c r="O560" s="14"/>
    </row>
    <row r="561" spans="1:15">
      <c r="A561" s="14" t="s">
        <v>54</v>
      </c>
      <c r="B561" s="15" t="s">
        <v>947</v>
      </c>
      <c r="C561" s="15" t="s">
        <v>948</v>
      </c>
      <c r="D561" s="14" t="s">
        <v>949</v>
      </c>
      <c r="E561" s="15" t="s">
        <v>141</v>
      </c>
      <c r="F561" s="14" t="s">
        <v>142</v>
      </c>
      <c r="G561" s="15" t="s">
        <v>23</v>
      </c>
      <c r="H561" s="15" t="s">
        <v>1525</v>
      </c>
      <c r="I561" s="15">
        <v>201412</v>
      </c>
      <c r="J561" s="16">
        <v>18827.39</v>
      </c>
      <c r="K561" s="171">
        <f t="shared" si="24"/>
        <v>5</v>
      </c>
      <c r="L561" s="17">
        <v>1.4833299999999999E-3</v>
      </c>
      <c r="M561" s="16">
        <f t="shared" si="25"/>
        <v>139.63999999999999</v>
      </c>
      <c r="N561" s="16">
        <f t="shared" si="26"/>
        <v>335.13</v>
      </c>
      <c r="O561" s="14"/>
    </row>
    <row r="562" spans="1:15">
      <c r="A562" s="14" t="s">
        <v>54</v>
      </c>
      <c r="B562" s="15" t="s">
        <v>950</v>
      </c>
      <c r="C562" s="15" t="s">
        <v>951</v>
      </c>
      <c r="D562" s="14" t="s">
        <v>952</v>
      </c>
      <c r="E562" s="15" t="s">
        <v>141</v>
      </c>
      <c r="F562" s="14" t="s">
        <v>142</v>
      </c>
      <c r="G562" s="15" t="s">
        <v>23</v>
      </c>
      <c r="H562" s="15" t="s">
        <v>1525</v>
      </c>
      <c r="I562" s="15">
        <v>201412</v>
      </c>
      <c r="J562" s="16">
        <v>-2384.0100000000002</v>
      </c>
      <c r="K562" s="171">
        <f t="shared" si="24"/>
        <v>5</v>
      </c>
      <c r="L562" s="17">
        <v>1.4833299999999999E-3</v>
      </c>
      <c r="M562" s="16">
        <f t="shared" si="25"/>
        <v>-17.68</v>
      </c>
      <c r="N562" s="16">
        <f t="shared" si="26"/>
        <v>-42.44</v>
      </c>
      <c r="O562" s="14"/>
    </row>
    <row r="563" spans="1:15">
      <c r="A563" s="14" t="s">
        <v>17</v>
      </c>
      <c r="B563" s="15" t="s">
        <v>953</v>
      </c>
      <c r="C563" s="15" t="s">
        <v>954</v>
      </c>
      <c r="D563" s="14" t="s">
        <v>955</v>
      </c>
      <c r="E563" s="15" t="s">
        <v>40</v>
      </c>
      <c r="F563" s="14" t="s">
        <v>41</v>
      </c>
      <c r="G563" s="15" t="s">
        <v>23</v>
      </c>
      <c r="H563" s="15" t="s">
        <v>1526</v>
      </c>
      <c r="I563" s="15">
        <v>201412</v>
      </c>
      <c r="J563" s="16">
        <v>73.510000000000005</v>
      </c>
      <c r="K563" s="171">
        <f t="shared" si="24"/>
        <v>5</v>
      </c>
      <c r="L563" s="17">
        <v>1.4833299999999999E-3</v>
      </c>
      <c r="M563" s="16">
        <f t="shared" si="25"/>
        <v>0.55000000000000004</v>
      </c>
      <c r="N563" s="16">
        <f t="shared" si="26"/>
        <v>1.31</v>
      </c>
      <c r="O563" s="14"/>
    </row>
    <row r="564" spans="1:15">
      <c r="A564" s="14" t="s">
        <v>17</v>
      </c>
      <c r="B564" s="15" t="s">
        <v>956</v>
      </c>
      <c r="C564" s="15" t="s">
        <v>957</v>
      </c>
      <c r="D564" s="14" t="s">
        <v>958</v>
      </c>
      <c r="E564" s="15" t="s">
        <v>40</v>
      </c>
      <c r="F564" s="14" t="s">
        <v>41</v>
      </c>
      <c r="G564" s="15" t="s">
        <v>23</v>
      </c>
      <c r="H564" s="15" t="s">
        <v>1526</v>
      </c>
      <c r="I564" s="15">
        <v>201412</v>
      </c>
      <c r="J564" s="16">
        <v>-75.260000000000005</v>
      </c>
      <c r="K564" s="171">
        <f t="shared" si="24"/>
        <v>5</v>
      </c>
      <c r="L564" s="17">
        <v>1.4833299999999999E-3</v>
      </c>
      <c r="M564" s="16">
        <f t="shared" si="25"/>
        <v>-0.56000000000000005</v>
      </c>
      <c r="N564" s="16">
        <f t="shared" si="26"/>
        <v>-1.34</v>
      </c>
      <c r="O564" s="14"/>
    </row>
    <row r="565" spans="1:15">
      <c r="A565" s="14" t="s">
        <v>54</v>
      </c>
      <c r="B565" s="15" t="s">
        <v>962</v>
      </c>
      <c r="C565" s="15" t="s">
        <v>963</v>
      </c>
      <c r="D565" s="14" t="s">
        <v>964</v>
      </c>
      <c r="E565" s="15" t="s">
        <v>40</v>
      </c>
      <c r="F565" s="14" t="s">
        <v>41</v>
      </c>
      <c r="G565" s="15" t="s">
        <v>23</v>
      </c>
      <c r="H565" s="15" t="s">
        <v>1526</v>
      </c>
      <c r="I565" s="15">
        <v>201412</v>
      </c>
      <c r="J565" s="16">
        <v>-145.08000000000001</v>
      </c>
      <c r="K565" s="171">
        <f t="shared" si="24"/>
        <v>5</v>
      </c>
      <c r="L565" s="17">
        <v>1.4833299999999999E-3</v>
      </c>
      <c r="M565" s="16">
        <f t="shared" si="25"/>
        <v>-1.08</v>
      </c>
      <c r="N565" s="16">
        <f t="shared" si="26"/>
        <v>-2.58</v>
      </c>
      <c r="O565" s="14"/>
    </row>
    <row r="566" spans="1:15">
      <c r="A566" s="14" t="s">
        <v>54</v>
      </c>
      <c r="B566" s="15" t="s">
        <v>965</v>
      </c>
      <c r="C566" s="15" t="s">
        <v>966</v>
      </c>
      <c r="D566" s="14" t="s">
        <v>967</v>
      </c>
      <c r="E566" s="15" t="s">
        <v>53</v>
      </c>
      <c r="F566" s="14" t="s">
        <v>41</v>
      </c>
      <c r="G566" s="15" t="s">
        <v>23</v>
      </c>
      <c r="H566" s="15" t="s">
        <v>1526</v>
      </c>
      <c r="I566" s="15">
        <v>201412</v>
      </c>
      <c r="J566" s="16">
        <v>1538.04</v>
      </c>
      <c r="K566" s="171">
        <f t="shared" si="24"/>
        <v>5</v>
      </c>
      <c r="L566" s="17">
        <v>1.4833299999999999E-3</v>
      </c>
      <c r="M566" s="16">
        <f t="shared" si="25"/>
        <v>11.41</v>
      </c>
      <c r="N566" s="16">
        <f t="shared" si="26"/>
        <v>27.38</v>
      </c>
      <c r="O566" s="14"/>
    </row>
    <row r="567" spans="1:15">
      <c r="A567" s="14" t="s">
        <v>54</v>
      </c>
      <c r="B567" s="15" t="s">
        <v>968</v>
      </c>
      <c r="C567" s="15" t="s">
        <v>969</v>
      </c>
      <c r="D567" s="14" t="s">
        <v>970</v>
      </c>
      <c r="E567" s="15" t="s">
        <v>394</v>
      </c>
      <c r="F567" s="14" t="s">
        <v>137</v>
      </c>
      <c r="G567" s="15" t="s">
        <v>23</v>
      </c>
      <c r="H567" s="15" t="s">
        <v>1526</v>
      </c>
      <c r="I567" s="15">
        <v>201412</v>
      </c>
      <c r="J567" s="16">
        <v>-820.13</v>
      </c>
      <c r="K567" s="171">
        <f t="shared" si="24"/>
        <v>5</v>
      </c>
      <c r="L567" s="17">
        <v>1.4833299999999999E-3</v>
      </c>
      <c r="M567" s="16">
        <f t="shared" si="25"/>
        <v>-6.08</v>
      </c>
      <c r="N567" s="16">
        <f t="shared" si="26"/>
        <v>-14.6</v>
      </c>
      <c r="O567" s="14"/>
    </row>
    <row r="568" spans="1:15">
      <c r="A568" s="14" t="s">
        <v>54</v>
      </c>
      <c r="B568" s="15" t="s">
        <v>971</v>
      </c>
      <c r="C568" s="15" t="s">
        <v>972</v>
      </c>
      <c r="D568" s="14" t="s">
        <v>973</v>
      </c>
      <c r="E568" s="15" t="s">
        <v>567</v>
      </c>
      <c r="F568" s="14" t="s">
        <v>137</v>
      </c>
      <c r="G568" s="15" t="s">
        <v>23</v>
      </c>
      <c r="H568" s="15" t="s">
        <v>1526</v>
      </c>
      <c r="I568" s="15">
        <v>201412</v>
      </c>
      <c r="J568" s="16">
        <v>3488.6</v>
      </c>
      <c r="K568" s="171">
        <f t="shared" si="24"/>
        <v>5</v>
      </c>
      <c r="L568" s="17">
        <v>1.4833299999999999E-3</v>
      </c>
      <c r="M568" s="16">
        <f t="shared" si="25"/>
        <v>25.87</v>
      </c>
      <c r="N568" s="16">
        <f t="shared" si="26"/>
        <v>62.1</v>
      </c>
      <c r="O568" s="14"/>
    </row>
    <row r="569" spans="1:15">
      <c r="A569" s="14" t="s">
        <v>54</v>
      </c>
      <c r="B569" s="15" t="s">
        <v>974</v>
      </c>
      <c r="C569" s="15" t="s">
        <v>975</v>
      </c>
      <c r="D569" s="14" t="s">
        <v>976</v>
      </c>
      <c r="E569" s="15" t="s">
        <v>141</v>
      </c>
      <c r="F569" s="14" t="s">
        <v>142</v>
      </c>
      <c r="G569" s="15" t="s">
        <v>23</v>
      </c>
      <c r="H569" s="15" t="s">
        <v>1525</v>
      </c>
      <c r="I569" s="15">
        <v>201412</v>
      </c>
      <c r="J569" s="16">
        <v>-298.91000000000003</v>
      </c>
      <c r="K569" s="171">
        <f t="shared" si="24"/>
        <v>5</v>
      </c>
      <c r="L569" s="17">
        <v>1.4833299999999999E-3</v>
      </c>
      <c r="M569" s="16">
        <f t="shared" si="25"/>
        <v>-2.2200000000000002</v>
      </c>
      <c r="N569" s="16">
        <f t="shared" si="26"/>
        <v>-5.32</v>
      </c>
      <c r="O569" s="14"/>
    </row>
    <row r="570" spans="1:15">
      <c r="A570" s="14" t="s">
        <v>54</v>
      </c>
      <c r="B570" s="15" t="s">
        <v>977</v>
      </c>
      <c r="C570" s="15" t="s">
        <v>978</v>
      </c>
      <c r="D570" s="14" t="s">
        <v>979</v>
      </c>
      <c r="E570" s="15" t="s">
        <v>980</v>
      </c>
      <c r="F570" s="14" t="s">
        <v>259</v>
      </c>
      <c r="G570" s="15" t="s">
        <v>23</v>
      </c>
      <c r="H570" s="15" t="s">
        <v>1525</v>
      </c>
      <c r="I570" s="15">
        <v>201412</v>
      </c>
      <c r="J570" s="16">
        <v>640.08000000000004</v>
      </c>
      <c r="K570" s="171">
        <f t="shared" si="24"/>
        <v>5</v>
      </c>
      <c r="L570" s="17">
        <v>1.4833299999999999E-3</v>
      </c>
      <c r="M570" s="16">
        <f t="shared" si="25"/>
        <v>4.75</v>
      </c>
      <c r="N570" s="16">
        <f t="shared" si="26"/>
        <v>11.39</v>
      </c>
      <c r="O570" s="14"/>
    </row>
    <row r="571" spans="1:15">
      <c r="A571" s="14" t="s">
        <v>54</v>
      </c>
      <c r="B571" s="15" t="s">
        <v>984</v>
      </c>
      <c r="C571" s="15" t="s">
        <v>985</v>
      </c>
      <c r="D571" s="14" t="s">
        <v>986</v>
      </c>
      <c r="E571" s="15" t="s">
        <v>141</v>
      </c>
      <c r="F571" s="14" t="s">
        <v>142</v>
      </c>
      <c r="G571" s="15" t="s">
        <v>23</v>
      </c>
      <c r="H571" s="15" t="s">
        <v>1525</v>
      </c>
      <c r="I571" s="15">
        <v>201412</v>
      </c>
      <c r="J571" s="16">
        <v>1481.62</v>
      </c>
      <c r="K571" s="171">
        <f t="shared" si="24"/>
        <v>5</v>
      </c>
      <c r="L571" s="17">
        <v>1.4833299999999999E-3</v>
      </c>
      <c r="M571" s="16">
        <f t="shared" si="25"/>
        <v>10.99</v>
      </c>
      <c r="N571" s="16">
        <f t="shared" si="26"/>
        <v>26.37</v>
      </c>
      <c r="O571" s="14"/>
    </row>
    <row r="572" spans="1:15">
      <c r="A572" s="14" t="s">
        <v>17</v>
      </c>
      <c r="B572" s="15" t="s">
        <v>987</v>
      </c>
      <c r="C572" s="15" t="s">
        <v>988</v>
      </c>
      <c r="D572" s="14" t="s">
        <v>989</v>
      </c>
      <c r="E572" s="15" t="s">
        <v>45</v>
      </c>
      <c r="F572" s="14" t="s">
        <v>22</v>
      </c>
      <c r="G572" s="15" t="s">
        <v>23</v>
      </c>
      <c r="H572" s="15" t="s">
        <v>1525</v>
      </c>
      <c r="I572" s="15">
        <v>201412</v>
      </c>
      <c r="J572" s="16">
        <v>445.28</v>
      </c>
      <c r="K572" s="171">
        <f t="shared" si="24"/>
        <v>5</v>
      </c>
      <c r="L572" s="17">
        <v>1.4833299999999999E-3</v>
      </c>
      <c r="M572" s="16">
        <f t="shared" si="25"/>
        <v>3.3</v>
      </c>
      <c r="N572" s="16">
        <f t="shared" si="26"/>
        <v>7.93</v>
      </c>
      <c r="O572" s="14"/>
    </row>
    <row r="573" spans="1:15">
      <c r="A573" s="14" t="s">
        <v>54</v>
      </c>
      <c r="B573" s="15" t="s">
        <v>990</v>
      </c>
      <c r="C573" s="15" t="s">
        <v>991</v>
      </c>
      <c r="D573" s="14" t="s">
        <v>992</v>
      </c>
      <c r="E573" s="15" t="s">
        <v>141</v>
      </c>
      <c r="F573" s="14" t="s">
        <v>142</v>
      </c>
      <c r="G573" s="15" t="s">
        <v>23</v>
      </c>
      <c r="H573" s="15" t="s">
        <v>1525</v>
      </c>
      <c r="I573" s="15">
        <v>201412</v>
      </c>
      <c r="J573" s="16">
        <v>3203.04</v>
      </c>
      <c r="K573" s="171">
        <f t="shared" si="24"/>
        <v>5</v>
      </c>
      <c r="L573" s="17">
        <v>1.4833299999999999E-3</v>
      </c>
      <c r="M573" s="16">
        <f t="shared" si="25"/>
        <v>23.76</v>
      </c>
      <c r="N573" s="16">
        <f t="shared" si="26"/>
        <v>57.01</v>
      </c>
      <c r="O573" s="14"/>
    </row>
    <row r="574" spans="1:15">
      <c r="A574" s="14" t="s">
        <v>54</v>
      </c>
      <c r="B574" s="15" t="s">
        <v>993</v>
      </c>
      <c r="C574" s="15" t="s">
        <v>994</v>
      </c>
      <c r="D574" s="14" t="s">
        <v>995</v>
      </c>
      <c r="E574" s="15" t="s">
        <v>40</v>
      </c>
      <c r="F574" s="14" t="s">
        <v>41</v>
      </c>
      <c r="G574" s="15" t="s">
        <v>23</v>
      </c>
      <c r="H574" s="15" t="s">
        <v>1526</v>
      </c>
      <c r="I574" s="15">
        <v>201412</v>
      </c>
      <c r="J574" s="16">
        <v>829.19</v>
      </c>
      <c r="K574" s="171">
        <f t="shared" si="24"/>
        <v>5</v>
      </c>
      <c r="L574" s="17">
        <v>1.4833299999999999E-3</v>
      </c>
      <c r="M574" s="16">
        <f t="shared" si="25"/>
        <v>6.15</v>
      </c>
      <c r="N574" s="16">
        <f t="shared" si="26"/>
        <v>14.76</v>
      </c>
      <c r="O574" s="14"/>
    </row>
    <row r="575" spans="1:15">
      <c r="A575" s="14" t="s">
        <v>54</v>
      </c>
      <c r="B575" s="15" t="s">
        <v>996</v>
      </c>
      <c r="C575" s="15" t="s">
        <v>997</v>
      </c>
      <c r="D575" s="14" t="s">
        <v>998</v>
      </c>
      <c r="E575" s="15" t="s">
        <v>27</v>
      </c>
      <c r="F575" s="14" t="s">
        <v>28</v>
      </c>
      <c r="G575" s="15" t="s">
        <v>23</v>
      </c>
      <c r="H575" s="15" t="s">
        <v>1525</v>
      </c>
      <c r="I575" s="15">
        <v>201412</v>
      </c>
      <c r="J575" s="16">
        <v>-628.98</v>
      </c>
      <c r="K575" s="171">
        <f t="shared" si="24"/>
        <v>5</v>
      </c>
      <c r="L575" s="17">
        <v>1.4833299999999999E-3</v>
      </c>
      <c r="M575" s="16">
        <f t="shared" si="25"/>
        <v>-4.66</v>
      </c>
      <c r="N575" s="16">
        <f t="shared" si="26"/>
        <v>-11.2</v>
      </c>
      <c r="O575" s="14"/>
    </row>
    <row r="576" spans="1:15">
      <c r="A576" s="14" t="s">
        <v>17</v>
      </c>
      <c r="B576" s="15" t="s">
        <v>1063</v>
      </c>
      <c r="C576" s="15" t="s">
        <v>1064</v>
      </c>
      <c r="D576" s="14" t="s">
        <v>1065</v>
      </c>
      <c r="E576" s="15" t="s">
        <v>125</v>
      </c>
      <c r="F576" s="14" t="s">
        <v>126</v>
      </c>
      <c r="G576" s="15" t="s">
        <v>23</v>
      </c>
      <c r="H576" s="15" t="s">
        <v>1525</v>
      </c>
      <c r="I576" s="15">
        <v>201412</v>
      </c>
      <c r="J576" s="16">
        <v>21760.85</v>
      </c>
      <c r="K576" s="171">
        <f t="shared" si="24"/>
        <v>5</v>
      </c>
      <c r="L576" s="17">
        <v>1.4833299999999999E-3</v>
      </c>
      <c r="M576" s="16">
        <f t="shared" si="25"/>
        <v>161.38999999999999</v>
      </c>
      <c r="N576" s="16">
        <f t="shared" si="26"/>
        <v>387.34</v>
      </c>
      <c r="O576" s="14"/>
    </row>
    <row r="577" spans="1:15">
      <c r="A577" s="14" t="s">
        <v>17</v>
      </c>
      <c r="B577" s="15" t="s">
        <v>999</v>
      </c>
      <c r="C577" s="15" t="s">
        <v>1000</v>
      </c>
      <c r="D577" s="14" t="s">
        <v>1001</v>
      </c>
      <c r="E577" s="15" t="s">
        <v>176</v>
      </c>
      <c r="F577" s="14" t="s">
        <v>28</v>
      </c>
      <c r="G577" s="15" t="s">
        <v>23</v>
      </c>
      <c r="H577" s="15" t="s">
        <v>1525</v>
      </c>
      <c r="I577" s="15">
        <v>201412</v>
      </c>
      <c r="J577" s="16">
        <v>203.95</v>
      </c>
      <c r="K577" s="171">
        <f t="shared" si="24"/>
        <v>5</v>
      </c>
      <c r="L577" s="17">
        <v>1.4833299999999999E-3</v>
      </c>
      <c r="M577" s="16">
        <f t="shared" si="25"/>
        <v>1.51</v>
      </c>
      <c r="N577" s="16">
        <f t="shared" si="26"/>
        <v>3.63</v>
      </c>
      <c r="O577" s="14"/>
    </row>
    <row r="578" spans="1:15">
      <c r="A578" s="14" t="s">
        <v>54</v>
      </c>
      <c r="B578" s="15" t="s">
        <v>1002</v>
      </c>
      <c r="C578" s="15" t="s">
        <v>1003</v>
      </c>
      <c r="D578" s="14" t="s">
        <v>1004</v>
      </c>
      <c r="E578" s="15" t="s">
        <v>216</v>
      </c>
      <c r="F578" s="14" t="s">
        <v>22</v>
      </c>
      <c r="G578" s="15" t="s">
        <v>23</v>
      </c>
      <c r="H578" s="15" t="s">
        <v>1525</v>
      </c>
      <c r="I578" s="15">
        <v>201412</v>
      </c>
      <c r="J578" s="16">
        <v>2460.33</v>
      </c>
      <c r="K578" s="171">
        <f t="shared" si="24"/>
        <v>5</v>
      </c>
      <c r="L578" s="17">
        <v>1.4833299999999999E-3</v>
      </c>
      <c r="M578" s="16">
        <f t="shared" si="25"/>
        <v>18.25</v>
      </c>
      <c r="N578" s="16">
        <f t="shared" si="26"/>
        <v>43.79</v>
      </c>
      <c r="O578" s="14"/>
    </row>
    <row r="579" spans="1:15">
      <c r="A579" s="14" t="s">
        <v>54</v>
      </c>
      <c r="B579" s="15" t="s">
        <v>1005</v>
      </c>
      <c r="C579" s="15" t="s">
        <v>1006</v>
      </c>
      <c r="D579" s="14" t="s">
        <v>1007</v>
      </c>
      <c r="E579" s="15" t="s">
        <v>141</v>
      </c>
      <c r="F579" s="14" t="s">
        <v>142</v>
      </c>
      <c r="G579" s="15" t="s">
        <v>23</v>
      </c>
      <c r="H579" s="15" t="s">
        <v>1525</v>
      </c>
      <c r="I579" s="15">
        <v>201412</v>
      </c>
      <c r="J579" s="16">
        <v>-2188.61</v>
      </c>
      <c r="K579" s="171">
        <f t="shared" si="24"/>
        <v>5</v>
      </c>
      <c r="L579" s="17">
        <v>1.4833299999999999E-3</v>
      </c>
      <c r="M579" s="16">
        <f t="shared" si="25"/>
        <v>-16.23</v>
      </c>
      <c r="N579" s="16">
        <f t="shared" si="26"/>
        <v>-38.96</v>
      </c>
      <c r="O579" s="14"/>
    </row>
    <row r="580" spans="1:15">
      <c r="A580" s="14" t="s">
        <v>54</v>
      </c>
      <c r="B580" s="15" t="s">
        <v>1008</v>
      </c>
      <c r="C580" s="15" t="s">
        <v>1009</v>
      </c>
      <c r="D580" s="14" t="s">
        <v>1010</v>
      </c>
      <c r="E580" s="15" t="s">
        <v>49</v>
      </c>
      <c r="F580" s="14" t="s">
        <v>22</v>
      </c>
      <c r="G580" s="15" t="s">
        <v>23</v>
      </c>
      <c r="H580" s="15" t="s">
        <v>1525</v>
      </c>
      <c r="I580" s="15">
        <v>201412</v>
      </c>
      <c r="J580" s="16">
        <v>2556.02</v>
      </c>
      <c r="K580" s="171">
        <f t="shared" ref="K580:K625" si="27">VLOOKUP(I580,$Q$7:$R$15,2)</f>
        <v>5</v>
      </c>
      <c r="L580" s="17">
        <v>1.4833299999999999E-3</v>
      </c>
      <c r="M580" s="16">
        <f t="shared" ref="M580:M625" si="28">ROUND(J580*K580*L580,2)</f>
        <v>18.96</v>
      </c>
      <c r="N580" s="16">
        <f t="shared" ref="N580:N595" si="29">ROUND(J580*L580*12,2)</f>
        <v>45.5</v>
      </c>
      <c r="O580" s="14"/>
    </row>
    <row r="581" spans="1:15">
      <c r="A581" s="14" t="s">
        <v>17</v>
      </c>
      <c r="B581" s="15" t="s">
        <v>1066</v>
      </c>
      <c r="C581" s="15" t="s">
        <v>1067</v>
      </c>
      <c r="D581" s="14" t="s">
        <v>1068</v>
      </c>
      <c r="E581" s="15" t="s">
        <v>567</v>
      </c>
      <c r="F581" s="14" t="s">
        <v>137</v>
      </c>
      <c r="G581" s="15" t="s">
        <v>23</v>
      </c>
      <c r="H581" s="15" t="s">
        <v>1526</v>
      </c>
      <c r="I581" s="15">
        <v>201412</v>
      </c>
      <c r="J581" s="16">
        <v>105895.42</v>
      </c>
      <c r="K581" s="171">
        <f t="shared" si="27"/>
        <v>5</v>
      </c>
      <c r="L581" s="17">
        <v>1.4833299999999999E-3</v>
      </c>
      <c r="M581" s="16">
        <f t="shared" si="28"/>
        <v>785.39</v>
      </c>
      <c r="N581" s="16">
        <f t="shared" si="29"/>
        <v>1884.93</v>
      </c>
      <c r="O581" s="14"/>
    </row>
    <row r="582" spans="1:15">
      <c r="A582" s="14" t="s">
        <v>54</v>
      </c>
      <c r="B582" s="15" t="s">
        <v>1014</v>
      </c>
      <c r="C582" s="15" t="s">
        <v>1015</v>
      </c>
      <c r="D582" s="14" t="s">
        <v>1016</v>
      </c>
      <c r="E582" s="15" t="s">
        <v>296</v>
      </c>
      <c r="F582" s="14" t="s">
        <v>28</v>
      </c>
      <c r="G582" s="15" t="s">
        <v>23</v>
      </c>
      <c r="H582" s="15" t="s">
        <v>1525</v>
      </c>
      <c r="I582" s="15">
        <v>201412</v>
      </c>
      <c r="J582" s="16">
        <v>133.1</v>
      </c>
      <c r="K582" s="171">
        <f t="shared" si="27"/>
        <v>5</v>
      </c>
      <c r="L582" s="17">
        <v>1.4833299999999999E-3</v>
      </c>
      <c r="M582" s="16">
        <f t="shared" si="28"/>
        <v>0.99</v>
      </c>
      <c r="N582" s="16">
        <f t="shared" si="29"/>
        <v>2.37</v>
      </c>
      <c r="O582" s="14"/>
    </row>
    <row r="583" spans="1:15">
      <c r="A583" s="14" t="s">
        <v>54</v>
      </c>
      <c r="B583" s="15" t="s">
        <v>1017</v>
      </c>
      <c r="C583" s="15" t="s">
        <v>1018</v>
      </c>
      <c r="D583" s="14" t="s">
        <v>1019</v>
      </c>
      <c r="E583" s="15" t="s">
        <v>1020</v>
      </c>
      <c r="F583" s="14" t="s">
        <v>22</v>
      </c>
      <c r="G583" s="15" t="s">
        <v>23</v>
      </c>
      <c r="H583" s="15" t="s">
        <v>1525</v>
      </c>
      <c r="I583" s="15">
        <v>201412</v>
      </c>
      <c r="J583" s="16">
        <v>2679.48</v>
      </c>
      <c r="K583" s="171">
        <f t="shared" si="27"/>
        <v>5</v>
      </c>
      <c r="L583" s="17">
        <v>1.4833299999999999E-3</v>
      </c>
      <c r="M583" s="16">
        <f t="shared" si="28"/>
        <v>19.87</v>
      </c>
      <c r="N583" s="16">
        <f t="shared" si="29"/>
        <v>47.69</v>
      </c>
      <c r="O583" s="14"/>
    </row>
    <row r="584" spans="1:15">
      <c r="A584" s="14" t="s">
        <v>54</v>
      </c>
      <c r="B584" s="15" t="s">
        <v>1069</v>
      </c>
      <c r="C584" s="15" t="s">
        <v>1070</v>
      </c>
      <c r="D584" s="14" t="s">
        <v>1071</v>
      </c>
      <c r="E584" s="15" t="s">
        <v>296</v>
      </c>
      <c r="F584" s="14" t="s">
        <v>28</v>
      </c>
      <c r="G584" s="15" t="s">
        <v>23</v>
      </c>
      <c r="H584" s="15" t="s">
        <v>1525</v>
      </c>
      <c r="I584" s="15">
        <v>201412</v>
      </c>
      <c r="J584" s="16">
        <v>-310.58999999999997</v>
      </c>
      <c r="K584" s="171">
        <f t="shared" si="27"/>
        <v>5</v>
      </c>
      <c r="L584" s="17">
        <v>1.4833299999999999E-3</v>
      </c>
      <c r="M584" s="16">
        <f t="shared" si="28"/>
        <v>-2.2999999999999998</v>
      </c>
      <c r="N584" s="16">
        <f t="shared" si="29"/>
        <v>-5.53</v>
      </c>
      <c r="O584" s="14"/>
    </row>
    <row r="585" spans="1:15">
      <c r="A585" s="14" t="s">
        <v>54</v>
      </c>
      <c r="B585" s="15" t="s">
        <v>1072</v>
      </c>
      <c r="C585" s="15" t="s">
        <v>1073</v>
      </c>
      <c r="D585" s="14" t="s">
        <v>1074</v>
      </c>
      <c r="E585" s="15" t="s">
        <v>296</v>
      </c>
      <c r="F585" s="14" t="s">
        <v>28</v>
      </c>
      <c r="G585" s="15" t="s">
        <v>23</v>
      </c>
      <c r="H585" s="15" t="s">
        <v>1525</v>
      </c>
      <c r="I585" s="15">
        <v>201412</v>
      </c>
      <c r="J585" s="16">
        <v>24647.69</v>
      </c>
      <c r="K585" s="171">
        <f t="shared" si="27"/>
        <v>5</v>
      </c>
      <c r="L585" s="17">
        <v>1.4833299999999999E-3</v>
      </c>
      <c r="M585" s="16">
        <f t="shared" si="28"/>
        <v>182.8</v>
      </c>
      <c r="N585" s="16">
        <f t="shared" si="29"/>
        <v>438.73</v>
      </c>
      <c r="O585" s="14"/>
    </row>
    <row r="586" spans="1:15">
      <c r="A586" s="14" t="s">
        <v>54</v>
      </c>
      <c r="B586" s="15" t="s">
        <v>1075</v>
      </c>
      <c r="C586" s="15" t="s">
        <v>1076</v>
      </c>
      <c r="D586" s="14" t="s">
        <v>1077</v>
      </c>
      <c r="E586" s="15" t="s">
        <v>62</v>
      </c>
      <c r="F586" s="14" t="s">
        <v>22</v>
      </c>
      <c r="G586" s="15" t="s">
        <v>23</v>
      </c>
      <c r="H586" s="15" t="s">
        <v>1525</v>
      </c>
      <c r="I586" s="15">
        <v>201412</v>
      </c>
      <c r="J586" s="16">
        <v>25101.279999999999</v>
      </c>
      <c r="K586" s="171">
        <f t="shared" si="27"/>
        <v>5</v>
      </c>
      <c r="L586" s="17">
        <v>1.4833299999999999E-3</v>
      </c>
      <c r="M586" s="16">
        <f t="shared" si="28"/>
        <v>186.17</v>
      </c>
      <c r="N586" s="16">
        <f t="shared" si="29"/>
        <v>446.8</v>
      </c>
      <c r="O586" s="14"/>
    </row>
    <row r="587" spans="1:15">
      <c r="A587" s="14" t="s">
        <v>54</v>
      </c>
      <c r="B587" s="15" t="s">
        <v>1021</v>
      </c>
      <c r="C587" s="15" t="s">
        <v>1022</v>
      </c>
      <c r="D587" s="14" t="s">
        <v>1023</v>
      </c>
      <c r="E587" s="15" t="s">
        <v>108</v>
      </c>
      <c r="F587" s="14" t="s">
        <v>28</v>
      </c>
      <c r="G587" s="15" t="s">
        <v>23</v>
      </c>
      <c r="H587" s="15" t="s">
        <v>1525</v>
      </c>
      <c r="I587" s="15">
        <v>201412</v>
      </c>
      <c r="J587" s="16">
        <v>-22.55</v>
      </c>
      <c r="K587" s="171">
        <f t="shared" si="27"/>
        <v>5</v>
      </c>
      <c r="L587" s="17">
        <v>1.4833299999999999E-3</v>
      </c>
      <c r="M587" s="16">
        <f t="shared" si="28"/>
        <v>-0.17</v>
      </c>
      <c r="N587" s="16">
        <f t="shared" si="29"/>
        <v>-0.4</v>
      </c>
      <c r="O587" s="14"/>
    </row>
    <row r="588" spans="1:15">
      <c r="A588" s="14" t="s">
        <v>54</v>
      </c>
      <c r="B588" s="15" t="s">
        <v>1078</v>
      </c>
      <c r="C588" s="15" t="s">
        <v>1079</v>
      </c>
      <c r="D588" s="14" t="s">
        <v>1080</v>
      </c>
      <c r="E588" s="15" t="s">
        <v>62</v>
      </c>
      <c r="F588" s="14" t="s">
        <v>22</v>
      </c>
      <c r="G588" s="15" t="s">
        <v>23</v>
      </c>
      <c r="H588" s="15" t="s">
        <v>1525</v>
      </c>
      <c r="I588" s="15">
        <v>201412</v>
      </c>
      <c r="J588" s="16">
        <v>5227.7</v>
      </c>
      <c r="K588" s="171">
        <f t="shared" si="27"/>
        <v>5</v>
      </c>
      <c r="L588" s="17">
        <v>1.4833299999999999E-3</v>
      </c>
      <c r="M588" s="16">
        <f t="shared" si="28"/>
        <v>38.770000000000003</v>
      </c>
      <c r="N588" s="16">
        <f t="shared" si="29"/>
        <v>93.05</v>
      </c>
      <c r="O588" s="14"/>
    </row>
    <row r="589" spans="1:15">
      <c r="A589" s="14" t="s">
        <v>54</v>
      </c>
      <c r="B589" s="15" t="s">
        <v>1081</v>
      </c>
      <c r="C589" s="15" t="s">
        <v>1082</v>
      </c>
      <c r="D589" s="14" t="s">
        <v>1083</v>
      </c>
      <c r="E589" s="15" t="s">
        <v>141</v>
      </c>
      <c r="F589" s="14" t="s">
        <v>142</v>
      </c>
      <c r="G589" s="15" t="s">
        <v>23</v>
      </c>
      <c r="H589" s="15" t="s">
        <v>1525</v>
      </c>
      <c r="I589" s="15">
        <v>201412</v>
      </c>
      <c r="J589" s="16">
        <v>75631.14</v>
      </c>
      <c r="K589" s="171">
        <f t="shared" si="27"/>
        <v>5</v>
      </c>
      <c r="L589" s="17">
        <v>1.4833299999999999E-3</v>
      </c>
      <c r="M589" s="16">
        <f t="shared" si="28"/>
        <v>560.92999999999995</v>
      </c>
      <c r="N589" s="16">
        <f t="shared" si="29"/>
        <v>1346.23</v>
      </c>
      <c r="O589" s="14"/>
    </row>
    <row r="590" spans="1:15">
      <c r="A590" s="14" t="s">
        <v>54</v>
      </c>
      <c r="B590" s="15" t="s">
        <v>1084</v>
      </c>
      <c r="C590" s="15" t="s">
        <v>1085</v>
      </c>
      <c r="D590" s="14" t="s">
        <v>1086</v>
      </c>
      <c r="E590" s="15" t="s">
        <v>21</v>
      </c>
      <c r="F590" s="14" t="s">
        <v>22</v>
      </c>
      <c r="G590" s="15" t="s">
        <v>23</v>
      </c>
      <c r="H590" s="15" t="s">
        <v>1525</v>
      </c>
      <c r="I590" s="15">
        <v>201412</v>
      </c>
      <c r="J590" s="16">
        <v>36271.120000000003</v>
      </c>
      <c r="K590" s="171">
        <f t="shared" si="27"/>
        <v>5</v>
      </c>
      <c r="L590" s="17">
        <v>1.4833299999999999E-3</v>
      </c>
      <c r="M590" s="16">
        <f t="shared" si="28"/>
        <v>269.01</v>
      </c>
      <c r="N590" s="16">
        <f t="shared" si="29"/>
        <v>645.62</v>
      </c>
      <c r="O590" s="14"/>
    </row>
    <row r="591" spans="1:15">
      <c r="A591" s="14" t="s">
        <v>54</v>
      </c>
      <c r="B591" s="15" t="s">
        <v>1087</v>
      </c>
      <c r="C591" s="15" t="s">
        <v>1088</v>
      </c>
      <c r="D591" s="14" t="s">
        <v>1089</v>
      </c>
      <c r="E591" s="15" t="s">
        <v>1020</v>
      </c>
      <c r="F591" s="14" t="s">
        <v>22</v>
      </c>
      <c r="G591" s="15" t="s">
        <v>23</v>
      </c>
      <c r="H591" s="15" t="s">
        <v>1525</v>
      </c>
      <c r="I591" s="15">
        <v>201412</v>
      </c>
      <c r="J591" s="16">
        <v>6257.37</v>
      </c>
      <c r="K591" s="171">
        <f t="shared" si="27"/>
        <v>5</v>
      </c>
      <c r="L591" s="17">
        <v>1.4833299999999999E-3</v>
      </c>
      <c r="M591" s="16">
        <f t="shared" si="28"/>
        <v>46.41</v>
      </c>
      <c r="N591" s="16">
        <f t="shared" si="29"/>
        <v>111.38</v>
      </c>
      <c r="O591" s="14"/>
    </row>
    <row r="592" spans="1:15">
      <c r="A592" s="14" t="s">
        <v>54</v>
      </c>
      <c r="B592" s="15" t="s">
        <v>1090</v>
      </c>
      <c r="C592" s="15" t="s">
        <v>1091</v>
      </c>
      <c r="D592" s="14" t="s">
        <v>1092</v>
      </c>
      <c r="E592" s="15" t="s">
        <v>216</v>
      </c>
      <c r="F592" s="14" t="s">
        <v>22</v>
      </c>
      <c r="G592" s="15" t="s">
        <v>23</v>
      </c>
      <c r="H592" s="15" t="s">
        <v>1525</v>
      </c>
      <c r="I592" s="15">
        <v>201412</v>
      </c>
      <c r="J592" s="16">
        <v>11632.66</v>
      </c>
      <c r="K592" s="171">
        <f t="shared" si="27"/>
        <v>5</v>
      </c>
      <c r="L592" s="17">
        <v>1.4833299999999999E-3</v>
      </c>
      <c r="M592" s="16">
        <f t="shared" si="28"/>
        <v>86.28</v>
      </c>
      <c r="N592" s="16">
        <f t="shared" si="29"/>
        <v>207.06</v>
      </c>
      <c r="O592" s="14"/>
    </row>
    <row r="593" spans="1:15">
      <c r="A593" s="14" t="s">
        <v>66</v>
      </c>
      <c r="B593" s="15" t="s">
        <v>1105</v>
      </c>
      <c r="C593" s="15" t="s">
        <v>1106</v>
      </c>
      <c r="D593" s="14" t="s">
        <v>1107</v>
      </c>
      <c r="E593" s="15" t="s">
        <v>466</v>
      </c>
      <c r="F593" s="14" t="s">
        <v>467</v>
      </c>
      <c r="G593" s="15" t="s">
        <v>23</v>
      </c>
      <c r="H593" s="15" t="s">
        <v>1527</v>
      </c>
      <c r="I593" s="15">
        <v>201412</v>
      </c>
      <c r="J593" s="16">
        <v>1948.51</v>
      </c>
      <c r="K593" s="171">
        <f t="shared" si="27"/>
        <v>5</v>
      </c>
      <c r="L593" s="17">
        <v>2.23333E-3</v>
      </c>
      <c r="M593" s="16">
        <f t="shared" si="28"/>
        <v>21.76</v>
      </c>
      <c r="N593" s="16">
        <f t="shared" si="29"/>
        <v>52.22</v>
      </c>
      <c r="O593" s="14"/>
    </row>
    <row r="594" spans="1:15">
      <c r="A594" s="14" t="s">
        <v>54</v>
      </c>
      <c r="B594" s="15" t="s">
        <v>1093</v>
      </c>
      <c r="C594" s="15" t="s">
        <v>1094</v>
      </c>
      <c r="D594" s="14" t="s">
        <v>1095</v>
      </c>
      <c r="E594" s="15" t="s">
        <v>27</v>
      </c>
      <c r="F594" s="14" t="s">
        <v>28</v>
      </c>
      <c r="G594" s="15" t="s">
        <v>23</v>
      </c>
      <c r="H594" s="15" t="s">
        <v>1525</v>
      </c>
      <c r="I594" s="15">
        <v>201412</v>
      </c>
      <c r="J594" s="16">
        <v>134.33000000000001</v>
      </c>
      <c r="K594" s="171">
        <f t="shared" si="27"/>
        <v>5</v>
      </c>
      <c r="L594" s="17">
        <v>1.4833299999999999E-3</v>
      </c>
      <c r="M594" s="16">
        <f t="shared" si="28"/>
        <v>1</v>
      </c>
      <c r="N594" s="16">
        <f t="shared" si="29"/>
        <v>2.39</v>
      </c>
      <c r="O594" s="14"/>
    </row>
    <row r="595" spans="1:15">
      <c r="A595" s="14" t="s">
        <v>54</v>
      </c>
      <c r="B595" s="15" t="s">
        <v>1096</v>
      </c>
      <c r="C595" s="15" t="s">
        <v>1097</v>
      </c>
      <c r="D595" s="14" t="s">
        <v>1098</v>
      </c>
      <c r="E595" s="15" t="s">
        <v>462</v>
      </c>
      <c r="F595" s="14" t="s">
        <v>142</v>
      </c>
      <c r="G595" s="15" t="s">
        <v>23</v>
      </c>
      <c r="H595" s="15" t="s">
        <v>1525</v>
      </c>
      <c r="I595" s="15">
        <v>201412</v>
      </c>
      <c r="J595" s="16">
        <v>16814.27</v>
      </c>
      <c r="K595" s="171">
        <f t="shared" si="27"/>
        <v>5</v>
      </c>
      <c r="L595" s="17">
        <v>1.4833299999999999E-3</v>
      </c>
      <c r="M595" s="16">
        <f t="shared" si="28"/>
        <v>124.71</v>
      </c>
      <c r="N595" s="16">
        <f t="shared" si="29"/>
        <v>299.29000000000002</v>
      </c>
      <c r="O595" s="14"/>
    </row>
    <row r="596" spans="1:15">
      <c r="A596" s="203" t="s">
        <v>1584</v>
      </c>
      <c r="B596" s="204" t="s">
        <v>1586</v>
      </c>
      <c r="C596" s="204" t="s">
        <v>1587</v>
      </c>
      <c r="D596" s="203" t="s">
        <v>1588</v>
      </c>
      <c r="E596" s="204" t="s">
        <v>1589</v>
      </c>
      <c r="F596" s="203" t="s">
        <v>1590</v>
      </c>
      <c r="G596" s="204" t="s">
        <v>23</v>
      </c>
      <c r="H596" s="15" t="s">
        <v>1530</v>
      </c>
      <c r="I596" s="204">
        <v>201409</v>
      </c>
      <c r="J596" s="205">
        <v>3649.84</v>
      </c>
      <c r="K596" s="171">
        <f t="shared" si="27"/>
        <v>8</v>
      </c>
      <c r="L596" s="206">
        <v>2.0333333000000001E-3</v>
      </c>
      <c r="M596" s="16">
        <f t="shared" si="28"/>
        <v>59.37</v>
      </c>
      <c r="N596" s="205">
        <f t="shared" ref="N596:N625" si="30">ROUND(J596*L596*12,2)</f>
        <v>89.06</v>
      </c>
      <c r="O596" s="14"/>
    </row>
    <row r="597" spans="1:15">
      <c r="A597" s="203" t="s">
        <v>1584</v>
      </c>
      <c r="B597" s="204" t="s">
        <v>1591</v>
      </c>
      <c r="C597" s="204" t="s">
        <v>1592</v>
      </c>
      <c r="D597" s="203" t="s">
        <v>1593</v>
      </c>
      <c r="E597" s="204" t="s">
        <v>1594</v>
      </c>
      <c r="F597" s="203" t="s">
        <v>1590</v>
      </c>
      <c r="G597" s="204" t="s">
        <v>23</v>
      </c>
      <c r="H597" s="15" t="s">
        <v>1530</v>
      </c>
      <c r="I597" s="204">
        <v>201409</v>
      </c>
      <c r="J597" s="205">
        <v>1343.76</v>
      </c>
      <c r="K597" s="171">
        <f t="shared" si="27"/>
        <v>8</v>
      </c>
      <c r="L597" s="206">
        <v>2.0333333000000001E-3</v>
      </c>
      <c r="M597" s="16">
        <f t="shared" si="28"/>
        <v>21.86</v>
      </c>
      <c r="N597" s="205">
        <f t="shared" si="30"/>
        <v>32.79</v>
      </c>
      <c r="O597" s="14"/>
    </row>
    <row r="598" spans="1:15">
      <c r="A598" s="203" t="s">
        <v>1584</v>
      </c>
      <c r="B598" s="204" t="s">
        <v>1595</v>
      </c>
      <c r="C598" s="204" t="s">
        <v>1596</v>
      </c>
      <c r="D598" s="203" t="s">
        <v>1593</v>
      </c>
      <c r="E598" s="204" t="s">
        <v>1597</v>
      </c>
      <c r="F598" s="203" t="s">
        <v>1590</v>
      </c>
      <c r="G598" s="204" t="s">
        <v>23</v>
      </c>
      <c r="H598" s="15" t="s">
        <v>1530</v>
      </c>
      <c r="I598" s="204">
        <v>201409</v>
      </c>
      <c r="J598" s="205">
        <v>34137.56</v>
      </c>
      <c r="K598" s="171">
        <f t="shared" si="27"/>
        <v>8</v>
      </c>
      <c r="L598" s="206">
        <v>2.0333333000000001E-3</v>
      </c>
      <c r="M598" s="16">
        <f t="shared" si="28"/>
        <v>555.29999999999995</v>
      </c>
      <c r="N598" s="205">
        <f t="shared" si="30"/>
        <v>832.96</v>
      </c>
      <c r="O598" s="14"/>
    </row>
    <row r="599" spans="1:15">
      <c r="A599" s="203" t="s">
        <v>1584</v>
      </c>
      <c r="B599" s="204" t="s">
        <v>1598</v>
      </c>
      <c r="C599" s="204" t="s">
        <v>1599</v>
      </c>
      <c r="D599" s="203" t="s">
        <v>1600</v>
      </c>
      <c r="E599" s="204" t="s">
        <v>1601</v>
      </c>
      <c r="F599" s="203" t="s">
        <v>1590</v>
      </c>
      <c r="G599" s="204" t="s">
        <v>23</v>
      </c>
      <c r="H599" s="15" t="s">
        <v>1530</v>
      </c>
      <c r="I599" s="204">
        <v>201409</v>
      </c>
      <c r="J599" s="205">
        <v>34733.839999999997</v>
      </c>
      <c r="K599" s="171">
        <f t="shared" si="27"/>
        <v>8</v>
      </c>
      <c r="L599" s="206">
        <v>2.0333333000000001E-3</v>
      </c>
      <c r="M599" s="16">
        <f t="shared" si="28"/>
        <v>565</v>
      </c>
      <c r="N599" s="205">
        <f t="shared" si="30"/>
        <v>847.51</v>
      </c>
      <c r="O599" s="14"/>
    </row>
    <row r="600" spans="1:15">
      <c r="A600" s="203" t="s">
        <v>1584</v>
      </c>
      <c r="B600" s="204" t="s">
        <v>1602</v>
      </c>
      <c r="C600" s="204" t="s">
        <v>1603</v>
      </c>
      <c r="D600" s="203" t="s">
        <v>1588</v>
      </c>
      <c r="E600" s="204" t="s">
        <v>1604</v>
      </c>
      <c r="F600" s="203" t="s">
        <v>1590</v>
      </c>
      <c r="G600" s="204" t="s">
        <v>23</v>
      </c>
      <c r="H600" s="15" t="s">
        <v>1530</v>
      </c>
      <c r="I600" s="204">
        <v>201409</v>
      </c>
      <c r="J600" s="205">
        <v>-4.0199999999999996</v>
      </c>
      <c r="K600" s="171">
        <f t="shared" si="27"/>
        <v>8</v>
      </c>
      <c r="L600" s="206">
        <v>2.0333333000000001E-3</v>
      </c>
      <c r="M600" s="16">
        <f t="shared" si="28"/>
        <v>-7.0000000000000007E-2</v>
      </c>
      <c r="N600" s="205">
        <f t="shared" si="30"/>
        <v>-0.1</v>
      </c>
      <c r="O600" s="14"/>
    </row>
    <row r="601" spans="1:15">
      <c r="A601" s="203" t="s">
        <v>1584</v>
      </c>
      <c r="B601" s="204" t="s">
        <v>1605</v>
      </c>
      <c r="C601" s="204" t="s">
        <v>1606</v>
      </c>
      <c r="D601" s="203" t="s">
        <v>1607</v>
      </c>
      <c r="E601" s="204" t="s">
        <v>1608</v>
      </c>
      <c r="F601" s="203" t="s">
        <v>1590</v>
      </c>
      <c r="G601" s="204" t="s">
        <v>23</v>
      </c>
      <c r="H601" s="15" t="s">
        <v>1530</v>
      </c>
      <c r="I601" s="204">
        <v>201409</v>
      </c>
      <c r="J601" s="205">
        <v>14022.68</v>
      </c>
      <c r="K601" s="171">
        <f t="shared" si="27"/>
        <v>8</v>
      </c>
      <c r="L601" s="206">
        <v>2.0333333000000001E-3</v>
      </c>
      <c r="M601" s="16">
        <f t="shared" si="28"/>
        <v>228.1</v>
      </c>
      <c r="N601" s="205">
        <f t="shared" si="30"/>
        <v>342.15</v>
      </c>
      <c r="O601" s="14"/>
    </row>
    <row r="602" spans="1:15">
      <c r="A602" s="203" t="s">
        <v>1584</v>
      </c>
      <c r="B602" s="204" t="s">
        <v>1609</v>
      </c>
      <c r="C602" s="204" t="s">
        <v>1610</v>
      </c>
      <c r="D602" s="203" t="s">
        <v>1588</v>
      </c>
      <c r="E602" s="204" t="s">
        <v>1611</v>
      </c>
      <c r="F602" s="203" t="s">
        <v>1590</v>
      </c>
      <c r="G602" s="204" t="s">
        <v>23</v>
      </c>
      <c r="H602" s="15" t="s">
        <v>1530</v>
      </c>
      <c r="I602" s="204">
        <v>201409</v>
      </c>
      <c r="J602" s="205">
        <v>-5.08</v>
      </c>
      <c r="K602" s="171">
        <f t="shared" si="27"/>
        <v>8</v>
      </c>
      <c r="L602" s="206">
        <v>2.0333333000000001E-3</v>
      </c>
      <c r="M602" s="16">
        <f t="shared" si="28"/>
        <v>-0.08</v>
      </c>
      <c r="N602" s="205">
        <f t="shared" si="30"/>
        <v>-0.12</v>
      </c>
      <c r="O602" s="14"/>
    </row>
    <row r="603" spans="1:15">
      <c r="A603" s="203" t="s">
        <v>1584</v>
      </c>
      <c r="B603" s="204" t="s">
        <v>1612</v>
      </c>
      <c r="C603" s="204" t="s">
        <v>1613</v>
      </c>
      <c r="D603" s="203" t="s">
        <v>1588</v>
      </c>
      <c r="E603" s="204" t="s">
        <v>1614</v>
      </c>
      <c r="F603" s="203" t="s">
        <v>1590</v>
      </c>
      <c r="G603" s="204" t="s">
        <v>23</v>
      </c>
      <c r="H603" s="15" t="s">
        <v>1530</v>
      </c>
      <c r="I603" s="204">
        <v>201409</v>
      </c>
      <c r="J603" s="205">
        <v>453.16</v>
      </c>
      <c r="K603" s="171">
        <f t="shared" si="27"/>
        <v>8</v>
      </c>
      <c r="L603" s="206">
        <v>2.0333333000000001E-3</v>
      </c>
      <c r="M603" s="16">
        <f t="shared" si="28"/>
        <v>7.37</v>
      </c>
      <c r="N603" s="205">
        <f t="shared" si="30"/>
        <v>11.06</v>
      </c>
      <c r="O603" s="14"/>
    </row>
    <row r="604" spans="1:15">
      <c r="A604" s="203" t="s">
        <v>1584</v>
      </c>
      <c r="B604" s="204" t="s">
        <v>1615</v>
      </c>
      <c r="C604" s="204" t="s">
        <v>1616</v>
      </c>
      <c r="D604" s="203" t="s">
        <v>1593</v>
      </c>
      <c r="E604" s="204" t="s">
        <v>1617</v>
      </c>
      <c r="F604" s="203" t="s">
        <v>1590</v>
      </c>
      <c r="G604" s="204" t="s">
        <v>23</v>
      </c>
      <c r="H604" s="15" t="s">
        <v>1530</v>
      </c>
      <c r="I604" s="204">
        <v>201409</v>
      </c>
      <c r="J604" s="205">
        <v>13225.13</v>
      </c>
      <c r="K604" s="171">
        <f t="shared" si="27"/>
        <v>8</v>
      </c>
      <c r="L604" s="206">
        <v>2.0333333000000001E-3</v>
      </c>
      <c r="M604" s="16">
        <f t="shared" si="28"/>
        <v>215.13</v>
      </c>
      <c r="N604" s="205">
        <f t="shared" si="30"/>
        <v>322.69</v>
      </c>
      <c r="O604" s="14"/>
    </row>
    <row r="605" spans="1:15">
      <c r="A605" s="203" t="s">
        <v>1584</v>
      </c>
      <c r="B605" s="204" t="s">
        <v>1586</v>
      </c>
      <c r="C605" s="204" t="s">
        <v>1587</v>
      </c>
      <c r="D605" s="203" t="s">
        <v>1588</v>
      </c>
      <c r="E605" s="204" t="s">
        <v>1589</v>
      </c>
      <c r="F605" s="203" t="s">
        <v>1590</v>
      </c>
      <c r="G605" s="204" t="s">
        <v>23</v>
      </c>
      <c r="H605" s="15" t="s">
        <v>1530</v>
      </c>
      <c r="I605" s="204">
        <v>201410</v>
      </c>
      <c r="J605" s="205">
        <v>10750.98</v>
      </c>
      <c r="K605" s="171">
        <f t="shared" si="27"/>
        <v>7</v>
      </c>
      <c r="L605" s="206">
        <v>2.0333333000000001E-3</v>
      </c>
      <c r="M605" s="16">
        <f t="shared" si="28"/>
        <v>153.02000000000001</v>
      </c>
      <c r="N605" s="205">
        <f t="shared" si="30"/>
        <v>262.32</v>
      </c>
      <c r="O605" s="14"/>
    </row>
    <row r="606" spans="1:15">
      <c r="A606" s="203" t="s">
        <v>1584</v>
      </c>
      <c r="B606" s="204" t="s">
        <v>1591</v>
      </c>
      <c r="C606" s="204" t="s">
        <v>1592</v>
      </c>
      <c r="D606" s="203" t="s">
        <v>1593</v>
      </c>
      <c r="E606" s="204" t="s">
        <v>1594</v>
      </c>
      <c r="F606" s="203" t="s">
        <v>1590</v>
      </c>
      <c r="G606" s="204" t="s">
        <v>23</v>
      </c>
      <c r="H606" s="15" t="s">
        <v>1530</v>
      </c>
      <c r="I606" s="204">
        <v>201410</v>
      </c>
      <c r="J606" s="205">
        <v>2397.15</v>
      </c>
      <c r="K606" s="171">
        <f t="shared" si="27"/>
        <v>7</v>
      </c>
      <c r="L606" s="206">
        <v>2.0333333000000001E-3</v>
      </c>
      <c r="M606" s="16">
        <f t="shared" si="28"/>
        <v>34.119999999999997</v>
      </c>
      <c r="N606" s="205">
        <f t="shared" si="30"/>
        <v>58.49</v>
      </c>
      <c r="O606" s="14"/>
    </row>
    <row r="607" spans="1:15">
      <c r="A607" s="203" t="s">
        <v>1584</v>
      </c>
      <c r="B607" s="204" t="s">
        <v>1595</v>
      </c>
      <c r="C607" s="204" t="s">
        <v>1596</v>
      </c>
      <c r="D607" s="203" t="s">
        <v>1593</v>
      </c>
      <c r="E607" s="204" t="s">
        <v>1597</v>
      </c>
      <c r="F607" s="203" t="s">
        <v>1590</v>
      </c>
      <c r="G607" s="204" t="s">
        <v>23</v>
      </c>
      <c r="H607" s="15" t="s">
        <v>1530</v>
      </c>
      <c r="I607" s="204">
        <v>201410</v>
      </c>
      <c r="J607" s="205">
        <v>26051.41</v>
      </c>
      <c r="K607" s="171">
        <f t="shared" si="27"/>
        <v>7</v>
      </c>
      <c r="L607" s="206">
        <v>2.0333333000000001E-3</v>
      </c>
      <c r="M607" s="16">
        <f t="shared" si="28"/>
        <v>370.8</v>
      </c>
      <c r="N607" s="205">
        <f t="shared" si="30"/>
        <v>635.65</v>
      </c>
      <c r="O607" s="14"/>
    </row>
    <row r="608" spans="1:15">
      <c r="A608" s="203" t="s">
        <v>1584</v>
      </c>
      <c r="B608" s="204" t="s">
        <v>1598</v>
      </c>
      <c r="C608" s="204" t="s">
        <v>1599</v>
      </c>
      <c r="D608" s="203" t="s">
        <v>1600</v>
      </c>
      <c r="E608" s="204" t="s">
        <v>1601</v>
      </c>
      <c r="F608" s="203" t="s">
        <v>1590</v>
      </c>
      <c r="G608" s="204" t="s">
        <v>23</v>
      </c>
      <c r="H608" s="15" t="s">
        <v>1530</v>
      </c>
      <c r="I608" s="204">
        <v>201410</v>
      </c>
      <c r="J608" s="205">
        <v>8169.02</v>
      </c>
      <c r="K608" s="171">
        <f t="shared" si="27"/>
        <v>7</v>
      </c>
      <c r="L608" s="206">
        <v>2.0333333000000001E-3</v>
      </c>
      <c r="M608" s="16">
        <f t="shared" si="28"/>
        <v>116.27</v>
      </c>
      <c r="N608" s="205">
        <f t="shared" si="30"/>
        <v>199.32</v>
      </c>
      <c r="O608" s="14"/>
    </row>
    <row r="609" spans="1:15">
      <c r="A609" s="203" t="s">
        <v>1584</v>
      </c>
      <c r="B609" s="204" t="s">
        <v>1605</v>
      </c>
      <c r="C609" s="204" t="s">
        <v>1606</v>
      </c>
      <c r="D609" s="203" t="s">
        <v>1607</v>
      </c>
      <c r="E609" s="204" t="s">
        <v>1608</v>
      </c>
      <c r="F609" s="203" t="s">
        <v>1590</v>
      </c>
      <c r="G609" s="204" t="s">
        <v>23</v>
      </c>
      <c r="H609" s="15" t="s">
        <v>1530</v>
      </c>
      <c r="I609" s="204">
        <v>201410</v>
      </c>
      <c r="J609" s="205">
        <v>18008.71</v>
      </c>
      <c r="K609" s="171">
        <f t="shared" si="27"/>
        <v>7</v>
      </c>
      <c r="L609" s="206">
        <v>2.0333333000000001E-3</v>
      </c>
      <c r="M609" s="16">
        <f t="shared" si="28"/>
        <v>256.32</v>
      </c>
      <c r="N609" s="205">
        <f t="shared" si="30"/>
        <v>439.41</v>
      </c>
      <c r="O609" s="14"/>
    </row>
    <row r="610" spans="1:15">
      <c r="A610" s="203" t="s">
        <v>1584</v>
      </c>
      <c r="B610" s="204" t="s">
        <v>1612</v>
      </c>
      <c r="C610" s="204" t="s">
        <v>1613</v>
      </c>
      <c r="D610" s="203" t="s">
        <v>1588</v>
      </c>
      <c r="E610" s="204" t="s">
        <v>1614</v>
      </c>
      <c r="F610" s="203" t="s">
        <v>1590</v>
      </c>
      <c r="G610" s="204" t="s">
        <v>23</v>
      </c>
      <c r="H610" s="15" t="s">
        <v>1530</v>
      </c>
      <c r="I610" s="204">
        <v>201410</v>
      </c>
      <c r="J610" s="205">
        <v>434.13</v>
      </c>
      <c r="K610" s="171">
        <f t="shared" si="27"/>
        <v>7</v>
      </c>
      <c r="L610" s="206">
        <v>2.0333333000000001E-3</v>
      </c>
      <c r="M610" s="16">
        <f t="shared" si="28"/>
        <v>6.18</v>
      </c>
      <c r="N610" s="205">
        <f t="shared" si="30"/>
        <v>10.59</v>
      </c>
      <c r="O610" s="14"/>
    </row>
    <row r="611" spans="1:15">
      <c r="A611" s="203" t="s">
        <v>1584</v>
      </c>
      <c r="B611" s="204" t="s">
        <v>1615</v>
      </c>
      <c r="C611" s="204" t="s">
        <v>1616</v>
      </c>
      <c r="D611" s="203" t="s">
        <v>1593</v>
      </c>
      <c r="E611" s="204" t="s">
        <v>1617</v>
      </c>
      <c r="F611" s="203" t="s">
        <v>1590</v>
      </c>
      <c r="G611" s="204" t="s">
        <v>23</v>
      </c>
      <c r="H611" s="15" t="s">
        <v>1530</v>
      </c>
      <c r="I611" s="204">
        <v>201410</v>
      </c>
      <c r="J611" s="205">
        <v>4029.73</v>
      </c>
      <c r="K611" s="171">
        <f t="shared" si="27"/>
        <v>7</v>
      </c>
      <c r="L611" s="206">
        <v>2.0333333000000001E-3</v>
      </c>
      <c r="M611" s="16">
        <f t="shared" si="28"/>
        <v>57.36</v>
      </c>
      <c r="N611" s="205">
        <f t="shared" si="30"/>
        <v>98.33</v>
      </c>
      <c r="O611" s="14"/>
    </row>
    <row r="612" spans="1:15">
      <c r="A612" s="203" t="s">
        <v>1584</v>
      </c>
      <c r="B612" s="204" t="s">
        <v>1586</v>
      </c>
      <c r="C612" s="204" t="s">
        <v>1587</v>
      </c>
      <c r="D612" s="203" t="s">
        <v>1588</v>
      </c>
      <c r="E612" s="204" t="s">
        <v>1589</v>
      </c>
      <c r="F612" s="203" t="s">
        <v>1590</v>
      </c>
      <c r="G612" s="204" t="s">
        <v>23</v>
      </c>
      <c r="H612" s="15" t="s">
        <v>1530</v>
      </c>
      <c r="I612" s="204">
        <v>201411</v>
      </c>
      <c r="J612" s="205">
        <v>3556.67</v>
      </c>
      <c r="K612" s="171">
        <f t="shared" si="27"/>
        <v>6</v>
      </c>
      <c r="L612" s="206">
        <v>2.0333333000000001E-3</v>
      </c>
      <c r="M612" s="16">
        <f t="shared" si="28"/>
        <v>43.39</v>
      </c>
      <c r="N612" s="205">
        <f t="shared" si="30"/>
        <v>86.78</v>
      </c>
      <c r="O612" s="14"/>
    </row>
    <row r="613" spans="1:15">
      <c r="A613" s="203" t="s">
        <v>1584</v>
      </c>
      <c r="B613" s="204" t="s">
        <v>1591</v>
      </c>
      <c r="C613" s="204" t="s">
        <v>1592</v>
      </c>
      <c r="D613" s="203" t="s">
        <v>1593</v>
      </c>
      <c r="E613" s="204" t="s">
        <v>1594</v>
      </c>
      <c r="F613" s="203" t="s">
        <v>1590</v>
      </c>
      <c r="G613" s="204" t="s">
        <v>23</v>
      </c>
      <c r="H613" s="15" t="s">
        <v>1530</v>
      </c>
      <c r="I613" s="204">
        <v>201411</v>
      </c>
      <c r="J613" s="205">
        <v>-65.48</v>
      </c>
      <c r="K613" s="171">
        <f t="shared" si="27"/>
        <v>6</v>
      </c>
      <c r="L613" s="206">
        <v>2.0333333000000001E-3</v>
      </c>
      <c r="M613" s="16">
        <f t="shared" si="28"/>
        <v>-0.8</v>
      </c>
      <c r="N613" s="205">
        <f t="shared" si="30"/>
        <v>-1.6</v>
      </c>
      <c r="O613" s="14"/>
    </row>
    <row r="614" spans="1:15">
      <c r="A614" s="203" t="s">
        <v>1584</v>
      </c>
      <c r="B614" s="204" t="s">
        <v>1595</v>
      </c>
      <c r="C614" s="204" t="s">
        <v>1596</v>
      </c>
      <c r="D614" s="203" t="s">
        <v>1593</v>
      </c>
      <c r="E614" s="204" t="s">
        <v>1597</v>
      </c>
      <c r="F614" s="203" t="s">
        <v>1590</v>
      </c>
      <c r="G614" s="204" t="s">
        <v>23</v>
      </c>
      <c r="H614" s="15" t="s">
        <v>1530</v>
      </c>
      <c r="I614" s="204">
        <v>201411</v>
      </c>
      <c r="J614" s="205">
        <v>12942.18</v>
      </c>
      <c r="K614" s="171">
        <f t="shared" si="27"/>
        <v>6</v>
      </c>
      <c r="L614" s="206">
        <v>2.0333333000000001E-3</v>
      </c>
      <c r="M614" s="16">
        <f t="shared" si="28"/>
        <v>157.88999999999999</v>
      </c>
      <c r="N614" s="205">
        <f t="shared" si="30"/>
        <v>315.79000000000002</v>
      </c>
      <c r="O614" s="14"/>
    </row>
    <row r="615" spans="1:15">
      <c r="A615" s="203" t="s">
        <v>1584</v>
      </c>
      <c r="B615" s="204" t="s">
        <v>1598</v>
      </c>
      <c r="C615" s="204" t="s">
        <v>1599</v>
      </c>
      <c r="D615" s="203" t="s">
        <v>1600</v>
      </c>
      <c r="E615" s="204" t="s">
        <v>1601</v>
      </c>
      <c r="F615" s="203" t="s">
        <v>1590</v>
      </c>
      <c r="G615" s="204" t="s">
        <v>23</v>
      </c>
      <c r="H615" s="15" t="s">
        <v>1530</v>
      </c>
      <c r="I615" s="204">
        <v>201411</v>
      </c>
      <c r="J615" s="205">
        <v>7279.43</v>
      </c>
      <c r="K615" s="171">
        <f t="shared" si="27"/>
        <v>6</v>
      </c>
      <c r="L615" s="206">
        <v>2.0333333000000001E-3</v>
      </c>
      <c r="M615" s="16">
        <f t="shared" si="28"/>
        <v>88.81</v>
      </c>
      <c r="N615" s="205">
        <f t="shared" si="30"/>
        <v>177.62</v>
      </c>
      <c r="O615" s="14"/>
    </row>
    <row r="616" spans="1:15">
      <c r="A616" s="203" t="s">
        <v>1584</v>
      </c>
      <c r="B616" s="204" t="s">
        <v>1605</v>
      </c>
      <c r="C616" s="204" t="s">
        <v>1606</v>
      </c>
      <c r="D616" s="203" t="s">
        <v>1607</v>
      </c>
      <c r="E616" s="204" t="s">
        <v>1608</v>
      </c>
      <c r="F616" s="203" t="s">
        <v>1590</v>
      </c>
      <c r="G616" s="204" t="s">
        <v>23</v>
      </c>
      <c r="H616" s="15" t="s">
        <v>1530</v>
      </c>
      <c r="I616" s="204">
        <v>201411</v>
      </c>
      <c r="J616" s="205">
        <v>13521.65</v>
      </c>
      <c r="K616" s="171">
        <f t="shared" si="27"/>
        <v>6</v>
      </c>
      <c r="L616" s="206">
        <v>2.0333333000000001E-3</v>
      </c>
      <c r="M616" s="16">
        <f t="shared" si="28"/>
        <v>164.96</v>
      </c>
      <c r="N616" s="205">
        <f t="shared" si="30"/>
        <v>329.93</v>
      </c>
      <c r="O616" s="14"/>
    </row>
    <row r="617" spans="1:15">
      <c r="A617" s="203" t="s">
        <v>1584</v>
      </c>
      <c r="B617" s="204" t="s">
        <v>1612</v>
      </c>
      <c r="C617" s="204" t="s">
        <v>1613</v>
      </c>
      <c r="D617" s="203" t="s">
        <v>1588</v>
      </c>
      <c r="E617" s="204" t="s">
        <v>1614</v>
      </c>
      <c r="F617" s="203" t="s">
        <v>1590</v>
      </c>
      <c r="G617" s="204" t="s">
        <v>23</v>
      </c>
      <c r="H617" s="15" t="s">
        <v>1530</v>
      </c>
      <c r="I617" s="204">
        <v>201411</v>
      </c>
      <c r="J617" s="205">
        <v>425.66</v>
      </c>
      <c r="K617" s="171">
        <f t="shared" si="27"/>
        <v>6</v>
      </c>
      <c r="L617" s="206">
        <v>2.0333333000000001E-3</v>
      </c>
      <c r="M617" s="16">
        <f t="shared" si="28"/>
        <v>5.19</v>
      </c>
      <c r="N617" s="205">
        <f t="shared" si="30"/>
        <v>10.39</v>
      </c>
      <c r="O617" s="14"/>
    </row>
    <row r="618" spans="1:15">
      <c r="A618" s="203" t="s">
        <v>1584</v>
      </c>
      <c r="B618" s="204" t="s">
        <v>1615</v>
      </c>
      <c r="C618" s="204" t="s">
        <v>1616</v>
      </c>
      <c r="D618" s="203" t="s">
        <v>1593</v>
      </c>
      <c r="E618" s="204" t="s">
        <v>1617</v>
      </c>
      <c r="F618" s="203" t="s">
        <v>1590</v>
      </c>
      <c r="G618" s="204" t="s">
        <v>23</v>
      </c>
      <c r="H618" s="15" t="s">
        <v>1530</v>
      </c>
      <c r="I618" s="204">
        <v>201411</v>
      </c>
      <c r="J618" s="205">
        <v>4.0199999999999996</v>
      </c>
      <c r="K618" s="171">
        <f t="shared" si="27"/>
        <v>6</v>
      </c>
      <c r="L618" s="206">
        <v>2.0333333000000001E-3</v>
      </c>
      <c r="M618" s="16">
        <f t="shared" si="28"/>
        <v>0.05</v>
      </c>
      <c r="N618" s="205">
        <f t="shared" si="30"/>
        <v>0.1</v>
      </c>
      <c r="O618" s="14"/>
    </row>
    <row r="619" spans="1:15">
      <c r="A619" s="203" t="s">
        <v>1584</v>
      </c>
      <c r="B619" s="204" t="s">
        <v>1586</v>
      </c>
      <c r="C619" s="204" t="s">
        <v>1587</v>
      </c>
      <c r="D619" s="203" t="s">
        <v>1588</v>
      </c>
      <c r="E619" s="204" t="s">
        <v>1589</v>
      </c>
      <c r="F619" s="203" t="s">
        <v>1590</v>
      </c>
      <c r="G619" s="204" t="s">
        <v>23</v>
      </c>
      <c r="H619" s="15" t="s">
        <v>1530</v>
      </c>
      <c r="I619" s="204">
        <v>201412</v>
      </c>
      <c r="J619" s="205">
        <v>2193.1</v>
      </c>
      <c r="K619" s="171">
        <f t="shared" si="27"/>
        <v>5</v>
      </c>
      <c r="L619" s="206">
        <v>2.0333333000000001E-3</v>
      </c>
      <c r="M619" s="16">
        <f t="shared" si="28"/>
        <v>22.3</v>
      </c>
      <c r="N619" s="205">
        <f t="shared" si="30"/>
        <v>53.51</v>
      </c>
      <c r="O619" s="14"/>
    </row>
    <row r="620" spans="1:15">
      <c r="A620" s="203" t="s">
        <v>1584</v>
      </c>
      <c r="B620" s="204" t="s">
        <v>1591</v>
      </c>
      <c r="C620" s="204" t="s">
        <v>1592</v>
      </c>
      <c r="D620" s="203" t="s">
        <v>1593</v>
      </c>
      <c r="E620" s="204" t="s">
        <v>1594</v>
      </c>
      <c r="F620" s="203" t="s">
        <v>1590</v>
      </c>
      <c r="G620" s="204" t="s">
        <v>23</v>
      </c>
      <c r="H620" s="15" t="s">
        <v>1530</v>
      </c>
      <c r="I620" s="204">
        <v>201412</v>
      </c>
      <c r="J620" s="205">
        <v>-207.19</v>
      </c>
      <c r="K620" s="171">
        <f t="shared" si="27"/>
        <v>5</v>
      </c>
      <c r="L620" s="206">
        <v>2.0333333000000001E-3</v>
      </c>
      <c r="M620" s="16">
        <f t="shared" si="28"/>
        <v>-2.11</v>
      </c>
      <c r="N620" s="205">
        <f t="shared" si="30"/>
        <v>-5.0599999999999996</v>
      </c>
      <c r="O620" s="14"/>
    </row>
    <row r="621" spans="1:15">
      <c r="A621" s="203" t="s">
        <v>1584</v>
      </c>
      <c r="B621" s="204" t="s">
        <v>1595</v>
      </c>
      <c r="C621" s="204" t="s">
        <v>1596</v>
      </c>
      <c r="D621" s="203" t="s">
        <v>1593</v>
      </c>
      <c r="E621" s="204" t="s">
        <v>1597</v>
      </c>
      <c r="F621" s="203" t="s">
        <v>1590</v>
      </c>
      <c r="G621" s="204" t="s">
        <v>23</v>
      </c>
      <c r="H621" s="15" t="s">
        <v>1530</v>
      </c>
      <c r="I621" s="204">
        <v>201412</v>
      </c>
      <c r="J621" s="205">
        <v>24376.35</v>
      </c>
      <c r="K621" s="171">
        <f t="shared" si="27"/>
        <v>5</v>
      </c>
      <c r="L621" s="206">
        <v>2.0333333000000001E-3</v>
      </c>
      <c r="M621" s="16">
        <f t="shared" si="28"/>
        <v>247.83</v>
      </c>
      <c r="N621" s="205">
        <f t="shared" si="30"/>
        <v>594.78</v>
      </c>
      <c r="O621" s="14"/>
    </row>
    <row r="622" spans="1:15">
      <c r="A622" s="203" t="s">
        <v>1584</v>
      </c>
      <c r="B622" s="204" t="s">
        <v>1598</v>
      </c>
      <c r="C622" s="204" t="s">
        <v>1599</v>
      </c>
      <c r="D622" s="203" t="s">
        <v>1600</v>
      </c>
      <c r="E622" s="204" t="s">
        <v>1601</v>
      </c>
      <c r="F622" s="203" t="s">
        <v>1590</v>
      </c>
      <c r="G622" s="204" t="s">
        <v>23</v>
      </c>
      <c r="H622" s="15" t="s">
        <v>1530</v>
      </c>
      <c r="I622" s="204">
        <v>201412</v>
      </c>
      <c r="J622" s="205">
        <v>23241.21</v>
      </c>
      <c r="K622" s="171">
        <f t="shared" si="27"/>
        <v>5</v>
      </c>
      <c r="L622" s="206">
        <v>2.0333333000000001E-3</v>
      </c>
      <c r="M622" s="16">
        <f t="shared" si="28"/>
        <v>236.29</v>
      </c>
      <c r="N622" s="205">
        <f t="shared" si="30"/>
        <v>567.09</v>
      </c>
      <c r="O622" s="14"/>
    </row>
    <row r="623" spans="1:15">
      <c r="A623" s="203" t="s">
        <v>1584</v>
      </c>
      <c r="B623" s="204" t="s">
        <v>1605</v>
      </c>
      <c r="C623" s="204" t="s">
        <v>1606</v>
      </c>
      <c r="D623" s="203" t="s">
        <v>1607</v>
      </c>
      <c r="E623" s="204" t="s">
        <v>1608</v>
      </c>
      <c r="F623" s="203" t="s">
        <v>1590</v>
      </c>
      <c r="G623" s="204" t="s">
        <v>23</v>
      </c>
      <c r="H623" s="15" t="s">
        <v>1530</v>
      </c>
      <c r="I623" s="204">
        <v>201412</v>
      </c>
      <c r="J623" s="205">
        <v>11008.76</v>
      </c>
      <c r="K623" s="171">
        <f t="shared" si="27"/>
        <v>5</v>
      </c>
      <c r="L623" s="206">
        <v>2.0333333000000001E-3</v>
      </c>
      <c r="M623" s="16">
        <f t="shared" si="28"/>
        <v>111.92</v>
      </c>
      <c r="N623" s="205">
        <f t="shared" si="30"/>
        <v>268.61</v>
      </c>
      <c r="O623" s="14"/>
    </row>
    <row r="624" spans="1:15">
      <c r="A624" s="203" t="s">
        <v>1584</v>
      </c>
      <c r="B624" s="204" t="s">
        <v>1612</v>
      </c>
      <c r="C624" s="204" t="s">
        <v>1613</v>
      </c>
      <c r="D624" s="203" t="s">
        <v>1588</v>
      </c>
      <c r="E624" s="204" t="s">
        <v>1614</v>
      </c>
      <c r="F624" s="203" t="s">
        <v>1590</v>
      </c>
      <c r="G624" s="204" t="s">
        <v>23</v>
      </c>
      <c r="H624" s="15" t="s">
        <v>1530</v>
      </c>
      <c r="I624" s="204">
        <v>201412</v>
      </c>
      <c r="J624" s="205">
        <v>332.2</v>
      </c>
      <c r="K624" s="171">
        <f t="shared" si="27"/>
        <v>5</v>
      </c>
      <c r="L624" s="206">
        <v>2.0333333000000001E-3</v>
      </c>
      <c r="M624" s="16">
        <f t="shared" si="28"/>
        <v>3.38</v>
      </c>
      <c r="N624" s="205">
        <f t="shared" si="30"/>
        <v>8.11</v>
      </c>
      <c r="O624" s="14"/>
    </row>
    <row r="625" spans="1:15">
      <c r="A625" s="203" t="s">
        <v>1584</v>
      </c>
      <c r="B625" s="204" t="s">
        <v>1615</v>
      </c>
      <c r="C625" s="204" t="s">
        <v>1616</v>
      </c>
      <c r="D625" s="203" t="s">
        <v>1593</v>
      </c>
      <c r="E625" s="204" t="s">
        <v>1617</v>
      </c>
      <c r="F625" s="203" t="s">
        <v>1590</v>
      </c>
      <c r="G625" s="204" t="s">
        <v>23</v>
      </c>
      <c r="H625" s="15" t="s">
        <v>1530</v>
      </c>
      <c r="I625" s="204">
        <v>201412</v>
      </c>
      <c r="J625" s="205">
        <v>-275.81</v>
      </c>
      <c r="K625" s="171">
        <f t="shared" si="27"/>
        <v>5</v>
      </c>
      <c r="L625" s="206">
        <v>2.0333333000000001E-3</v>
      </c>
      <c r="M625" s="16">
        <f t="shared" si="28"/>
        <v>-2.8</v>
      </c>
      <c r="N625" s="205">
        <f t="shared" si="30"/>
        <v>-6.73</v>
      </c>
      <c r="O625" s="14"/>
    </row>
    <row r="627" spans="1:15">
      <c r="J627" s="6">
        <f>SUM(J5:J626)</f>
        <v>17467247.030000009</v>
      </c>
      <c r="M627" s="6">
        <f>SUM(M5:M626)</f>
        <v>173437.49999999994</v>
      </c>
      <c r="N627" s="6">
        <f>SUM(N5:N626)</f>
        <v>340743.72</v>
      </c>
    </row>
  </sheetData>
  <autoFilter ref="A4:O595">
    <sortState ref="A5:O596">
      <sortCondition ref="H5:H596"/>
      <sortCondition ref="I5:I596"/>
      <sortCondition ref="A5:A596"/>
      <sortCondition ref="C5:C596"/>
    </sortState>
  </autoFilter>
  <sortState ref="A597:O626">
    <sortCondition ref="I597:I626"/>
    <sortCondition ref="C597:C626"/>
  </sortState>
  <pageMargins left="0.2" right="0.2" top="0.25" bottom="0.25" header="0.3" footer="0.3"/>
  <pageSetup scale="50" orientation="landscape" r:id="rId1"/>
</worksheet>
</file>

<file path=xl/worksheets/sheet10.xml><?xml version="1.0" encoding="utf-8"?>
<worksheet xmlns="http://schemas.openxmlformats.org/spreadsheetml/2006/main" xmlns:r="http://schemas.openxmlformats.org/officeDocument/2006/relationships">
  <dimension ref="A1:W1377"/>
  <sheetViews>
    <sheetView zoomScale="85" zoomScaleNormal="85" workbookViewId="0">
      <pane ySplit="4" topLeftCell="A1365" activePane="bottomLeft" state="frozen"/>
      <selection activeCell="J56" sqref="J56"/>
      <selection pane="bottomLeft" activeCell="J56" sqref="J56"/>
    </sheetView>
  </sheetViews>
  <sheetFormatPr defaultColWidth="9.140625" defaultRowHeight="15"/>
  <cols>
    <col min="1" max="1" width="37" style="3" customWidth="1"/>
    <col min="2" max="2" width="17.28515625" style="2" customWidth="1"/>
    <col min="3" max="3" width="13.85546875" style="2" customWidth="1"/>
    <col min="4" max="4" width="34.5703125" style="3" customWidth="1"/>
    <col min="5" max="5" width="8.7109375" style="2" customWidth="1"/>
    <col min="6" max="6" width="36.7109375" style="3" bestFit="1" customWidth="1"/>
    <col min="7" max="8" width="14.140625" style="2" customWidth="1"/>
    <col min="9" max="9" width="9.28515625" style="2" customWidth="1"/>
    <col min="10" max="18" width="14.7109375" style="6" customWidth="1"/>
    <col min="19" max="16384" width="9.140625" style="3"/>
  </cols>
  <sheetData>
    <row r="1" spans="1:23">
      <c r="A1" s="1" t="s">
        <v>0</v>
      </c>
      <c r="K1" s="355" t="s">
        <v>10</v>
      </c>
      <c r="L1" s="41">
        <v>42156</v>
      </c>
      <c r="M1" s="358" t="s">
        <v>1414</v>
      </c>
      <c r="N1" s="358" t="s">
        <v>1415</v>
      </c>
      <c r="O1" s="361">
        <v>2014</v>
      </c>
      <c r="P1" s="362"/>
      <c r="Q1" s="361">
        <v>2015</v>
      </c>
      <c r="R1" s="362"/>
    </row>
    <row r="2" spans="1:23">
      <c r="A2" s="1" t="s">
        <v>1416</v>
      </c>
      <c r="K2" s="356"/>
      <c r="L2" s="363" t="s">
        <v>1417</v>
      </c>
      <c r="M2" s="359"/>
      <c r="N2" s="359"/>
      <c r="O2" s="365" t="s">
        <v>1418</v>
      </c>
      <c r="P2" s="367" t="s">
        <v>1419</v>
      </c>
      <c r="Q2" s="365" t="s">
        <v>1418</v>
      </c>
      <c r="R2" s="367" t="s">
        <v>1419</v>
      </c>
    </row>
    <row r="3" spans="1:23" ht="15.75" thickBot="1">
      <c r="K3" s="357"/>
      <c r="L3" s="364"/>
      <c r="M3" s="360"/>
      <c r="N3" s="360"/>
      <c r="O3" s="366"/>
      <c r="P3" s="368"/>
      <c r="Q3" s="366"/>
      <c r="R3" s="368"/>
    </row>
    <row r="4" spans="1:23" s="13" customFormat="1" ht="35.25" customHeight="1">
      <c r="A4" s="8" t="s">
        <v>3</v>
      </c>
      <c r="B4" s="9" t="s">
        <v>4</v>
      </c>
      <c r="C4" s="9" t="s">
        <v>5</v>
      </c>
      <c r="D4" s="8" t="s">
        <v>6</v>
      </c>
      <c r="E4" s="9" t="s">
        <v>7</v>
      </c>
      <c r="F4" s="8" t="s">
        <v>8</v>
      </c>
      <c r="G4" s="10" t="s">
        <v>9</v>
      </c>
      <c r="H4" s="10"/>
      <c r="I4" s="9" t="s">
        <v>10</v>
      </c>
      <c r="J4" s="11" t="s">
        <v>11</v>
      </c>
      <c r="K4" s="350" t="s">
        <v>1420</v>
      </c>
      <c r="L4" s="351"/>
      <c r="M4" s="351"/>
      <c r="N4" s="351"/>
      <c r="O4" s="42"/>
      <c r="P4" s="43">
        <f>+W20</f>
        <v>0.48125000000000007</v>
      </c>
      <c r="Q4" s="42"/>
      <c r="R4" s="43">
        <v>7.2190000000000004E-2</v>
      </c>
    </row>
    <row r="5" spans="1:23">
      <c r="A5" s="14" t="s">
        <v>17</v>
      </c>
      <c r="B5" s="15" t="s">
        <v>24</v>
      </c>
      <c r="C5" s="15" t="s">
        <v>25</v>
      </c>
      <c r="D5" s="14" t="s">
        <v>26</v>
      </c>
      <c r="E5" s="15" t="s">
        <v>27</v>
      </c>
      <c r="F5" s="14" t="s">
        <v>28</v>
      </c>
      <c r="G5" s="15" t="s">
        <v>23</v>
      </c>
      <c r="H5" s="15"/>
      <c r="I5" s="15">
        <v>201401</v>
      </c>
      <c r="J5" s="16">
        <v>0</v>
      </c>
      <c r="K5" s="44">
        <v>41944</v>
      </c>
      <c r="L5" s="45">
        <f>((YEAR($L$1)-YEAR(K5))*12+MONTH($L$1)-MONTH(K5))</f>
        <v>7</v>
      </c>
      <c r="M5" s="17">
        <v>1.4833299999999999E-3</v>
      </c>
      <c r="N5" s="46">
        <f>M5*L5*J5</f>
        <v>0</v>
      </c>
      <c r="O5" s="47"/>
      <c r="P5" s="48">
        <f>$P$4*J5</f>
        <v>0</v>
      </c>
      <c r="Q5" s="47"/>
      <c r="R5" s="48">
        <f>$R$4*(J5*0.5)*$T$9</f>
        <v>0</v>
      </c>
    </row>
    <row r="6" spans="1:23">
      <c r="A6" s="14" t="s">
        <v>17</v>
      </c>
      <c r="B6" s="15" t="s">
        <v>63</v>
      </c>
      <c r="C6" s="15" t="s">
        <v>64</v>
      </c>
      <c r="D6" s="14" t="s">
        <v>65</v>
      </c>
      <c r="E6" s="15" t="s">
        <v>32</v>
      </c>
      <c r="F6" s="14" t="s">
        <v>22</v>
      </c>
      <c r="G6" s="15" t="s">
        <v>23</v>
      </c>
      <c r="H6" s="15"/>
      <c r="I6" s="15">
        <v>201401</v>
      </c>
      <c r="J6" s="16">
        <v>0</v>
      </c>
      <c r="K6" s="44">
        <f>+K5</f>
        <v>41944</v>
      </c>
      <c r="L6" s="45">
        <f t="shared" ref="L6:L69" si="0">((YEAR($L$1)-YEAR(K6))*12+MONTH($L$1)-MONTH(K6))</f>
        <v>7</v>
      </c>
      <c r="M6" s="17">
        <v>1.4833299999999999E-3</v>
      </c>
      <c r="N6" s="46">
        <f t="shared" ref="N6:N69" si="1">M6*L6*J6</f>
        <v>0</v>
      </c>
      <c r="O6" s="16"/>
      <c r="P6" s="48">
        <f t="shared" ref="P6:P69" si="2">$P$4*J6</f>
        <v>0</v>
      </c>
      <c r="Q6" s="16"/>
      <c r="R6" s="48">
        <f t="shared" ref="R6:R69" si="3">$R$4*(J6*0.5)*$T$9</f>
        <v>0</v>
      </c>
      <c r="T6" s="49" t="s">
        <v>1421</v>
      </c>
      <c r="U6" s="352" t="s">
        <v>1422</v>
      </c>
      <c r="V6" s="353"/>
      <c r="W6" s="354"/>
    </row>
    <row r="7" spans="1:23">
      <c r="A7" s="18" t="s">
        <v>66</v>
      </c>
      <c r="B7" s="15" t="s">
        <v>72</v>
      </c>
      <c r="C7" s="15" t="s">
        <v>73</v>
      </c>
      <c r="D7" s="14" t="s">
        <v>74</v>
      </c>
      <c r="E7" s="15" t="s">
        <v>75</v>
      </c>
      <c r="F7" s="14" t="s">
        <v>71</v>
      </c>
      <c r="G7" s="15" t="s">
        <v>23</v>
      </c>
      <c r="H7" s="15"/>
      <c r="I7" s="15">
        <v>201401</v>
      </c>
      <c r="J7" s="16">
        <v>8509.2000000000007</v>
      </c>
      <c r="K7" s="44">
        <f t="shared" ref="K7:K70" si="4">+K6</f>
        <v>41944</v>
      </c>
      <c r="L7" s="45">
        <f t="shared" si="0"/>
        <v>7</v>
      </c>
      <c r="M7" s="17">
        <v>2.23333E-3</v>
      </c>
      <c r="N7" s="46">
        <f t="shared" si="1"/>
        <v>133.02696145200002</v>
      </c>
      <c r="O7" s="16"/>
      <c r="P7" s="48">
        <f t="shared" si="2"/>
        <v>4095.0525000000007</v>
      </c>
      <c r="Q7" s="16"/>
      <c r="R7" s="48">
        <f t="shared" si="3"/>
        <v>153.56978700000002</v>
      </c>
      <c r="T7" s="50">
        <f>12/12</f>
        <v>1</v>
      </c>
      <c r="U7" s="51"/>
      <c r="V7" s="52" t="s">
        <v>1423</v>
      </c>
      <c r="W7" s="53" t="s">
        <v>1424</v>
      </c>
    </row>
    <row r="8" spans="1:23">
      <c r="A8" s="18" t="s">
        <v>66</v>
      </c>
      <c r="B8" s="15" t="s">
        <v>81</v>
      </c>
      <c r="C8" s="15" t="s">
        <v>82</v>
      </c>
      <c r="D8" s="14" t="s">
        <v>83</v>
      </c>
      <c r="E8" s="15" t="s">
        <v>84</v>
      </c>
      <c r="F8" s="14" t="s">
        <v>85</v>
      </c>
      <c r="G8" s="15" t="s">
        <v>23</v>
      </c>
      <c r="H8" s="15"/>
      <c r="I8" s="15">
        <v>201401</v>
      </c>
      <c r="J8" s="16">
        <v>32294.85</v>
      </c>
      <c r="K8" s="44">
        <f t="shared" si="4"/>
        <v>41944</v>
      </c>
      <c r="L8" s="45">
        <f t="shared" si="0"/>
        <v>7</v>
      </c>
      <c r="M8" s="17">
        <v>2.23333E-3</v>
      </c>
      <c r="N8" s="46">
        <f t="shared" si="1"/>
        <v>504.87540145349999</v>
      </c>
      <c r="O8" s="16"/>
      <c r="P8" s="48">
        <f t="shared" si="2"/>
        <v>15541.896562500002</v>
      </c>
      <c r="Q8" s="16"/>
      <c r="R8" s="48">
        <f t="shared" si="3"/>
        <v>582.84130537500005</v>
      </c>
      <c r="T8" s="54">
        <f>1.5/12</f>
        <v>0.125</v>
      </c>
      <c r="U8" s="55" t="s">
        <v>1425</v>
      </c>
      <c r="V8" s="56">
        <v>0.05</v>
      </c>
      <c r="W8" s="57">
        <v>3.7499999999999999E-2</v>
      </c>
    </row>
    <row r="9" spans="1:23">
      <c r="A9" s="18" t="s">
        <v>66</v>
      </c>
      <c r="B9" s="15" t="s">
        <v>86</v>
      </c>
      <c r="C9" s="15" t="s">
        <v>87</v>
      </c>
      <c r="D9" s="14" t="s">
        <v>88</v>
      </c>
      <c r="E9" s="15" t="s">
        <v>89</v>
      </c>
      <c r="F9" s="14" t="s">
        <v>85</v>
      </c>
      <c r="G9" s="15" t="s">
        <v>23</v>
      </c>
      <c r="H9" s="15"/>
      <c r="I9" s="15">
        <v>201401</v>
      </c>
      <c r="J9" s="16">
        <v>64.489999999999995</v>
      </c>
      <c r="K9" s="44">
        <f t="shared" si="4"/>
        <v>41944</v>
      </c>
      <c r="L9" s="45">
        <f t="shared" si="0"/>
        <v>7</v>
      </c>
      <c r="M9" s="17">
        <v>2.23333E-3</v>
      </c>
      <c r="N9" s="46">
        <f t="shared" si="1"/>
        <v>1.0081921619000001</v>
      </c>
      <c r="O9" s="16"/>
      <c r="P9" s="48">
        <f t="shared" si="2"/>
        <v>31.035812500000002</v>
      </c>
      <c r="Q9" s="16"/>
      <c r="R9" s="48">
        <f t="shared" si="3"/>
        <v>1.1638832749999999</v>
      </c>
      <c r="T9" s="54">
        <f>6/12</f>
        <v>0.5</v>
      </c>
      <c r="U9" s="55" t="s">
        <v>1426</v>
      </c>
      <c r="V9" s="56">
        <v>9.5000000000000001E-2</v>
      </c>
      <c r="W9" s="57">
        <v>7.2190000000000004E-2</v>
      </c>
    </row>
    <row r="10" spans="1:23">
      <c r="A10" s="18" t="s">
        <v>66</v>
      </c>
      <c r="B10" s="15" t="s">
        <v>90</v>
      </c>
      <c r="C10" s="15" t="s">
        <v>91</v>
      </c>
      <c r="D10" s="14" t="s">
        <v>78</v>
      </c>
      <c r="E10" s="15" t="s">
        <v>92</v>
      </c>
      <c r="F10" s="14" t="s">
        <v>80</v>
      </c>
      <c r="G10" s="15" t="s">
        <v>23</v>
      </c>
      <c r="H10" s="15"/>
      <c r="I10" s="15">
        <v>201401</v>
      </c>
      <c r="J10" s="16">
        <v>8725.81</v>
      </c>
      <c r="K10" s="44">
        <f t="shared" si="4"/>
        <v>41944</v>
      </c>
      <c r="L10" s="45">
        <f t="shared" si="0"/>
        <v>7</v>
      </c>
      <c r="M10" s="17">
        <v>2.23333E-3</v>
      </c>
      <c r="N10" s="46">
        <f t="shared" si="1"/>
        <v>136.4132927311</v>
      </c>
      <c r="O10" s="16"/>
      <c r="P10" s="48">
        <f t="shared" si="2"/>
        <v>4199.2960625000005</v>
      </c>
      <c r="Q10" s="16"/>
      <c r="R10" s="48">
        <f t="shared" si="3"/>
        <v>157.47905597499999</v>
      </c>
      <c r="T10" s="54"/>
      <c r="U10" s="55" t="s">
        <v>1427</v>
      </c>
      <c r="V10" s="56">
        <v>8.5500000000000007E-2</v>
      </c>
      <c r="W10" s="57">
        <v>6.6769999999999996E-2</v>
      </c>
    </row>
    <row r="11" spans="1:23">
      <c r="A11" s="18" t="s">
        <v>66</v>
      </c>
      <c r="B11" s="15" t="s">
        <v>93</v>
      </c>
      <c r="C11" s="15" t="s">
        <v>94</v>
      </c>
      <c r="D11" s="14" t="s">
        <v>95</v>
      </c>
      <c r="E11" s="15" t="s">
        <v>96</v>
      </c>
      <c r="F11" s="14" t="s">
        <v>97</v>
      </c>
      <c r="G11" s="15" t="s">
        <v>23</v>
      </c>
      <c r="H11" s="15"/>
      <c r="I11" s="15">
        <v>201401</v>
      </c>
      <c r="J11" s="16">
        <v>3533.98</v>
      </c>
      <c r="K11" s="44">
        <f t="shared" si="4"/>
        <v>41944</v>
      </c>
      <c r="L11" s="45">
        <f t="shared" si="0"/>
        <v>7</v>
      </c>
      <c r="M11" s="17">
        <v>2.23333E-3</v>
      </c>
      <c r="N11" s="46">
        <f t="shared" si="1"/>
        <v>55.247804873800007</v>
      </c>
      <c r="O11" s="16"/>
      <c r="P11" s="48">
        <f t="shared" si="2"/>
        <v>1700.7278750000003</v>
      </c>
      <c r="Q11" s="16"/>
      <c r="R11" s="48">
        <f t="shared" si="3"/>
        <v>63.779504050000007</v>
      </c>
      <c r="T11" s="54"/>
      <c r="U11" s="55" t="s">
        <v>1428</v>
      </c>
      <c r="V11" s="56">
        <v>7.6999999999999999E-2</v>
      </c>
      <c r="W11" s="57">
        <v>6.1769999999999999E-2</v>
      </c>
    </row>
    <row r="12" spans="1:23">
      <c r="A12" s="14" t="s">
        <v>17</v>
      </c>
      <c r="B12" s="15" t="s">
        <v>105</v>
      </c>
      <c r="C12" s="15" t="s">
        <v>106</v>
      </c>
      <c r="D12" s="14" t="s">
        <v>107</v>
      </c>
      <c r="E12" s="15" t="s">
        <v>108</v>
      </c>
      <c r="F12" s="14" t="s">
        <v>28</v>
      </c>
      <c r="G12" s="15" t="s">
        <v>23</v>
      </c>
      <c r="H12" s="15"/>
      <c r="I12" s="15">
        <v>201401</v>
      </c>
      <c r="J12" s="16">
        <v>346067.42</v>
      </c>
      <c r="K12" s="44">
        <f t="shared" si="4"/>
        <v>41944</v>
      </c>
      <c r="L12" s="45">
        <f t="shared" si="0"/>
        <v>7</v>
      </c>
      <c r="M12" s="17">
        <v>1.4833299999999999E-3</v>
      </c>
      <c r="N12" s="46">
        <f t="shared" si="1"/>
        <v>3593.3253027602</v>
      </c>
      <c r="O12" s="16"/>
      <c r="P12" s="48">
        <f t="shared" si="2"/>
        <v>166544.945875</v>
      </c>
      <c r="Q12" s="16"/>
      <c r="R12" s="48">
        <f t="shared" si="3"/>
        <v>6245.6517624500002</v>
      </c>
      <c r="T12" s="54"/>
      <c r="U12" s="58"/>
      <c r="V12" s="59"/>
      <c r="W12" s="60"/>
    </row>
    <row r="13" spans="1:23">
      <c r="A13" s="14" t="s">
        <v>17</v>
      </c>
      <c r="B13" s="15" t="s">
        <v>119</v>
      </c>
      <c r="C13" s="15" t="s">
        <v>120</v>
      </c>
      <c r="D13" s="14" t="s">
        <v>121</v>
      </c>
      <c r="E13" s="15" t="s">
        <v>32</v>
      </c>
      <c r="F13" s="14" t="s">
        <v>22</v>
      </c>
      <c r="G13" s="15" t="s">
        <v>23</v>
      </c>
      <c r="H13" s="15"/>
      <c r="I13" s="15">
        <v>201401</v>
      </c>
      <c r="J13" s="16">
        <f>-1565.6</f>
        <v>-1565.6</v>
      </c>
      <c r="K13" s="44">
        <f t="shared" si="4"/>
        <v>41944</v>
      </c>
      <c r="L13" s="45">
        <f t="shared" si="0"/>
        <v>7</v>
      </c>
      <c r="M13" s="17">
        <v>1.4833299999999999E-3</v>
      </c>
      <c r="N13" s="46">
        <f t="shared" si="1"/>
        <v>-16.256110136</v>
      </c>
      <c r="O13" s="16"/>
      <c r="P13" s="48">
        <f t="shared" si="2"/>
        <v>-753.44500000000005</v>
      </c>
      <c r="Q13" s="16"/>
      <c r="R13" s="48">
        <f t="shared" si="3"/>
        <v>-28.255165999999999</v>
      </c>
    </row>
    <row r="14" spans="1:23">
      <c r="A14" s="14" t="s">
        <v>17</v>
      </c>
      <c r="B14" s="15" t="s">
        <v>122</v>
      </c>
      <c r="C14" s="15" t="s">
        <v>123</v>
      </c>
      <c r="D14" s="14" t="s">
        <v>124</v>
      </c>
      <c r="E14" s="15" t="s">
        <v>125</v>
      </c>
      <c r="F14" s="14" t="s">
        <v>126</v>
      </c>
      <c r="G14" s="15" t="s">
        <v>23</v>
      </c>
      <c r="H14" s="15"/>
      <c r="I14" s="15">
        <v>201401</v>
      </c>
      <c r="J14" s="16">
        <f>5662.91</f>
        <v>5662.91</v>
      </c>
      <c r="K14" s="44">
        <f t="shared" si="4"/>
        <v>41944</v>
      </c>
      <c r="L14" s="45">
        <f t="shared" si="0"/>
        <v>7</v>
      </c>
      <c r="M14" s="17">
        <v>1.4833299999999999E-3</v>
      </c>
      <c r="N14" s="46">
        <f t="shared" si="1"/>
        <v>58.7997500321</v>
      </c>
      <c r="O14" s="16"/>
      <c r="P14" s="48">
        <f t="shared" si="2"/>
        <v>2725.2754375000004</v>
      </c>
      <c r="Q14" s="16"/>
      <c r="R14" s="48">
        <f t="shared" si="3"/>
        <v>102.20136822500001</v>
      </c>
    </row>
    <row r="15" spans="1:23">
      <c r="A15" s="14" t="s">
        <v>17</v>
      </c>
      <c r="B15" s="15" t="s">
        <v>127</v>
      </c>
      <c r="C15" s="15" t="s">
        <v>128</v>
      </c>
      <c r="D15" s="14" t="s">
        <v>129</v>
      </c>
      <c r="E15" s="15" t="s">
        <v>62</v>
      </c>
      <c r="F15" s="14" t="s">
        <v>22</v>
      </c>
      <c r="G15" s="15" t="s">
        <v>23</v>
      </c>
      <c r="H15" s="15"/>
      <c r="I15" s="15">
        <v>201401</v>
      </c>
      <c r="J15" s="16">
        <v>45944.67</v>
      </c>
      <c r="K15" s="44">
        <f t="shared" si="4"/>
        <v>41944</v>
      </c>
      <c r="L15" s="45">
        <f t="shared" si="0"/>
        <v>7</v>
      </c>
      <c r="M15" s="17">
        <v>1.4833299999999999E-3</v>
      </c>
      <c r="N15" s="46">
        <f t="shared" si="1"/>
        <v>477.05775145769996</v>
      </c>
      <c r="O15" s="16"/>
      <c r="P15" s="48">
        <f t="shared" si="2"/>
        <v>22110.872437500002</v>
      </c>
      <c r="Q15" s="16"/>
      <c r="R15" s="48">
        <f t="shared" si="3"/>
        <v>829.186431825</v>
      </c>
    </row>
    <row r="16" spans="1:23">
      <c r="A16" s="14" t="s">
        <v>17</v>
      </c>
      <c r="B16" s="15" t="s">
        <v>130</v>
      </c>
      <c r="C16" s="15" t="s">
        <v>131</v>
      </c>
      <c r="D16" s="14" t="s">
        <v>132</v>
      </c>
      <c r="E16" s="15" t="s">
        <v>36</v>
      </c>
      <c r="F16" s="14" t="s">
        <v>22</v>
      </c>
      <c r="G16" s="15" t="s">
        <v>23</v>
      </c>
      <c r="H16" s="15"/>
      <c r="I16" s="15">
        <v>201401</v>
      </c>
      <c r="J16" s="16">
        <f>10853.98</f>
        <v>10853.98</v>
      </c>
      <c r="K16" s="44">
        <f t="shared" si="4"/>
        <v>41944</v>
      </c>
      <c r="L16" s="45">
        <f t="shared" si="0"/>
        <v>7</v>
      </c>
      <c r="M16" s="17">
        <v>1.4833299999999999E-3</v>
      </c>
      <c r="N16" s="46">
        <f t="shared" si="1"/>
        <v>112.70023907379999</v>
      </c>
      <c r="O16" s="16"/>
      <c r="P16" s="48">
        <f t="shared" si="2"/>
        <v>5223.4778750000005</v>
      </c>
      <c r="Q16" s="16"/>
      <c r="R16" s="48">
        <f t="shared" si="3"/>
        <v>195.88720405000001</v>
      </c>
      <c r="U16" s="3" t="s">
        <v>1545</v>
      </c>
      <c r="W16" s="3">
        <v>0.5</v>
      </c>
    </row>
    <row r="17" spans="1:23">
      <c r="A17" s="14" t="s">
        <v>17</v>
      </c>
      <c r="B17" s="15" t="s">
        <v>143</v>
      </c>
      <c r="C17" s="15" t="s">
        <v>144</v>
      </c>
      <c r="D17" s="14" t="s">
        <v>145</v>
      </c>
      <c r="E17" s="15" t="s">
        <v>62</v>
      </c>
      <c r="F17" s="14" t="s">
        <v>22</v>
      </c>
      <c r="G17" s="15" t="s">
        <v>23</v>
      </c>
      <c r="H17" s="15"/>
      <c r="I17" s="15">
        <v>201401</v>
      </c>
      <c r="J17" s="16">
        <v>32699.13</v>
      </c>
      <c r="K17" s="44">
        <f t="shared" si="4"/>
        <v>41944</v>
      </c>
      <c r="L17" s="45">
        <f t="shared" si="0"/>
        <v>7</v>
      </c>
      <c r="M17" s="17">
        <v>1.4833299999999999E-3</v>
      </c>
      <c r="N17" s="46">
        <f t="shared" si="1"/>
        <v>339.52520352030001</v>
      </c>
      <c r="O17" s="16"/>
      <c r="P17" s="48">
        <f t="shared" si="2"/>
        <v>15736.456312500002</v>
      </c>
      <c r="Q17" s="16"/>
      <c r="R17" s="48">
        <f t="shared" si="3"/>
        <v>590.13754867500006</v>
      </c>
      <c r="U17" s="3" t="s">
        <v>1425</v>
      </c>
      <c r="W17" s="3">
        <f>0.0375*0.5</f>
        <v>1.8749999999999999E-2</v>
      </c>
    </row>
    <row r="18" spans="1:23">
      <c r="A18" s="14" t="s">
        <v>17</v>
      </c>
      <c r="B18" s="15" t="s">
        <v>149</v>
      </c>
      <c r="C18" s="15" t="s">
        <v>150</v>
      </c>
      <c r="D18" s="14" t="s">
        <v>151</v>
      </c>
      <c r="E18" s="15" t="s">
        <v>40</v>
      </c>
      <c r="F18" s="14" t="s">
        <v>41</v>
      </c>
      <c r="G18" s="15" t="s">
        <v>23</v>
      </c>
      <c r="H18" s="15"/>
      <c r="I18" s="15">
        <v>201401</v>
      </c>
      <c r="J18" s="16">
        <v>0</v>
      </c>
      <c r="K18" s="44">
        <f t="shared" si="4"/>
        <v>41944</v>
      </c>
      <c r="L18" s="45">
        <f t="shared" si="0"/>
        <v>7</v>
      </c>
      <c r="M18" s="17">
        <v>1.4833299999999999E-3</v>
      </c>
      <c r="N18" s="46">
        <f t="shared" si="1"/>
        <v>0</v>
      </c>
      <c r="O18" s="16"/>
      <c r="P18" s="48">
        <f t="shared" si="2"/>
        <v>0</v>
      </c>
      <c r="Q18" s="16"/>
      <c r="R18" s="48">
        <f t="shared" si="3"/>
        <v>0</v>
      </c>
      <c r="U18" s="3" t="s">
        <v>1459</v>
      </c>
      <c r="W18" s="3">
        <f>+W16+W17</f>
        <v>0.51875000000000004</v>
      </c>
    </row>
    <row r="19" spans="1:23">
      <c r="A19" s="14" t="s">
        <v>17</v>
      </c>
      <c r="B19" s="15" t="s">
        <v>152</v>
      </c>
      <c r="C19" s="15" t="s">
        <v>153</v>
      </c>
      <c r="D19" s="14" t="s">
        <v>154</v>
      </c>
      <c r="E19" s="15" t="s">
        <v>53</v>
      </c>
      <c r="F19" s="14" t="s">
        <v>41</v>
      </c>
      <c r="G19" s="15" t="s">
        <v>23</v>
      </c>
      <c r="H19" s="15"/>
      <c r="I19" s="15">
        <v>201401</v>
      </c>
      <c r="J19" s="16">
        <v>2973.58</v>
      </c>
      <c r="K19" s="44">
        <f t="shared" si="4"/>
        <v>41944</v>
      </c>
      <c r="L19" s="45">
        <f t="shared" si="0"/>
        <v>7</v>
      </c>
      <c r="M19" s="17">
        <v>1.4833299999999999E-3</v>
      </c>
      <c r="N19" s="46">
        <f t="shared" si="1"/>
        <v>30.875602949799998</v>
      </c>
      <c r="O19" s="16"/>
      <c r="P19" s="48">
        <f t="shared" si="2"/>
        <v>1431.0353750000002</v>
      </c>
      <c r="Q19" s="16"/>
      <c r="R19" s="48">
        <f t="shared" si="3"/>
        <v>53.66568505</v>
      </c>
      <c r="U19" s="3" t="s">
        <v>1546</v>
      </c>
      <c r="W19" s="3">
        <v>3.7499999999999999E-2</v>
      </c>
    </row>
    <row r="20" spans="1:23">
      <c r="A20" s="14" t="s">
        <v>17</v>
      </c>
      <c r="B20" s="15" t="s">
        <v>161</v>
      </c>
      <c r="C20" s="15" t="s">
        <v>162</v>
      </c>
      <c r="D20" s="14" t="s">
        <v>163</v>
      </c>
      <c r="E20" s="15" t="s">
        <v>62</v>
      </c>
      <c r="F20" s="14" t="s">
        <v>22</v>
      </c>
      <c r="G20" s="15" t="s">
        <v>23</v>
      </c>
      <c r="H20" s="15"/>
      <c r="I20" s="15">
        <v>201401</v>
      </c>
      <c r="J20" s="16">
        <v>2335.9</v>
      </c>
      <c r="K20" s="44">
        <f t="shared" si="4"/>
        <v>41944</v>
      </c>
      <c r="L20" s="45">
        <f t="shared" si="0"/>
        <v>7</v>
      </c>
      <c r="M20" s="17">
        <v>1.4833299999999999E-3</v>
      </c>
      <c r="N20" s="46">
        <f t="shared" si="1"/>
        <v>24.254373829000002</v>
      </c>
      <c r="O20" s="16"/>
      <c r="P20" s="48">
        <f t="shared" si="2"/>
        <v>1124.1518750000002</v>
      </c>
      <c r="Q20" s="16"/>
      <c r="R20" s="48">
        <f t="shared" si="3"/>
        <v>42.157155250000002</v>
      </c>
      <c r="U20" s="3" t="s">
        <v>1547</v>
      </c>
      <c r="W20" s="3">
        <f>+W18-W19</f>
        <v>0.48125000000000007</v>
      </c>
    </row>
    <row r="21" spans="1:23">
      <c r="A21" s="14" t="s">
        <v>17</v>
      </c>
      <c r="B21" s="15" t="s">
        <v>177</v>
      </c>
      <c r="C21" s="15" t="s">
        <v>178</v>
      </c>
      <c r="D21" s="14" t="s">
        <v>179</v>
      </c>
      <c r="E21" s="15" t="s">
        <v>176</v>
      </c>
      <c r="F21" s="14" t="s">
        <v>28</v>
      </c>
      <c r="G21" s="15" t="s">
        <v>23</v>
      </c>
      <c r="H21" s="15"/>
      <c r="I21" s="15">
        <v>201401</v>
      </c>
      <c r="J21" s="16">
        <v>9.9600000000000009</v>
      </c>
      <c r="K21" s="44">
        <f t="shared" si="4"/>
        <v>41944</v>
      </c>
      <c r="L21" s="45">
        <f t="shared" si="0"/>
        <v>7</v>
      </c>
      <c r="M21" s="17">
        <v>1.4833299999999999E-3</v>
      </c>
      <c r="N21" s="46">
        <f t="shared" si="1"/>
        <v>0.1034177676</v>
      </c>
      <c r="O21" s="16"/>
      <c r="P21" s="48">
        <f t="shared" si="2"/>
        <v>4.7932500000000013</v>
      </c>
      <c r="Q21" s="16"/>
      <c r="R21" s="48">
        <f t="shared" si="3"/>
        <v>0.17975310000000003</v>
      </c>
    </row>
    <row r="22" spans="1:23">
      <c r="A22" s="18" t="s">
        <v>66</v>
      </c>
      <c r="B22" s="15" t="s">
        <v>197</v>
      </c>
      <c r="C22" s="15" t="s">
        <v>198</v>
      </c>
      <c r="D22" s="14" t="s">
        <v>69</v>
      </c>
      <c r="E22" s="15" t="s">
        <v>199</v>
      </c>
      <c r="F22" s="14" t="s">
        <v>71</v>
      </c>
      <c r="G22" s="15" t="s">
        <v>23</v>
      </c>
      <c r="H22" s="15"/>
      <c r="I22" s="15">
        <v>201401</v>
      </c>
      <c r="J22" s="16">
        <v>1690.08</v>
      </c>
      <c r="K22" s="44">
        <f t="shared" si="4"/>
        <v>41944</v>
      </c>
      <c r="L22" s="45">
        <f t="shared" si="0"/>
        <v>7</v>
      </c>
      <c r="M22" s="17">
        <v>2.23333E-3</v>
      </c>
      <c r="N22" s="46">
        <f t="shared" si="1"/>
        <v>26.421544564800001</v>
      </c>
      <c r="O22" s="16"/>
      <c r="P22" s="48">
        <f t="shared" si="2"/>
        <v>813.35100000000011</v>
      </c>
      <c r="Q22" s="16"/>
      <c r="R22" s="48">
        <f t="shared" si="3"/>
        <v>30.501718799999999</v>
      </c>
    </row>
    <row r="23" spans="1:23">
      <c r="A23" s="18" t="s">
        <v>66</v>
      </c>
      <c r="B23" s="15" t="s">
        <v>200</v>
      </c>
      <c r="C23" s="15" t="s">
        <v>201</v>
      </c>
      <c r="D23" s="14" t="s">
        <v>202</v>
      </c>
      <c r="E23" s="15" t="s">
        <v>203</v>
      </c>
      <c r="F23" s="14" t="s">
        <v>80</v>
      </c>
      <c r="G23" s="15" t="s">
        <v>23</v>
      </c>
      <c r="H23" s="15"/>
      <c r="I23" s="15">
        <v>201401</v>
      </c>
      <c r="J23" s="16">
        <v>29068.55</v>
      </c>
      <c r="K23" s="44">
        <f t="shared" si="4"/>
        <v>41944</v>
      </c>
      <c r="L23" s="45">
        <f t="shared" si="0"/>
        <v>7</v>
      </c>
      <c r="M23" s="17">
        <v>2.23333E-3</v>
      </c>
      <c r="N23" s="46">
        <f t="shared" si="1"/>
        <v>454.43765340050004</v>
      </c>
      <c r="O23" s="16"/>
      <c r="P23" s="48">
        <f t="shared" si="2"/>
        <v>13989.239687500001</v>
      </c>
      <c r="Q23" s="16"/>
      <c r="R23" s="48">
        <f t="shared" si="3"/>
        <v>524.61465612500001</v>
      </c>
    </row>
    <row r="24" spans="1:23">
      <c r="A24" s="18" t="s">
        <v>66</v>
      </c>
      <c r="B24" s="15" t="s">
        <v>208</v>
      </c>
      <c r="C24" s="15" t="s">
        <v>209</v>
      </c>
      <c r="D24" s="14" t="s">
        <v>210</v>
      </c>
      <c r="E24" s="15" t="s">
        <v>211</v>
      </c>
      <c r="F24" s="14" t="s">
        <v>212</v>
      </c>
      <c r="G24" s="15" t="s">
        <v>23</v>
      </c>
      <c r="H24" s="15"/>
      <c r="I24" s="15">
        <v>201401</v>
      </c>
      <c r="J24" s="16">
        <v>1213.6099999999999</v>
      </c>
      <c r="K24" s="44">
        <f t="shared" si="4"/>
        <v>41944</v>
      </c>
      <c r="L24" s="45">
        <f t="shared" si="0"/>
        <v>7</v>
      </c>
      <c r="M24" s="17">
        <v>2.23333E-3</v>
      </c>
      <c r="N24" s="46">
        <f t="shared" si="1"/>
        <v>18.972741349099998</v>
      </c>
      <c r="O24" s="16"/>
      <c r="P24" s="48">
        <f t="shared" si="2"/>
        <v>584.04981250000003</v>
      </c>
      <c r="Q24" s="16"/>
      <c r="R24" s="48">
        <f t="shared" si="3"/>
        <v>21.902626474999998</v>
      </c>
    </row>
    <row r="25" spans="1:23">
      <c r="A25" s="14" t="s">
        <v>17</v>
      </c>
      <c r="B25" s="15" t="s">
        <v>218</v>
      </c>
      <c r="C25" s="15" t="s">
        <v>219</v>
      </c>
      <c r="D25" s="14" t="s">
        <v>220</v>
      </c>
      <c r="E25" s="15" t="s">
        <v>221</v>
      </c>
      <c r="F25" s="14" t="s">
        <v>222</v>
      </c>
      <c r="G25" s="15" t="s">
        <v>23</v>
      </c>
      <c r="H25" s="15"/>
      <c r="I25" s="15">
        <v>201401</v>
      </c>
      <c r="J25" s="16">
        <v>68205</v>
      </c>
      <c r="K25" s="44">
        <f t="shared" si="4"/>
        <v>41944</v>
      </c>
      <c r="L25" s="45">
        <f t="shared" si="0"/>
        <v>7</v>
      </c>
      <c r="M25" s="17">
        <v>1.4833299999999999E-3</v>
      </c>
      <c r="N25" s="46">
        <f t="shared" si="1"/>
        <v>708.19365855000001</v>
      </c>
      <c r="O25" s="16"/>
      <c r="P25" s="48">
        <f t="shared" si="2"/>
        <v>32823.656250000007</v>
      </c>
      <c r="Q25" s="16"/>
      <c r="R25" s="48">
        <f t="shared" si="3"/>
        <v>1230.9297375000001</v>
      </c>
    </row>
    <row r="26" spans="1:23">
      <c r="A26" s="18" t="s">
        <v>66</v>
      </c>
      <c r="B26" s="15" t="s">
        <v>226</v>
      </c>
      <c r="C26" s="15" t="s">
        <v>227</v>
      </c>
      <c r="D26" s="14" t="s">
        <v>78</v>
      </c>
      <c r="E26" s="15" t="s">
        <v>228</v>
      </c>
      <c r="F26" s="14" t="s">
        <v>80</v>
      </c>
      <c r="G26" s="15" t="s">
        <v>23</v>
      </c>
      <c r="H26" s="15"/>
      <c r="I26" s="15">
        <v>201401</v>
      </c>
      <c r="J26" s="16">
        <v>3580.98</v>
      </c>
      <c r="K26" s="44">
        <f t="shared" si="4"/>
        <v>41944</v>
      </c>
      <c r="L26" s="45">
        <f t="shared" si="0"/>
        <v>7</v>
      </c>
      <c r="M26" s="17">
        <v>2.23333E-3</v>
      </c>
      <c r="N26" s="46">
        <f t="shared" si="1"/>
        <v>55.9825704438</v>
      </c>
      <c r="O26" s="16"/>
      <c r="P26" s="48">
        <f t="shared" si="2"/>
        <v>1723.3466250000004</v>
      </c>
      <c r="Q26" s="16"/>
      <c r="R26" s="48">
        <f t="shared" si="3"/>
        <v>64.627736550000009</v>
      </c>
    </row>
    <row r="27" spans="1:23">
      <c r="A27" s="18" t="s">
        <v>66</v>
      </c>
      <c r="B27" s="15" t="s">
        <v>229</v>
      </c>
      <c r="C27" s="15" t="s">
        <v>230</v>
      </c>
      <c r="D27" s="14" t="s">
        <v>78</v>
      </c>
      <c r="E27" s="15" t="s">
        <v>231</v>
      </c>
      <c r="F27" s="14" t="s">
        <v>80</v>
      </c>
      <c r="G27" s="15" t="s">
        <v>23</v>
      </c>
      <c r="H27" s="15"/>
      <c r="I27" s="15">
        <v>201401</v>
      </c>
      <c r="J27" s="16">
        <v>889.34</v>
      </c>
      <c r="K27" s="44">
        <f t="shared" si="4"/>
        <v>41944</v>
      </c>
      <c r="L27" s="45">
        <f t="shared" si="0"/>
        <v>7</v>
      </c>
      <c r="M27" s="17">
        <v>2.23333E-3</v>
      </c>
      <c r="N27" s="46">
        <f t="shared" si="1"/>
        <v>13.903327915400002</v>
      </c>
      <c r="O27" s="16"/>
      <c r="P27" s="48">
        <f t="shared" si="2"/>
        <v>427.99487500000009</v>
      </c>
      <c r="Q27" s="16"/>
      <c r="R27" s="48">
        <f t="shared" si="3"/>
        <v>16.050363650000001</v>
      </c>
    </row>
    <row r="28" spans="1:23">
      <c r="A28" s="14" t="s">
        <v>238</v>
      </c>
      <c r="B28" s="15" t="s">
        <v>239</v>
      </c>
      <c r="C28" s="15" t="s">
        <v>240</v>
      </c>
      <c r="D28" s="14" t="s">
        <v>241</v>
      </c>
      <c r="E28" s="15" t="s">
        <v>168</v>
      </c>
      <c r="F28" s="14" t="s">
        <v>169</v>
      </c>
      <c r="G28" s="15" t="s">
        <v>23</v>
      </c>
      <c r="H28" s="15"/>
      <c r="I28" s="15">
        <v>201401</v>
      </c>
      <c r="J28" s="16">
        <v>1653.28</v>
      </c>
      <c r="K28" s="44">
        <f t="shared" si="4"/>
        <v>41944</v>
      </c>
      <c r="L28" s="45">
        <f t="shared" si="0"/>
        <v>7</v>
      </c>
      <c r="M28" s="17">
        <v>2.3833299999999999E-3</v>
      </c>
      <c r="N28" s="46">
        <f t="shared" si="1"/>
        <v>27.582182756799998</v>
      </c>
      <c r="O28" s="16"/>
      <c r="P28" s="48">
        <f t="shared" si="2"/>
        <v>795.64100000000008</v>
      </c>
      <c r="Q28" s="16"/>
      <c r="R28" s="48">
        <f t="shared" si="3"/>
        <v>29.837570800000002</v>
      </c>
    </row>
    <row r="29" spans="1:23">
      <c r="A29" s="14" t="s">
        <v>242</v>
      </c>
      <c r="B29" s="15" t="s">
        <v>243</v>
      </c>
      <c r="C29" s="15" t="s">
        <v>244</v>
      </c>
      <c r="D29" s="14" t="s">
        <v>245</v>
      </c>
      <c r="E29" s="15" t="s">
        <v>246</v>
      </c>
      <c r="F29" s="14" t="s">
        <v>247</v>
      </c>
      <c r="G29" s="15" t="s">
        <v>23</v>
      </c>
      <c r="H29" s="15"/>
      <c r="I29" s="15">
        <v>201401</v>
      </c>
      <c r="J29" s="16">
        <f>273693.51</f>
        <v>273693.51</v>
      </c>
      <c r="K29" s="44">
        <f t="shared" si="4"/>
        <v>41944</v>
      </c>
      <c r="L29" s="45">
        <f t="shared" si="0"/>
        <v>7</v>
      </c>
      <c r="M29" s="17">
        <v>1.4833299999999999E-3</v>
      </c>
      <c r="N29" s="46">
        <f t="shared" si="1"/>
        <v>2841.8445593181</v>
      </c>
      <c r="O29" s="16"/>
      <c r="P29" s="48">
        <f t="shared" si="2"/>
        <v>131715.00168750001</v>
      </c>
      <c r="Q29" s="16"/>
      <c r="R29" s="48">
        <f t="shared" si="3"/>
        <v>4939.4836217250004</v>
      </c>
    </row>
    <row r="30" spans="1:23">
      <c r="A30" s="14" t="s">
        <v>17</v>
      </c>
      <c r="B30" s="15" t="s">
        <v>255</v>
      </c>
      <c r="C30" s="15" t="s">
        <v>256</v>
      </c>
      <c r="D30" s="14" t="s">
        <v>257</v>
      </c>
      <c r="E30" s="15" t="s">
        <v>258</v>
      </c>
      <c r="F30" s="14" t="s">
        <v>259</v>
      </c>
      <c r="G30" s="15" t="s">
        <v>23</v>
      </c>
      <c r="H30" s="15"/>
      <c r="I30" s="15">
        <v>201401</v>
      </c>
      <c r="J30" s="16">
        <f>-121.97</f>
        <v>-121.97</v>
      </c>
      <c r="K30" s="44">
        <f t="shared" si="4"/>
        <v>41944</v>
      </c>
      <c r="L30" s="45">
        <f t="shared" si="0"/>
        <v>7</v>
      </c>
      <c r="M30" s="17">
        <v>1.4833299999999999E-3</v>
      </c>
      <c r="N30" s="46">
        <f t="shared" si="1"/>
        <v>-1.2664523207</v>
      </c>
      <c r="O30" s="16"/>
      <c r="P30" s="48">
        <f t="shared" si="2"/>
        <v>-58.698062500000006</v>
      </c>
      <c r="Q30" s="16"/>
      <c r="R30" s="48">
        <f t="shared" si="3"/>
        <v>-2.201253575</v>
      </c>
    </row>
    <row r="31" spans="1:23">
      <c r="A31" s="14" t="s">
        <v>17</v>
      </c>
      <c r="B31" s="15" t="s">
        <v>260</v>
      </c>
      <c r="C31" s="15" t="s">
        <v>261</v>
      </c>
      <c r="D31" s="14" t="s">
        <v>262</v>
      </c>
      <c r="E31" s="15" t="s">
        <v>258</v>
      </c>
      <c r="F31" s="14" t="s">
        <v>259</v>
      </c>
      <c r="G31" s="15" t="s">
        <v>23</v>
      </c>
      <c r="H31" s="15"/>
      <c r="I31" s="15">
        <v>201401</v>
      </c>
      <c r="J31" s="16">
        <f>-37.97</f>
        <v>-37.97</v>
      </c>
      <c r="K31" s="44">
        <f t="shared" si="4"/>
        <v>41944</v>
      </c>
      <c r="L31" s="45">
        <f t="shared" si="0"/>
        <v>7</v>
      </c>
      <c r="M31" s="17">
        <v>1.4833299999999999E-3</v>
      </c>
      <c r="N31" s="46">
        <f t="shared" si="1"/>
        <v>-0.39425428069999996</v>
      </c>
      <c r="O31" s="16"/>
      <c r="P31" s="48">
        <f t="shared" si="2"/>
        <v>-18.273062500000002</v>
      </c>
      <c r="Q31" s="16"/>
      <c r="R31" s="48">
        <f t="shared" si="3"/>
        <v>-0.68526357500000001</v>
      </c>
    </row>
    <row r="32" spans="1:23">
      <c r="A32" s="14" t="s">
        <v>17</v>
      </c>
      <c r="B32" s="15" t="s">
        <v>263</v>
      </c>
      <c r="C32" s="15" t="s">
        <v>264</v>
      </c>
      <c r="D32" s="14" t="s">
        <v>265</v>
      </c>
      <c r="E32" s="15" t="s">
        <v>62</v>
      </c>
      <c r="F32" s="14" t="s">
        <v>22</v>
      </c>
      <c r="G32" s="15" t="s">
        <v>23</v>
      </c>
      <c r="H32" s="15"/>
      <c r="I32" s="15">
        <v>201401</v>
      </c>
      <c r="J32" s="16">
        <v>0</v>
      </c>
      <c r="K32" s="44">
        <f t="shared" si="4"/>
        <v>41944</v>
      </c>
      <c r="L32" s="45">
        <f t="shared" si="0"/>
        <v>7</v>
      </c>
      <c r="M32" s="17">
        <v>1.4833299999999999E-3</v>
      </c>
      <c r="N32" s="46">
        <f t="shared" si="1"/>
        <v>0</v>
      </c>
      <c r="O32" s="16"/>
      <c r="P32" s="48">
        <f t="shared" si="2"/>
        <v>0</v>
      </c>
      <c r="Q32" s="16"/>
      <c r="R32" s="48">
        <f t="shared" si="3"/>
        <v>0</v>
      </c>
    </row>
    <row r="33" spans="1:18">
      <c r="A33" s="14" t="s">
        <v>17</v>
      </c>
      <c r="B33" s="15" t="s">
        <v>269</v>
      </c>
      <c r="C33" s="15" t="s">
        <v>270</v>
      </c>
      <c r="D33" s="14" t="s">
        <v>271</v>
      </c>
      <c r="E33" s="15" t="s">
        <v>62</v>
      </c>
      <c r="F33" s="14" t="s">
        <v>22</v>
      </c>
      <c r="G33" s="15" t="s">
        <v>23</v>
      </c>
      <c r="H33" s="15"/>
      <c r="I33" s="15">
        <v>201401</v>
      </c>
      <c r="J33" s="16">
        <v>0</v>
      </c>
      <c r="K33" s="44">
        <f t="shared" si="4"/>
        <v>41944</v>
      </c>
      <c r="L33" s="45">
        <f t="shared" si="0"/>
        <v>7</v>
      </c>
      <c r="M33" s="17">
        <v>1.4833299999999999E-3</v>
      </c>
      <c r="N33" s="46">
        <f t="shared" si="1"/>
        <v>0</v>
      </c>
      <c r="O33" s="16"/>
      <c r="P33" s="48">
        <f t="shared" si="2"/>
        <v>0</v>
      </c>
      <c r="Q33" s="16"/>
      <c r="R33" s="48">
        <f t="shared" si="3"/>
        <v>0</v>
      </c>
    </row>
    <row r="34" spans="1:18">
      <c r="A34" s="14" t="s">
        <v>17</v>
      </c>
      <c r="B34" s="15" t="s">
        <v>287</v>
      </c>
      <c r="C34" s="15" t="s">
        <v>288</v>
      </c>
      <c r="D34" s="14" t="s">
        <v>289</v>
      </c>
      <c r="E34" s="15" t="s">
        <v>21</v>
      </c>
      <c r="F34" s="14" t="s">
        <v>22</v>
      </c>
      <c r="G34" s="15" t="s">
        <v>23</v>
      </c>
      <c r="H34" s="15"/>
      <c r="I34" s="15">
        <v>201401</v>
      </c>
      <c r="J34" s="16">
        <v>975.53</v>
      </c>
      <c r="K34" s="44">
        <f t="shared" si="4"/>
        <v>41944</v>
      </c>
      <c r="L34" s="45">
        <f t="shared" si="0"/>
        <v>7</v>
      </c>
      <c r="M34" s="17">
        <v>1.4833299999999999E-3</v>
      </c>
      <c r="N34" s="46">
        <f t="shared" si="1"/>
        <v>10.129230404299999</v>
      </c>
      <c r="O34" s="16"/>
      <c r="P34" s="48">
        <f t="shared" si="2"/>
        <v>469.47381250000007</v>
      </c>
      <c r="Q34" s="16"/>
      <c r="R34" s="48">
        <f t="shared" si="3"/>
        <v>17.605877675000002</v>
      </c>
    </row>
    <row r="35" spans="1:18">
      <c r="A35" s="14" t="s">
        <v>17</v>
      </c>
      <c r="B35" s="15" t="s">
        <v>293</v>
      </c>
      <c r="C35" s="15" t="s">
        <v>294</v>
      </c>
      <c r="D35" s="14" t="s">
        <v>295</v>
      </c>
      <c r="E35" s="15" t="s">
        <v>296</v>
      </c>
      <c r="F35" s="14" t="s">
        <v>28</v>
      </c>
      <c r="G35" s="15" t="s">
        <v>23</v>
      </c>
      <c r="H35" s="15"/>
      <c r="I35" s="15">
        <v>201401</v>
      </c>
      <c r="J35" s="16">
        <v>3430.03</v>
      </c>
      <c r="K35" s="44">
        <f t="shared" si="4"/>
        <v>41944</v>
      </c>
      <c r="L35" s="45">
        <f t="shared" si="0"/>
        <v>7</v>
      </c>
      <c r="M35" s="17">
        <v>1.4833299999999999E-3</v>
      </c>
      <c r="N35" s="46">
        <f t="shared" si="1"/>
        <v>35.615064799300001</v>
      </c>
      <c r="O35" s="16"/>
      <c r="P35" s="48">
        <f t="shared" si="2"/>
        <v>1650.7019375000002</v>
      </c>
      <c r="Q35" s="16"/>
      <c r="R35" s="48">
        <f t="shared" si="3"/>
        <v>61.903466425000005</v>
      </c>
    </row>
    <row r="36" spans="1:18">
      <c r="A36" s="14" t="s">
        <v>17</v>
      </c>
      <c r="B36" s="15" t="s">
        <v>300</v>
      </c>
      <c r="C36" s="15" t="s">
        <v>301</v>
      </c>
      <c r="D36" s="14" t="s">
        <v>302</v>
      </c>
      <c r="E36" s="15" t="s">
        <v>141</v>
      </c>
      <c r="F36" s="14" t="s">
        <v>142</v>
      </c>
      <c r="G36" s="15" t="s">
        <v>23</v>
      </c>
      <c r="H36" s="15"/>
      <c r="I36" s="15">
        <v>201401</v>
      </c>
      <c r="J36" s="16">
        <v>5305.74</v>
      </c>
      <c r="K36" s="44">
        <f t="shared" si="4"/>
        <v>41944</v>
      </c>
      <c r="L36" s="45">
        <f t="shared" si="0"/>
        <v>7</v>
      </c>
      <c r="M36" s="17">
        <v>1.4833299999999999E-3</v>
      </c>
      <c r="N36" s="46">
        <f t="shared" si="1"/>
        <v>55.091143199399994</v>
      </c>
      <c r="O36" s="16"/>
      <c r="P36" s="48">
        <f t="shared" si="2"/>
        <v>2553.3873750000002</v>
      </c>
      <c r="Q36" s="16"/>
      <c r="R36" s="48">
        <f t="shared" si="3"/>
        <v>95.755342650000003</v>
      </c>
    </row>
    <row r="37" spans="1:18">
      <c r="A37" s="14" t="s">
        <v>17</v>
      </c>
      <c r="B37" s="15" t="s">
        <v>312</v>
      </c>
      <c r="C37" s="15" t="s">
        <v>313</v>
      </c>
      <c r="D37" s="14" t="s">
        <v>314</v>
      </c>
      <c r="E37" s="15" t="s">
        <v>176</v>
      </c>
      <c r="F37" s="14" t="s">
        <v>28</v>
      </c>
      <c r="G37" s="15" t="s">
        <v>23</v>
      </c>
      <c r="H37" s="15"/>
      <c r="I37" s="15">
        <v>201401</v>
      </c>
      <c r="J37" s="16">
        <f>-939.4</f>
        <v>-939.4</v>
      </c>
      <c r="K37" s="44">
        <f t="shared" si="4"/>
        <v>41944</v>
      </c>
      <c r="L37" s="45">
        <f t="shared" si="0"/>
        <v>7</v>
      </c>
      <c r="M37" s="17">
        <v>1.4833299999999999E-3</v>
      </c>
      <c r="N37" s="46">
        <f t="shared" si="1"/>
        <v>-9.7540814139999998</v>
      </c>
      <c r="O37" s="16"/>
      <c r="P37" s="48">
        <f t="shared" si="2"/>
        <v>-452.08625000000006</v>
      </c>
      <c r="Q37" s="16"/>
      <c r="R37" s="48">
        <f t="shared" si="3"/>
        <v>-16.9538215</v>
      </c>
    </row>
    <row r="38" spans="1:18">
      <c r="A38" s="14" t="s">
        <v>17</v>
      </c>
      <c r="B38" s="15" t="s">
        <v>321</v>
      </c>
      <c r="C38" s="15" t="s">
        <v>322</v>
      </c>
      <c r="D38" s="14" t="s">
        <v>323</v>
      </c>
      <c r="E38" s="15" t="s">
        <v>324</v>
      </c>
      <c r="F38" s="14" t="s">
        <v>325</v>
      </c>
      <c r="G38" s="15" t="s">
        <v>23</v>
      </c>
      <c r="H38" s="15"/>
      <c r="I38" s="15">
        <v>201401</v>
      </c>
      <c r="J38" s="16">
        <f>2667.41</f>
        <v>2667.41</v>
      </c>
      <c r="K38" s="44">
        <f t="shared" si="4"/>
        <v>41944</v>
      </c>
      <c r="L38" s="45">
        <f t="shared" si="0"/>
        <v>7</v>
      </c>
      <c r="M38" s="17">
        <v>1.4833299999999999E-3</v>
      </c>
      <c r="N38" s="46">
        <f t="shared" si="1"/>
        <v>27.696544927099996</v>
      </c>
      <c r="O38" s="16"/>
      <c r="P38" s="48">
        <f t="shared" si="2"/>
        <v>1283.6910625</v>
      </c>
      <c r="Q38" s="16"/>
      <c r="R38" s="48">
        <f t="shared" si="3"/>
        <v>48.140081975000001</v>
      </c>
    </row>
    <row r="39" spans="1:18">
      <c r="A39" s="14" t="s">
        <v>17</v>
      </c>
      <c r="B39" s="15" t="s">
        <v>344</v>
      </c>
      <c r="C39" s="15" t="s">
        <v>345</v>
      </c>
      <c r="D39" s="14" t="s">
        <v>346</v>
      </c>
      <c r="E39" s="15" t="s">
        <v>53</v>
      </c>
      <c r="F39" s="14" t="s">
        <v>41</v>
      </c>
      <c r="G39" s="15" t="s">
        <v>23</v>
      </c>
      <c r="H39" s="15"/>
      <c r="I39" s="15">
        <v>201401</v>
      </c>
      <c r="J39" s="16">
        <f>314.16</f>
        <v>314.16000000000003</v>
      </c>
      <c r="K39" s="44">
        <f t="shared" si="4"/>
        <v>41944</v>
      </c>
      <c r="L39" s="45">
        <f t="shared" si="0"/>
        <v>7</v>
      </c>
      <c r="M39" s="17">
        <v>1.4833299999999999E-3</v>
      </c>
      <c r="N39" s="46">
        <f t="shared" si="1"/>
        <v>3.2620206696</v>
      </c>
      <c r="O39" s="16"/>
      <c r="P39" s="48">
        <f t="shared" si="2"/>
        <v>151.18950000000004</v>
      </c>
      <c r="Q39" s="16"/>
      <c r="R39" s="48">
        <f t="shared" si="3"/>
        <v>5.6698026000000006</v>
      </c>
    </row>
    <row r="40" spans="1:18">
      <c r="A40" s="14" t="s">
        <v>17</v>
      </c>
      <c r="B40" s="15" t="s">
        <v>347</v>
      </c>
      <c r="C40" s="15" t="s">
        <v>348</v>
      </c>
      <c r="D40" s="14" t="s">
        <v>349</v>
      </c>
      <c r="E40" s="15" t="s">
        <v>324</v>
      </c>
      <c r="F40" s="14" t="s">
        <v>325</v>
      </c>
      <c r="G40" s="15" t="s">
        <v>23</v>
      </c>
      <c r="H40" s="15"/>
      <c r="I40" s="15">
        <v>201401</v>
      </c>
      <c r="J40" s="16">
        <v>9249.64</v>
      </c>
      <c r="K40" s="44">
        <f t="shared" si="4"/>
        <v>41944</v>
      </c>
      <c r="L40" s="45">
        <f t="shared" si="0"/>
        <v>7</v>
      </c>
      <c r="M40" s="17">
        <v>1.4833299999999999E-3</v>
      </c>
      <c r="N40" s="46">
        <f t="shared" si="1"/>
        <v>96.041879508399987</v>
      </c>
      <c r="O40" s="16"/>
      <c r="P40" s="48">
        <f t="shared" si="2"/>
        <v>4451.3892500000002</v>
      </c>
      <c r="Q40" s="16"/>
      <c r="R40" s="48">
        <f t="shared" si="3"/>
        <v>166.93287789999999</v>
      </c>
    </row>
    <row r="41" spans="1:18">
      <c r="A41" s="14" t="s">
        <v>17</v>
      </c>
      <c r="B41" s="15" t="s">
        <v>353</v>
      </c>
      <c r="C41" s="15" t="s">
        <v>354</v>
      </c>
      <c r="D41" s="14" t="s">
        <v>355</v>
      </c>
      <c r="E41" s="15" t="s">
        <v>62</v>
      </c>
      <c r="F41" s="14" t="s">
        <v>22</v>
      </c>
      <c r="G41" s="15" t="s">
        <v>23</v>
      </c>
      <c r="H41" s="15"/>
      <c r="I41" s="15">
        <v>201401</v>
      </c>
      <c r="J41" s="16">
        <v>1512</v>
      </c>
      <c r="K41" s="44">
        <f t="shared" si="4"/>
        <v>41944</v>
      </c>
      <c r="L41" s="45">
        <f t="shared" si="0"/>
        <v>7</v>
      </c>
      <c r="M41" s="17">
        <v>1.4833299999999999E-3</v>
      </c>
      <c r="N41" s="46">
        <f t="shared" si="1"/>
        <v>15.69956472</v>
      </c>
      <c r="O41" s="16"/>
      <c r="P41" s="48">
        <f t="shared" si="2"/>
        <v>727.65000000000009</v>
      </c>
      <c r="Q41" s="16"/>
      <c r="R41" s="48">
        <f t="shared" si="3"/>
        <v>27.28782</v>
      </c>
    </row>
    <row r="42" spans="1:18">
      <c r="A42" s="18" t="s">
        <v>66</v>
      </c>
      <c r="B42" s="15" t="s">
        <v>371</v>
      </c>
      <c r="C42" s="15" t="s">
        <v>372</v>
      </c>
      <c r="D42" s="14" t="s">
        <v>88</v>
      </c>
      <c r="E42" s="15" t="s">
        <v>373</v>
      </c>
      <c r="F42" s="14" t="s">
        <v>85</v>
      </c>
      <c r="G42" s="15" t="s">
        <v>23</v>
      </c>
      <c r="H42" s="15"/>
      <c r="I42" s="15">
        <v>201401</v>
      </c>
      <c r="J42" s="16">
        <v>22148.51</v>
      </c>
      <c r="K42" s="44">
        <f t="shared" si="4"/>
        <v>41944</v>
      </c>
      <c r="L42" s="45">
        <f t="shared" si="0"/>
        <v>7</v>
      </c>
      <c r="M42" s="17">
        <v>2.23333E-3</v>
      </c>
      <c r="N42" s="46">
        <f t="shared" si="1"/>
        <v>346.25452286809997</v>
      </c>
      <c r="O42" s="16"/>
      <c r="P42" s="48">
        <f t="shared" si="2"/>
        <v>10658.9704375</v>
      </c>
      <c r="Q42" s="16"/>
      <c r="R42" s="48">
        <f t="shared" si="3"/>
        <v>399.72523422500001</v>
      </c>
    </row>
    <row r="43" spans="1:18">
      <c r="A43" s="18" t="s">
        <v>66</v>
      </c>
      <c r="B43" s="15" t="s">
        <v>374</v>
      </c>
      <c r="C43" s="15" t="s">
        <v>375</v>
      </c>
      <c r="D43" s="14" t="s">
        <v>376</v>
      </c>
      <c r="E43" s="15" t="s">
        <v>377</v>
      </c>
      <c r="F43" s="14" t="s">
        <v>378</v>
      </c>
      <c r="G43" s="15" t="s">
        <v>23</v>
      </c>
      <c r="H43" s="15"/>
      <c r="I43" s="15">
        <v>201401</v>
      </c>
      <c r="J43" s="16">
        <v>179.45</v>
      </c>
      <c r="K43" s="44">
        <f t="shared" si="4"/>
        <v>41944</v>
      </c>
      <c r="L43" s="45">
        <f t="shared" si="0"/>
        <v>7</v>
      </c>
      <c r="M43" s="17">
        <v>2.23333E-3</v>
      </c>
      <c r="N43" s="46">
        <f t="shared" si="1"/>
        <v>2.8053974794999998</v>
      </c>
      <c r="O43" s="16"/>
      <c r="P43" s="48">
        <f t="shared" si="2"/>
        <v>86.360312500000006</v>
      </c>
      <c r="Q43" s="16"/>
      <c r="R43" s="48">
        <f t="shared" si="3"/>
        <v>3.238623875</v>
      </c>
    </row>
    <row r="44" spans="1:18">
      <c r="A44" s="18" t="s">
        <v>66</v>
      </c>
      <c r="B44" s="15" t="s">
        <v>379</v>
      </c>
      <c r="C44" s="15" t="s">
        <v>380</v>
      </c>
      <c r="D44" s="14" t="s">
        <v>381</v>
      </c>
      <c r="E44" s="15" t="s">
        <v>382</v>
      </c>
      <c r="F44" s="14" t="s">
        <v>212</v>
      </c>
      <c r="G44" s="15" t="s">
        <v>23</v>
      </c>
      <c r="H44" s="15"/>
      <c r="I44" s="15">
        <v>201401</v>
      </c>
      <c r="J44" s="16">
        <v>6718.34</v>
      </c>
      <c r="K44" s="44">
        <f t="shared" si="4"/>
        <v>41944</v>
      </c>
      <c r="L44" s="45">
        <f t="shared" si="0"/>
        <v>7</v>
      </c>
      <c r="M44" s="17">
        <v>2.23333E-3</v>
      </c>
      <c r="N44" s="46">
        <f t="shared" si="1"/>
        <v>105.02989190540001</v>
      </c>
      <c r="O44" s="16"/>
      <c r="P44" s="48">
        <f t="shared" si="2"/>
        <v>3233.2011250000005</v>
      </c>
      <c r="Q44" s="16"/>
      <c r="R44" s="48">
        <f t="shared" si="3"/>
        <v>121.24924115</v>
      </c>
    </row>
    <row r="45" spans="1:18">
      <c r="A45" s="18" t="s">
        <v>66</v>
      </c>
      <c r="B45" s="15" t="s">
        <v>383</v>
      </c>
      <c r="C45" s="15" t="s">
        <v>384</v>
      </c>
      <c r="D45" s="14" t="s">
        <v>385</v>
      </c>
      <c r="E45" s="15" t="s">
        <v>386</v>
      </c>
      <c r="F45" s="14" t="s">
        <v>387</v>
      </c>
      <c r="G45" s="15" t="s">
        <v>23</v>
      </c>
      <c r="H45" s="15"/>
      <c r="I45" s="15">
        <v>201401</v>
      </c>
      <c r="J45" s="16">
        <v>6467.33</v>
      </c>
      <c r="K45" s="44">
        <f t="shared" si="4"/>
        <v>41944</v>
      </c>
      <c r="L45" s="45">
        <f t="shared" si="0"/>
        <v>7</v>
      </c>
      <c r="M45" s="17">
        <v>2.23333E-3</v>
      </c>
      <c r="N45" s="46">
        <f t="shared" si="1"/>
        <v>101.1057747623</v>
      </c>
      <c r="O45" s="16"/>
      <c r="P45" s="48">
        <f t="shared" si="2"/>
        <v>3112.4025625000004</v>
      </c>
      <c r="Q45" s="16"/>
      <c r="R45" s="48">
        <f t="shared" si="3"/>
        <v>116.71913817500001</v>
      </c>
    </row>
    <row r="46" spans="1:18">
      <c r="A46" s="18" t="s">
        <v>66</v>
      </c>
      <c r="B46" s="15" t="s">
        <v>388</v>
      </c>
      <c r="C46" s="15" t="s">
        <v>389</v>
      </c>
      <c r="D46" s="14" t="s">
        <v>385</v>
      </c>
      <c r="E46" s="15" t="s">
        <v>390</v>
      </c>
      <c r="F46" s="14" t="s">
        <v>387</v>
      </c>
      <c r="G46" s="15" t="s">
        <v>23</v>
      </c>
      <c r="H46" s="15"/>
      <c r="I46" s="15">
        <v>201401</v>
      </c>
      <c r="J46" s="16">
        <v>25756.880000000001</v>
      </c>
      <c r="K46" s="44">
        <f t="shared" si="4"/>
        <v>41944</v>
      </c>
      <c r="L46" s="45">
        <f t="shared" si="0"/>
        <v>7</v>
      </c>
      <c r="M46" s="17">
        <v>2.23333E-3</v>
      </c>
      <c r="N46" s="46">
        <f t="shared" si="1"/>
        <v>402.66528967280004</v>
      </c>
      <c r="O46" s="16"/>
      <c r="P46" s="48">
        <f t="shared" si="2"/>
        <v>12395.498500000002</v>
      </c>
      <c r="Q46" s="16"/>
      <c r="R46" s="48">
        <f t="shared" si="3"/>
        <v>464.84729180000005</v>
      </c>
    </row>
    <row r="47" spans="1:18">
      <c r="A47" s="14" t="s">
        <v>17</v>
      </c>
      <c r="B47" s="15" t="s">
        <v>407</v>
      </c>
      <c r="C47" s="15" t="s">
        <v>408</v>
      </c>
      <c r="D47" s="14" t="s">
        <v>409</v>
      </c>
      <c r="E47" s="15" t="s">
        <v>53</v>
      </c>
      <c r="F47" s="14" t="s">
        <v>41</v>
      </c>
      <c r="G47" s="15" t="s">
        <v>23</v>
      </c>
      <c r="H47" s="15"/>
      <c r="I47" s="15">
        <v>201401</v>
      </c>
      <c r="J47" s="16">
        <v>6772.88</v>
      </c>
      <c r="K47" s="44">
        <f t="shared" si="4"/>
        <v>41944</v>
      </c>
      <c r="L47" s="45">
        <f t="shared" si="0"/>
        <v>7</v>
      </c>
      <c r="M47" s="17">
        <v>1.4833299999999999E-3</v>
      </c>
      <c r="N47" s="46">
        <f t="shared" si="1"/>
        <v>70.324912632799993</v>
      </c>
      <c r="O47" s="16"/>
      <c r="P47" s="48">
        <f t="shared" si="2"/>
        <v>3259.4485000000004</v>
      </c>
      <c r="Q47" s="16"/>
      <c r="R47" s="48">
        <f t="shared" si="3"/>
        <v>122.23355180000001</v>
      </c>
    </row>
    <row r="48" spans="1:18">
      <c r="A48" s="14" t="s">
        <v>17</v>
      </c>
      <c r="B48" s="15" t="s">
        <v>413</v>
      </c>
      <c r="C48" s="15" t="s">
        <v>414</v>
      </c>
      <c r="D48" s="14" t="s">
        <v>415</v>
      </c>
      <c r="E48" s="15" t="s">
        <v>104</v>
      </c>
      <c r="F48" s="14" t="s">
        <v>41</v>
      </c>
      <c r="G48" s="15" t="s">
        <v>23</v>
      </c>
      <c r="H48" s="15"/>
      <c r="I48" s="15">
        <v>201401</v>
      </c>
      <c r="J48" s="16">
        <v>229.21</v>
      </c>
      <c r="K48" s="44">
        <f t="shared" si="4"/>
        <v>41944</v>
      </c>
      <c r="L48" s="45">
        <f t="shared" si="0"/>
        <v>7</v>
      </c>
      <c r="M48" s="17">
        <v>1.4833299999999999E-3</v>
      </c>
      <c r="N48" s="46">
        <f t="shared" si="1"/>
        <v>2.3799584851</v>
      </c>
      <c r="O48" s="16"/>
      <c r="P48" s="48">
        <f t="shared" si="2"/>
        <v>110.30731250000002</v>
      </c>
      <c r="Q48" s="16"/>
      <c r="R48" s="48">
        <f t="shared" si="3"/>
        <v>4.1366674750000003</v>
      </c>
    </row>
    <row r="49" spans="1:18">
      <c r="A49" s="14" t="s">
        <v>17</v>
      </c>
      <c r="B49" s="15" t="s">
        <v>422</v>
      </c>
      <c r="C49" s="15" t="s">
        <v>423</v>
      </c>
      <c r="D49" s="14" t="s">
        <v>424</v>
      </c>
      <c r="E49" s="15" t="s">
        <v>246</v>
      </c>
      <c r="F49" s="14" t="s">
        <v>247</v>
      </c>
      <c r="G49" s="15" t="s">
        <v>23</v>
      </c>
      <c r="H49" s="15"/>
      <c r="I49" s="15">
        <v>201401</v>
      </c>
      <c r="J49" s="16">
        <v>0</v>
      </c>
      <c r="K49" s="44">
        <f t="shared" si="4"/>
        <v>41944</v>
      </c>
      <c r="L49" s="45">
        <f t="shared" si="0"/>
        <v>7</v>
      </c>
      <c r="M49" s="17">
        <v>1.4833299999999999E-3</v>
      </c>
      <c r="N49" s="46">
        <f t="shared" si="1"/>
        <v>0</v>
      </c>
      <c r="O49" s="16"/>
      <c r="P49" s="48">
        <f t="shared" si="2"/>
        <v>0</v>
      </c>
      <c r="Q49" s="16"/>
      <c r="R49" s="48">
        <f t="shared" si="3"/>
        <v>0</v>
      </c>
    </row>
    <row r="50" spans="1:18">
      <c r="A50" s="14" t="s">
        <v>238</v>
      </c>
      <c r="B50" s="15" t="s">
        <v>1429</v>
      </c>
      <c r="C50" s="15" t="s">
        <v>1430</v>
      </c>
      <c r="D50" s="14" t="s">
        <v>1431</v>
      </c>
      <c r="E50" s="15" t="s">
        <v>683</v>
      </c>
      <c r="F50" s="14" t="s">
        <v>684</v>
      </c>
      <c r="G50" s="15" t="s">
        <v>23</v>
      </c>
      <c r="H50" s="15"/>
      <c r="I50" s="15">
        <v>201401</v>
      </c>
      <c r="J50" s="16">
        <v>-80.52</v>
      </c>
      <c r="K50" s="44">
        <f t="shared" si="4"/>
        <v>41944</v>
      </c>
      <c r="L50" s="45">
        <f t="shared" si="0"/>
        <v>7</v>
      </c>
      <c r="M50" s="17">
        <v>2.3833299999999999E-3</v>
      </c>
      <c r="N50" s="46">
        <f t="shared" si="1"/>
        <v>-1.3433401212</v>
      </c>
      <c r="O50" s="16"/>
      <c r="P50" s="48">
        <f t="shared" si="2"/>
        <v>-38.750250000000001</v>
      </c>
      <c r="Q50" s="16"/>
      <c r="R50" s="48">
        <f t="shared" si="3"/>
        <v>-1.4531847</v>
      </c>
    </row>
    <row r="51" spans="1:18">
      <c r="A51" s="14" t="s">
        <v>17</v>
      </c>
      <c r="B51" s="15" t="s">
        <v>425</v>
      </c>
      <c r="C51" s="15" t="s">
        <v>426</v>
      </c>
      <c r="D51" s="14" t="s">
        <v>427</v>
      </c>
      <c r="E51" s="15" t="s">
        <v>104</v>
      </c>
      <c r="F51" s="14" t="s">
        <v>41</v>
      </c>
      <c r="G51" s="15" t="s">
        <v>23</v>
      </c>
      <c r="H51" s="15"/>
      <c r="I51" s="15">
        <v>201401</v>
      </c>
      <c r="J51" s="16">
        <v>0</v>
      </c>
      <c r="K51" s="44">
        <f t="shared" si="4"/>
        <v>41944</v>
      </c>
      <c r="L51" s="45">
        <f t="shared" si="0"/>
        <v>7</v>
      </c>
      <c r="M51" s="17">
        <v>1.4833299999999999E-3</v>
      </c>
      <c r="N51" s="46">
        <f t="shared" si="1"/>
        <v>0</v>
      </c>
      <c r="O51" s="16"/>
      <c r="P51" s="48">
        <f t="shared" si="2"/>
        <v>0</v>
      </c>
      <c r="Q51" s="16"/>
      <c r="R51" s="48">
        <f t="shared" si="3"/>
        <v>0</v>
      </c>
    </row>
    <row r="52" spans="1:18">
      <c r="A52" s="14" t="s">
        <v>17</v>
      </c>
      <c r="B52" s="15" t="s">
        <v>428</v>
      </c>
      <c r="C52" s="15" t="s">
        <v>429</v>
      </c>
      <c r="D52" s="14" t="s">
        <v>430</v>
      </c>
      <c r="E52" s="15" t="s">
        <v>32</v>
      </c>
      <c r="F52" s="14" t="s">
        <v>22</v>
      </c>
      <c r="G52" s="15" t="s">
        <v>23</v>
      </c>
      <c r="H52" s="15"/>
      <c r="I52" s="15">
        <v>201401</v>
      </c>
      <c r="J52" s="16">
        <v>9491.3799999999992</v>
      </c>
      <c r="K52" s="44">
        <f t="shared" si="4"/>
        <v>41944</v>
      </c>
      <c r="L52" s="45">
        <f t="shared" si="0"/>
        <v>7</v>
      </c>
      <c r="M52" s="17">
        <v>1.4833299999999999E-3</v>
      </c>
      <c r="N52" s="46">
        <f t="shared" si="1"/>
        <v>98.551940867799985</v>
      </c>
      <c r="O52" s="16"/>
      <c r="P52" s="48">
        <f t="shared" si="2"/>
        <v>4567.7266250000002</v>
      </c>
      <c r="Q52" s="16"/>
      <c r="R52" s="48">
        <f t="shared" si="3"/>
        <v>171.29568054999999</v>
      </c>
    </row>
    <row r="53" spans="1:18">
      <c r="A53" s="14" t="s">
        <v>17</v>
      </c>
      <c r="B53" s="15" t="s">
        <v>431</v>
      </c>
      <c r="C53" s="15" t="s">
        <v>432</v>
      </c>
      <c r="D53" s="14" t="s">
        <v>433</v>
      </c>
      <c r="E53" s="15" t="s">
        <v>258</v>
      </c>
      <c r="F53" s="14" t="s">
        <v>259</v>
      </c>
      <c r="G53" s="15" t="s">
        <v>23</v>
      </c>
      <c r="H53" s="15"/>
      <c r="I53" s="15">
        <v>201401</v>
      </c>
      <c r="J53" s="16">
        <v>0</v>
      </c>
      <c r="K53" s="44">
        <f t="shared" si="4"/>
        <v>41944</v>
      </c>
      <c r="L53" s="45">
        <f t="shared" si="0"/>
        <v>7</v>
      </c>
      <c r="M53" s="17">
        <v>1.4833299999999999E-3</v>
      </c>
      <c r="N53" s="46">
        <f t="shared" si="1"/>
        <v>0</v>
      </c>
      <c r="O53" s="16"/>
      <c r="P53" s="48">
        <f t="shared" si="2"/>
        <v>0</v>
      </c>
      <c r="Q53" s="16"/>
      <c r="R53" s="48">
        <f t="shared" si="3"/>
        <v>0</v>
      </c>
    </row>
    <row r="54" spans="1:18">
      <c r="A54" s="14" t="s">
        <v>238</v>
      </c>
      <c r="B54" s="15" t="s">
        <v>1432</v>
      </c>
      <c r="C54" s="15" t="s">
        <v>1433</v>
      </c>
      <c r="D54" s="14" t="s">
        <v>1434</v>
      </c>
      <c r="E54" s="15" t="s">
        <v>683</v>
      </c>
      <c r="F54" s="14" t="s">
        <v>684</v>
      </c>
      <c r="G54" s="15" t="s">
        <v>23</v>
      </c>
      <c r="H54" s="15"/>
      <c r="I54" s="15">
        <v>201401</v>
      </c>
      <c r="J54" s="16">
        <v>0</v>
      </c>
      <c r="K54" s="44">
        <f t="shared" si="4"/>
        <v>41944</v>
      </c>
      <c r="L54" s="45">
        <f t="shared" si="0"/>
        <v>7</v>
      </c>
      <c r="M54" s="17">
        <v>2.3833299999999999E-3</v>
      </c>
      <c r="N54" s="46">
        <f t="shared" si="1"/>
        <v>0</v>
      </c>
      <c r="O54" s="16"/>
      <c r="P54" s="48">
        <f t="shared" si="2"/>
        <v>0</v>
      </c>
      <c r="Q54" s="16"/>
      <c r="R54" s="48">
        <f t="shared" si="3"/>
        <v>0</v>
      </c>
    </row>
    <row r="55" spans="1:18">
      <c r="A55" s="14" t="s">
        <v>17</v>
      </c>
      <c r="B55" s="15" t="s">
        <v>480</v>
      </c>
      <c r="C55" s="15" t="s">
        <v>481</v>
      </c>
      <c r="D55" s="14" t="s">
        <v>482</v>
      </c>
      <c r="E55" s="15" t="s">
        <v>141</v>
      </c>
      <c r="F55" s="14" t="s">
        <v>142</v>
      </c>
      <c r="G55" s="15" t="s">
        <v>23</v>
      </c>
      <c r="H55" s="15"/>
      <c r="I55" s="15">
        <v>201401</v>
      </c>
      <c r="J55" s="16">
        <v>5719.62</v>
      </c>
      <c r="K55" s="44">
        <f t="shared" si="4"/>
        <v>41944</v>
      </c>
      <c r="L55" s="45">
        <f t="shared" si="0"/>
        <v>7</v>
      </c>
      <c r="M55" s="17">
        <v>1.4833299999999999E-3</v>
      </c>
      <c r="N55" s="46">
        <f t="shared" si="1"/>
        <v>59.3885875422</v>
      </c>
      <c r="O55" s="16"/>
      <c r="P55" s="48">
        <f t="shared" si="2"/>
        <v>2752.5671250000005</v>
      </c>
      <c r="Q55" s="16"/>
      <c r="R55" s="48">
        <f t="shared" si="3"/>
        <v>103.22484195</v>
      </c>
    </row>
    <row r="56" spans="1:18">
      <c r="A56" s="14" t="s">
        <v>17</v>
      </c>
      <c r="B56" s="15" t="s">
        <v>483</v>
      </c>
      <c r="C56" s="15" t="s">
        <v>484</v>
      </c>
      <c r="D56" s="14" t="s">
        <v>485</v>
      </c>
      <c r="E56" s="15" t="s">
        <v>324</v>
      </c>
      <c r="F56" s="14" t="s">
        <v>325</v>
      </c>
      <c r="G56" s="15" t="s">
        <v>23</v>
      </c>
      <c r="H56" s="15"/>
      <c r="I56" s="15">
        <v>201401</v>
      </c>
      <c r="J56" s="16">
        <f>16809.56-18590.37</f>
        <v>-1780.8099999999977</v>
      </c>
      <c r="K56" s="44">
        <f t="shared" si="4"/>
        <v>41944</v>
      </c>
      <c r="L56" s="45">
        <f t="shared" si="0"/>
        <v>7</v>
      </c>
      <c r="M56" s="17">
        <v>1.4833299999999999E-3</v>
      </c>
      <c r="N56" s="46">
        <f t="shared" si="1"/>
        <v>-18.490702281099974</v>
      </c>
      <c r="O56" s="16"/>
      <c r="P56" s="48">
        <f t="shared" si="2"/>
        <v>-857.01481249999904</v>
      </c>
      <c r="Q56" s="16"/>
      <c r="R56" s="48">
        <f t="shared" si="3"/>
        <v>-32.139168474999963</v>
      </c>
    </row>
    <row r="57" spans="1:18">
      <c r="A57" s="18" t="s">
        <v>66</v>
      </c>
      <c r="B57" s="15" t="s">
        <v>496</v>
      </c>
      <c r="C57" s="15" t="s">
        <v>497</v>
      </c>
      <c r="D57" s="14" t="s">
        <v>376</v>
      </c>
      <c r="E57" s="15" t="s">
        <v>498</v>
      </c>
      <c r="F57" s="14" t="s">
        <v>378</v>
      </c>
      <c r="G57" s="15" t="s">
        <v>23</v>
      </c>
      <c r="H57" s="15"/>
      <c r="I57" s="15">
        <v>201401</v>
      </c>
      <c r="J57" s="16">
        <v>1130.99</v>
      </c>
      <c r="K57" s="44">
        <f t="shared" si="4"/>
        <v>41944</v>
      </c>
      <c r="L57" s="45">
        <f t="shared" si="0"/>
        <v>7</v>
      </c>
      <c r="M57" s="17">
        <v>2.23333E-3</v>
      </c>
      <c r="N57" s="46">
        <f t="shared" si="1"/>
        <v>17.6811172769</v>
      </c>
      <c r="O57" s="16"/>
      <c r="P57" s="48">
        <f t="shared" si="2"/>
        <v>544.28893750000009</v>
      </c>
      <c r="Q57" s="16"/>
      <c r="R57" s="48">
        <f t="shared" si="3"/>
        <v>20.411542025000003</v>
      </c>
    </row>
    <row r="58" spans="1:18">
      <c r="A58" s="18" t="s">
        <v>66</v>
      </c>
      <c r="B58" s="15" t="s">
        <v>499</v>
      </c>
      <c r="C58" s="15" t="s">
        <v>500</v>
      </c>
      <c r="D58" s="14" t="s">
        <v>385</v>
      </c>
      <c r="E58" s="15" t="s">
        <v>501</v>
      </c>
      <c r="F58" s="14" t="s">
        <v>387</v>
      </c>
      <c r="G58" s="15" t="s">
        <v>23</v>
      </c>
      <c r="H58" s="15"/>
      <c r="I58" s="15">
        <v>201401</v>
      </c>
      <c r="J58" s="16">
        <v>11779.74</v>
      </c>
      <c r="K58" s="44">
        <f t="shared" si="4"/>
        <v>41944</v>
      </c>
      <c r="L58" s="45">
        <f t="shared" si="0"/>
        <v>7</v>
      </c>
      <c r="M58" s="17">
        <v>2.23333E-3</v>
      </c>
      <c r="N58" s="46">
        <f t="shared" si="1"/>
        <v>184.15632713940002</v>
      </c>
      <c r="O58" s="16"/>
      <c r="P58" s="48">
        <f t="shared" si="2"/>
        <v>5668.9998750000004</v>
      </c>
      <c r="Q58" s="16"/>
      <c r="R58" s="48">
        <f t="shared" si="3"/>
        <v>212.59485764999999</v>
      </c>
    </row>
    <row r="59" spans="1:18">
      <c r="A59" s="14" t="s">
        <v>17</v>
      </c>
      <c r="B59" s="15" t="s">
        <v>508</v>
      </c>
      <c r="C59" s="15" t="s">
        <v>509</v>
      </c>
      <c r="D59" s="14" t="s">
        <v>510</v>
      </c>
      <c r="E59" s="15" t="s">
        <v>27</v>
      </c>
      <c r="F59" s="14" t="s">
        <v>28</v>
      </c>
      <c r="G59" s="15" t="s">
        <v>23</v>
      </c>
      <c r="H59" s="15"/>
      <c r="I59" s="15">
        <v>201401</v>
      </c>
      <c r="J59" s="16">
        <v>0</v>
      </c>
      <c r="K59" s="44">
        <f t="shared" si="4"/>
        <v>41944</v>
      </c>
      <c r="L59" s="45">
        <f t="shared" si="0"/>
        <v>7</v>
      </c>
      <c r="M59" s="17">
        <v>1.4833299999999999E-3</v>
      </c>
      <c r="N59" s="46">
        <f t="shared" si="1"/>
        <v>0</v>
      </c>
      <c r="O59" s="16"/>
      <c r="P59" s="48">
        <f t="shared" si="2"/>
        <v>0</v>
      </c>
      <c r="Q59" s="16"/>
      <c r="R59" s="48">
        <f t="shared" si="3"/>
        <v>0</v>
      </c>
    </row>
    <row r="60" spans="1:18">
      <c r="A60" s="14" t="s">
        <v>17</v>
      </c>
      <c r="B60" s="15" t="s">
        <v>517</v>
      </c>
      <c r="C60" s="15" t="s">
        <v>518</v>
      </c>
      <c r="D60" s="14" t="s">
        <v>519</v>
      </c>
      <c r="E60" s="15" t="s">
        <v>125</v>
      </c>
      <c r="F60" s="14" t="s">
        <v>126</v>
      </c>
      <c r="G60" s="15" t="s">
        <v>23</v>
      </c>
      <c r="H60" s="15"/>
      <c r="I60" s="15">
        <v>201401</v>
      </c>
      <c r="J60" s="16">
        <f>4029.78</f>
        <v>4029.78</v>
      </c>
      <c r="K60" s="44">
        <f t="shared" si="4"/>
        <v>41944</v>
      </c>
      <c r="L60" s="45">
        <f t="shared" si="0"/>
        <v>7</v>
      </c>
      <c r="M60" s="17">
        <v>1.4833299999999999E-3</v>
      </c>
      <c r="N60" s="46">
        <f t="shared" si="1"/>
        <v>41.842454971800002</v>
      </c>
      <c r="O60" s="16"/>
      <c r="P60" s="48">
        <f t="shared" si="2"/>
        <v>1939.3316250000003</v>
      </c>
      <c r="Q60" s="16"/>
      <c r="R60" s="48">
        <f t="shared" si="3"/>
        <v>72.727454550000004</v>
      </c>
    </row>
    <row r="61" spans="1:18">
      <c r="A61" s="14" t="s">
        <v>17</v>
      </c>
      <c r="B61" s="15" t="s">
        <v>520</v>
      </c>
      <c r="C61" s="15" t="s">
        <v>521</v>
      </c>
      <c r="D61" s="14" t="s">
        <v>522</v>
      </c>
      <c r="E61" s="15" t="s">
        <v>125</v>
      </c>
      <c r="F61" s="14" t="s">
        <v>126</v>
      </c>
      <c r="G61" s="15" t="s">
        <v>23</v>
      </c>
      <c r="H61" s="15"/>
      <c r="I61" s="15">
        <v>201401</v>
      </c>
      <c r="J61" s="16">
        <v>2775.94</v>
      </c>
      <c r="K61" s="44">
        <f t="shared" si="4"/>
        <v>41944</v>
      </c>
      <c r="L61" s="45">
        <f t="shared" si="0"/>
        <v>7</v>
      </c>
      <c r="M61" s="17">
        <v>1.4833299999999999E-3</v>
      </c>
      <c r="N61" s="46">
        <f t="shared" si="1"/>
        <v>28.8234455614</v>
      </c>
      <c r="O61" s="16"/>
      <c r="P61" s="48">
        <f t="shared" si="2"/>
        <v>1335.9211250000003</v>
      </c>
      <c r="Q61" s="16"/>
      <c r="R61" s="48">
        <f t="shared" si="3"/>
        <v>50.098777150000004</v>
      </c>
    </row>
    <row r="62" spans="1:18">
      <c r="A62" s="14" t="s">
        <v>17</v>
      </c>
      <c r="B62" s="15" t="s">
        <v>523</v>
      </c>
      <c r="C62" s="15" t="s">
        <v>524</v>
      </c>
      <c r="D62" s="14" t="s">
        <v>525</v>
      </c>
      <c r="E62" s="15" t="s">
        <v>141</v>
      </c>
      <c r="F62" s="14" t="s">
        <v>142</v>
      </c>
      <c r="G62" s="15" t="s">
        <v>23</v>
      </c>
      <c r="H62" s="15"/>
      <c r="I62" s="15">
        <v>201401</v>
      </c>
      <c r="J62" s="16">
        <v>80.52</v>
      </c>
      <c r="K62" s="44">
        <f t="shared" si="4"/>
        <v>41944</v>
      </c>
      <c r="L62" s="45">
        <f t="shared" si="0"/>
        <v>7</v>
      </c>
      <c r="M62" s="17">
        <v>1.4833299999999999E-3</v>
      </c>
      <c r="N62" s="46">
        <f t="shared" si="1"/>
        <v>0.83606412119999995</v>
      </c>
      <c r="O62" s="16"/>
      <c r="P62" s="48">
        <f t="shared" si="2"/>
        <v>38.750250000000001</v>
      </c>
      <c r="Q62" s="16"/>
      <c r="R62" s="48">
        <f t="shared" si="3"/>
        <v>1.4531847</v>
      </c>
    </row>
    <row r="63" spans="1:18">
      <c r="A63" s="14" t="s">
        <v>17</v>
      </c>
      <c r="B63" s="15" t="s">
        <v>529</v>
      </c>
      <c r="C63" s="15" t="s">
        <v>530</v>
      </c>
      <c r="D63" s="14" t="s">
        <v>531</v>
      </c>
      <c r="E63" s="15" t="s">
        <v>141</v>
      </c>
      <c r="F63" s="14" t="s">
        <v>142</v>
      </c>
      <c r="G63" s="15" t="s">
        <v>23</v>
      </c>
      <c r="H63" s="15"/>
      <c r="I63" s="15">
        <v>201401</v>
      </c>
      <c r="J63" s="16">
        <f>281.42</f>
        <v>281.42</v>
      </c>
      <c r="K63" s="44">
        <f t="shared" si="4"/>
        <v>41944</v>
      </c>
      <c r="L63" s="45">
        <f t="shared" si="0"/>
        <v>7</v>
      </c>
      <c r="M63" s="17">
        <v>1.4833299999999999E-3</v>
      </c>
      <c r="N63" s="46">
        <f t="shared" si="1"/>
        <v>2.9220711002000002</v>
      </c>
      <c r="O63" s="16"/>
      <c r="P63" s="48">
        <f t="shared" si="2"/>
        <v>135.43337500000001</v>
      </c>
      <c r="Q63" s="16"/>
      <c r="R63" s="48">
        <f t="shared" si="3"/>
        <v>5.078927450000001</v>
      </c>
    </row>
    <row r="64" spans="1:18">
      <c r="A64" s="14" t="s">
        <v>17</v>
      </c>
      <c r="B64" s="15" t="s">
        <v>540</v>
      </c>
      <c r="C64" s="15" t="s">
        <v>541</v>
      </c>
      <c r="D64" s="14" t="s">
        <v>542</v>
      </c>
      <c r="E64" s="15" t="s">
        <v>216</v>
      </c>
      <c r="F64" s="14" t="s">
        <v>22</v>
      </c>
      <c r="G64" s="15" t="s">
        <v>23</v>
      </c>
      <c r="H64" s="15"/>
      <c r="I64" s="15">
        <v>201401</v>
      </c>
      <c r="J64" s="16">
        <v>5216.68</v>
      </c>
      <c r="K64" s="44">
        <f t="shared" si="4"/>
        <v>41944</v>
      </c>
      <c r="L64" s="45">
        <f t="shared" si="0"/>
        <v>7</v>
      </c>
      <c r="M64" s="17">
        <v>1.4833299999999999E-3</v>
      </c>
      <c r="N64" s="46">
        <f t="shared" si="1"/>
        <v>54.166405610799998</v>
      </c>
      <c r="O64" s="16"/>
      <c r="P64" s="48">
        <f t="shared" si="2"/>
        <v>2510.5272500000005</v>
      </c>
      <c r="Q64" s="16"/>
      <c r="R64" s="48">
        <f t="shared" si="3"/>
        <v>94.148032300000011</v>
      </c>
    </row>
    <row r="65" spans="1:18">
      <c r="A65" s="14" t="s">
        <v>17</v>
      </c>
      <c r="B65" s="15" t="s">
        <v>552</v>
      </c>
      <c r="C65" s="15" t="s">
        <v>553</v>
      </c>
      <c r="D65" s="14" t="s">
        <v>554</v>
      </c>
      <c r="E65" s="15" t="s">
        <v>62</v>
      </c>
      <c r="F65" s="14" t="s">
        <v>22</v>
      </c>
      <c r="G65" s="15" t="s">
        <v>23</v>
      </c>
      <c r="H65" s="15"/>
      <c r="I65" s="15">
        <v>201401</v>
      </c>
      <c r="J65" s="16">
        <f>5926.31</f>
        <v>5926.31</v>
      </c>
      <c r="K65" s="44">
        <f t="shared" si="4"/>
        <v>41944</v>
      </c>
      <c r="L65" s="45">
        <f t="shared" si="0"/>
        <v>7</v>
      </c>
      <c r="M65" s="17">
        <v>1.4833299999999999E-3</v>
      </c>
      <c r="N65" s="46">
        <f t="shared" si="1"/>
        <v>61.5347138861</v>
      </c>
      <c r="O65" s="16"/>
      <c r="P65" s="48">
        <f t="shared" si="2"/>
        <v>2852.0366875000004</v>
      </c>
      <c r="Q65" s="16"/>
      <c r="R65" s="48">
        <f t="shared" si="3"/>
        <v>106.95507972500002</v>
      </c>
    </row>
    <row r="66" spans="1:18">
      <c r="A66" s="14" t="s">
        <v>17</v>
      </c>
      <c r="B66" s="15" t="s">
        <v>568</v>
      </c>
      <c r="C66" s="15" t="s">
        <v>569</v>
      </c>
      <c r="D66" s="14" t="s">
        <v>570</v>
      </c>
      <c r="E66" s="15" t="s">
        <v>324</v>
      </c>
      <c r="F66" s="14" t="s">
        <v>325</v>
      </c>
      <c r="G66" s="15" t="s">
        <v>23</v>
      </c>
      <c r="H66" s="15"/>
      <c r="I66" s="15">
        <v>201401</v>
      </c>
      <c r="J66" s="16">
        <f>2666.68</f>
        <v>2666.68</v>
      </c>
      <c r="K66" s="44">
        <f t="shared" si="4"/>
        <v>41944</v>
      </c>
      <c r="L66" s="45">
        <f t="shared" si="0"/>
        <v>7</v>
      </c>
      <c r="M66" s="17">
        <v>1.4833299999999999E-3</v>
      </c>
      <c r="N66" s="46">
        <f t="shared" si="1"/>
        <v>27.688965110799998</v>
      </c>
      <c r="O66" s="16"/>
      <c r="P66" s="48">
        <f t="shared" si="2"/>
        <v>1283.3397500000001</v>
      </c>
      <c r="Q66" s="16"/>
      <c r="R66" s="48">
        <f t="shared" si="3"/>
        <v>48.126907299999999</v>
      </c>
    </row>
    <row r="67" spans="1:18">
      <c r="A67" s="18" t="s">
        <v>66</v>
      </c>
      <c r="B67" s="15" t="s">
        <v>595</v>
      </c>
      <c r="C67" s="15" t="s">
        <v>596</v>
      </c>
      <c r="D67" s="14" t="s">
        <v>597</v>
      </c>
      <c r="E67" s="15" t="s">
        <v>598</v>
      </c>
      <c r="F67" s="14" t="s">
        <v>212</v>
      </c>
      <c r="G67" s="15" t="s">
        <v>23</v>
      </c>
      <c r="H67" s="15"/>
      <c r="I67" s="15">
        <v>201401</v>
      </c>
      <c r="J67" s="16">
        <v>12991.04</v>
      </c>
      <c r="K67" s="44">
        <f t="shared" si="4"/>
        <v>41944</v>
      </c>
      <c r="L67" s="45">
        <f t="shared" si="0"/>
        <v>7</v>
      </c>
      <c r="M67" s="17">
        <v>2.23333E-3</v>
      </c>
      <c r="N67" s="46">
        <f t="shared" si="1"/>
        <v>203.09295554240003</v>
      </c>
      <c r="O67" s="16"/>
      <c r="P67" s="48">
        <f t="shared" si="2"/>
        <v>6251.938000000001</v>
      </c>
      <c r="Q67" s="16"/>
      <c r="R67" s="48">
        <f t="shared" si="3"/>
        <v>234.45579440000003</v>
      </c>
    </row>
    <row r="68" spans="1:18">
      <c r="A68" s="18" t="s">
        <v>66</v>
      </c>
      <c r="B68" s="15" t="s">
        <v>599</v>
      </c>
      <c r="C68" s="15" t="s">
        <v>600</v>
      </c>
      <c r="D68" s="14" t="s">
        <v>385</v>
      </c>
      <c r="E68" s="15" t="s">
        <v>601</v>
      </c>
      <c r="F68" s="14" t="s">
        <v>387</v>
      </c>
      <c r="G68" s="15" t="s">
        <v>23</v>
      </c>
      <c r="H68" s="15"/>
      <c r="I68" s="15">
        <v>201401</v>
      </c>
      <c r="J68" s="16">
        <v>-1840.29</v>
      </c>
      <c r="K68" s="44">
        <f t="shared" si="4"/>
        <v>41944</v>
      </c>
      <c r="L68" s="45">
        <f t="shared" si="0"/>
        <v>7</v>
      </c>
      <c r="M68" s="17">
        <v>2.23333E-3</v>
      </c>
      <c r="N68" s="46">
        <f t="shared" si="1"/>
        <v>-28.769824059899999</v>
      </c>
      <c r="O68" s="16"/>
      <c r="P68" s="48">
        <f t="shared" si="2"/>
        <v>-885.63956250000012</v>
      </c>
      <c r="Q68" s="16"/>
      <c r="R68" s="48">
        <f t="shared" si="3"/>
        <v>-33.212633775</v>
      </c>
    </row>
    <row r="69" spans="1:18">
      <c r="A69" s="14" t="s">
        <v>17</v>
      </c>
      <c r="B69" s="15" t="s">
        <v>605</v>
      </c>
      <c r="C69" s="15" t="s">
        <v>606</v>
      </c>
      <c r="D69" s="14" t="s">
        <v>607</v>
      </c>
      <c r="E69" s="15" t="s">
        <v>62</v>
      </c>
      <c r="F69" s="14" t="s">
        <v>22</v>
      </c>
      <c r="G69" s="15" t="s">
        <v>23</v>
      </c>
      <c r="H69" s="15"/>
      <c r="I69" s="15">
        <v>201401</v>
      </c>
      <c r="J69" s="16">
        <v>1008</v>
      </c>
      <c r="K69" s="44">
        <f t="shared" si="4"/>
        <v>41944</v>
      </c>
      <c r="L69" s="45">
        <f t="shared" si="0"/>
        <v>7</v>
      </c>
      <c r="M69" s="17">
        <v>1.4833299999999999E-3</v>
      </c>
      <c r="N69" s="46">
        <f t="shared" si="1"/>
        <v>10.466376479999999</v>
      </c>
      <c r="O69" s="16"/>
      <c r="P69" s="48">
        <f t="shared" si="2"/>
        <v>485.10000000000008</v>
      </c>
      <c r="Q69" s="16"/>
      <c r="R69" s="48">
        <f t="shared" si="3"/>
        <v>18.191880000000001</v>
      </c>
    </row>
    <row r="70" spans="1:18">
      <c r="A70" s="14" t="s">
        <v>17</v>
      </c>
      <c r="B70" s="15" t="s">
        <v>608</v>
      </c>
      <c r="C70" s="15" t="s">
        <v>609</v>
      </c>
      <c r="D70" s="14" t="s">
        <v>610</v>
      </c>
      <c r="E70" s="15" t="s">
        <v>45</v>
      </c>
      <c r="F70" s="14" t="s">
        <v>22</v>
      </c>
      <c r="G70" s="15" t="s">
        <v>23</v>
      </c>
      <c r="H70" s="15"/>
      <c r="I70" s="15">
        <v>201401</v>
      </c>
      <c r="J70" s="16">
        <v>13061.7</v>
      </c>
      <c r="K70" s="44">
        <f t="shared" si="4"/>
        <v>41944</v>
      </c>
      <c r="L70" s="45">
        <f t="shared" ref="L70:L133" si="5">((YEAR($L$1)-YEAR(K70))*12+MONTH($L$1)-MONTH(K70))</f>
        <v>7</v>
      </c>
      <c r="M70" s="17">
        <v>1.4833299999999999E-3</v>
      </c>
      <c r="N70" s="46">
        <f t="shared" ref="N70:N133" si="6">M70*L70*J70</f>
        <v>135.62368022699999</v>
      </c>
      <c r="O70" s="16"/>
      <c r="P70" s="48">
        <f t="shared" ref="P70:P133" si="7">$P$4*J70</f>
        <v>6285.9431250000016</v>
      </c>
      <c r="Q70" s="16"/>
      <c r="R70" s="48">
        <f t="shared" ref="R70:R133" si="8">$R$4*(J70*0.5)*$T$9</f>
        <v>235.73103075000003</v>
      </c>
    </row>
    <row r="71" spans="1:18">
      <c r="A71" s="18" t="s">
        <v>66</v>
      </c>
      <c r="B71" s="15" t="s">
        <v>620</v>
      </c>
      <c r="C71" s="15" t="s">
        <v>621</v>
      </c>
      <c r="D71" s="14" t="s">
        <v>622</v>
      </c>
      <c r="E71" s="15" t="s">
        <v>623</v>
      </c>
      <c r="F71" s="14" t="s">
        <v>624</v>
      </c>
      <c r="G71" s="15" t="s">
        <v>23</v>
      </c>
      <c r="H71" s="15"/>
      <c r="I71" s="15">
        <v>201401</v>
      </c>
      <c r="J71" s="16">
        <f>3123.28</f>
        <v>3123.28</v>
      </c>
      <c r="K71" s="44">
        <f t="shared" ref="K71:K134" si="9">+K70</f>
        <v>41944</v>
      </c>
      <c r="L71" s="45">
        <f t="shared" si="5"/>
        <v>7</v>
      </c>
      <c r="M71" s="17">
        <v>2.23333E-3</v>
      </c>
      <c r="N71" s="46">
        <f t="shared" si="6"/>
        <v>48.827204456800004</v>
      </c>
      <c r="O71" s="16"/>
      <c r="P71" s="48">
        <f t="shared" si="7"/>
        <v>1503.0785000000003</v>
      </c>
      <c r="Q71" s="16"/>
      <c r="R71" s="48">
        <f t="shared" si="8"/>
        <v>56.367395800000004</v>
      </c>
    </row>
    <row r="72" spans="1:18">
      <c r="A72" s="14" t="s">
        <v>17</v>
      </c>
      <c r="B72" s="15" t="s">
        <v>631</v>
      </c>
      <c r="C72" s="15" t="s">
        <v>632</v>
      </c>
      <c r="D72" s="14" t="s">
        <v>633</v>
      </c>
      <c r="E72" s="15" t="s">
        <v>32</v>
      </c>
      <c r="F72" s="14" t="s">
        <v>22</v>
      </c>
      <c r="G72" s="15" t="s">
        <v>23</v>
      </c>
      <c r="H72" s="15"/>
      <c r="I72" s="15">
        <v>201401</v>
      </c>
      <c r="J72" s="16">
        <v>13542.51</v>
      </c>
      <c r="K72" s="44">
        <f t="shared" si="9"/>
        <v>41944</v>
      </c>
      <c r="L72" s="45">
        <f t="shared" si="5"/>
        <v>7</v>
      </c>
      <c r="M72" s="17">
        <v>1.4833299999999999E-3</v>
      </c>
      <c r="N72" s="46">
        <f t="shared" si="6"/>
        <v>140.6160795081</v>
      </c>
      <c r="O72" s="16"/>
      <c r="P72" s="48">
        <f t="shared" si="7"/>
        <v>6517.3329375000012</v>
      </c>
      <c r="Q72" s="16"/>
      <c r="R72" s="48">
        <f t="shared" si="8"/>
        <v>244.40844922500003</v>
      </c>
    </row>
    <row r="73" spans="1:18">
      <c r="A73" s="14" t="s">
        <v>17</v>
      </c>
      <c r="B73" s="15" t="s">
        <v>643</v>
      </c>
      <c r="C73" s="15" t="s">
        <v>644</v>
      </c>
      <c r="D73" s="14" t="s">
        <v>645</v>
      </c>
      <c r="E73" s="15" t="s">
        <v>141</v>
      </c>
      <c r="F73" s="14" t="s">
        <v>142</v>
      </c>
      <c r="G73" s="15" t="s">
        <v>23</v>
      </c>
      <c r="H73" s="15"/>
      <c r="I73" s="15">
        <v>201401</v>
      </c>
      <c r="J73" s="16">
        <f>659.15</f>
        <v>659.15</v>
      </c>
      <c r="K73" s="44">
        <f t="shared" si="9"/>
        <v>41944</v>
      </c>
      <c r="L73" s="45">
        <f t="shared" si="5"/>
        <v>7</v>
      </c>
      <c r="M73" s="17">
        <v>1.4833299999999999E-3</v>
      </c>
      <c r="N73" s="46">
        <f t="shared" si="6"/>
        <v>6.8441587864999995</v>
      </c>
      <c r="O73" s="16"/>
      <c r="P73" s="48">
        <f t="shared" si="7"/>
        <v>317.21593750000005</v>
      </c>
      <c r="Q73" s="16"/>
      <c r="R73" s="48">
        <f t="shared" si="8"/>
        <v>11.896009625</v>
      </c>
    </row>
    <row r="74" spans="1:18">
      <c r="A74" s="18" t="s">
        <v>66</v>
      </c>
      <c r="B74" s="15" t="s">
        <v>674</v>
      </c>
      <c r="C74" s="15" t="s">
        <v>675</v>
      </c>
      <c r="D74" s="14" t="s">
        <v>385</v>
      </c>
      <c r="E74" s="15" t="s">
        <v>676</v>
      </c>
      <c r="F74" s="14" t="s">
        <v>387</v>
      </c>
      <c r="G74" s="15" t="s">
        <v>23</v>
      </c>
      <c r="H74" s="15"/>
      <c r="I74" s="15">
        <v>201401</v>
      </c>
      <c r="J74" s="16">
        <v>2456.11</v>
      </c>
      <c r="K74" s="44">
        <f t="shared" si="9"/>
        <v>41944</v>
      </c>
      <c r="L74" s="45">
        <f t="shared" si="5"/>
        <v>7</v>
      </c>
      <c r="M74" s="17">
        <v>2.23333E-3</v>
      </c>
      <c r="N74" s="46">
        <f t="shared" si="6"/>
        <v>38.397129024100003</v>
      </c>
      <c r="O74" s="16"/>
      <c r="P74" s="48">
        <f t="shared" si="7"/>
        <v>1182.0029375000001</v>
      </c>
      <c r="Q74" s="16"/>
      <c r="R74" s="48">
        <f t="shared" si="8"/>
        <v>44.326645225000007</v>
      </c>
    </row>
    <row r="75" spans="1:18">
      <c r="A75" s="14" t="s">
        <v>238</v>
      </c>
      <c r="B75" s="15" t="s">
        <v>680</v>
      </c>
      <c r="C75" s="15" t="s">
        <v>681</v>
      </c>
      <c r="D75" s="14" t="s">
        <v>682</v>
      </c>
      <c r="E75" s="15" t="s">
        <v>683</v>
      </c>
      <c r="F75" s="14" t="s">
        <v>684</v>
      </c>
      <c r="G75" s="15" t="s">
        <v>23</v>
      </c>
      <c r="H75" s="15"/>
      <c r="I75" s="15">
        <v>201401</v>
      </c>
      <c r="J75" s="16">
        <v>0</v>
      </c>
      <c r="K75" s="44">
        <f t="shared" si="9"/>
        <v>41944</v>
      </c>
      <c r="L75" s="45">
        <f t="shared" si="5"/>
        <v>7</v>
      </c>
      <c r="M75" s="17">
        <v>2.3833299999999999E-3</v>
      </c>
      <c r="N75" s="46">
        <f t="shared" si="6"/>
        <v>0</v>
      </c>
      <c r="O75" s="16"/>
      <c r="P75" s="48">
        <f t="shared" si="7"/>
        <v>0</v>
      </c>
      <c r="Q75" s="16"/>
      <c r="R75" s="48">
        <f t="shared" si="8"/>
        <v>0</v>
      </c>
    </row>
    <row r="76" spans="1:18">
      <c r="A76" s="14" t="s">
        <v>17</v>
      </c>
      <c r="B76" s="15" t="s">
        <v>688</v>
      </c>
      <c r="C76" s="15" t="s">
        <v>689</v>
      </c>
      <c r="D76" s="14" t="s">
        <v>690</v>
      </c>
      <c r="E76" s="15" t="s">
        <v>141</v>
      </c>
      <c r="F76" s="14" t="s">
        <v>142</v>
      </c>
      <c r="G76" s="15" t="s">
        <v>23</v>
      </c>
      <c r="H76" s="15"/>
      <c r="I76" s="15">
        <v>201401</v>
      </c>
      <c r="J76" s="16">
        <v>40049.440000000002</v>
      </c>
      <c r="K76" s="44">
        <f t="shared" si="9"/>
        <v>41944</v>
      </c>
      <c r="L76" s="45">
        <f t="shared" si="5"/>
        <v>7</v>
      </c>
      <c r="M76" s="17">
        <v>1.4833299999999999E-3</v>
      </c>
      <c r="N76" s="46">
        <f t="shared" si="6"/>
        <v>415.84575084639999</v>
      </c>
      <c r="O76" s="16"/>
      <c r="P76" s="48">
        <f t="shared" si="7"/>
        <v>19273.793000000005</v>
      </c>
      <c r="Q76" s="16"/>
      <c r="R76" s="48">
        <f t="shared" si="8"/>
        <v>722.79226840000013</v>
      </c>
    </row>
    <row r="77" spans="1:18">
      <c r="A77" s="14" t="s">
        <v>17</v>
      </c>
      <c r="B77" s="15" t="s">
        <v>697</v>
      </c>
      <c r="C77" s="15" t="s">
        <v>698</v>
      </c>
      <c r="D77" s="14" t="s">
        <v>699</v>
      </c>
      <c r="E77" s="15" t="s">
        <v>108</v>
      </c>
      <c r="F77" s="14" t="s">
        <v>28</v>
      </c>
      <c r="G77" s="15" t="s">
        <v>23</v>
      </c>
      <c r="H77" s="15"/>
      <c r="I77" s="15">
        <v>201401</v>
      </c>
      <c r="J77" s="16">
        <v>105.2</v>
      </c>
      <c r="K77" s="44">
        <f t="shared" si="9"/>
        <v>41944</v>
      </c>
      <c r="L77" s="45">
        <f t="shared" si="5"/>
        <v>7</v>
      </c>
      <c r="M77" s="17">
        <v>1.4833299999999999E-3</v>
      </c>
      <c r="N77" s="46">
        <f t="shared" si="6"/>
        <v>1.0923242120000001</v>
      </c>
      <c r="O77" s="16"/>
      <c r="P77" s="48">
        <f t="shared" si="7"/>
        <v>50.627500000000005</v>
      </c>
      <c r="Q77" s="16"/>
      <c r="R77" s="48">
        <f t="shared" si="8"/>
        <v>1.8985970000000001</v>
      </c>
    </row>
    <row r="78" spans="1:18">
      <c r="A78" s="14" t="s">
        <v>17</v>
      </c>
      <c r="B78" s="15" t="s">
        <v>700</v>
      </c>
      <c r="C78" s="15" t="s">
        <v>701</v>
      </c>
      <c r="D78" s="14" t="s">
        <v>702</v>
      </c>
      <c r="E78" s="15" t="s">
        <v>703</v>
      </c>
      <c r="F78" s="14" t="s">
        <v>142</v>
      </c>
      <c r="G78" s="15" t="s">
        <v>23</v>
      </c>
      <c r="H78" s="15"/>
      <c r="I78" s="15">
        <v>201401</v>
      </c>
      <c r="J78" s="16">
        <v>354.24</v>
      </c>
      <c r="K78" s="44">
        <f t="shared" si="9"/>
        <v>41944</v>
      </c>
      <c r="L78" s="45">
        <f t="shared" si="5"/>
        <v>7</v>
      </c>
      <c r="M78" s="17">
        <v>1.4833299999999999E-3</v>
      </c>
      <c r="N78" s="46">
        <f t="shared" si="6"/>
        <v>3.6781837344000001</v>
      </c>
      <c r="O78" s="16"/>
      <c r="P78" s="48">
        <f t="shared" si="7"/>
        <v>170.47800000000004</v>
      </c>
      <c r="Q78" s="16"/>
      <c r="R78" s="48">
        <f t="shared" si="8"/>
        <v>6.3931464000000009</v>
      </c>
    </row>
    <row r="79" spans="1:18">
      <c r="A79" s="14" t="s">
        <v>17</v>
      </c>
      <c r="B79" s="15" t="s">
        <v>713</v>
      </c>
      <c r="C79" s="15" t="s">
        <v>714</v>
      </c>
      <c r="D79" s="14" t="s">
        <v>715</v>
      </c>
      <c r="E79" s="15" t="s">
        <v>258</v>
      </c>
      <c r="F79" s="14" t="s">
        <v>259</v>
      </c>
      <c r="G79" s="15" t="s">
        <v>23</v>
      </c>
      <c r="H79" s="15"/>
      <c r="I79" s="15">
        <v>201401</v>
      </c>
      <c r="J79" s="16">
        <f>3387.41</f>
        <v>3387.41</v>
      </c>
      <c r="K79" s="44">
        <f t="shared" si="9"/>
        <v>41944</v>
      </c>
      <c r="L79" s="45">
        <f t="shared" si="5"/>
        <v>7</v>
      </c>
      <c r="M79" s="17">
        <v>1.4833299999999999E-3</v>
      </c>
      <c r="N79" s="46">
        <f t="shared" si="6"/>
        <v>35.172528127099994</v>
      </c>
      <c r="O79" s="16"/>
      <c r="P79" s="48">
        <f t="shared" si="7"/>
        <v>1630.1910625</v>
      </c>
      <c r="Q79" s="16"/>
      <c r="R79" s="48">
        <f t="shared" si="8"/>
        <v>61.134281975</v>
      </c>
    </row>
    <row r="80" spans="1:18">
      <c r="A80" s="14" t="s">
        <v>17</v>
      </c>
      <c r="B80" s="15" t="s">
        <v>725</v>
      </c>
      <c r="C80" s="15" t="s">
        <v>726</v>
      </c>
      <c r="D80" s="14" t="s">
        <v>727</v>
      </c>
      <c r="E80" s="15" t="s">
        <v>141</v>
      </c>
      <c r="F80" s="14" t="s">
        <v>142</v>
      </c>
      <c r="G80" s="15" t="s">
        <v>23</v>
      </c>
      <c r="H80" s="15"/>
      <c r="I80" s="15">
        <v>201401</v>
      </c>
      <c r="J80" s="16">
        <f>14726.8</f>
        <v>14726.8</v>
      </c>
      <c r="K80" s="44">
        <f t="shared" si="9"/>
        <v>41944</v>
      </c>
      <c r="L80" s="45">
        <f t="shared" si="5"/>
        <v>7</v>
      </c>
      <c r="M80" s="17">
        <v>1.4833299999999999E-3</v>
      </c>
      <c r="N80" s="46">
        <f t="shared" si="6"/>
        <v>152.91292970799998</v>
      </c>
      <c r="O80" s="16"/>
      <c r="P80" s="48">
        <f t="shared" si="7"/>
        <v>7087.2725000000009</v>
      </c>
      <c r="Q80" s="16"/>
      <c r="R80" s="48">
        <f t="shared" si="8"/>
        <v>265.78192300000001</v>
      </c>
    </row>
    <row r="81" spans="1:18">
      <c r="A81" s="18" t="s">
        <v>66</v>
      </c>
      <c r="B81" s="15" t="s">
        <v>734</v>
      </c>
      <c r="C81" s="15" t="s">
        <v>735</v>
      </c>
      <c r="D81" s="14" t="s">
        <v>736</v>
      </c>
      <c r="E81" s="15" t="s">
        <v>737</v>
      </c>
      <c r="F81" s="14" t="s">
        <v>624</v>
      </c>
      <c r="G81" s="15" t="s">
        <v>23</v>
      </c>
      <c r="H81" s="15"/>
      <c r="I81" s="15">
        <v>201401</v>
      </c>
      <c r="J81" s="16">
        <v>2420.09</v>
      </c>
      <c r="K81" s="44">
        <f t="shared" si="9"/>
        <v>41944</v>
      </c>
      <c r="L81" s="45">
        <f t="shared" si="5"/>
        <v>7</v>
      </c>
      <c r="M81" s="17">
        <v>2.23333E-3</v>
      </c>
      <c r="N81" s="46">
        <f t="shared" si="6"/>
        <v>37.834017197900003</v>
      </c>
      <c r="O81" s="16"/>
      <c r="P81" s="48">
        <f t="shared" si="7"/>
        <v>1164.6683125000002</v>
      </c>
      <c r="Q81" s="16"/>
      <c r="R81" s="48">
        <f t="shared" si="8"/>
        <v>43.676574275000007</v>
      </c>
    </row>
    <row r="82" spans="1:18">
      <c r="A82" s="18" t="s">
        <v>66</v>
      </c>
      <c r="B82" s="15" t="s">
        <v>741</v>
      </c>
      <c r="C82" s="15" t="s">
        <v>742</v>
      </c>
      <c r="D82" s="14" t="s">
        <v>69</v>
      </c>
      <c r="E82" s="15" t="s">
        <v>70</v>
      </c>
      <c r="F82" s="14" t="s">
        <v>71</v>
      </c>
      <c r="G82" s="15" t="s">
        <v>23</v>
      </c>
      <c r="H82" s="15"/>
      <c r="I82" s="15">
        <v>201401</v>
      </c>
      <c r="J82" s="16">
        <v>11143.58</v>
      </c>
      <c r="K82" s="44">
        <f t="shared" si="9"/>
        <v>41944</v>
      </c>
      <c r="L82" s="45">
        <f t="shared" si="5"/>
        <v>7</v>
      </c>
      <c r="M82" s="17">
        <v>2.23333E-3</v>
      </c>
      <c r="N82" s="46">
        <f t="shared" si="6"/>
        <v>174.2110406498</v>
      </c>
      <c r="O82" s="16"/>
      <c r="P82" s="48">
        <f t="shared" si="7"/>
        <v>5362.8478750000004</v>
      </c>
      <c r="Q82" s="16"/>
      <c r="R82" s="48">
        <f t="shared" si="8"/>
        <v>201.11376005</v>
      </c>
    </row>
    <row r="83" spans="1:18">
      <c r="A83" s="18" t="s">
        <v>66</v>
      </c>
      <c r="B83" s="15" t="s">
        <v>743</v>
      </c>
      <c r="C83" s="15" t="s">
        <v>744</v>
      </c>
      <c r="D83" s="14" t="s">
        <v>745</v>
      </c>
      <c r="E83" s="15" t="s">
        <v>746</v>
      </c>
      <c r="F83" s="14" t="s">
        <v>80</v>
      </c>
      <c r="G83" s="15" t="s">
        <v>23</v>
      </c>
      <c r="H83" s="15"/>
      <c r="I83" s="15">
        <v>201401</v>
      </c>
      <c r="J83" s="16">
        <v>2735.2</v>
      </c>
      <c r="K83" s="44">
        <f t="shared" si="9"/>
        <v>41944</v>
      </c>
      <c r="L83" s="45">
        <f t="shared" si="5"/>
        <v>7</v>
      </c>
      <c r="M83" s="17">
        <v>2.23333E-3</v>
      </c>
      <c r="N83" s="46">
        <f t="shared" si="6"/>
        <v>42.760229512000002</v>
      </c>
      <c r="O83" s="16"/>
      <c r="P83" s="48">
        <f t="shared" si="7"/>
        <v>1316.3150000000001</v>
      </c>
      <c r="Q83" s="16"/>
      <c r="R83" s="48">
        <f t="shared" si="8"/>
        <v>49.363521999999996</v>
      </c>
    </row>
    <row r="84" spans="1:18">
      <c r="A84" s="18" t="s">
        <v>66</v>
      </c>
      <c r="B84" s="15" t="s">
        <v>753</v>
      </c>
      <c r="C84" s="15" t="s">
        <v>754</v>
      </c>
      <c r="D84" s="14" t="s">
        <v>206</v>
      </c>
      <c r="E84" s="15" t="s">
        <v>755</v>
      </c>
      <c r="F84" s="14" t="s">
        <v>97</v>
      </c>
      <c r="G84" s="15" t="s">
        <v>23</v>
      </c>
      <c r="H84" s="15"/>
      <c r="I84" s="15">
        <v>201401</v>
      </c>
      <c r="J84" s="16">
        <v>1484.74</v>
      </c>
      <c r="K84" s="44">
        <f t="shared" si="9"/>
        <v>41944</v>
      </c>
      <c r="L84" s="45">
        <f t="shared" si="5"/>
        <v>7</v>
      </c>
      <c r="M84" s="17">
        <v>2.23333E-3</v>
      </c>
      <c r="N84" s="46">
        <f t="shared" si="6"/>
        <v>23.211400689400001</v>
      </c>
      <c r="O84" s="16"/>
      <c r="P84" s="48">
        <f t="shared" si="7"/>
        <v>714.53112500000009</v>
      </c>
      <c r="Q84" s="16"/>
      <c r="R84" s="48">
        <f t="shared" si="8"/>
        <v>26.795845150000002</v>
      </c>
    </row>
    <row r="85" spans="1:18">
      <c r="A85" s="14" t="s">
        <v>17</v>
      </c>
      <c r="B85" s="15" t="s">
        <v>756</v>
      </c>
      <c r="C85" s="15" t="s">
        <v>757</v>
      </c>
      <c r="D85" s="14" t="s">
        <v>758</v>
      </c>
      <c r="E85" s="15" t="s">
        <v>141</v>
      </c>
      <c r="F85" s="14" t="s">
        <v>142</v>
      </c>
      <c r="G85" s="15" t="s">
        <v>23</v>
      </c>
      <c r="H85" s="15"/>
      <c r="I85" s="15">
        <v>201401</v>
      </c>
      <c r="J85" s="16">
        <f>1231.37</f>
        <v>1231.3699999999999</v>
      </c>
      <c r="K85" s="44">
        <f t="shared" si="9"/>
        <v>41944</v>
      </c>
      <c r="L85" s="45">
        <f t="shared" si="5"/>
        <v>7</v>
      </c>
      <c r="M85" s="17">
        <v>1.4833299999999999E-3</v>
      </c>
      <c r="N85" s="46">
        <f t="shared" si="6"/>
        <v>12.785696434699998</v>
      </c>
      <c r="O85" s="16"/>
      <c r="P85" s="48">
        <f t="shared" si="7"/>
        <v>592.59681250000006</v>
      </c>
      <c r="Q85" s="16"/>
      <c r="R85" s="48">
        <f t="shared" si="8"/>
        <v>22.223150075</v>
      </c>
    </row>
    <row r="86" spans="1:18">
      <c r="A86" s="14" t="s">
        <v>17</v>
      </c>
      <c r="B86" s="15" t="s">
        <v>768</v>
      </c>
      <c r="C86" s="15" t="s">
        <v>769</v>
      </c>
      <c r="D86" s="14" t="s">
        <v>770</v>
      </c>
      <c r="E86" s="15" t="s">
        <v>104</v>
      </c>
      <c r="F86" s="14" t="s">
        <v>41</v>
      </c>
      <c r="G86" s="15" t="s">
        <v>23</v>
      </c>
      <c r="H86" s="15"/>
      <c r="I86" s="15">
        <v>201401</v>
      </c>
      <c r="J86" s="16">
        <v>17601.75</v>
      </c>
      <c r="K86" s="44">
        <f t="shared" si="9"/>
        <v>41944</v>
      </c>
      <c r="L86" s="45">
        <f t="shared" si="5"/>
        <v>7</v>
      </c>
      <c r="M86" s="17">
        <v>1.4833299999999999E-3</v>
      </c>
      <c r="N86" s="46">
        <f t="shared" si="6"/>
        <v>182.76442679249999</v>
      </c>
      <c r="O86" s="16"/>
      <c r="P86" s="48">
        <f t="shared" si="7"/>
        <v>8470.8421875000004</v>
      </c>
      <c r="Q86" s="16"/>
      <c r="R86" s="48">
        <f t="shared" si="8"/>
        <v>317.66758312500002</v>
      </c>
    </row>
    <row r="87" spans="1:18">
      <c r="A87" s="14" t="s">
        <v>17</v>
      </c>
      <c r="B87" s="15" t="s">
        <v>777</v>
      </c>
      <c r="C87" s="15" t="s">
        <v>778</v>
      </c>
      <c r="D87" s="14" t="s">
        <v>779</v>
      </c>
      <c r="E87" s="15" t="s">
        <v>62</v>
      </c>
      <c r="F87" s="14" t="s">
        <v>22</v>
      </c>
      <c r="G87" s="15" t="s">
        <v>23</v>
      </c>
      <c r="H87" s="15"/>
      <c r="I87" s="15">
        <v>201401</v>
      </c>
      <c r="J87" s="16">
        <v>1470</v>
      </c>
      <c r="K87" s="44">
        <f t="shared" si="9"/>
        <v>41944</v>
      </c>
      <c r="L87" s="45">
        <f t="shared" si="5"/>
        <v>7</v>
      </c>
      <c r="M87" s="17">
        <v>1.4833299999999999E-3</v>
      </c>
      <c r="N87" s="46">
        <f t="shared" si="6"/>
        <v>15.263465699999999</v>
      </c>
      <c r="O87" s="16"/>
      <c r="P87" s="48">
        <f t="shared" si="7"/>
        <v>707.43750000000011</v>
      </c>
      <c r="Q87" s="16"/>
      <c r="R87" s="48">
        <f t="shared" si="8"/>
        <v>26.529825000000002</v>
      </c>
    </row>
    <row r="88" spans="1:18">
      <c r="A88" s="14" t="s">
        <v>17</v>
      </c>
      <c r="B88" s="15" t="s">
        <v>780</v>
      </c>
      <c r="C88" s="15" t="s">
        <v>781</v>
      </c>
      <c r="D88" s="14" t="s">
        <v>782</v>
      </c>
      <c r="E88" s="15" t="s">
        <v>141</v>
      </c>
      <c r="F88" s="14" t="s">
        <v>142</v>
      </c>
      <c r="G88" s="15" t="s">
        <v>23</v>
      </c>
      <c r="H88" s="15"/>
      <c r="I88" s="15">
        <v>201401</v>
      </c>
      <c r="J88" s="16">
        <v>45570.19</v>
      </c>
      <c r="K88" s="44">
        <f t="shared" si="9"/>
        <v>41944</v>
      </c>
      <c r="L88" s="45">
        <f t="shared" si="5"/>
        <v>7</v>
      </c>
      <c r="M88" s="17">
        <v>1.4833299999999999E-3</v>
      </c>
      <c r="N88" s="46">
        <f t="shared" si="6"/>
        <v>473.16940952890002</v>
      </c>
      <c r="O88" s="16"/>
      <c r="P88" s="48">
        <f t="shared" si="7"/>
        <v>21930.653937500003</v>
      </c>
      <c r="Q88" s="16"/>
      <c r="R88" s="48">
        <f t="shared" si="8"/>
        <v>822.42800402500006</v>
      </c>
    </row>
    <row r="89" spans="1:18">
      <c r="A89" s="14" t="s">
        <v>17</v>
      </c>
      <c r="B89" s="15" t="s">
        <v>786</v>
      </c>
      <c r="C89" s="15" t="s">
        <v>787</v>
      </c>
      <c r="D89" s="14" t="s">
        <v>788</v>
      </c>
      <c r="E89" s="15" t="s">
        <v>246</v>
      </c>
      <c r="F89" s="14" t="s">
        <v>247</v>
      </c>
      <c r="G89" s="15" t="s">
        <v>23</v>
      </c>
      <c r="H89" s="15"/>
      <c r="I89" s="15">
        <v>201401</v>
      </c>
      <c r="J89" s="16">
        <f>409674.56</f>
        <v>409674.56</v>
      </c>
      <c r="K89" s="44">
        <f t="shared" si="9"/>
        <v>41944</v>
      </c>
      <c r="L89" s="45">
        <f t="shared" si="5"/>
        <v>7</v>
      </c>
      <c r="M89" s="17">
        <v>1.4833299999999999E-3</v>
      </c>
      <c r="N89" s="46">
        <f t="shared" si="6"/>
        <v>4253.7779555935995</v>
      </c>
      <c r="O89" s="16"/>
      <c r="P89" s="48">
        <f t="shared" si="7"/>
        <v>197155.88200000001</v>
      </c>
      <c r="Q89" s="16"/>
      <c r="R89" s="48">
        <f t="shared" si="8"/>
        <v>7393.6016216000007</v>
      </c>
    </row>
    <row r="90" spans="1:18">
      <c r="A90" s="14" t="s">
        <v>17</v>
      </c>
      <c r="B90" s="15" t="s">
        <v>789</v>
      </c>
      <c r="C90" s="15" t="s">
        <v>790</v>
      </c>
      <c r="D90" s="14" t="s">
        <v>791</v>
      </c>
      <c r="E90" s="15" t="s">
        <v>246</v>
      </c>
      <c r="F90" s="14" t="s">
        <v>247</v>
      </c>
      <c r="G90" s="15" t="s">
        <v>23</v>
      </c>
      <c r="H90" s="15"/>
      <c r="I90" s="15">
        <v>201401</v>
      </c>
      <c r="J90" s="16">
        <v>-2247.7199999999998</v>
      </c>
      <c r="K90" s="44">
        <f t="shared" si="9"/>
        <v>41944</v>
      </c>
      <c r="L90" s="45">
        <f t="shared" si="5"/>
        <v>7</v>
      </c>
      <c r="M90" s="17">
        <v>1.4833299999999999E-3</v>
      </c>
      <c r="N90" s="46">
        <f t="shared" si="6"/>
        <v>-23.338773553199996</v>
      </c>
      <c r="O90" s="16"/>
      <c r="P90" s="48">
        <f t="shared" si="7"/>
        <v>-1081.71525</v>
      </c>
      <c r="Q90" s="16"/>
      <c r="R90" s="48">
        <f t="shared" si="8"/>
        <v>-40.565726699999999</v>
      </c>
    </row>
    <row r="91" spans="1:18">
      <c r="A91" s="14" t="s">
        <v>17</v>
      </c>
      <c r="B91" s="15" t="s">
        <v>795</v>
      </c>
      <c r="C91" s="15" t="s">
        <v>796</v>
      </c>
      <c r="D91" s="14" t="s">
        <v>797</v>
      </c>
      <c r="E91" s="15" t="s">
        <v>176</v>
      </c>
      <c r="F91" s="14" t="s">
        <v>28</v>
      </c>
      <c r="G91" s="15" t="s">
        <v>23</v>
      </c>
      <c r="H91" s="15"/>
      <c r="I91" s="15">
        <v>201401</v>
      </c>
      <c r="J91" s="16">
        <v>0</v>
      </c>
      <c r="K91" s="44">
        <f t="shared" si="9"/>
        <v>41944</v>
      </c>
      <c r="L91" s="45">
        <f t="shared" si="5"/>
        <v>7</v>
      </c>
      <c r="M91" s="17">
        <v>1.4833299999999999E-3</v>
      </c>
      <c r="N91" s="46">
        <f t="shared" si="6"/>
        <v>0</v>
      </c>
      <c r="O91" s="16"/>
      <c r="P91" s="48">
        <f t="shared" si="7"/>
        <v>0</v>
      </c>
      <c r="Q91" s="16"/>
      <c r="R91" s="48">
        <f t="shared" si="8"/>
        <v>0</v>
      </c>
    </row>
    <row r="92" spans="1:18">
      <c r="A92" s="14" t="s">
        <v>17</v>
      </c>
      <c r="B92" s="15" t="s">
        <v>798</v>
      </c>
      <c r="C92" s="15" t="s">
        <v>799</v>
      </c>
      <c r="D92" s="14" t="s">
        <v>800</v>
      </c>
      <c r="E92" s="15" t="s">
        <v>62</v>
      </c>
      <c r="F92" s="14" t="s">
        <v>22</v>
      </c>
      <c r="G92" s="15" t="s">
        <v>23</v>
      </c>
      <c r="H92" s="15"/>
      <c r="I92" s="15">
        <v>201401</v>
      </c>
      <c r="J92" s="16">
        <f>6190.24</f>
        <v>6190.24</v>
      </c>
      <c r="K92" s="44">
        <f t="shared" si="9"/>
        <v>41944</v>
      </c>
      <c r="L92" s="45">
        <f t="shared" si="5"/>
        <v>7</v>
      </c>
      <c r="M92" s="17">
        <v>1.4833299999999999E-3</v>
      </c>
      <c r="N92" s="46">
        <f t="shared" si="6"/>
        <v>64.275180894399995</v>
      </c>
      <c r="O92" s="16"/>
      <c r="P92" s="48">
        <f t="shared" si="7"/>
        <v>2979.0530000000003</v>
      </c>
      <c r="Q92" s="16"/>
      <c r="R92" s="48">
        <f t="shared" si="8"/>
        <v>111.7183564</v>
      </c>
    </row>
    <row r="93" spans="1:18">
      <c r="A93" s="14" t="s">
        <v>17</v>
      </c>
      <c r="B93" s="15" t="s">
        <v>1435</v>
      </c>
      <c r="C93" s="15" t="s">
        <v>1436</v>
      </c>
      <c r="D93" s="14" t="s">
        <v>1437</v>
      </c>
      <c r="E93" s="15" t="s">
        <v>667</v>
      </c>
      <c r="F93" s="14" t="s">
        <v>28</v>
      </c>
      <c r="G93" s="15" t="s">
        <v>23</v>
      </c>
      <c r="H93" s="15"/>
      <c r="I93" s="15">
        <v>201401</v>
      </c>
      <c r="J93" s="16">
        <v>4642.7299999999996</v>
      </c>
      <c r="K93" s="44">
        <f t="shared" si="9"/>
        <v>41944</v>
      </c>
      <c r="L93" s="45">
        <f t="shared" si="5"/>
        <v>7</v>
      </c>
      <c r="M93" s="17">
        <v>1.4833299999999999E-3</v>
      </c>
      <c r="N93" s="46">
        <f t="shared" si="6"/>
        <v>48.206904836299998</v>
      </c>
      <c r="O93" s="16"/>
      <c r="P93" s="48">
        <f t="shared" si="7"/>
        <v>2234.3138125</v>
      </c>
      <c r="Q93" s="16"/>
      <c r="R93" s="48">
        <f t="shared" si="8"/>
        <v>83.789669674999999</v>
      </c>
    </row>
    <row r="94" spans="1:18">
      <c r="A94" s="14" t="s">
        <v>17</v>
      </c>
      <c r="B94" s="15" t="s">
        <v>801</v>
      </c>
      <c r="C94" s="15" t="s">
        <v>802</v>
      </c>
      <c r="D94" s="14" t="s">
        <v>803</v>
      </c>
      <c r="E94" s="15" t="s">
        <v>440</v>
      </c>
      <c r="F94" s="14" t="s">
        <v>28</v>
      </c>
      <c r="G94" s="15" t="s">
        <v>23</v>
      </c>
      <c r="H94" s="15"/>
      <c r="I94" s="15">
        <v>201401</v>
      </c>
      <c r="J94" s="61">
        <f>776.51</f>
        <v>776.51</v>
      </c>
      <c r="K94" s="44">
        <f t="shared" si="9"/>
        <v>41944</v>
      </c>
      <c r="L94" s="45">
        <f t="shared" si="5"/>
        <v>7</v>
      </c>
      <c r="M94" s="17">
        <v>1.4833299999999999E-3</v>
      </c>
      <c r="N94" s="46">
        <f t="shared" si="6"/>
        <v>8.062744048099999</v>
      </c>
      <c r="O94" s="61"/>
      <c r="P94" s="48">
        <f t="shared" si="7"/>
        <v>373.69543750000003</v>
      </c>
      <c r="Q94" s="61"/>
      <c r="R94" s="48">
        <f t="shared" si="8"/>
        <v>14.014064225</v>
      </c>
    </row>
    <row r="95" spans="1:18">
      <c r="A95" s="14" t="s">
        <v>17</v>
      </c>
      <c r="B95" s="15" t="s">
        <v>804</v>
      </c>
      <c r="C95" s="15" t="s">
        <v>805</v>
      </c>
      <c r="D95" s="14" t="s">
        <v>806</v>
      </c>
      <c r="E95" s="15" t="s">
        <v>141</v>
      </c>
      <c r="F95" s="14" t="s">
        <v>142</v>
      </c>
      <c r="G95" s="15" t="s">
        <v>23</v>
      </c>
      <c r="H95" s="15"/>
      <c r="I95" s="15">
        <v>201401</v>
      </c>
      <c r="J95" s="16">
        <f>1071.3</f>
        <v>1071.3</v>
      </c>
      <c r="K95" s="44">
        <f t="shared" si="9"/>
        <v>41944</v>
      </c>
      <c r="L95" s="45">
        <f t="shared" si="5"/>
        <v>7</v>
      </c>
      <c r="M95" s="17">
        <v>1.4833299999999999E-3</v>
      </c>
      <c r="N95" s="46">
        <f t="shared" si="6"/>
        <v>11.123640002999998</v>
      </c>
      <c r="O95" s="16"/>
      <c r="P95" s="48">
        <f t="shared" si="7"/>
        <v>515.56312500000001</v>
      </c>
      <c r="Q95" s="16"/>
      <c r="R95" s="48">
        <f t="shared" si="8"/>
        <v>19.33428675</v>
      </c>
    </row>
    <row r="96" spans="1:18">
      <c r="A96" s="18" t="s">
        <v>66</v>
      </c>
      <c r="B96" s="15" t="s">
        <v>72</v>
      </c>
      <c r="C96" s="15" t="s">
        <v>73</v>
      </c>
      <c r="D96" s="14" t="s">
        <v>74</v>
      </c>
      <c r="E96" s="15" t="s">
        <v>75</v>
      </c>
      <c r="F96" s="14" t="s">
        <v>71</v>
      </c>
      <c r="G96" s="15" t="s">
        <v>23</v>
      </c>
      <c r="H96" s="15"/>
      <c r="I96" s="15">
        <v>201402</v>
      </c>
      <c r="J96" s="16">
        <v>9118.57</v>
      </c>
      <c r="K96" s="44">
        <f t="shared" si="9"/>
        <v>41944</v>
      </c>
      <c r="L96" s="45">
        <f t="shared" si="5"/>
        <v>7</v>
      </c>
      <c r="M96" s="17">
        <v>2.23333E-3</v>
      </c>
      <c r="N96" s="46">
        <f t="shared" si="6"/>
        <v>142.5534315667</v>
      </c>
      <c r="O96" s="16"/>
      <c r="P96" s="48">
        <f t="shared" si="7"/>
        <v>4388.3118125000001</v>
      </c>
      <c r="Q96" s="16"/>
      <c r="R96" s="48">
        <f t="shared" si="8"/>
        <v>164.56739207500001</v>
      </c>
    </row>
    <row r="97" spans="1:18">
      <c r="A97" s="18" t="s">
        <v>66</v>
      </c>
      <c r="B97" s="15" t="s">
        <v>81</v>
      </c>
      <c r="C97" s="15" t="s">
        <v>82</v>
      </c>
      <c r="D97" s="14" t="s">
        <v>83</v>
      </c>
      <c r="E97" s="15" t="s">
        <v>84</v>
      </c>
      <c r="F97" s="14" t="s">
        <v>85</v>
      </c>
      <c r="G97" s="15" t="s">
        <v>23</v>
      </c>
      <c r="H97" s="15"/>
      <c r="I97" s="15">
        <v>201402</v>
      </c>
      <c r="J97" s="16">
        <v>45171.7</v>
      </c>
      <c r="K97" s="44">
        <f t="shared" si="9"/>
        <v>41944</v>
      </c>
      <c r="L97" s="45">
        <f t="shared" si="5"/>
        <v>7</v>
      </c>
      <c r="M97" s="17">
        <v>2.23333E-3</v>
      </c>
      <c r="N97" s="46">
        <f t="shared" si="6"/>
        <v>706.18318932700004</v>
      </c>
      <c r="O97" s="16"/>
      <c r="P97" s="48">
        <f t="shared" si="7"/>
        <v>21738.880625000002</v>
      </c>
      <c r="Q97" s="16"/>
      <c r="R97" s="48">
        <f t="shared" si="8"/>
        <v>815.23625574999994</v>
      </c>
    </row>
    <row r="98" spans="1:18">
      <c r="A98" s="18" t="s">
        <v>66</v>
      </c>
      <c r="B98" s="15" t="s">
        <v>90</v>
      </c>
      <c r="C98" s="15" t="s">
        <v>91</v>
      </c>
      <c r="D98" s="14" t="s">
        <v>78</v>
      </c>
      <c r="E98" s="15" t="s">
        <v>92</v>
      </c>
      <c r="F98" s="14" t="s">
        <v>80</v>
      </c>
      <c r="G98" s="15" t="s">
        <v>23</v>
      </c>
      <c r="H98" s="15"/>
      <c r="I98" s="15">
        <v>201402</v>
      </c>
      <c r="J98" s="16">
        <v>5812.87</v>
      </c>
      <c r="K98" s="44">
        <f t="shared" si="9"/>
        <v>41944</v>
      </c>
      <c r="L98" s="45">
        <f t="shared" si="5"/>
        <v>7</v>
      </c>
      <c r="M98" s="17">
        <v>2.23333E-3</v>
      </c>
      <c r="N98" s="46">
        <f t="shared" si="6"/>
        <v>90.874398699700009</v>
      </c>
      <c r="O98" s="16"/>
      <c r="P98" s="48">
        <f t="shared" si="7"/>
        <v>2797.4436875000001</v>
      </c>
      <c r="Q98" s="16"/>
      <c r="R98" s="48">
        <f t="shared" si="8"/>
        <v>104.907771325</v>
      </c>
    </row>
    <row r="99" spans="1:18">
      <c r="A99" s="18" t="s">
        <v>66</v>
      </c>
      <c r="B99" s="15" t="s">
        <v>93</v>
      </c>
      <c r="C99" s="15" t="s">
        <v>94</v>
      </c>
      <c r="D99" s="14" t="s">
        <v>95</v>
      </c>
      <c r="E99" s="15" t="s">
        <v>96</v>
      </c>
      <c r="F99" s="14" t="s">
        <v>97</v>
      </c>
      <c r="G99" s="15" t="s">
        <v>23</v>
      </c>
      <c r="H99" s="15"/>
      <c r="I99" s="15">
        <v>201402</v>
      </c>
      <c r="J99" s="16">
        <v>3005.49</v>
      </c>
      <c r="K99" s="44">
        <f t="shared" si="9"/>
        <v>41944</v>
      </c>
      <c r="L99" s="45">
        <f t="shared" si="5"/>
        <v>7</v>
      </c>
      <c r="M99" s="17">
        <v>2.23333E-3</v>
      </c>
      <c r="N99" s="46">
        <f t="shared" si="6"/>
        <v>46.985756871900001</v>
      </c>
      <c r="O99" s="16"/>
      <c r="P99" s="48">
        <f t="shared" si="7"/>
        <v>1446.3920625000001</v>
      </c>
      <c r="Q99" s="16"/>
      <c r="R99" s="48">
        <f t="shared" si="8"/>
        <v>54.241580774999996</v>
      </c>
    </row>
    <row r="100" spans="1:18">
      <c r="A100" s="14" t="s">
        <v>17</v>
      </c>
      <c r="B100" s="15" t="s">
        <v>127</v>
      </c>
      <c r="C100" s="15" t="s">
        <v>128</v>
      </c>
      <c r="D100" s="14" t="s">
        <v>129</v>
      </c>
      <c r="E100" s="15" t="s">
        <v>62</v>
      </c>
      <c r="F100" s="14" t="s">
        <v>22</v>
      </c>
      <c r="G100" s="15" t="s">
        <v>23</v>
      </c>
      <c r="H100" s="15"/>
      <c r="I100" s="15">
        <v>201402</v>
      </c>
      <c r="J100" s="16">
        <v>18137.830000000002</v>
      </c>
      <c r="K100" s="44">
        <f t="shared" si="9"/>
        <v>41944</v>
      </c>
      <c r="L100" s="45">
        <f t="shared" si="5"/>
        <v>7</v>
      </c>
      <c r="M100" s="17">
        <v>1.4833299999999999E-3</v>
      </c>
      <c r="N100" s="46">
        <f t="shared" si="6"/>
        <v>188.33071161730001</v>
      </c>
      <c r="O100" s="16"/>
      <c r="P100" s="48">
        <f t="shared" si="7"/>
        <v>8728.8306875000017</v>
      </c>
      <c r="Q100" s="16"/>
      <c r="R100" s="48">
        <f t="shared" si="8"/>
        <v>327.34248692500006</v>
      </c>
    </row>
    <row r="101" spans="1:18">
      <c r="A101" s="14" t="s">
        <v>17</v>
      </c>
      <c r="B101" s="15" t="s">
        <v>130</v>
      </c>
      <c r="C101" s="15" t="s">
        <v>131</v>
      </c>
      <c r="D101" s="14" t="s">
        <v>132</v>
      </c>
      <c r="E101" s="15" t="s">
        <v>36</v>
      </c>
      <c r="F101" s="14" t="s">
        <v>22</v>
      </c>
      <c r="G101" s="15" t="s">
        <v>23</v>
      </c>
      <c r="H101" s="15"/>
      <c r="I101" s="15">
        <v>201402</v>
      </c>
      <c r="J101" s="16">
        <v>-3643.64</v>
      </c>
      <c r="K101" s="44">
        <f t="shared" si="9"/>
        <v>41944</v>
      </c>
      <c r="L101" s="45">
        <f t="shared" si="5"/>
        <v>7</v>
      </c>
      <c r="M101" s="17">
        <v>1.4833299999999999E-3</v>
      </c>
      <c r="N101" s="46">
        <f t="shared" si="6"/>
        <v>-37.8330436484</v>
      </c>
      <c r="O101" s="16"/>
      <c r="P101" s="48">
        <f t="shared" si="7"/>
        <v>-1753.5017500000001</v>
      </c>
      <c r="Q101" s="16"/>
      <c r="R101" s="48">
        <f t="shared" si="8"/>
        <v>-65.758592899999996</v>
      </c>
    </row>
    <row r="102" spans="1:18">
      <c r="A102" s="14" t="s">
        <v>17</v>
      </c>
      <c r="B102" s="15" t="s">
        <v>155</v>
      </c>
      <c r="C102" s="15" t="s">
        <v>156</v>
      </c>
      <c r="D102" s="14" t="s">
        <v>157</v>
      </c>
      <c r="E102" s="15" t="s">
        <v>32</v>
      </c>
      <c r="F102" s="14" t="s">
        <v>22</v>
      </c>
      <c r="G102" s="15" t="s">
        <v>23</v>
      </c>
      <c r="H102" s="15"/>
      <c r="I102" s="15">
        <v>201402</v>
      </c>
      <c r="J102" s="16">
        <v>9466.65</v>
      </c>
      <c r="K102" s="44">
        <f t="shared" si="9"/>
        <v>41944</v>
      </c>
      <c r="L102" s="45">
        <f t="shared" si="5"/>
        <v>7</v>
      </c>
      <c r="M102" s="17">
        <v>1.4833299999999999E-3</v>
      </c>
      <c r="N102" s="46">
        <f t="shared" si="6"/>
        <v>98.295161611499992</v>
      </c>
      <c r="O102" s="16"/>
      <c r="P102" s="48">
        <f t="shared" si="7"/>
        <v>4555.8253125000001</v>
      </c>
      <c r="Q102" s="16"/>
      <c r="R102" s="48">
        <f t="shared" si="8"/>
        <v>170.84936587499999</v>
      </c>
    </row>
    <row r="103" spans="1:18">
      <c r="A103" s="14" t="s">
        <v>17</v>
      </c>
      <c r="B103" s="15" t="s">
        <v>158</v>
      </c>
      <c r="C103" s="15" t="s">
        <v>159</v>
      </c>
      <c r="D103" s="14" t="s">
        <v>160</v>
      </c>
      <c r="E103" s="15" t="s">
        <v>108</v>
      </c>
      <c r="F103" s="14" t="s">
        <v>28</v>
      </c>
      <c r="G103" s="15" t="s">
        <v>23</v>
      </c>
      <c r="H103" s="15"/>
      <c r="I103" s="15">
        <v>201402</v>
      </c>
      <c r="J103" s="16">
        <v>1247.6400000000001</v>
      </c>
      <c r="K103" s="44">
        <f t="shared" si="9"/>
        <v>41944</v>
      </c>
      <c r="L103" s="45">
        <f t="shared" si="5"/>
        <v>7</v>
      </c>
      <c r="M103" s="17">
        <v>1.4833299999999999E-3</v>
      </c>
      <c r="N103" s="46">
        <f t="shared" si="6"/>
        <v>12.954632888400001</v>
      </c>
      <c r="O103" s="16"/>
      <c r="P103" s="48">
        <f t="shared" si="7"/>
        <v>600.42675000000008</v>
      </c>
      <c r="Q103" s="16"/>
      <c r="R103" s="48">
        <f t="shared" si="8"/>
        <v>22.516782900000003</v>
      </c>
    </row>
    <row r="104" spans="1:18">
      <c r="A104" s="14" t="s">
        <v>17</v>
      </c>
      <c r="B104" s="15" t="s">
        <v>186</v>
      </c>
      <c r="C104" s="15" t="s">
        <v>187</v>
      </c>
      <c r="D104" s="14" t="s">
        <v>188</v>
      </c>
      <c r="E104" s="15" t="s">
        <v>108</v>
      </c>
      <c r="F104" s="14" t="s">
        <v>28</v>
      </c>
      <c r="G104" s="15" t="s">
        <v>23</v>
      </c>
      <c r="H104" s="15"/>
      <c r="I104" s="15">
        <v>201402</v>
      </c>
      <c r="J104" s="16">
        <v>11126.32</v>
      </c>
      <c r="K104" s="44">
        <f t="shared" si="9"/>
        <v>41944</v>
      </c>
      <c r="L104" s="45">
        <f t="shared" si="5"/>
        <v>7</v>
      </c>
      <c r="M104" s="17">
        <v>1.4833299999999999E-3</v>
      </c>
      <c r="N104" s="46">
        <f t="shared" si="6"/>
        <v>115.52802971919999</v>
      </c>
      <c r="O104" s="16"/>
      <c r="P104" s="48">
        <f t="shared" si="7"/>
        <v>5354.5415000000003</v>
      </c>
      <c r="Q104" s="16"/>
      <c r="R104" s="48">
        <f t="shared" si="8"/>
        <v>200.80226020000001</v>
      </c>
    </row>
    <row r="105" spans="1:18">
      <c r="A105" s="18" t="s">
        <v>66</v>
      </c>
      <c r="B105" s="15" t="s">
        <v>197</v>
      </c>
      <c r="C105" s="15" t="s">
        <v>198</v>
      </c>
      <c r="D105" s="14" t="s">
        <v>69</v>
      </c>
      <c r="E105" s="15" t="s">
        <v>199</v>
      </c>
      <c r="F105" s="14" t="s">
        <v>71</v>
      </c>
      <c r="G105" s="15" t="s">
        <v>23</v>
      </c>
      <c r="H105" s="15"/>
      <c r="I105" s="15">
        <v>201402</v>
      </c>
      <c r="J105" s="16">
        <v>5177.7</v>
      </c>
      <c r="K105" s="44">
        <f t="shared" si="9"/>
        <v>41944</v>
      </c>
      <c r="L105" s="45">
        <f t="shared" si="5"/>
        <v>7</v>
      </c>
      <c r="M105" s="17">
        <v>2.23333E-3</v>
      </c>
      <c r="N105" s="46">
        <f t="shared" si="6"/>
        <v>80.944589187000005</v>
      </c>
      <c r="O105" s="16"/>
      <c r="P105" s="48">
        <f t="shared" si="7"/>
        <v>2491.7681250000001</v>
      </c>
      <c r="Q105" s="16"/>
      <c r="R105" s="48">
        <f t="shared" si="8"/>
        <v>93.444540750000002</v>
      </c>
    </row>
    <row r="106" spans="1:18">
      <c r="A106" s="18" t="s">
        <v>66</v>
      </c>
      <c r="B106" s="15" t="s">
        <v>200</v>
      </c>
      <c r="C106" s="15" t="s">
        <v>201</v>
      </c>
      <c r="D106" s="14" t="s">
        <v>202</v>
      </c>
      <c r="E106" s="15" t="s">
        <v>203</v>
      </c>
      <c r="F106" s="14" t="s">
        <v>80</v>
      </c>
      <c r="G106" s="15" t="s">
        <v>23</v>
      </c>
      <c r="H106" s="15"/>
      <c r="I106" s="15">
        <v>201402</v>
      </c>
      <c r="J106" s="16">
        <v>8929.9500000000007</v>
      </c>
      <c r="K106" s="44">
        <f t="shared" si="9"/>
        <v>41944</v>
      </c>
      <c r="L106" s="45">
        <f t="shared" si="5"/>
        <v>7</v>
      </c>
      <c r="M106" s="17">
        <v>2.23333E-3</v>
      </c>
      <c r="N106" s="46">
        <f t="shared" si="6"/>
        <v>139.60467663450001</v>
      </c>
      <c r="O106" s="16"/>
      <c r="P106" s="48">
        <f t="shared" si="7"/>
        <v>4297.5384375000012</v>
      </c>
      <c r="Q106" s="16"/>
      <c r="R106" s="48">
        <f t="shared" si="8"/>
        <v>161.16327262500002</v>
      </c>
    </row>
    <row r="107" spans="1:18">
      <c r="A107" s="14" t="s">
        <v>17</v>
      </c>
      <c r="B107" s="15" t="s">
        <v>218</v>
      </c>
      <c r="C107" s="15" t="s">
        <v>219</v>
      </c>
      <c r="D107" s="14" t="s">
        <v>220</v>
      </c>
      <c r="E107" s="15" t="s">
        <v>221</v>
      </c>
      <c r="F107" s="14" t="s">
        <v>222</v>
      </c>
      <c r="G107" s="15" t="s">
        <v>23</v>
      </c>
      <c r="H107" s="15"/>
      <c r="I107" s="15">
        <v>201402</v>
      </c>
      <c r="J107" s="16">
        <v>43225.120000000003</v>
      </c>
      <c r="K107" s="44">
        <f t="shared" si="9"/>
        <v>41944</v>
      </c>
      <c r="L107" s="45">
        <f t="shared" si="5"/>
        <v>7</v>
      </c>
      <c r="M107" s="17">
        <v>1.4833299999999999E-3</v>
      </c>
      <c r="N107" s="46">
        <f t="shared" si="6"/>
        <v>448.81982074720003</v>
      </c>
      <c r="O107" s="16"/>
      <c r="P107" s="48">
        <f t="shared" si="7"/>
        <v>20802.089000000004</v>
      </c>
      <c r="Q107" s="16"/>
      <c r="R107" s="48">
        <f t="shared" si="8"/>
        <v>780.10535320000008</v>
      </c>
    </row>
    <row r="108" spans="1:18">
      <c r="A108" s="18" t="s">
        <v>66</v>
      </c>
      <c r="B108" s="15" t="s">
        <v>226</v>
      </c>
      <c r="C108" s="15" t="s">
        <v>227</v>
      </c>
      <c r="D108" s="14" t="s">
        <v>78</v>
      </c>
      <c r="E108" s="15" t="s">
        <v>228</v>
      </c>
      <c r="F108" s="14" t="s">
        <v>80</v>
      </c>
      <c r="G108" s="15" t="s">
        <v>23</v>
      </c>
      <c r="H108" s="15"/>
      <c r="I108" s="15">
        <v>201402</v>
      </c>
      <c r="J108" s="16">
        <v>-1653.7</v>
      </c>
      <c r="K108" s="44">
        <f t="shared" si="9"/>
        <v>41944</v>
      </c>
      <c r="L108" s="45">
        <f t="shared" si="5"/>
        <v>7</v>
      </c>
      <c r="M108" s="17">
        <v>2.23333E-3</v>
      </c>
      <c r="N108" s="46">
        <f t="shared" si="6"/>
        <v>-25.852804747000004</v>
      </c>
      <c r="O108" s="16"/>
      <c r="P108" s="48">
        <f t="shared" si="7"/>
        <v>-795.8431250000001</v>
      </c>
      <c r="Q108" s="16"/>
      <c r="R108" s="48">
        <f t="shared" si="8"/>
        <v>-29.845150750000002</v>
      </c>
    </row>
    <row r="109" spans="1:18">
      <c r="A109" s="18" t="s">
        <v>66</v>
      </c>
      <c r="B109" s="15" t="s">
        <v>229</v>
      </c>
      <c r="C109" s="15" t="s">
        <v>230</v>
      </c>
      <c r="D109" s="14" t="s">
        <v>78</v>
      </c>
      <c r="E109" s="15" t="s">
        <v>231</v>
      </c>
      <c r="F109" s="14" t="s">
        <v>80</v>
      </c>
      <c r="G109" s="15" t="s">
        <v>23</v>
      </c>
      <c r="H109" s="15"/>
      <c r="I109" s="15">
        <v>201402</v>
      </c>
      <c r="J109" s="16">
        <v>-116.96</v>
      </c>
      <c r="K109" s="44">
        <f t="shared" si="9"/>
        <v>41944</v>
      </c>
      <c r="L109" s="45">
        <f t="shared" si="5"/>
        <v>7</v>
      </c>
      <c r="M109" s="17">
        <v>2.23333E-3</v>
      </c>
      <c r="N109" s="46">
        <f t="shared" si="6"/>
        <v>-1.8284719376</v>
      </c>
      <c r="O109" s="16"/>
      <c r="P109" s="48">
        <f t="shared" si="7"/>
        <v>-56.287000000000006</v>
      </c>
      <c r="Q109" s="16"/>
      <c r="R109" s="48">
        <f t="shared" si="8"/>
        <v>-2.1108356000000001</v>
      </c>
    </row>
    <row r="110" spans="1:18">
      <c r="A110" s="14" t="s">
        <v>17</v>
      </c>
      <c r="B110" s="15" t="s">
        <v>243</v>
      </c>
      <c r="C110" s="15" t="s">
        <v>244</v>
      </c>
      <c r="D110" s="14" t="s">
        <v>245</v>
      </c>
      <c r="E110" s="15" t="s">
        <v>246</v>
      </c>
      <c r="F110" s="14" t="s">
        <v>247</v>
      </c>
      <c r="G110" s="15" t="s">
        <v>23</v>
      </c>
      <c r="H110" s="15"/>
      <c r="I110" s="15">
        <v>201402</v>
      </c>
      <c r="J110" s="16">
        <v>211428.28</v>
      </c>
      <c r="K110" s="44">
        <f t="shared" si="9"/>
        <v>41944</v>
      </c>
      <c r="L110" s="45">
        <f t="shared" si="5"/>
        <v>7</v>
      </c>
      <c r="M110" s="17">
        <v>1.4833299999999999E-3</v>
      </c>
      <c r="N110" s="46">
        <f t="shared" si="6"/>
        <v>2195.3253740067998</v>
      </c>
      <c r="O110" s="16"/>
      <c r="P110" s="48">
        <f t="shared" si="7"/>
        <v>101749.85975000002</v>
      </c>
      <c r="Q110" s="16"/>
      <c r="R110" s="48">
        <f t="shared" si="8"/>
        <v>3815.7518833000004</v>
      </c>
    </row>
    <row r="111" spans="1:18">
      <c r="A111" s="14" t="s">
        <v>242</v>
      </c>
      <c r="B111" s="15" t="s">
        <v>243</v>
      </c>
      <c r="C111" s="15" t="s">
        <v>244</v>
      </c>
      <c r="D111" s="14" t="s">
        <v>245</v>
      </c>
      <c r="E111" s="15" t="s">
        <v>246</v>
      </c>
      <c r="F111" s="14" t="s">
        <v>247</v>
      </c>
      <c r="G111" s="15" t="s">
        <v>23</v>
      </c>
      <c r="H111" s="15"/>
      <c r="I111" s="15">
        <v>201402</v>
      </c>
      <c r="J111" s="16">
        <v>-211428.28</v>
      </c>
      <c r="K111" s="44">
        <f t="shared" si="9"/>
        <v>41944</v>
      </c>
      <c r="L111" s="45">
        <f t="shared" si="5"/>
        <v>7</v>
      </c>
      <c r="M111" s="17">
        <v>1.4833299999999999E-3</v>
      </c>
      <c r="N111" s="46">
        <f t="shared" si="6"/>
        <v>-2195.3253740067998</v>
      </c>
      <c r="O111" s="16"/>
      <c r="P111" s="48">
        <f t="shared" si="7"/>
        <v>-101749.85975000002</v>
      </c>
      <c r="Q111" s="16"/>
      <c r="R111" s="48">
        <f t="shared" si="8"/>
        <v>-3815.7518833000004</v>
      </c>
    </row>
    <row r="112" spans="1:18">
      <c r="A112" s="14" t="s">
        <v>17</v>
      </c>
      <c r="B112" s="15" t="s">
        <v>252</v>
      </c>
      <c r="C112" s="15" t="s">
        <v>253</v>
      </c>
      <c r="D112" s="14" t="s">
        <v>254</v>
      </c>
      <c r="E112" s="15" t="s">
        <v>141</v>
      </c>
      <c r="F112" s="14" t="s">
        <v>142</v>
      </c>
      <c r="G112" s="15" t="s">
        <v>23</v>
      </c>
      <c r="H112" s="15"/>
      <c r="I112" s="15">
        <v>201402</v>
      </c>
      <c r="J112" s="16">
        <v>0</v>
      </c>
      <c r="K112" s="44">
        <f t="shared" si="9"/>
        <v>41944</v>
      </c>
      <c r="L112" s="45">
        <f t="shared" si="5"/>
        <v>7</v>
      </c>
      <c r="M112" s="17">
        <v>1.4833299999999999E-3</v>
      </c>
      <c r="N112" s="46">
        <f t="shared" si="6"/>
        <v>0</v>
      </c>
      <c r="O112" s="16"/>
      <c r="P112" s="48">
        <f t="shared" si="7"/>
        <v>0</v>
      </c>
      <c r="Q112" s="16"/>
      <c r="R112" s="48">
        <f t="shared" si="8"/>
        <v>0</v>
      </c>
    </row>
    <row r="113" spans="1:18">
      <c r="A113" s="14" t="s">
        <v>17</v>
      </c>
      <c r="B113" s="15" t="s">
        <v>287</v>
      </c>
      <c r="C113" s="15" t="s">
        <v>288</v>
      </c>
      <c r="D113" s="14" t="s">
        <v>289</v>
      </c>
      <c r="E113" s="15" t="s">
        <v>21</v>
      </c>
      <c r="F113" s="14" t="s">
        <v>22</v>
      </c>
      <c r="G113" s="15" t="s">
        <v>23</v>
      </c>
      <c r="H113" s="15"/>
      <c r="I113" s="15">
        <v>201402</v>
      </c>
      <c r="J113" s="16">
        <v>8792.17</v>
      </c>
      <c r="K113" s="44">
        <f t="shared" si="9"/>
        <v>41944</v>
      </c>
      <c r="L113" s="45">
        <f t="shared" si="5"/>
        <v>7</v>
      </c>
      <c r="M113" s="17">
        <v>1.4833299999999999E-3</v>
      </c>
      <c r="N113" s="46">
        <f t="shared" si="6"/>
        <v>91.291826682700005</v>
      </c>
      <c r="O113" s="16"/>
      <c r="P113" s="48">
        <f t="shared" si="7"/>
        <v>4231.2318125000011</v>
      </c>
      <c r="Q113" s="16"/>
      <c r="R113" s="48">
        <f t="shared" si="8"/>
        <v>158.67668807500002</v>
      </c>
    </row>
    <row r="114" spans="1:18">
      <c r="A114" s="14" t="s">
        <v>17</v>
      </c>
      <c r="B114" s="15" t="s">
        <v>293</v>
      </c>
      <c r="C114" s="15" t="s">
        <v>294</v>
      </c>
      <c r="D114" s="14" t="s">
        <v>295</v>
      </c>
      <c r="E114" s="15" t="s">
        <v>296</v>
      </c>
      <c r="F114" s="14" t="s">
        <v>28</v>
      </c>
      <c r="G114" s="15" t="s">
        <v>23</v>
      </c>
      <c r="H114" s="15"/>
      <c r="I114" s="15">
        <v>201402</v>
      </c>
      <c r="J114" s="16">
        <v>1118.47</v>
      </c>
      <c r="K114" s="44">
        <f t="shared" si="9"/>
        <v>41944</v>
      </c>
      <c r="L114" s="45">
        <f t="shared" si="5"/>
        <v>7</v>
      </c>
      <c r="M114" s="17">
        <v>1.4833299999999999E-3</v>
      </c>
      <c r="N114" s="46">
        <f t="shared" si="6"/>
        <v>11.6134207357</v>
      </c>
      <c r="O114" s="16"/>
      <c r="P114" s="48">
        <f t="shared" si="7"/>
        <v>538.26368750000006</v>
      </c>
      <c r="Q114" s="16"/>
      <c r="R114" s="48">
        <f t="shared" si="8"/>
        <v>20.185587325</v>
      </c>
    </row>
    <row r="115" spans="1:18">
      <c r="A115" s="14" t="s">
        <v>17</v>
      </c>
      <c r="B115" s="15" t="s">
        <v>297</v>
      </c>
      <c r="C115" s="15" t="s">
        <v>298</v>
      </c>
      <c r="D115" s="14" t="s">
        <v>299</v>
      </c>
      <c r="E115" s="15" t="s">
        <v>21</v>
      </c>
      <c r="F115" s="14" t="s">
        <v>22</v>
      </c>
      <c r="G115" s="15" t="s">
        <v>23</v>
      </c>
      <c r="H115" s="15"/>
      <c r="I115" s="15">
        <v>201402</v>
      </c>
      <c r="J115" s="16">
        <v>24168.99</v>
      </c>
      <c r="K115" s="44">
        <f t="shared" si="9"/>
        <v>41944</v>
      </c>
      <c r="L115" s="45">
        <f t="shared" si="5"/>
        <v>7</v>
      </c>
      <c r="M115" s="17">
        <v>1.4833299999999999E-3</v>
      </c>
      <c r="N115" s="46">
        <f t="shared" si="6"/>
        <v>250.95411555690001</v>
      </c>
      <c r="O115" s="16"/>
      <c r="P115" s="48">
        <f t="shared" si="7"/>
        <v>11631.326437500002</v>
      </c>
      <c r="Q115" s="16"/>
      <c r="R115" s="48">
        <f t="shared" si="8"/>
        <v>436.18984702500006</v>
      </c>
    </row>
    <row r="116" spans="1:18">
      <c r="A116" s="14" t="s">
        <v>17</v>
      </c>
      <c r="B116" s="15" t="s">
        <v>300</v>
      </c>
      <c r="C116" s="15" t="s">
        <v>301</v>
      </c>
      <c r="D116" s="14" t="s">
        <v>302</v>
      </c>
      <c r="E116" s="15" t="s">
        <v>141</v>
      </c>
      <c r="F116" s="14" t="s">
        <v>142</v>
      </c>
      <c r="G116" s="15" t="s">
        <v>23</v>
      </c>
      <c r="H116" s="15"/>
      <c r="I116" s="15">
        <v>201402</v>
      </c>
      <c r="J116" s="16">
        <v>11369.94</v>
      </c>
      <c r="K116" s="44">
        <f t="shared" si="9"/>
        <v>41944</v>
      </c>
      <c r="L116" s="45">
        <f t="shared" si="5"/>
        <v>7</v>
      </c>
      <c r="M116" s="17">
        <v>1.4833299999999999E-3</v>
      </c>
      <c r="N116" s="46">
        <f t="shared" si="6"/>
        <v>118.05761170140001</v>
      </c>
      <c r="O116" s="16"/>
      <c r="P116" s="48">
        <f t="shared" si="7"/>
        <v>5471.7836250000009</v>
      </c>
      <c r="Q116" s="16"/>
      <c r="R116" s="48">
        <f t="shared" si="8"/>
        <v>205.19899215000001</v>
      </c>
    </row>
    <row r="117" spans="1:18">
      <c r="A117" s="14" t="s">
        <v>17</v>
      </c>
      <c r="B117" s="15" t="s">
        <v>315</v>
      </c>
      <c r="C117" s="15" t="s">
        <v>316</v>
      </c>
      <c r="D117" s="14" t="s">
        <v>317</v>
      </c>
      <c r="E117" s="15" t="s">
        <v>141</v>
      </c>
      <c r="F117" s="14" t="s">
        <v>142</v>
      </c>
      <c r="G117" s="15" t="s">
        <v>23</v>
      </c>
      <c r="H117" s="15"/>
      <c r="I117" s="15">
        <v>201402</v>
      </c>
      <c r="J117" s="16">
        <v>6115.38</v>
      </c>
      <c r="K117" s="44">
        <f t="shared" si="9"/>
        <v>41944</v>
      </c>
      <c r="L117" s="45">
        <f t="shared" si="5"/>
        <v>7</v>
      </c>
      <c r="M117" s="17">
        <v>1.4833299999999999E-3</v>
      </c>
      <c r="N117" s="46">
        <f t="shared" si="6"/>
        <v>63.497886307800002</v>
      </c>
      <c r="O117" s="16"/>
      <c r="P117" s="48">
        <f t="shared" si="7"/>
        <v>2943.0266250000004</v>
      </c>
      <c r="Q117" s="16"/>
      <c r="R117" s="48">
        <f t="shared" si="8"/>
        <v>110.36732055</v>
      </c>
    </row>
    <row r="118" spans="1:18">
      <c r="A118" s="14" t="s">
        <v>17</v>
      </c>
      <c r="B118" s="15" t="s">
        <v>1438</v>
      </c>
      <c r="C118" s="15" t="s">
        <v>1439</v>
      </c>
      <c r="D118" s="14" t="s">
        <v>1440</v>
      </c>
      <c r="E118" s="15" t="s">
        <v>53</v>
      </c>
      <c r="F118" s="14" t="s">
        <v>41</v>
      </c>
      <c r="G118" s="15" t="s">
        <v>23</v>
      </c>
      <c r="H118" s="15"/>
      <c r="I118" s="15">
        <v>201402</v>
      </c>
      <c r="J118" s="16">
        <v>-707.66</v>
      </c>
      <c r="K118" s="44">
        <f t="shared" si="9"/>
        <v>41944</v>
      </c>
      <c r="L118" s="45">
        <f t="shared" si="5"/>
        <v>7</v>
      </c>
      <c r="M118" s="17">
        <v>1.4833299999999999E-3</v>
      </c>
      <c r="N118" s="46">
        <f t="shared" si="6"/>
        <v>-7.3478531545999992</v>
      </c>
      <c r="O118" s="16"/>
      <c r="P118" s="48">
        <f t="shared" si="7"/>
        <v>-340.56137500000006</v>
      </c>
      <c r="Q118" s="16"/>
      <c r="R118" s="48">
        <f t="shared" si="8"/>
        <v>-12.771493850000001</v>
      </c>
    </row>
    <row r="119" spans="1:18">
      <c r="A119" s="14" t="s">
        <v>17</v>
      </c>
      <c r="B119" s="15" t="s">
        <v>318</v>
      </c>
      <c r="C119" s="15" t="s">
        <v>319</v>
      </c>
      <c r="D119" s="14" t="s">
        <v>320</v>
      </c>
      <c r="E119" s="15" t="s">
        <v>141</v>
      </c>
      <c r="F119" s="14" t="s">
        <v>142</v>
      </c>
      <c r="G119" s="15" t="s">
        <v>23</v>
      </c>
      <c r="H119" s="15"/>
      <c r="I119" s="15">
        <v>201402</v>
      </c>
      <c r="J119" s="16">
        <v>0</v>
      </c>
      <c r="K119" s="44">
        <f t="shared" si="9"/>
        <v>41944</v>
      </c>
      <c r="L119" s="45">
        <f t="shared" si="5"/>
        <v>7</v>
      </c>
      <c r="M119" s="17">
        <v>1.4833299999999999E-3</v>
      </c>
      <c r="N119" s="46">
        <f t="shared" si="6"/>
        <v>0</v>
      </c>
      <c r="O119" s="16"/>
      <c r="P119" s="48">
        <f t="shared" si="7"/>
        <v>0</v>
      </c>
      <c r="Q119" s="16"/>
      <c r="R119" s="48">
        <f t="shared" si="8"/>
        <v>0</v>
      </c>
    </row>
    <row r="120" spans="1:18">
      <c r="A120" s="14" t="s">
        <v>17</v>
      </c>
      <c r="B120" s="15" t="s">
        <v>344</v>
      </c>
      <c r="C120" s="15" t="s">
        <v>345</v>
      </c>
      <c r="D120" s="14" t="s">
        <v>346</v>
      </c>
      <c r="E120" s="15" t="s">
        <v>53</v>
      </c>
      <c r="F120" s="14" t="s">
        <v>41</v>
      </c>
      <c r="G120" s="15" t="s">
        <v>23</v>
      </c>
      <c r="H120" s="15"/>
      <c r="I120" s="15">
        <v>201402</v>
      </c>
      <c r="J120" s="16">
        <v>4264.32</v>
      </c>
      <c r="K120" s="44">
        <f t="shared" si="9"/>
        <v>41944</v>
      </c>
      <c r="L120" s="45">
        <f t="shared" si="5"/>
        <v>7</v>
      </c>
      <c r="M120" s="17">
        <v>1.4833299999999999E-3</v>
      </c>
      <c r="N120" s="46">
        <f t="shared" si="6"/>
        <v>44.277756499199995</v>
      </c>
      <c r="O120" s="16"/>
      <c r="P120" s="48">
        <f t="shared" si="7"/>
        <v>2052.2040000000002</v>
      </c>
      <c r="Q120" s="16"/>
      <c r="R120" s="48">
        <f t="shared" si="8"/>
        <v>76.960315199999997</v>
      </c>
    </row>
    <row r="121" spans="1:18">
      <c r="A121" s="14" t="s">
        <v>17</v>
      </c>
      <c r="B121" s="15" t="s">
        <v>347</v>
      </c>
      <c r="C121" s="15" t="s">
        <v>348</v>
      </c>
      <c r="D121" s="14" t="s">
        <v>349</v>
      </c>
      <c r="E121" s="15" t="s">
        <v>324</v>
      </c>
      <c r="F121" s="14" t="s">
        <v>325</v>
      </c>
      <c r="G121" s="15" t="s">
        <v>23</v>
      </c>
      <c r="H121" s="15"/>
      <c r="I121" s="15">
        <v>201402</v>
      </c>
      <c r="J121" s="16">
        <v>1299.5999999999999</v>
      </c>
      <c r="K121" s="44">
        <f t="shared" si="9"/>
        <v>41944</v>
      </c>
      <c r="L121" s="45">
        <f t="shared" si="5"/>
        <v>7</v>
      </c>
      <c r="M121" s="17">
        <v>1.4833299999999999E-3</v>
      </c>
      <c r="N121" s="46">
        <f t="shared" si="6"/>
        <v>13.494149675999999</v>
      </c>
      <c r="O121" s="16"/>
      <c r="P121" s="48">
        <f t="shared" si="7"/>
        <v>625.4325</v>
      </c>
      <c r="Q121" s="16"/>
      <c r="R121" s="48">
        <f t="shared" si="8"/>
        <v>23.454530999999999</v>
      </c>
    </row>
    <row r="122" spans="1:18">
      <c r="A122" s="14" t="s">
        <v>238</v>
      </c>
      <c r="B122" s="15" t="s">
        <v>356</v>
      </c>
      <c r="C122" s="15" t="s">
        <v>357</v>
      </c>
      <c r="D122" s="14" t="s">
        <v>358</v>
      </c>
      <c r="E122" s="15" t="s">
        <v>168</v>
      </c>
      <c r="F122" s="14" t="s">
        <v>169</v>
      </c>
      <c r="G122" s="15" t="s">
        <v>23</v>
      </c>
      <c r="H122" s="15"/>
      <c r="I122" s="15">
        <v>201402</v>
      </c>
      <c r="J122" s="16">
        <v>114661.67</v>
      </c>
      <c r="K122" s="44">
        <f t="shared" si="9"/>
        <v>41944</v>
      </c>
      <c r="L122" s="45">
        <f t="shared" si="5"/>
        <v>7</v>
      </c>
      <c r="M122" s="17">
        <v>2.3833299999999999E-3</v>
      </c>
      <c r="N122" s="46">
        <f t="shared" si="6"/>
        <v>1912.9361857276999</v>
      </c>
      <c r="O122" s="16"/>
      <c r="P122" s="48">
        <f t="shared" si="7"/>
        <v>55180.928687500003</v>
      </c>
      <c r="Q122" s="16"/>
      <c r="R122" s="48">
        <f t="shared" si="8"/>
        <v>2069.356489325</v>
      </c>
    </row>
    <row r="123" spans="1:18">
      <c r="A123" s="18" t="s">
        <v>66</v>
      </c>
      <c r="B123" s="15" t="s">
        <v>371</v>
      </c>
      <c r="C123" s="15" t="s">
        <v>372</v>
      </c>
      <c r="D123" s="14" t="s">
        <v>88</v>
      </c>
      <c r="E123" s="15" t="s">
        <v>373</v>
      </c>
      <c r="F123" s="14" t="s">
        <v>85</v>
      </c>
      <c r="G123" s="15" t="s">
        <v>23</v>
      </c>
      <c r="H123" s="15"/>
      <c r="I123" s="15">
        <v>201402</v>
      </c>
      <c r="J123" s="16">
        <v>16667.32</v>
      </c>
      <c r="K123" s="44">
        <f t="shared" si="9"/>
        <v>41944</v>
      </c>
      <c r="L123" s="45">
        <f t="shared" si="5"/>
        <v>7</v>
      </c>
      <c r="M123" s="17">
        <v>2.23333E-3</v>
      </c>
      <c r="N123" s="46">
        <f t="shared" si="6"/>
        <v>260.56538042919999</v>
      </c>
      <c r="O123" s="16"/>
      <c r="P123" s="48">
        <f t="shared" si="7"/>
        <v>8021.147750000001</v>
      </c>
      <c r="Q123" s="16"/>
      <c r="R123" s="48">
        <f t="shared" si="8"/>
        <v>300.80345770000002</v>
      </c>
    </row>
    <row r="124" spans="1:18">
      <c r="A124" s="18" t="s">
        <v>66</v>
      </c>
      <c r="B124" s="15" t="s">
        <v>374</v>
      </c>
      <c r="C124" s="15" t="s">
        <v>375</v>
      </c>
      <c r="D124" s="14" t="s">
        <v>376</v>
      </c>
      <c r="E124" s="15" t="s">
        <v>377</v>
      </c>
      <c r="F124" s="14" t="s">
        <v>378</v>
      </c>
      <c r="G124" s="15" t="s">
        <v>23</v>
      </c>
      <c r="H124" s="15"/>
      <c r="I124" s="15">
        <v>201402</v>
      </c>
      <c r="J124" s="16">
        <v>2962.63</v>
      </c>
      <c r="K124" s="44">
        <f t="shared" si="9"/>
        <v>41944</v>
      </c>
      <c r="L124" s="45">
        <f t="shared" si="5"/>
        <v>7</v>
      </c>
      <c r="M124" s="17">
        <v>2.23333E-3</v>
      </c>
      <c r="N124" s="46">
        <f t="shared" si="6"/>
        <v>46.315713205300007</v>
      </c>
      <c r="O124" s="16"/>
      <c r="P124" s="48">
        <f t="shared" si="7"/>
        <v>1425.7656875000002</v>
      </c>
      <c r="Q124" s="16"/>
      <c r="R124" s="48">
        <f t="shared" si="8"/>
        <v>53.468064925000007</v>
      </c>
    </row>
    <row r="125" spans="1:18">
      <c r="A125" s="18" t="s">
        <v>66</v>
      </c>
      <c r="B125" s="15" t="s">
        <v>383</v>
      </c>
      <c r="C125" s="15" t="s">
        <v>384</v>
      </c>
      <c r="D125" s="14" t="s">
        <v>385</v>
      </c>
      <c r="E125" s="15" t="s">
        <v>386</v>
      </c>
      <c r="F125" s="14" t="s">
        <v>387</v>
      </c>
      <c r="G125" s="15" t="s">
        <v>23</v>
      </c>
      <c r="H125" s="15"/>
      <c r="I125" s="15">
        <v>201402</v>
      </c>
      <c r="J125" s="16">
        <v>25723.39</v>
      </c>
      <c r="K125" s="44">
        <f t="shared" si="9"/>
        <v>41944</v>
      </c>
      <c r="L125" s="45">
        <f t="shared" si="5"/>
        <v>7</v>
      </c>
      <c r="M125" s="17">
        <v>2.23333E-3</v>
      </c>
      <c r="N125" s="46">
        <f t="shared" si="6"/>
        <v>402.14173012090004</v>
      </c>
      <c r="O125" s="16"/>
      <c r="P125" s="48">
        <f t="shared" si="7"/>
        <v>12379.381437500002</v>
      </c>
      <c r="Q125" s="16"/>
      <c r="R125" s="48">
        <f t="shared" si="8"/>
        <v>464.24288102500003</v>
      </c>
    </row>
    <row r="126" spans="1:18">
      <c r="A126" s="18" t="s">
        <v>66</v>
      </c>
      <c r="B126" s="15" t="s">
        <v>388</v>
      </c>
      <c r="C126" s="15" t="s">
        <v>389</v>
      </c>
      <c r="D126" s="14" t="s">
        <v>385</v>
      </c>
      <c r="E126" s="15" t="s">
        <v>390</v>
      </c>
      <c r="F126" s="14" t="s">
        <v>387</v>
      </c>
      <c r="G126" s="15" t="s">
        <v>23</v>
      </c>
      <c r="H126" s="15"/>
      <c r="I126" s="15">
        <v>201402</v>
      </c>
      <c r="J126" s="16">
        <v>12729.13</v>
      </c>
      <c r="K126" s="44">
        <f t="shared" si="9"/>
        <v>41944</v>
      </c>
      <c r="L126" s="45">
        <f t="shared" si="5"/>
        <v>7</v>
      </c>
      <c r="M126" s="17">
        <v>2.23333E-3</v>
      </c>
      <c r="N126" s="46">
        <f t="shared" si="6"/>
        <v>198.99843532029999</v>
      </c>
      <c r="O126" s="16"/>
      <c r="P126" s="48">
        <f t="shared" si="7"/>
        <v>6125.8938125000004</v>
      </c>
      <c r="Q126" s="16"/>
      <c r="R126" s="48">
        <f t="shared" si="8"/>
        <v>229.72897367499999</v>
      </c>
    </row>
    <row r="127" spans="1:18">
      <c r="A127" s="14" t="s">
        <v>17</v>
      </c>
      <c r="B127" s="15" t="s">
        <v>428</v>
      </c>
      <c r="C127" s="15" t="s">
        <v>429</v>
      </c>
      <c r="D127" s="14" t="s">
        <v>430</v>
      </c>
      <c r="E127" s="15" t="s">
        <v>32</v>
      </c>
      <c r="F127" s="14" t="s">
        <v>22</v>
      </c>
      <c r="G127" s="15" t="s">
        <v>23</v>
      </c>
      <c r="H127" s="15"/>
      <c r="I127" s="15">
        <v>201402</v>
      </c>
      <c r="J127" s="16">
        <v>1622.8</v>
      </c>
      <c r="K127" s="44">
        <f t="shared" si="9"/>
        <v>41944</v>
      </c>
      <c r="L127" s="45">
        <f t="shared" si="5"/>
        <v>7</v>
      </c>
      <c r="M127" s="17">
        <v>1.4833299999999999E-3</v>
      </c>
      <c r="N127" s="46">
        <f t="shared" si="6"/>
        <v>16.850035467999998</v>
      </c>
      <c r="O127" s="16"/>
      <c r="P127" s="48">
        <f t="shared" si="7"/>
        <v>780.97250000000008</v>
      </c>
      <c r="Q127" s="16"/>
      <c r="R127" s="48">
        <f t="shared" si="8"/>
        <v>29.287483000000002</v>
      </c>
    </row>
    <row r="128" spans="1:18">
      <c r="A128" s="14" t="s">
        <v>17</v>
      </c>
      <c r="B128" s="15" t="s">
        <v>456</v>
      </c>
      <c r="C128" s="15" t="s">
        <v>457</v>
      </c>
      <c r="D128" s="14" t="s">
        <v>458</v>
      </c>
      <c r="E128" s="15" t="s">
        <v>21</v>
      </c>
      <c r="F128" s="14" t="s">
        <v>22</v>
      </c>
      <c r="G128" s="15" t="s">
        <v>23</v>
      </c>
      <c r="H128" s="15"/>
      <c r="I128" s="15">
        <v>201402</v>
      </c>
      <c r="J128" s="16">
        <v>2885.53</v>
      </c>
      <c r="K128" s="44">
        <f t="shared" si="9"/>
        <v>41944</v>
      </c>
      <c r="L128" s="45">
        <f t="shared" si="5"/>
        <v>7</v>
      </c>
      <c r="M128" s="17">
        <v>1.4833299999999999E-3</v>
      </c>
      <c r="N128" s="46">
        <f t="shared" si="6"/>
        <v>29.961352504300002</v>
      </c>
      <c r="O128" s="16"/>
      <c r="P128" s="48">
        <f t="shared" si="7"/>
        <v>1388.6613125000003</v>
      </c>
      <c r="Q128" s="16"/>
      <c r="R128" s="48">
        <f t="shared" si="8"/>
        <v>52.076602675000004</v>
      </c>
    </row>
    <row r="129" spans="1:18">
      <c r="A129" s="14" t="s">
        <v>17</v>
      </c>
      <c r="B129" s="15" t="s">
        <v>480</v>
      </c>
      <c r="C129" s="15" t="s">
        <v>481</v>
      </c>
      <c r="D129" s="14" t="s">
        <v>482</v>
      </c>
      <c r="E129" s="15" t="s">
        <v>141</v>
      </c>
      <c r="F129" s="14" t="s">
        <v>142</v>
      </c>
      <c r="G129" s="15" t="s">
        <v>23</v>
      </c>
      <c r="H129" s="15"/>
      <c r="I129" s="15">
        <v>201402</v>
      </c>
      <c r="J129" s="16">
        <v>5491.13</v>
      </c>
      <c r="K129" s="44">
        <f t="shared" si="9"/>
        <v>41944</v>
      </c>
      <c r="L129" s="45">
        <f t="shared" si="5"/>
        <v>7</v>
      </c>
      <c r="M129" s="17">
        <v>1.4833299999999999E-3</v>
      </c>
      <c r="N129" s="46">
        <f t="shared" si="6"/>
        <v>57.016105040299998</v>
      </c>
      <c r="O129" s="16"/>
      <c r="P129" s="48">
        <f t="shared" si="7"/>
        <v>2642.6063125000005</v>
      </c>
      <c r="Q129" s="16"/>
      <c r="R129" s="48">
        <f t="shared" si="8"/>
        <v>99.101168675000011</v>
      </c>
    </row>
    <row r="130" spans="1:18">
      <c r="A130" s="18" t="s">
        <v>66</v>
      </c>
      <c r="B130" s="15" t="s">
        <v>499</v>
      </c>
      <c r="C130" s="15" t="s">
        <v>500</v>
      </c>
      <c r="D130" s="14" t="s">
        <v>385</v>
      </c>
      <c r="E130" s="15" t="s">
        <v>501</v>
      </c>
      <c r="F130" s="14" t="s">
        <v>387</v>
      </c>
      <c r="G130" s="15" t="s">
        <v>23</v>
      </c>
      <c r="H130" s="15"/>
      <c r="I130" s="15">
        <v>201402</v>
      </c>
      <c r="J130" s="16">
        <v>11886.9</v>
      </c>
      <c r="K130" s="44">
        <f t="shared" si="9"/>
        <v>41944</v>
      </c>
      <c r="L130" s="45">
        <f t="shared" si="5"/>
        <v>7</v>
      </c>
      <c r="M130" s="17">
        <v>2.23333E-3</v>
      </c>
      <c r="N130" s="46">
        <f t="shared" si="6"/>
        <v>185.83159263900001</v>
      </c>
      <c r="O130" s="16"/>
      <c r="P130" s="48">
        <f t="shared" si="7"/>
        <v>5720.5706250000003</v>
      </c>
      <c r="Q130" s="16"/>
      <c r="R130" s="48">
        <f t="shared" si="8"/>
        <v>214.52882775</v>
      </c>
    </row>
    <row r="131" spans="1:18">
      <c r="A131" s="14" t="s">
        <v>17</v>
      </c>
      <c r="B131" s="15" t="s">
        <v>540</v>
      </c>
      <c r="C131" s="15" t="s">
        <v>541</v>
      </c>
      <c r="D131" s="14" t="s">
        <v>542</v>
      </c>
      <c r="E131" s="15" t="s">
        <v>216</v>
      </c>
      <c r="F131" s="14" t="s">
        <v>22</v>
      </c>
      <c r="G131" s="15" t="s">
        <v>23</v>
      </c>
      <c r="H131" s="15"/>
      <c r="I131" s="15">
        <v>201402</v>
      </c>
      <c r="J131" s="16">
        <v>745.64</v>
      </c>
      <c r="K131" s="44">
        <f t="shared" si="9"/>
        <v>41944</v>
      </c>
      <c r="L131" s="45">
        <f t="shared" si="5"/>
        <v>7</v>
      </c>
      <c r="M131" s="17">
        <v>1.4833299999999999E-3</v>
      </c>
      <c r="N131" s="46">
        <f t="shared" si="6"/>
        <v>7.7422112683999993</v>
      </c>
      <c r="O131" s="16"/>
      <c r="P131" s="48">
        <f t="shared" si="7"/>
        <v>358.83925000000005</v>
      </c>
      <c r="Q131" s="16"/>
      <c r="R131" s="48">
        <f t="shared" si="8"/>
        <v>13.4569379</v>
      </c>
    </row>
    <row r="132" spans="1:18">
      <c r="A132" s="14" t="s">
        <v>17</v>
      </c>
      <c r="B132" s="15" t="s">
        <v>564</v>
      </c>
      <c r="C132" s="15" t="s">
        <v>565</v>
      </c>
      <c r="D132" s="14" t="s">
        <v>566</v>
      </c>
      <c r="E132" s="15" t="s">
        <v>567</v>
      </c>
      <c r="F132" s="14" t="s">
        <v>137</v>
      </c>
      <c r="G132" s="15" t="s">
        <v>23</v>
      </c>
      <c r="H132" s="15"/>
      <c r="I132" s="15">
        <v>201402</v>
      </c>
      <c r="J132" s="16">
        <v>10671.5</v>
      </c>
      <c r="K132" s="44">
        <f t="shared" si="9"/>
        <v>41944</v>
      </c>
      <c r="L132" s="45">
        <f t="shared" si="5"/>
        <v>7</v>
      </c>
      <c r="M132" s="17">
        <v>1.4833299999999999E-3</v>
      </c>
      <c r="N132" s="46">
        <f t="shared" si="6"/>
        <v>110.805492665</v>
      </c>
      <c r="O132" s="16"/>
      <c r="P132" s="48">
        <f t="shared" si="7"/>
        <v>5135.6593750000011</v>
      </c>
      <c r="Q132" s="16"/>
      <c r="R132" s="48">
        <f t="shared" si="8"/>
        <v>192.59389625</v>
      </c>
    </row>
    <row r="133" spans="1:18">
      <c r="A133" s="14" t="s">
        <v>17</v>
      </c>
      <c r="B133" s="15" t="s">
        <v>571</v>
      </c>
      <c r="C133" s="15" t="s">
        <v>572</v>
      </c>
      <c r="D133" s="14" t="s">
        <v>573</v>
      </c>
      <c r="E133" s="15" t="s">
        <v>574</v>
      </c>
      <c r="F133" s="14" t="s">
        <v>28</v>
      </c>
      <c r="G133" s="15" t="s">
        <v>23</v>
      </c>
      <c r="H133" s="15"/>
      <c r="I133" s="15">
        <v>201402</v>
      </c>
      <c r="J133" s="16">
        <v>561.6</v>
      </c>
      <c r="K133" s="44">
        <f t="shared" si="9"/>
        <v>41944</v>
      </c>
      <c r="L133" s="45">
        <f t="shared" si="5"/>
        <v>7</v>
      </c>
      <c r="M133" s="17">
        <v>1.4833299999999999E-3</v>
      </c>
      <c r="N133" s="46">
        <f t="shared" si="6"/>
        <v>5.8312668959999998</v>
      </c>
      <c r="O133" s="16"/>
      <c r="P133" s="48">
        <f t="shared" si="7"/>
        <v>270.27000000000004</v>
      </c>
      <c r="Q133" s="16"/>
      <c r="R133" s="48">
        <f t="shared" si="8"/>
        <v>10.135476000000001</v>
      </c>
    </row>
    <row r="134" spans="1:18">
      <c r="A134" s="14" t="s">
        <v>17</v>
      </c>
      <c r="B134" s="15" t="s">
        <v>584</v>
      </c>
      <c r="C134" s="15" t="s">
        <v>585</v>
      </c>
      <c r="D134" s="14" t="s">
        <v>586</v>
      </c>
      <c r="E134" s="15" t="s">
        <v>62</v>
      </c>
      <c r="F134" s="14" t="s">
        <v>22</v>
      </c>
      <c r="G134" s="15" t="s">
        <v>23</v>
      </c>
      <c r="H134" s="15"/>
      <c r="I134" s="15">
        <v>201402</v>
      </c>
      <c r="J134" s="16">
        <v>259809.25</v>
      </c>
      <c r="K134" s="44">
        <f t="shared" si="9"/>
        <v>41944</v>
      </c>
      <c r="L134" s="45">
        <f t="shared" ref="L134:L197" si="10">((YEAR($L$1)-YEAR(K134))*12+MONTH($L$1)-MONTH(K134))</f>
        <v>7</v>
      </c>
      <c r="M134" s="17">
        <v>1.4833299999999999E-3</v>
      </c>
      <c r="N134" s="46">
        <f t="shared" ref="N134:N197" si="11">M134*L134*J134</f>
        <v>2697.6799836175001</v>
      </c>
      <c r="O134" s="16"/>
      <c r="P134" s="48">
        <f t="shared" ref="P134:P197" si="12">$P$4*J134</f>
        <v>125033.20156250002</v>
      </c>
      <c r="Q134" s="16"/>
      <c r="R134" s="48">
        <f t="shared" ref="R134:R197" si="13">$R$4*(J134*0.5)*$T$9</f>
        <v>4688.9074393750006</v>
      </c>
    </row>
    <row r="135" spans="1:18">
      <c r="A135" s="18" t="s">
        <v>66</v>
      </c>
      <c r="B135" s="15" t="s">
        <v>595</v>
      </c>
      <c r="C135" s="15" t="s">
        <v>596</v>
      </c>
      <c r="D135" s="14" t="s">
        <v>597</v>
      </c>
      <c r="E135" s="15" t="s">
        <v>598</v>
      </c>
      <c r="F135" s="14" t="s">
        <v>212</v>
      </c>
      <c r="G135" s="15" t="s">
        <v>23</v>
      </c>
      <c r="H135" s="15"/>
      <c r="I135" s="15">
        <v>201402</v>
      </c>
      <c r="J135" s="16">
        <v>18584.84</v>
      </c>
      <c r="K135" s="44">
        <f t="shared" ref="K135:K198" si="14">+K134</f>
        <v>41944</v>
      </c>
      <c r="L135" s="45">
        <f t="shared" si="10"/>
        <v>7</v>
      </c>
      <c r="M135" s="17">
        <v>2.23333E-3</v>
      </c>
      <c r="N135" s="46">
        <f t="shared" si="11"/>
        <v>290.54256502040005</v>
      </c>
      <c r="O135" s="16"/>
      <c r="P135" s="48">
        <f t="shared" si="12"/>
        <v>8943.9542500000007</v>
      </c>
      <c r="Q135" s="16"/>
      <c r="R135" s="48">
        <f t="shared" si="13"/>
        <v>335.40989990000003</v>
      </c>
    </row>
    <row r="136" spans="1:18">
      <c r="A136" s="18" t="s">
        <v>66</v>
      </c>
      <c r="B136" s="15" t="s">
        <v>599</v>
      </c>
      <c r="C136" s="15" t="s">
        <v>600</v>
      </c>
      <c r="D136" s="14" t="s">
        <v>385</v>
      </c>
      <c r="E136" s="15" t="s">
        <v>601</v>
      </c>
      <c r="F136" s="14" t="s">
        <v>387</v>
      </c>
      <c r="G136" s="15" t="s">
        <v>23</v>
      </c>
      <c r="H136" s="15"/>
      <c r="I136" s="15">
        <v>201402</v>
      </c>
      <c r="J136" s="16">
        <v>-696.29</v>
      </c>
      <c r="K136" s="44">
        <f t="shared" si="14"/>
        <v>41944</v>
      </c>
      <c r="L136" s="45">
        <f t="shared" si="10"/>
        <v>7</v>
      </c>
      <c r="M136" s="17">
        <v>2.23333E-3</v>
      </c>
      <c r="N136" s="46">
        <f t="shared" si="11"/>
        <v>-10.8853174199</v>
      </c>
      <c r="O136" s="16"/>
      <c r="P136" s="48">
        <f t="shared" si="12"/>
        <v>-335.08956250000006</v>
      </c>
      <c r="Q136" s="16"/>
      <c r="R136" s="48">
        <f t="shared" si="13"/>
        <v>-12.566293775</v>
      </c>
    </row>
    <row r="137" spans="1:18">
      <c r="A137" s="14" t="s">
        <v>17</v>
      </c>
      <c r="B137" s="15" t="s">
        <v>614</v>
      </c>
      <c r="C137" s="15" t="s">
        <v>615</v>
      </c>
      <c r="D137" s="14" t="s">
        <v>616</v>
      </c>
      <c r="E137" s="15" t="s">
        <v>40</v>
      </c>
      <c r="F137" s="14" t="s">
        <v>41</v>
      </c>
      <c r="G137" s="15" t="s">
        <v>23</v>
      </c>
      <c r="H137" s="15"/>
      <c r="I137" s="15">
        <v>201402</v>
      </c>
      <c r="J137" s="16">
        <v>5715.76</v>
      </c>
      <c r="K137" s="44">
        <f t="shared" si="14"/>
        <v>41944</v>
      </c>
      <c r="L137" s="45">
        <f t="shared" si="10"/>
        <v>7</v>
      </c>
      <c r="M137" s="17">
        <v>1.4833299999999999E-3</v>
      </c>
      <c r="N137" s="46">
        <f t="shared" si="11"/>
        <v>59.3485079656</v>
      </c>
      <c r="O137" s="16"/>
      <c r="P137" s="48">
        <f t="shared" si="12"/>
        <v>2750.7095000000004</v>
      </c>
      <c r="Q137" s="16"/>
      <c r="R137" s="48">
        <f t="shared" si="13"/>
        <v>103.15517860000001</v>
      </c>
    </row>
    <row r="138" spans="1:18">
      <c r="A138" s="14" t="s">
        <v>17</v>
      </c>
      <c r="B138" s="15" t="s">
        <v>625</v>
      </c>
      <c r="C138" s="15" t="s">
        <v>626</v>
      </c>
      <c r="D138" s="14" t="s">
        <v>627</v>
      </c>
      <c r="E138" s="15" t="s">
        <v>62</v>
      </c>
      <c r="F138" s="14" t="s">
        <v>22</v>
      </c>
      <c r="G138" s="15" t="s">
        <v>23</v>
      </c>
      <c r="H138" s="15"/>
      <c r="I138" s="15">
        <v>201402</v>
      </c>
      <c r="J138" s="16">
        <v>29515</v>
      </c>
      <c r="K138" s="44">
        <f t="shared" si="14"/>
        <v>41944</v>
      </c>
      <c r="L138" s="45">
        <f t="shared" si="10"/>
        <v>7</v>
      </c>
      <c r="M138" s="17">
        <v>1.4833299999999999E-3</v>
      </c>
      <c r="N138" s="46">
        <f t="shared" si="11"/>
        <v>306.46339465</v>
      </c>
      <c r="O138" s="16"/>
      <c r="P138" s="48">
        <f t="shared" si="12"/>
        <v>14204.093750000002</v>
      </c>
      <c r="Q138" s="16"/>
      <c r="R138" s="48">
        <f t="shared" si="13"/>
        <v>532.67196250000006</v>
      </c>
    </row>
    <row r="139" spans="1:18">
      <c r="A139" s="14" t="s">
        <v>17</v>
      </c>
      <c r="B139" s="15" t="s">
        <v>640</v>
      </c>
      <c r="C139" s="15" t="s">
        <v>641</v>
      </c>
      <c r="D139" s="14" t="s">
        <v>642</v>
      </c>
      <c r="E139" s="15" t="s">
        <v>362</v>
      </c>
      <c r="F139" s="14" t="s">
        <v>41</v>
      </c>
      <c r="G139" s="15" t="s">
        <v>23</v>
      </c>
      <c r="H139" s="15"/>
      <c r="I139" s="15">
        <v>201402</v>
      </c>
      <c r="J139" s="16">
        <v>4417.91</v>
      </c>
      <c r="K139" s="44">
        <f t="shared" si="14"/>
        <v>41944</v>
      </c>
      <c r="L139" s="45">
        <f t="shared" si="10"/>
        <v>7</v>
      </c>
      <c r="M139" s="17">
        <v>1.4833299999999999E-3</v>
      </c>
      <c r="N139" s="46">
        <f t="shared" si="11"/>
        <v>45.872529082099994</v>
      </c>
      <c r="O139" s="16"/>
      <c r="P139" s="48">
        <f t="shared" si="12"/>
        <v>2126.1191875000004</v>
      </c>
      <c r="Q139" s="16"/>
      <c r="R139" s="48">
        <f t="shared" si="13"/>
        <v>79.732230725000008</v>
      </c>
    </row>
    <row r="140" spans="1:18">
      <c r="A140" s="18" t="s">
        <v>66</v>
      </c>
      <c r="B140" s="15" t="s">
        <v>674</v>
      </c>
      <c r="C140" s="15" t="s">
        <v>675</v>
      </c>
      <c r="D140" s="14" t="s">
        <v>385</v>
      </c>
      <c r="E140" s="15" t="s">
        <v>676</v>
      </c>
      <c r="F140" s="14" t="s">
        <v>387</v>
      </c>
      <c r="G140" s="15" t="s">
        <v>23</v>
      </c>
      <c r="H140" s="15"/>
      <c r="I140" s="15">
        <v>201402</v>
      </c>
      <c r="J140" s="16">
        <v>3898.57</v>
      </c>
      <c r="K140" s="44">
        <f t="shared" si="14"/>
        <v>41944</v>
      </c>
      <c r="L140" s="45">
        <f t="shared" si="10"/>
        <v>7</v>
      </c>
      <c r="M140" s="17">
        <v>2.23333E-3</v>
      </c>
      <c r="N140" s="46">
        <f t="shared" si="11"/>
        <v>60.947553366700006</v>
      </c>
      <c r="O140" s="16"/>
      <c r="P140" s="48">
        <f t="shared" si="12"/>
        <v>1876.1868125000003</v>
      </c>
      <c r="Q140" s="16"/>
      <c r="R140" s="48">
        <f t="shared" si="13"/>
        <v>70.359442075000004</v>
      </c>
    </row>
    <row r="141" spans="1:18">
      <c r="A141" s="14" t="s">
        <v>17</v>
      </c>
      <c r="B141" s="15" t="s">
        <v>688</v>
      </c>
      <c r="C141" s="15" t="s">
        <v>689</v>
      </c>
      <c r="D141" s="14" t="s">
        <v>690</v>
      </c>
      <c r="E141" s="15" t="s">
        <v>141</v>
      </c>
      <c r="F141" s="14" t="s">
        <v>142</v>
      </c>
      <c r="G141" s="15" t="s">
        <v>23</v>
      </c>
      <c r="H141" s="15"/>
      <c r="I141" s="15">
        <v>201402</v>
      </c>
      <c r="J141" s="16">
        <v>318.83999999999997</v>
      </c>
      <c r="K141" s="44">
        <f t="shared" si="14"/>
        <v>41944</v>
      </c>
      <c r="L141" s="45">
        <f t="shared" si="10"/>
        <v>7</v>
      </c>
      <c r="M141" s="17">
        <v>1.4833299999999999E-3</v>
      </c>
      <c r="N141" s="46">
        <f t="shared" si="11"/>
        <v>3.3106145603999995</v>
      </c>
      <c r="O141" s="16"/>
      <c r="P141" s="48">
        <f t="shared" si="12"/>
        <v>153.44175000000001</v>
      </c>
      <c r="Q141" s="16"/>
      <c r="R141" s="48">
        <f t="shared" si="13"/>
        <v>5.7542648999999999</v>
      </c>
    </row>
    <row r="142" spans="1:18">
      <c r="A142" s="14" t="s">
        <v>17</v>
      </c>
      <c r="B142" s="15" t="s">
        <v>716</v>
      </c>
      <c r="C142" s="15" t="s">
        <v>717</v>
      </c>
      <c r="D142" s="14" t="s">
        <v>718</v>
      </c>
      <c r="E142" s="15" t="s">
        <v>104</v>
      </c>
      <c r="F142" s="14" t="s">
        <v>41</v>
      </c>
      <c r="G142" s="15" t="s">
        <v>23</v>
      </c>
      <c r="H142" s="15"/>
      <c r="I142" s="15">
        <v>201402</v>
      </c>
      <c r="J142" s="16">
        <v>0</v>
      </c>
      <c r="K142" s="44">
        <f t="shared" si="14"/>
        <v>41944</v>
      </c>
      <c r="L142" s="45">
        <f t="shared" si="10"/>
        <v>7</v>
      </c>
      <c r="M142" s="17">
        <v>1.4833299999999999E-3</v>
      </c>
      <c r="N142" s="46">
        <f t="shared" si="11"/>
        <v>0</v>
      </c>
      <c r="O142" s="16"/>
      <c r="P142" s="48">
        <f t="shared" si="12"/>
        <v>0</v>
      </c>
      <c r="Q142" s="16"/>
      <c r="R142" s="48">
        <f t="shared" si="13"/>
        <v>0</v>
      </c>
    </row>
    <row r="143" spans="1:18">
      <c r="A143" s="18" t="s">
        <v>66</v>
      </c>
      <c r="B143" s="15" t="s">
        <v>734</v>
      </c>
      <c r="C143" s="15" t="s">
        <v>735</v>
      </c>
      <c r="D143" s="14" t="s">
        <v>736</v>
      </c>
      <c r="E143" s="15" t="s">
        <v>737</v>
      </c>
      <c r="F143" s="14" t="s">
        <v>624</v>
      </c>
      <c r="G143" s="15" t="s">
        <v>23</v>
      </c>
      <c r="H143" s="15"/>
      <c r="I143" s="15">
        <v>201402</v>
      </c>
      <c r="J143" s="16">
        <v>5168.32</v>
      </c>
      <c r="K143" s="44">
        <f t="shared" si="14"/>
        <v>41944</v>
      </c>
      <c r="L143" s="45">
        <f t="shared" si="10"/>
        <v>7</v>
      </c>
      <c r="M143" s="17">
        <v>2.23333E-3</v>
      </c>
      <c r="N143" s="46">
        <f t="shared" si="11"/>
        <v>80.797948739199995</v>
      </c>
      <c r="O143" s="16"/>
      <c r="P143" s="48">
        <f t="shared" si="12"/>
        <v>2487.2540000000004</v>
      </c>
      <c r="Q143" s="16"/>
      <c r="R143" s="48">
        <f t="shared" si="13"/>
        <v>93.275255200000004</v>
      </c>
    </row>
    <row r="144" spans="1:18">
      <c r="A144" s="18" t="s">
        <v>66</v>
      </c>
      <c r="B144" s="15" t="s">
        <v>741</v>
      </c>
      <c r="C144" s="15" t="s">
        <v>742</v>
      </c>
      <c r="D144" s="14" t="s">
        <v>69</v>
      </c>
      <c r="E144" s="15" t="s">
        <v>70</v>
      </c>
      <c r="F144" s="14" t="s">
        <v>71</v>
      </c>
      <c r="G144" s="15" t="s">
        <v>23</v>
      </c>
      <c r="H144" s="15"/>
      <c r="I144" s="15">
        <v>201402</v>
      </c>
      <c r="J144" s="16">
        <v>-3066.82</v>
      </c>
      <c r="K144" s="44">
        <f t="shared" si="14"/>
        <v>41944</v>
      </c>
      <c r="L144" s="45">
        <f t="shared" si="10"/>
        <v>7</v>
      </c>
      <c r="M144" s="17">
        <v>2.23333E-3</v>
      </c>
      <c r="N144" s="46">
        <f t="shared" si="11"/>
        <v>-47.944547774200004</v>
      </c>
      <c r="O144" s="16"/>
      <c r="P144" s="48">
        <f t="shared" si="12"/>
        <v>-1475.9071250000002</v>
      </c>
      <c r="Q144" s="16"/>
      <c r="R144" s="48">
        <f t="shared" si="13"/>
        <v>-55.348433950000008</v>
      </c>
    </row>
    <row r="145" spans="1:18">
      <c r="A145" s="18" t="s">
        <v>66</v>
      </c>
      <c r="B145" s="15" t="s">
        <v>743</v>
      </c>
      <c r="C145" s="15" t="s">
        <v>744</v>
      </c>
      <c r="D145" s="14" t="s">
        <v>745</v>
      </c>
      <c r="E145" s="15" t="s">
        <v>746</v>
      </c>
      <c r="F145" s="14" t="s">
        <v>80</v>
      </c>
      <c r="G145" s="15" t="s">
        <v>23</v>
      </c>
      <c r="H145" s="15"/>
      <c r="I145" s="15">
        <v>201402</v>
      </c>
      <c r="J145" s="16">
        <v>2049.38</v>
      </c>
      <c r="K145" s="44">
        <f t="shared" si="14"/>
        <v>41944</v>
      </c>
      <c r="L145" s="45">
        <f t="shared" si="10"/>
        <v>7</v>
      </c>
      <c r="M145" s="17">
        <v>2.23333E-3</v>
      </c>
      <c r="N145" s="46">
        <f t="shared" si="11"/>
        <v>32.038592847800004</v>
      </c>
      <c r="O145" s="16"/>
      <c r="P145" s="48">
        <f t="shared" si="12"/>
        <v>986.26412500000015</v>
      </c>
      <c r="Q145" s="16"/>
      <c r="R145" s="48">
        <f t="shared" si="13"/>
        <v>36.986185550000002</v>
      </c>
    </row>
    <row r="146" spans="1:18">
      <c r="A146" s="18" t="s">
        <v>66</v>
      </c>
      <c r="B146" s="15" t="s">
        <v>747</v>
      </c>
      <c r="C146" s="15" t="s">
        <v>748</v>
      </c>
      <c r="D146" s="14" t="s">
        <v>78</v>
      </c>
      <c r="E146" s="15" t="s">
        <v>749</v>
      </c>
      <c r="F146" s="14" t="s">
        <v>80</v>
      </c>
      <c r="G146" s="15" t="s">
        <v>23</v>
      </c>
      <c r="H146" s="15"/>
      <c r="I146" s="15">
        <v>201402</v>
      </c>
      <c r="J146" s="16">
        <v>692.52</v>
      </c>
      <c r="K146" s="44">
        <f t="shared" si="14"/>
        <v>41944</v>
      </c>
      <c r="L146" s="45">
        <f t="shared" si="10"/>
        <v>7</v>
      </c>
      <c r="M146" s="17">
        <v>2.23333E-3</v>
      </c>
      <c r="N146" s="46">
        <f t="shared" si="11"/>
        <v>10.8263798412</v>
      </c>
      <c r="O146" s="16"/>
      <c r="P146" s="48">
        <f t="shared" si="12"/>
        <v>333.27525000000003</v>
      </c>
      <c r="Q146" s="16"/>
      <c r="R146" s="48">
        <f t="shared" si="13"/>
        <v>12.4982547</v>
      </c>
    </row>
    <row r="147" spans="1:18">
      <c r="A147" s="18" t="s">
        <v>66</v>
      </c>
      <c r="B147" s="15" t="s">
        <v>753</v>
      </c>
      <c r="C147" s="15" t="s">
        <v>754</v>
      </c>
      <c r="D147" s="14" t="s">
        <v>206</v>
      </c>
      <c r="E147" s="15" t="s">
        <v>755</v>
      </c>
      <c r="F147" s="14" t="s">
        <v>97</v>
      </c>
      <c r="G147" s="15" t="s">
        <v>23</v>
      </c>
      <c r="H147" s="15"/>
      <c r="I147" s="15">
        <v>201402</v>
      </c>
      <c r="J147" s="16">
        <v>1541.66</v>
      </c>
      <c r="K147" s="44">
        <f t="shared" si="14"/>
        <v>41944</v>
      </c>
      <c r="L147" s="45">
        <f t="shared" si="10"/>
        <v>7</v>
      </c>
      <c r="M147" s="17">
        <v>2.23333E-3</v>
      </c>
      <c r="N147" s="46">
        <f t="shared" si="11"/>
        <v>24.101248694600002</v>
      </c>
      <c r="O147" s="16"/>
      <c r="P147" s="48">
        <f t="shared" si="12"/>
        <v>741.92387500000018</v>
      </c>
      <c r="Q147" s="16"/>
      <c r="R147" s="48">
        <f t="shared" si="13"/>
        <v>27.823108850000004</v>
      </c>
    </row>
    <row r="148" spans="1:18">
      <c r="A148" s="14" t="s">
        <v>238</v>
      </c>
      <c r="B148" s="15" t="s">
        <v>774</v>
      </c>
      <c r="C148" s="15" t="s">
        <v>775</v>
      </c>
      <c r="D148" s="14" t="s">
        <v>776</v>
      </c>
      <c r="E148" s="15" t="s">
        <v>168</v>
      </c>
      <c r="F148" s="14" t="s">
        <v>169</v>
      </c>
      <c r="G148" s="15" t="s">
        <v>23</v>
      </c>
      <c r="H148" s="15"/>
      <c r="I148" s="15">
        <v>201402</v>
      </c>
      <c r="J148" s="16">
        <v>9697.0300000000007</v>
      </c>
      <c r="K148" s="44">
        <f t="shared" si="14"/>
        <v>41944</v>
      </c>
      <c r="L148" s="45">
        <f t="shared" si="10"/>
        <v>7</v>
      </c>
      <c r="M148" s="17">
        <v>2.3833299999999999E-3</v>
      </c>
      <c r="N148" s="46">
        <f t="shared" si="11"/>
        <v>161.77855756930001</v>
      </c>
      <c r="O148" s="16"/>
      <c r="P148" s="48">
        <f t="shared" si="12"/>
        <v>4666.6956875000005</v>
      </c>
      <c r="Q148" s="16"/>
      <c r="R148" s="48">
        <f t="shared" si="13"/>
        <v>175.00714892500002</v>
      </c>
    </row>
    <row r="149" spans="1:18">
      <c r="A149" s="14" t="s">
        <v>17</v>
      </c>
      <c r="B149" s="15" t="s">
        <v>780</v>
      </c>
      <c r="C149" s="15" t="s">
        <v>781</v>
      </c>
      <c r="D149" s="14" t="s">
        <v>782</v>
      </c>
      <c r="E149" s="15" t="s">
        <v>141</v>
      </c>
      <c r="F149" s="14" t="s">
        <v>142</v>
      </c>
      <c r="G149" s="15" t="s">
        <v>23</v>
      </c>
      <c r="H149" s="15"/>
      <c r="I149" s="15">
        <v>201402</v>
      </c>
      <c r="J149" s="16">
        <v>9567.25</v>
      </c>
      <c r="K149" s="44">
        <f t="shared" si="14"/>
        <v>41944</v>
      </c>
      <c r="L149" s="45">
        <f t="shared" si="10"/>
        <v>7</v>
      </c>
      <c r="M149" s="17">
        <v>1.4833299999999999E-3</v>
      </c>
      <c r="N149" s="46">
        <f t="shared" si="11"/>
        <v>99.3397225975</v>
      </c>
      <c r="O149" s="16"/>
      <c r="P149" s="48">
        <f t="shared" si="12"/>
        <v>4604.2390625000007</v>
      </c>
      <c r="Q149" s="16"/>
      <c r="R149" s="48">
        <f t="shared" si="13"/>
        <v>172.664944375</v>
      </c>
    </row>
    <row r="150" spans="1:18">
      <c r="A150" s="14" t="s">
        <v>17</v>
      </c>
      <c r="B150" s="15" t="s">
        <v>786</v>
      </c>
      <c r="C150" s="15" t="s">
        <v>787</v>
      </c>
      <c r="D150" s="14" t="s">
        <v>788</v>
      </c>
      <c r="E150" s="15" t="s">
        <v>246</v>
      </c>
      <c r="F150" s="14" t="s">
        <v>247</v>
      </c>
      <c r="G150" s="15" t="s">
        <v>23</v>
      </c>
      <c r="H150" s="15"/>
      <c r="I150" s="15">
        <v>201402</v>
      </c>
      <c r="J150" s="16">
        <v>-212281.31</v>
      </c>
      <c r="K150" s="44">
        <f t="shared" si="14"/>
        <v>41944</v>
      </c>
      <c r="L150" s="45">
        <f t="shared" si="10"/>
        <v>7</v>
      </c>
      <c r="M150" s="17">
        <v>1.4833299999999999E-3</v>
      </c>
      <c r="N150" s="46">
        <f t="shared" si="11"/>
        <v>-2204.1826489361001</v>
      </c>
      <c r="O150" s="16"/>
      <c r="P150" s="48">
        <f t="shared" si="12"/>
        <v>-102160.38043750002</v>
      </c>
      <c r="Q150" s="16"/>
      <c r="R150" s="48">
        <f t="shared" si="13"/>
        <v>-3831.1469422250002</v>
      </c>
    </row>
    <row r="151" spans="1:18">
      <c r="A151" s="14" t="s">
        <v>242</v>
      </c>
      <c r="B151" s="15" t="s">
        <v>786</v>
      </c>
      <c r="C151" s="15" t="s">
        <v>787</v>
      </c>
      <c r="D151" s="14" t="s">
        <v>788</v>
      </c>
      <c r="E151" s="15" t="s">
        <v>246</v>
      </c>
      <c r="F151" s="14" t="s">
        <v>247</v>
      </c>
      <c r="G151" s="15" t="s">
        <v>23</v>
      </c>
      <c r="H151" s="15"/>
      <c r="I151" s="15">
        <v>201402</v>
      </c>
      <c r="J151" s="16">
        <v>218607.59</v>
      </c>
      <c r="K151" s="44">
        <f t="shared" si="14"/>
        <v>41944</v>
      </c>
      <c r="L151" s="45">
        <f t="shared" si="10"/>
        <v>7</v>
      </c>
      <c r="M151" s="17">
        <v>1.4833299999999999E-3</v>
      </c>
      <c r="N151" s="46">
        <f t="shared" si="11"/>
        <v>2269.8703753228997</v>
      </c>
      <c r="O151" s="16"/>
      <c r="P151" s="48">
        <f t="shared" si="12"/>
        <v>105204.90268750001</v>
      </c>
      <c r="Q151" s="16"/>
      <c r="R151" s="48">
        <f t="shared" si="13"/>
        <v>3945.3204805250002</v>
      </c>
    </row>
    <row r="152" spans="1:18">
      <c r="A152" s="14" t="s">
        <v>17</v>
      </c>
      <c r="B152" s="15" t="s">
        <v>1435</v>
      </c>
      <c r="C152" s="15" t="s">
        <v>1436</v>
      </c>
      <c r="D152" s="14" t="s">
        <v>1437</v>
      </c>
      <c r="E152" s="15" t="s">
        <v>667</v>
      </c>
      <c r="F152" s="14" t="s">
        <v>28</v>
      </c>
      <c r="G152" s="15" t="s">
        <v>23</v>
      </c>
      <c r="H152" s="15"/>
      <c r="I152" s="15">
        <v>201402</v>
      </c>
      <c r="J152" s="16">
        <v>-2006.88</v>
      </c>
      <c r="K152" s="44">
        <f t="shared" si="14"/>
        <v>41944</v>
      </c>
      <c r="L152" s="45">
        <f t="shared" si="10"/>
        <v>7</v>
      </c>
      <c r="M152" s="17">
        <v>1.4833299999999999E-3</v>
      </c>
      <c r="N152" s="46">
        <f t="shared" si="11"/>
        <v>-20.838057172799999</v>
      </c>
      <c r="O152" s="16"/>
      <c r="P152" s="48">
        <f t="shared" si="12"/>
        <v>-965.81100000000015</v>
      </c>
      <c r="Q152" s="16"/>
      <c r="R152" s="48">
        <f t="shared" si="13"/>
        <v>-36.219166800000004</v>
      </c>
    </row>
    <row r="153" spans="1:18">
      <c r="A153" s="14" t="s">
        <v>17</v>
      </c>
      <c r="B153" s="15" t="s">
        <v>18</v>
      </c>
      <c r="C153" s="15" t="s">
        <v>19</v>
      </c>
      <c r="D153" s="14" t="s">
        <v>20</v>
      </c>
      <c r="E153" s="15" t="s">
        <v>21</v>
      </c>
      <c r="F153" s="14" t="s">
        <v>22</v>
      </c>
      <c r="G153" s="15" t="s">
        <v>23</v>
      </c>
      <c r="H153" s="15"/>
      <c r="I153" s="15">
        <v>201403</v>
      </c>
      <c r="J153" s="16">
        <v>9889.7800000000007</v>
      </c>
      <c r="K153" s="44">
        <f t="shared" si="14"/>
        <v>41944</v>
      </c>
      <c r="L153" s="45">
        <f t="shared" si="10"/>
        <v>7</v>
      </c>
      <c r="M153" s="17">
        <v>1.4833299999999999E-3</v>
      </c>
      <c r="N153" s="46">
        <f t="shared" si="11"/>
        <v>102.68865157180001</v>
      </c>
      <c r="O153" s="16"/>
      <c r="P153" s="48">
        <f t="shared" si="12"/>
        <v>4759.4566250000007</v>
      </c>
      <c r="Q153" s="16"/>
      <c r="R153" s="48">
        <f t="shared" si="13"/>
        <v>178.48580455000001</v>
      </c>
    </row>
    <row r="154" spans="1:18">
      <c r="A154" s="18" t="s">
        <v>66</v>
      </c>
      <c r="B154" s="15" t="s">
        <v>72</v>
      </c>
      <c r="C154" s="15" t="s">
        <v>73</v>
      </c>
      <c r="D154" s="14" t="s">
        <v>74</v>
      </c>
      <c r="E154" s="15" t="s">
        <v>75</v>
      </c>
      <c r="F154" s="14" t="s">
        <v>71</v>
      </c>
      <c r="G154" s="15" t="s">
        <v>23</v>
      </c>
      <c r="H154" s="15"/>
      <c r="I154" s="15">
        <v>201403</v>
      </c>
      <c r="J154" s="16">
        <v>14525.83</v>
      </c>
      <c r="K154" s="44">
        <f t="shared" si="14"/>
        <v>41944</v>
      </c>
      <c r="L154" s="45">
        <f t="shared" si="10"/>
        <v>7</v>
      </c>
      <c r="M154" s="17">
        <v>2.23333E-3</v>
      </c>
      <c r="N154" s="46">
        <f t="shared" si="11"/>
        <v>227.0868033973</v>
      </c>
      <c r="O154" s="16"/>
      <c r="P154" s="48">
        <f t="shared" si="12"/>
        <v>6990.5556875000011</v>
      </c>
      <c r="Q154" s="16"/>
      <c r="R154" s="48">
        <f t="shared" si="13"/>
        <v>262.15491692500001</v>
      </c>
    </row>
    <row r="155" spans="1:18">
      <c r="A155" s="18" t="s">
        <v>66</v>
      </c>
      <c r="B155" s="15" t="s">
        <v>81</v>
      </c>
      <c r="C155" s="15" t="s">
        <v>82</v>
      </c>
      <c r="D155" s="14" t="s">
        <v>83</v>
      </c>
      <c r="E155" s="15" t="s">
        <v>84</v>
      </c>
      <c r="F155" s="14" t="s">
        <v>85</v>
      </c>
      <c r="G155" s="15" t="s">
        <v>23</v>
      </c>
      <c r="H155" s="15"/>
      <c r="I155" s="15">
        <v>201403</v>
      </c>
      <c r="J155" s="16">
        <v>39220.269999999997</v>
      </c>
      <c r="K155" s="44">
        <f t="shared" si="14"/>
        <v>41944</v>
      </c>
      <c r="L155" s="45">
        <f t="shared" si="10"/>
        <v>7</v>
      </c>
      <c r="M155" s="17">
        <v>2.23333E-3</v>
      </c>
      <c r="N155" s="46">
        <f t="shared" si="11"/>
        <v>613.14263919370001</v>
      </c>
      <c r="O155" s="16"/>
      <c r="P155" s="48">
        <f t="shared" si="12"/>
        <v>18874.754937500002</v>
      </c>
      <c r="Q155" s="16"/>
      <c r="R155" s="48">
        <f t="shared" si="13"/>
        <v>707.827822825</v>
      </c>
    </row>
    <row r="156" spans="1:18">
      <c r="A156" s="18" t="s">
        <v>66</v>
      </c>
      <c r="B156" s="15" t="s">
        <v>90</v>
      </c>
      <c r="C156" s="15" t="s">
        <v>91</v>
      </c>
      <c r="D156" s="14" t="s">
        <v>78</v>
      </c>
      <c r="E156" s="15" t="s">
        <v>92</v>
      </c>
      <c r="F156" s="14" t="s">
        <v>80</v>
      </c>
      <c r="G156" s="15" t="s">
        <v>23</v>
      </c>
      <c r="H156" s="15"/>
      <c r="I156" s="15">
        <v>201403</v>
      </c>
      <c r="J156" s="16">
        <v>-1375.42</v>
      </c>
      <c r="K156" s="44">
        <f t="shared" si="14"/>
        <v>41944</v>
      </c>
      <c r="L156" s="45">
        <f t="shared" si="10"/>
        <v>7</v>
      </c>
      <c r="M156" s="17">
        <v>2.23333E-3</v>
      </c>
      <c r="N156" s="46">
        <f t="shared" si="11"/>
        <v>-21.502367240200002</v>
      </c>
      <c r="O156" s="16"/>
      <c r="P156" s="48">
        <f t="shared" si="12"/>
        <v>-661.92087500000014</v>
      </c>
      <c r="Q156" s="16"/>
      <c r="R156" s="48">
        <f t="shared" si="13"/>
        <v>-24.822892450000001</v>
      </c>
    </row>
    <row r="157" spans="1:18">
      <c r="A157" s="18" t="s">
        <v>66</v>
      </c>
      <c r="B157" s="15" t="s">
        <v>93</v>
      </c>
      <c r="C157" s="15" t="s">
        <v>94</v>
      </c>
      <c r="D157" s="14" t="s">
        <v>95</v>
      </c>
      <c r="E157" s="15" t="s">
        <v>96</v>
      </c>
      <c r="F157" s="14" t="s">
        <v>97</v>
      </c>
      <c r="G157" s="15" t="s">
        <v>23</v>
      </c>
      <c r="H157" s="15"/>
      <c r="I157" s="15">
        <v>201403</v>
      </c>
      <c r="J157" s="16">
        <v>2602.2800000000002</v>
      </c>
      <c r="K157" s="44">
        <f t="shared" si="14"/>
        <v>41944</v>
      </c>
      <c r="L157" s="45">
        <f t="shared" si="10"/>
        <v>7</v>
      </c>
      <c r="M157" s="17">
        <v>2.23333E-3</v>
      </c>
      <c r="N157" s="46">
        <f t="shared" si="11"/>
        <v>40.682249946800006</v>
      </c>
      <c r="O157" s="16"/>
      <c r="P157" s="48">
        <f t="shared" si="12"/>
        <v>1252.3472500000003</v>
      </c>
      <c r="Q157" s="16"/>
      <c r="R157" s="48">
        <f t="shared" si="13"/>
        <v>46.964648300000007</v>
      </c>
    </row>
    <row r="158" spans="1:18">
      <c r="A158" s="14" t="s">
        <v>17</v>
      </c>
      <c r="B158" s="15" t="s">
        <v>105</v>
      </c>
      <c r="C158" s="15" t="s">
        <v>106</v>
      </c>
      <c r="D158" s="14" t="s">
        <v>107</v>
      </c>
      <c r="E158" s="15" t="s">
        <v>108</v>
      </c>
      <c r="F158" s="14" t="s">
        <v>28</v>
      </c>
      <c r="G158" s="15" t="s">
        <v>23</v>
      </c>
      <c r="H158" s="15"/>
      <c r="I158" s="15">
        <v>201403</v>
      </c>
      <c r="J158" s="16">
        <v>1416</v>
      </c>
      <c r="K158" s="44">
        <f t="shared" si="14"/>
        <v>41944</v>
      </c>
      <c r="L158" s="45">
        <f t="shared" si="10"/>
        <v>7</v>
      </c>
      <c r="M158" s="17">
        <v>1.4833299999999999E-3</v>
      </c>
      <c r="N158" s="46">
        <f t="shared" si="11"/>
        <v>14.70276696</v>
      </c>
      <c r="O158" s="16"/>
      <c r="P158" s="48">
        <f t="shared" si="12"/>
        <v>681.45</v>
      </c>
      <c r="Q158" s="16"/>
      <c r="R158" s="48">
        <f t="shared" si="13"/>
        <v>25.555260000000001</v>
      </c>
    </row>
    <row r="159" spans="1:18">
      <c r="A159" s="14" t="s">
        <v>17</v>
      </c>
      <c r="B159" s="15" t="s">
        <v>122</v>
      </c>
      <c r="C159" s="15" t="s">
        <v>123</v>
      </c>
      <c r="D159" s="14" t="s">
        <v>124</v>
      </c>
      <c r="E159" s="15" t="s">
        <v>125</v>
      </c>
      <c r="F159" s="14" t="s">
        <v>126</v>
      </c>
      <c r="G159" s="15" t="s">
        <v>23</v>
      </c>
      <c r="H159" s="15"/>
      <c r="I159" s="15">
        <v>201403</v>
      </c>
      <c r="J159" s="16">
        <v>156</v>
      </c>
      <c r="K159" s="44">
        <f t="shared" si="14"/>
        <v>41944</v>
      </c>
      <c r="L159" s="45">
        <f t="shared" si="10"/>
        <v>7</v>
      </c>
      <c r="M159" s="17">
        <v>1.4833299999999999E-3</v>
      </c>
      <c r="N159" s="46">
        <f t="shared" si="11"/>
        <v>1.61979636</v>
      </c>
      <c r="O159" s="16"/>
      <c r="P159" s="48">
        <f t="shared" si="12"/>
        <v>75.075000000000017</v>
      </c>
      <c r="Q159" s="16"/>
      <c r="R159" s="48">
        <f t="shared" si="13"/>
        <v>2.81541</v>
      </c>
    </row>
    <row r="160" spans="1:18">
      <c r="A160" s="14" t="s">
        <v>17</v>
      </c>
      <c r="B160" s="15" t="s">
        <v>138</v>
      </c>
      <c r="C160" s="15" t="s">
        <v>139</v>
      </c>
      <c r="D160" s="14" t="s">
        <v>140</v>
      </c>
      <c r="E160" s="15" t="s">
        <v>141</v>
      </c>
      <c r="F160" s="14" t="s">
        <v>142</v>
      </c>
      <c r="G160" s="15" t="s">
        <v>23</v>
      </c>
      <c r="H160" s="15"/>
      <c r="I160" s="15">
        <v>201403</v>
      </c>
      <c r="J160" s="16">
        <v>44675.06</v>
      </c>
      <c r="K160" s="44">
        <f t="shared" si="14"/>
        <v>41944</v>
      </c>
      <c r="L160" s="45">
        <f t="shared" si="10"/>
        <v>7</v>
      </c>
      <c r="M160" s="17">
        <v>1.4833299999999999E-3</v>
      </c>
      <c r="N160" s="46">
        <f t="shared" si="11"/>
        <v>463.87499724859998</v>
      </c>
      <c r="O160" s="16"/>
      <c r="P160" s="48">
        <f t="shared" si="12"/>
        <v>21499.872625000004</v>
      </c>
      <c r="Q160" s="16"/>
      <c r="R160" s="48">
        <f t="shared" si="13"/>
        <v>806.27314535000005</v>
      </c>
    </row>
    <row r="161" spans="1:18">
      <c r="A161" s="14" t="s">
        <v>17</v>
      </c>
      <c r="B161" s="15" t="s">
        <v>143</v>
      </c>
      <c r="C161" s="15" t="s">
        <v>144</v>
      </c>
      <c r="D161" s="14" t="s">
        <v>145</v>
      </c>
      <c r="E161" s="15" t="s">
        <v>62</v>
      </c>
      <c r="F161" s="14" t="s">
        <v>22</v>
      </c>
      <c r="G161" s="15" t="s">
        <v>23</v>
      </c>
      <c r="H161" s="15"/>
      <c r="I161" s="15">
        <v>201403</v>
      </c>
      <c r="J161" s="16">
        <v>-38.24</v>
      </c>
      <c r="K161" s="44">
        <f t="shared" si="14"/>
        <v>41944</v>
      </c>
      <c r="L161" s="45">
        <f t="shared" si="10"/>
        <v>7</v>
      </c>
      <c r="M161" s="17">
        <v>1.4833299999999999E-3</v>
      </c>
      <c r="N161" s="46">
        <f t="shared" si="11"/>
        <v>-0.39705777440000001</v>
      </c>
      <c r="O161" s="16"/>
      <c r="P161" s="48">
        <f t="shared" si="12"/>
        <v>-18.403000000000002</v>
      </c>
      <c r="Q161" s="16"/>
      <c r="R161" s="48">
        <f t="shared" si="13"/>
        <v>-0.69013640000000009</v>
      </c>
    </row>
    <row r="162" spans="1:18">
      <c r="A162" s="14" t="s">
        <v>17</v>
      </c>
      <c r="B162" s="15" t="s">
        <v>155</v>
      </c>
      <c r="C162" s="15" t="s">
        <v>156</v>
      </c>
      <c r="D162" s="14" t="s">
        <v>157</v>
      </c>
      <c r="E162" s="15" t="s">
        <v>32</v>
      </c>
      <c r="F162" s="14" t="s">
        <v>22</v>
      </c>
      <c r="G162" s="15" t="s">
        <v>23</v>
      </c>
      <c r="H162" s="15"/>
      <c r="I162" s="15">
        <v>201403</v>
      </c>
      <c r="J162" s="16">
        <v>16220.33</v>
      </c>
      <c r="K162" s="44">
        <f t="shared" si="14"/>
        <v>41944</v>
      </c>
      <c r="L162" s="45">
        <f t="shared" si="10"/>
        <v>7</v>
      </c>
      <c r="M162" s="17">
        <v>1.4833299999999999E-3</v>
      </c>
      <c r="N162" s="46">
        <f t="shared" si="11"/>
        <v>168.42071469230001</v>
      </c>
      <c r="O162" s="16"/>
      <c r="P162" s="48">
        <f t="shared" si="12"/>
        <v>7806.0338125000007</v>
      </c>
      <c r="Q162" s="16"/>
      <c r="R162" s="48">
        <f t="shared" si="13"/>
        <v>292.73640567500001</v>
      </c>
    </row>
    <row r="163" spans="1:18">
      <c r="A163" s="14" t="s">
        <v>17</v>
      </c>
      <c r="B163" s="15" t="s">
        <v>158</v>
      </c>
      <c r="C163" s="15" t="s">
        <v>159</v>
      </c>
      <c r="D163" s="14" t="s">
        <v>160</v>
      </c>
      <c r="E163" s="15" t="s">
        <v>108</v>
      </c>
      <c r="F163" s="14" t="s">
        <v>28</v>
      </c>
      <c r="G163" s="15" t="s">
        <v>23</v>
      </c>
      <c r="H163" s="15"/>
      <c r="I163" s="15">
        <v>201403</v>
      </c>
      <c r="J163" s="16">
        <v>7094.67</v>
      </c>
      <c r="K163" s="44">
        <f t="shared" si="14"/>
        <v>41944</v>
      </c>
      <c r="L163" s="45">
        <f t="shared" si="10"/>
        <v>7</v>
      </c>
      <c r="M163" s="17">
        <v>1.4833299999999999E-3</v>
      </c>
      <c r="N163" s="46">
        <f t="shared" si="11"/>
        <v>73.666157957699994</v>
      </c>
      <c r="O163" s="16"/>
      <c r="P163" s="48">
        <f t="shared" si="12"/>
        <v>3414.3099375000006</v>
      </c>
      <c r="Q163" s="16"/>
      <c r="R163" s="48">
        <f t="shared" si="13"/>
        <v>128.041056825</v>
      </c>
    </row>
    <row r="164" spans="1:18">
      <c r="A164" s="14" t="s">
        <v>17</v>
      </c>
      <c r="B164" s="15" t="s">
        <v>170</v>
      </c>
      <c r="C164" s="15" t="s">
        <v>171</v>
      </c>
      <c r="D164" s="14" t="s">
        <v>172</v>
      </c>
      <c r="E164" s="15" t="s">
        <v>62</v>
      </c>
      <c r="F164" s="14" t="s">
        <v>22</v>
      </c>
      <c r="G164" s="15" t="s">
        <v>23</v>
      </c>
      <c r="H164" s="15"/>
      <c r="I164" s="15">
        <v>201403</v>
      </c>
      <c r="J164" s="16">
        <v>183184.57</v>
      </c>
      <c r="K164" s="44">
        <f t="shared" si="14"/>
        <v>41944</v>
      </c>
      <c r="L164" s="45">
        <f t="shared" si="10"/>
        <v>7</v>
      </c>
      <c r="M164" s="17">
        <v>1.4833299999999999E-3</v>
      </c>
      <c r="N164" s="46">
        <f t="shared" si="11"/>
        <v>1902.0621775267</v>
      </c>
      <c r="O164" s="16"/>
      <c r="P164" s="48">
        <f t="shared" si="12"/>
        <v>88157.574312500015</v>
      </c>
      <c r="Q164" s="16"/>
      <c r="R164" s="48">
        <f t="shared" si="13"/>
        <v>3306.0235270750004</v>
      </c>
    </row>
    <row r="165" spans="1:18">
      <c r="A165" s="14" t="s">
        <v>17</v>
      </c>
      <c r="B165" s="15" t="s">
        <v>183</v>
      </c>
      <c r="C165" s="15" t="s">
        <v>184</v>
      </c>
      <c r="D165" s="14" t="s">
        <v>185</v>
      </c>
      <c r="E165" s="15" t="s">
        <v>53</v>
      </c>
      <c r="F165" s="14" t="s">
        <v>41</v>
      </c>
      <c r="G165" s="15" t="s">
        <v>23</v>
      </c>
      <c r="H165" s="15"/>
      <c r="I165" s="15">
        <v>201403</v>
      </c>
      <c r="J165" s="16">
        <v>47696.21</v>
      </c>
      <c r="K165" s="44">
        <f t="shared" si="14"/>
        <v>41944</v>
      </c>
      <c r="L165" s="45">
        <f t="shared" si="10"/>
        <v>7</v>
      </c>
      <c r="M165" s="17">
        <v>1.4833299999999999E-3</v>
      </c>
      <c r="N165" s="46">
        <f t="shared" si="11"/>
        <v>495.24453425510001</v>
      </c>
      <c r="O165" s="16"/>
      <c r="P165" s="48">
        <f t="shared" si="12"/>
        <v>22953.801062500002</v>
      </c>
      <c r="Q165" s="16"/>
      <c r="R165" s="48">
        <f t="shared" si="13"/>
        <v>860.79734997500009</v>
      </c>
    </row>
    <row r="166" spans="1:18">
      <c r="A166" s="18" t="s">
        <v>66</v>
      </c>
      <c r="B166" s="15" t="s">
        <v>200</v>
      </c>
      <c r="C166" s="15" t="s">
        <v>201</v>
      </c>
      <c r="D166" s="14" t="s">
        <v>202</v>
      </c>
      <c r="E166" s="15" t="s">
        <v>203</v>
      </c>
      <c r="F166" s="14" t="s">
        <v>80</v>
      </c>
      <c r="G166" s="15" t="s">
        <v>23</v>
      </c>
      <c r="H166" s="15"/>
      <c r="I166" s="15">
        <v>201403</v>
      </c>
      <c r="J166" s="16">
        <v>31475.55</v>
      </c>
      <c r="K166" s="44">
        <f t="shared" si="14"/>
        <v>41944</v>
      </c>
      <c r="L166" s="45">
        <f t="shared" si="10"/>
        <v>7</v>
      </c>
      <c r="M166" s="17">
        <v>2.23333E-3</v>
      </c>
      <c r="N166" s="46">
        <f t="shared" si="11"/>
        <v>492.06703057050004</v>
      </c>
      <c r="O166" s="16"/>
      <c r="P166" s="48">
        <f t="shared" si="12"/>
        <v>15147.608437500001</v>
      </c>
      <c r="Q166" s="16"/>
      <c r="R166" s="48">
        <f t="shared" si="13"/>
        <v>568.05498862499996</v>
      </c>
    </row>
    <row r="167" spans="1:18">
      <c r="A167" s="18" t="s">
        <v>66</v>
      </c>
      <c r="B167" s="15" t="s">
        <v>208</v>
      </c>
      <c r="C167" s="15" t="s">
        <v>209</v>
      </c>
      <c r="D167" s="14" t="s">
        <v>210</v>
      </c>
      <c r="E167" s="15" t="s">
        <v>211</v>
      </c>
      <c r="F167" s="14" t="s">
        <v>212</v>
      </c>
      <c r="G167" s="15" t="s">
        <v>23</v>
      </c>
      <c r="H167" s="15"/>
      <c r="I167" s="15">
        <v>201403</v>
      </c>
      <c r="J167" s="16">
        <v>9820.92</v>
      </c>
      <c r="K167" s="44">
        <f t="shared" si="14"/>
        <v>41944</v>
      </c>
      <c r="L167" s="45">
        <f t="shared" si="10"/>
        <v>7</v>
      </c>
      <c r="M167" s="17">
        <v>2.23333E-3</v>
      </c>
      <c r="N167" s="46">
        <f t="shared" si="11"/>
        <v>153.5334868452</v>
      </c>
      <c r="O167" s="16"/>
      <c r="P167" s="48">
        <f t="shared" si="12"/>
        <v>4726.3177500000011</v>
      </c>
      <c r="Q167" s="16"/>
      <c r="R167" s="48">
        <f t="shared" si="13"/>
        <v>177.24305370000002</v>
      </c>
    </row>
    <row r="168" spans="1:18">
      <c r="A168" s="14" t="s">
        <v>17</v>
      </c>
      <c r="B168" s="15" t="s">
        <v>1441</v>
      </c>
      <c r="C168" s="15" t="s">
        <v>1442</v>
      </c>
      <c r="D168" s="14" t="s">
        <v>1443</v>
      </c>
      <c r="E168" s="15" t="s">
        <v>324</v>
      </c>
      <c r="F168" s="14" t="s">
        <v>325</v>
      </c>
      <c r="G168" s="15" t="s">
        <v>23</v>
      </c>
      <c r="H168" s="15"/>
      <c r="I168" s="15">
        <v>201403</v>
      </c>
      <c r="J168" s="16">
        <v>2570.8200000000002</v>
      </c>
      <c r="K168" s="44">
        <f t="shared" si="14"/>
        <v>41944</v>
      </c>
      <c r="L168" s="45">
        <f t="shared" si="10"/>
        <v>7</v>
      </c>
      <c r="M168" s="17">
        <v>1.4833299999999999E-3</v>
      </c>
      <c r="N168" s="46">
        <f t="shared" si="11"/>
        <v>26.693621014200001</v>
      </c>
      <c r="O168" s="16"/>
      <c r="P168" s="48">
        <f t="shared" si="12"/>
        <v>1237.2071250000004</v>
      </c>
      <c r="Q168" s="16"/>
      <c r="R168" s="48">
        <f t="shared" si="13"/>
        <v>46.396873950000007</v>
      </c>
    </row>
    <row r="169" spans="1:18">
      <c r="A169" s="14" t="s">
        <v>17</v>
      </c>
      <c r="B169" s="15" t="s">
        <v>1444</v>
      </c>
      <c r="C169" s="15" t="s">
        <v>1445</v>
      </c>
      <c r="D169" s="14" t="s">
        <v>1446</v>
      </c>
      <c r="E169" s="15" t="s">
        <v>324</v>
      </c>
      <c r="F169" s="14" t="s">
        <v>325</v>
      </c>
      <c r="G169" s="15" t="s">
        <v>23</v>
      </c>
      <c r="H169" s="15"/>
      <c r="I169" s="15">
        <v>201403</v>
      </c>
      <c r="J169" s="16">
        <v>2998.27</v>
      </c>
      <c r="K169" s="44">
        <f t="shared" si="14"/>
        <v>41944</v>
      </c>
      <c r="L169" s="45">
        <f t="shared" si="10"/>
        <v>7</v>
      </c>
      <c r="M169" s="17">
        <v>1.4833299999999999E-3</v>
      </c>
      <c r="N169" s="46">
        <f t="shared" si="11"/>
        <v>31.131966873699998</v>
      </c>
      <c r="O169" s="16"/>
      <c r="P169" s="48">
        <f t="shared" si="12"/>
        <v>1442.9174375000002</v>
      </c>
      <c r="Q169" s="16"/>
      <c r="R169" s="48">
        <f t="shared" si="13"/>
        <v>54.111277825000002</v>
      </c>
    </row>
    <row r="170" spans="1:18">
      <c r="A170" s="14" t="s">
        <v>17</v>
      </c>
      <c r="B170" s="15" t="s">
        <v>218</v>
      </c>
      <c r="C170" s="15" t="s">
        <v>219</v>
      </c>
      <c r="D170" s="14" t="s">
        <v>220</v>
      </c>
      <c r="E170" s="15" t="s">
        <v>221</v>
      </c>
      <c r="F170" s="14" t="s">
        <v>222</v>
      </c>
      <c r="G170" s="15" t="s">
        <v>23</v>
      </c>
      <c r="H170" s="15"/>
      <c r="I170" s="15">
        <v>201403</v>
      </c>
      <c r="J170" s="16">
        <v>72826.94</v>
      </c>
      <c r="K170" s="44">
        <f t="shared" si="14"/>
        <v>41944</v>
      </c>
      <c r="L170" s="45">
        <f t="shared" si="10"/>
        <v>7</v>
      </c>
      <c r="M170" s="17">
        <v>1.4833299999999999E-3</v>
      </c>
      <c r="N170" s="46">
        <f t="shared" si="11"/>
        <v>756.18469437140004</v>
      </c>
      <c r="O170" s="16"/>
      <c r="P170" s="48">
        <f t="shared" si="12"/>
        <v>35047.964875000005</v>
      </c>
      <c r="Q170" s="16"/>
      <c r="R170" s="48">
        <f t="shared" si="13"/>
        <v>1314.3441996500001</v>
      </c>
    </row>
    <row r="171" spans="1:18">
      <c r="A171" s="18" t="s">
        <v>66</v>
      </c>
      <c r="B171" s="15" t="s">
        <v>229</v>
      </c>
      <c r="C171" s="15" t="s">
        <v>230</v>
      </c>
      <c r="D171" s="14" t="s">
        <v>78</v>
      </c>
      <c r="E171" s="15" t="s">
        <v>231</v>
      </c>
      <c r="F171" s="14" t="s">
        <v>80</v>
      </c>
      <c r="G171" s="15" t="s">
        <v>23</v>
      </c>
      <c r="H171" s="15"/>
      <c r="I171" s="15">
        <v>201403</v>
      </c>
      <c r="J171" s="16">
        <v>8335.64</v>
      </c>
      <c r="K171" s="44">
        <f t="shared" si="14"/>
        <v>41944</v>
      </c>
      <c r="L171" s="45">
        <f t="shared" si="10"/>
        <v>7</v>
      </c>
      <c r="M171" s="17">
        <v>2.23333E-3</v>
      </c>
      <c r="N171" s="46">
        <f t="shared" si="11"/>
        <v>130.3136441684</v>
      </c>
      <c r="O171" s="16"/>
      <c r="P171" s="48">
        <f t="shared" si="12"/>
        <v>4011.5267500000004</v>
      </c>
      <c r="Q171" s="16"/>
      <c r="R171" s="48">
        <f t="shared" si="13"/>
        <v>150.43746289999999</v>
      </c>
    </row>
    <row r="172" spans="1:18">
      <c r="A172" s="14" t="s">
        <v>17</v>
      </c>
      <c r="B172" s="15" t="s">
        <v>243</v>
      </c>
      <c r="C172" s="15" t="s">
        <v>244</v>
      </c>
      <c r="D172" s="14" t="s">
        <v>245</v>
      </c>
      <c r="E172" s="15" t="s">
        <v>246</v>
      </c>
      <c r="F172" s="14" t="s">
        <v>247</v>
      </c>
      <c r="G172" s="15" t="s">
        <v>23</v>
      </c>
      <c r="H172" s="15"/>
      <c r="I172" s="15">
        <v>201403</v>
      </c>
      <c r="J172" s="16">
        <v>24174.32</v>
      </c>
      <c r="K172" s="44">
        <f t="shared" si="14"/>
        <v>41944</v>
      </c>
      <c r="L172" s="45">
        <f t="shared" si="10"/>
        <v>7</v>
      </c>
      <c r="M172" s="17">
        <v>1.4833299999999999E-3</v>
      </c>
      <c r="N172" s="46">
        <f t="shared" si="11"/>
        <v>251.0094585992</v>
      </c>
      <c r="O172" s="16"/>
      <c r="P172" s="48">
        <f t="shared" si="12"/>
        <v>11633.891500000002</v>
      </c>
      <c r="Q172" s="16"/>
      <c r="R172" s="48">
        <f t="shared" si="13"/>
        <v>436.2860402</v>
      </c>
    </row>
    <row r="173" spans="1:18">
      <c r="A173" s="14" t="s">
        <v>17</v>
      </c>
      <c r="B173" s="15" t="s">
        <v>293</v>
      </c>
      <c r="C173" s="15" t="s">
        <v>294</v>
      </c>
      <c r="D173" s="14" t="s">
        <v>295</v>
      </c>
      <c r="E173" s="15" t="s">
        <v>296</v>
      </c>
      <c r="F173" s="14" t="s">
        <v>28</v>
      </c>
      <c r="G173" s="15" t="s">
        <v>23</v>
      </c>
      <c r="H173" s="15"/>
      <c r="I173" s="15">
        <v>201403</v>
      </c>
      <c r="J173" s="16">
        <v>-574.61</v>
      </c>
      <c r="K173" s="44">
        <f t="shared" si="14"/>
        <v>41944</v>
      </c>
      <c r="L173" s="45">
        <f t="shared" si="10"/>
        <v>7</v>
      </c>
      <c r="M173" s="17">
        <v>1.4833299999999999E-3</v>
      </c>
      <c r="N173" s="46">
        <f t="shared" si="11"/>
        <v>-5.9663537591000004</v>
      </c>
      <c r="O173" s="16"/>
      <c r="P173" s="48">
        <f t="shared" si="12"/>
        <v>-276.53106250000002</v>
      </c>
      <c r="Q173" s="16"/>
      <c r="R173" s="48">
        <f t="shared" si="13"/>
        <v>-10.370273975000002</v>
      </c>
    </row>
    <row r="174" spans="1:18">
      <c r="A174" s="14" t="s">
        <v>17</v>
      </c>
      <c r="B174" s="15" t="s">
        <v>297</v>
      </c>
      <c r="C174" s="15" t="s">
        <v>298</v>
      </c>
      <c r="D174" s="14" t="s">
        <v>299</v>
      </c>
      <c r="E174" s="15" t="s">
        <v>21</v>
      </c>
      <c r="F174" s="14" t="s">
        <v>22</v>
      </c>
      <c r="G174" s="15" t="s">
        <v>23</v>
      </c>
      <c r="H174" s="15"/>
      <c r="I174" s="15">
        <v>201403</v>
      </c>
      <c r="J174" s="16">
        <v>15655.25</v>
      </c>
      <c r="K174" s="44">
        <f t="shared" si="14"/>
        <v>41944</v>
      </c>
      <c r="L174" s="45">
        <f t="shared" si="10"/>
        <v>7</v>
      </c>
      <c r="M174" s="17">
        <v>1.4833299999999999E-3</v>
      </c>
      <c r="N174" s="46">
        <f t="shared" si="11"/>
        <v>162.55331387749999</v>
      </c>
      <c r="O174" s="16"/>
      <c r="P174" s="48">
        <f t="shared" si="12"/>
        <v>7534.0890625000011</v>
      </c>
      <c r="Q174" s="16"/>
      <c r="R174" s="48">
        <f t="shared" si="13"/>
        <v>282.538124375</v>
      </c>
    </row>
    <row r="175" spans="1:18">
      <c r="A175" s="14" t="s">
        <v>17</v>
      </c>
      <c r="B175" s="15" t="s">
        <v>300</v>
      </c>
      <c r="C175" s="15" t="s">
        <v>301</v>
      </c>
      <c r="D175" s="14" t="s">
        <v>302</v>
      </c>
      <c r="E175" s="15" t="s">
        <v>141</v>
      </c>
      <c r="F175" s="14" t="s">
        <v>142</v>
      </c>
      <c r="G175" s="15" t="s">
        <v>23</v>
      </c>
      <c r="H175" s="15"/>
      <c r="I175" s="15">
        <v>201403</v>
      </c>
      <c r="J175" s="16">
        <v>11289.59</v>
      </c>
      <c r="K175" s="44">
        <f t="shared" si="14"/>
        <v>41944</v>
      </c>
      <c r="L175" s="45">
        <f t="shared" si="10"/>
        <v>7</v>
      </c>
      <c r="M175" s="17">
        <v>1.4833299999999999E-3</v>
      </c>
      <c r="N175" s="46">
        <f t="shared" si="11"/>
        <v>117.22331274289999</v>
      </c>
      <c r="O175" s="16"/>
      <c r="P175" s="48">
        <f t="shared" si="12"/>
        <v>5433.1151875000005</v>
      </c>
      <c r="Q175" s="16"/>
      <c r="R175" s="48">
        <f t="shared" si="13"/>
        <v>203.74887552500002</v>
      </c>
    </row>
    <row r="176" spans="1:18">
      <c r="A176" s="14" t="s">
        <v>17</v>
      </c>
      <c r="B176" s="15" t="s">
        <v>315</v>
      </c>
      <c r="C176" s="15" t="s">
        <v>316</v>
      </c>
      <c r="D176" s="14" t="s">
        <v>317</v>
      </c>
      <c r="E176" s="15" t="s">
        <v>141</v>
      </c>
      <c r="F176" s="14" t="s">
        <v>142</v>
      </c>
      <c r="G176" s="15" t="s">
        <v>23</v>
      </c>
      <c r="H176" s="15"/>
      <c r="I176" s="15">
        <v>201403</v>
      </c>
      <c r="J176" s="16">
        <v>13624.35</v>
      </c>
      <c r="K176" s="44">
        <f t="shared" si="14"/>
        <v>41944</v>
      </c>
      <c r="L176" s="45">
        <f t="shared" si="10"/>
        <v>7</v>
      </c>
      <c r="M176" s="17">
        <v>1.4833299999999999E-3</v>
      </c>
      <c r="N176" s="46">
        <f t="shared" si="11"/>
        <v>141.4658495985</v>
      </c>
      <c r="O176" s="16"/>
      <c r="P176" s="48">
        <f t="shared" si="12"/>
        <v>6556.7184375000015</v>
      </c>
      <c r="Q176" s="16"/>
      <c r="R176" s="48">
        <f t="shared" si="13"/>
        <v>245.88545662500002</v>
      </c>
    </row>
    <row r="177" spans="1:18">
      <c r="A177" s="14" t="s">
        <v>17</v>
      </c>
      <c r="B177" s="15" t="s">
        <v>1438</v>
      </c>
      <c r="C177" s="15" t="s">
        <v>1439</v>
      </c>
      <c r="D177" s="14" t="s">
        <v>1440</v>
      </c>
      <c r="E177" s="15" t="s">
        <v>53</v>
      </c>
      <c r="F177" s="14" t="s">
        <v>41</v>
      </c>
      <c r="G177" s="15" t="s">
        <v>23</v>
      </c>
      <c r="H177" s="15"/>
      <c r="I177" s="15">
        <v>201403</v>
      </c>
      <c r="J177" s="16">
        <v>707.66</v>
      </c>
      <c r="K177" s="44">
        <f t="shared" si="14"/>
        <v>41944</v>
      </c>
      <c r="L177" s="45">
        <f t="shared" si="10"/>
        <v>7</v>
      </c>
      <c r="M177" s="17">
        <v>1.4833299999999999E-3</v>
      </c>
      <c r="N177" s="46">
        <f t="shared" si="11"/>
        <v>7.3478531545999992</v>
      </c>
      <c r="O177" s="16"/>
      <c r="P177" s="48">
        <f t="shared" si="12"/>
        <v>340.56137500000006</v>
      </c>
      <c r="Q177" s="16"/>
      <c r="R177" s="48">
        <f t="shared" si="13"/>
        <v>12.771493850000001</v>
      </c>
    </row>
    <row r="178" spans="1:18">
      <c r="A178" s="14" t="s">
        <v>17</v>
      </c>
      <c r="B178" s="15" t="s">
        <v>326</v>
      </c>
      <c r="C178" s="15" t="s">
        <v>327</v>
      </c>
      <c r="D178" s="14" t="s">
        <v>328</v>
      </c>
      <c r="E178" s="15" t="s">
        <v>32</v>
      </c>
      <c r="F178" s="14" t="s">
        <v>22</v>
      </c>
      <c r="G178" s="15" t="s">
        <v>23</v>
      </c>
      <c r="H178" s="15"/>
      <c r="I178" s="15">
        <v>201403</v>
      </c>
      <c r="J178" s="16">
        <v>10606</v>
      </c>
      <c r="K178" s="44">
        <f t="shared" si="14"/>
        <v>41944</v>
      </c>
      <c r="L178" s="45">
        <f t="shared" si="10"/>
        <v>7</v>
      </c>
      <c r="M178" s="17">
        <v>1.4833299999999999E-3</v>
      </c>
      <c r="N178" s="46">
        <f t="shared" si="11"/>
        <v>110.12538585999999</v>
      </c>
      <c r="O178" s="16"/>
      <c r="P178" s="48">
        <f t="shared" si="12"/>
        <v>5104.1375000000007</v>
      </c>
      <c r="Q178" s="16"/>
      <c r="R178" s="48">
        <f t="shared" si="13"/>
        <v>191.41178500000001</v>
      </c>
    </row>
    <row r="179" spans="1:18">
      <c r="A179" s="14" t="s">
        <v>17</v>
      </c>
      <c r="B179" s="15" t="s">
        <v>329</v>
      </c>
      <c r="C179" s="15" t="s">
        <v>330</v>
      </c>
      <c r="D179" s="14" t="s">
        <v>331</v>
      </c>
      <c r="E179" s="15" t="s">
        <v>108</v>
      </c>
      <c r="F179" s="14" t="s">
        <v>28</v>
      </c>
      <c r="G179" s="15" t="s">
        <v>23</v>
      </c>
      <c r="H179" s="15"/>
      <c r="I179" s="15">
        <v>201403</v>
      </c>
      <c r="J179" s="16">
        <v>8686</v>
      </c>
      <c r="K179" s="44">
        <f t="shared" si="14"/>
        <v>41944</v>
      </c>
      <c r="L179" s="45">
        <f t="shared" si="10"/>
        <v>7</v>
      </c>
      <c r="M179" s="17">
        <v>1.4833299999999999E-3</v>
      </c>
      <c r="N179" s="46">
        <f t="shared" si="11"/>
        <v>90.189430659999999</v>
      </c>
      <c r="O179" s="16"/>
      <c r="P179" s="48">
        <f t="shared" si="12"/>
        <v>4180.1375000000007</v>
      </c>
      <c r="Q179" s="16"/>
      <c r="R179" s="48">
        <f t="shared" si="13"/>
        <v>156.76058500000002</v>
      </c>
    </row>
    <row r="180" spans="1:18">
      <c r="A180" s="14" t="s">
        <v>17</v>
      </c>
      <c r="B180" s="15" t="s">
        <v>347</v>
      </c>
      <c r="C180" s="15" t="s">
        <v>348</v>
      </c>
      <c r="D180" s="14" t="s">
        <v>349</v>
      </c>
      <c r="E180" s="15" t="s">
        <v>324</v>
      </c>
      <c r="F180" s="14" t="s">
        <v>325</v>
      </c>
      <c r="G180" s="15" t="s">
        <v>23</v>
      </c>
      <c r="H180" s="15"/>
      <c r="I180" s="15">
        <v>201403</v>
      </c>
      <c r="J180" s="16">
        <v>537.07000000000005</v>
      </c>
      <c r="K180" s="44">
        <f t="shared" si="14"/>
        <v>41944</v>
      </c>
      <c r="L180" s="45">
        <f t="shared" si="10"/>
        <v>7</v>
      </c>
      <c r="M180" s="17">
        <v>1.4833299999999999E-3</v>
      </c>
      <c r="N180" s="46">
        <f t="shared" si="11"/>
        <v>5.5765643017000004</v>
      </c>
      <c r="O180" s="16"/>
      <c r="P180" s="48">
        <f t="shared" si="12"/>
        <v>258.46493750000008</v>
      </c>
      <c r="Q180" s="16"/>
      <c r="R180" s="48">
        <f t="shared" si="13"/>
        <v>9.692770825000002</v>
      </c>
    </row>
    <row r="181" spans="1:18">
      <c r="A181" s="14" t="s">
        <v>238</v>
      </c>
      <c r="B181" s="15" t="s">
        <v>356</v>
      </c>
      <c r="C181" s="15" t="s">
        <v>357</v>
      </c>
      <c r="D181" s="14" t="s">
        <v>358</v>
      </c>
      <c r="E181" s="15" t="s">
        <v>168</v>
      </c>
      <c r="F181" s="14" t="s">
        <v>169</v>
      </c>
      <c r="G181" s="15" t="s">
        <v>23</v>
      </c>
      <c r="H181" s="15"/>
      <c r="I181" s="15">
        <v>201403</v>
      </c>
      <c r="J181" s="16">
        <v>-24174.32</v>
      </c>
      <c r="K181" s="44">
        <f t="shared" si="14"/>
        <v>41944</v>
      </c>
      <c r="L181" s="45">
        <f t="shared" si="10"/>
        <v>7</v>
      </c>
      <c r="M181" s="17">
        <v>2.3833299999999999E-3</v>
      </c>
      <c r="N181" s="46">
        <f t="shared" si="11"/>
        <v>-403.30767459919997</v>
      </c>
      <c r="O181" s="16"/>
      <c r="P181" s="48">
        <f t="shared" si="12"/>
        <v>-11633.891500000002</v>
      </c>
      <c r="Q181" s="16"/>
      <c r="R181" s="48">
        <f t="shared" si="13"/>
        <v>-436.2860402</v>
      </c>
    </row>
    <row r="182" spans="1:18">
      <c r="A182" s="18" t="s">
        <v>66</v>
      </c>
      <c r="B182" s="15" t="s">
        <v>371</v>
      </c>
      <c r="C182" s="15" t="s">
        <v>372</v>
      </c>
      <c r="D182" s="14" t="s">
        <v>88</v>
      </c>
      <c r="E182" s="15" t="s">
        <v>373</v>
      </c>
      <c r="F182" s="14" t="s">
        <v>85</v>
      </c>
      <c r="G182" s="15" t="s">
        <v>23</v>
      </c>
      <c r="H182" s="15"/>
      <c r="I182" s="15">
        <v>201403</v>
      </c>
      <c r="J182" s="16">
        <v>23129.82</v>
      </c>
      <c r="K182" s="44">
        <f t="shared" si="14"/>
        <v>41944</v>
      </c>
      <c r="L182" s="45">
        <f t="shared" si="10"/>
        <v>7</v>
      </c>
      <c r="M182" s="17">
        <v>2.23333E-3</v>
      </c>
      <c r="N182" s="46">
        <f t="shared" si="11"/>
        <v>361.59564630420005</v>
      </c>
      <c r="O182" s="16"/>
      <c r="P182" s="48">
        <f t="shared" si="12"/>
        <v>11131.225875000002</v>
      </c>
      <c r="Q182" s="16"/>
      <c r="R182" s="48">
        <f t="shared" si="13"/>
        <v>417.43542645000002</v>
      </c>
    </row>
    <row r="183" spans="1:18">
      <c r="A183" s="18" t="s">
        <v>66</v>
      </c>
      <c r="B183" s="15" t="s">
        <v>374</v>
      </c>
      <c r="C183" s="15" t="s">
        <v>375</v>
      </c>
      <c r="D183" s="14" t="s">
        <v>376</v>
      </c>
      <c r="E183" s="15" t="s">
        <v>377</v>
      </c>
      <c r="F183" s="14" t="s">
        <v>378</v>
      </c>
      <c r="G183" s="15" t="s">
        <v>23</v>
      </c>
      <c r="H183" s="15"/>
      <c r="I183" s="15">
        <v>201403</v>
      </c>
      <c r="J183" s="16">
        <v>4029.43</v>
      </c>
      <c r="K183" s="44">
        <f t="shared" si="14"/>
        <v>41944</v>
      </c>
      <c r="L183" s="45">
        <f t="shared" si="10"/>
        <v>7</v>
      </c>
      <c r="M183" s="17">
        <v>2.23333E-3</v>
      </c>
      <c r="N183" s="46">
        <f t="shared" si="11"/>
        <v>62.993328313300005</v>
      </c>
      <c r="O183" s="16"/>
      <c r="P183" s="48">
        <f t="shared" si="12"/>
        <v>1939.1631875000003</v>
      </c>
      <c r="Q183" s="16"/>
      <c r="R183" s="48">
        <f t="shared" si="13"/>
        <v>72.721137925000008</v>
      </c>
    </row>
    <row r="184" spans="1:18">
      <c r="A184" s="18" t="s">
        <v>66</v>
      </c>
      <c r="B184" s="15" t="s">
        <v>379</v>
      </c>
      <c r="C184" s="15" t="s">
        <v>380</v>
      </c>
      <c r="D184" s="14" t="s">
        <v>381</v>
      </c>
      <c r="E184" s="15" t="s">
        <v>382</v>
      </c>
      <c r="F184" s="14" t="s">
        <v>212</v>
      </c>
      <c r="G184" s="15" t="s">
        <v>23</v>
      </c>
      <c r="H184" s="15"/>
      <c r="I184" s="15">
        <v>201403</v>
      </c>
      <c r="J184" s="16">
        <v>3781.43</v>
      </c>
      <c r="K184" s="44">
        <f t="shared" si="14"/>
        <v>41944</v>
      </c>
      <c r="L184" s="45">
        <f t="shared" si="10"/>
        <v>7</v>
      </c>
      <c r="M184" s="17">
        <v>2.23333E-3</v>
      </c>
      <c r="N184" s="46">
        <f t="shared" si="11"/>
        <v>59.116267433300003</v>
      </c>
      <c r="O184" s="16"/>
      <c r="P184" s="48">
        <f t="shared" si="12"/>
        <v>1819.8131875000001</v>
      </c>
      <c r="Q184" s="16"/>
      <c r="R184" s="48">
        <f t="shared" si="13"/>
        <v>68.245357925000008</v>
      </c>
    </row>
    <row r="185" spans="1:18">
      <c r="A185" s="18" t="s">
        <v>66</v>
      </c>
      <c r="B185" s="15" t="s">
        <v>383</v>
      </c>
      <c r="C185" s="15" t="s">
        <v>384</v>
      </c>
      <c r="D185" s="14" t="s">
        <v>385</v>
      </c>
      <c r="E185" s="15" t="s">
        <v>386</v>
      </c>
      <c r="F185" s="14" t="s">
        <v>387</v>
      </c>
      <c r="G185" s="15" t="s">
        <v>23</v>
      </c>
      <c r="H185" s="15"/>
      <c r="I185" s="15">
        <v>201403</v>
      </c>
      <c r="J185" s="16">
        <v>64690.63</v>
      </c>
      <c r="K185" s="44">
        <f t="shared" si="14"/>
        <v>41944</v>
      </c>
      <c r="L185" s="45">
        <f t="shared" si="10"/>
        <v>7</v>
      </c>
      <c r="M185" s="17">
        <v>2.23333E-3</v>
      </c>
      <c r="N185" s="46">
        <f t="shared" si="11"/>
        <v>1011.3286728853</v>
      </c>
      <c r="O185" s="16"/>
      <c r="P185" s="48">
        <f t="shared" si="12"/>
        <v>31132.365687500002</v>
      </c>
      <c r="Q185" s="16"/>
      <c r="R185" s="48">
        <f t="shared" si="13"/>
        <v>1167.504144925</v>
      </c>
    </row>
    <row r="186" spans="1:18">
      <c r="A186" s="18" t="s">
        <v>66</v>
      </c>
      <c r="B186" s="15" t="s">
        <v>388</v>
      </c>
      <c r="C186" s="15" t="s">
        <v>389</v>
      </c>
      <c r="D186" s="14" t="s">
        <v>385</v>
      </c>
      <c r="E186" s="15" t="s">
        <v>390</v>
      </c>
      <c r="F186" s="14" t="s">
        <v>387</v>
      </c>
      <c r="G186" s="15" t="s">
        <v>23</v>
      </c>
      <c r="H186" s="15"/>
      <c r="I186" s="15">
        <v>201403</v>
      </c>
      <c r="J186" s="16">
        <v>62559.26</v>
      </c>
      <c r="K186" s="44">
        <f t="shared" si="14"/>
        <v>41944</v>
      </c>
      <c r="L186" s="45">
        <f t="shared" si="10"/>
        <v>7</v>
      </c>
      <c r="M186" s="17">
        <v>2.23333E-3</v>
      </c>
      <c r="N186" s="46">
        <f t="shared" si="11"/>
        <v>978.00830495060006</v>
      </c>
      <c r="O186" s="16"/>
      <c r="P186" s="48">
        <f t="shared" si="12"/>
        <v>30106.643875000005</v>
      </c>
      <c r="Q186" s="16"/>
      <c r="R186" s="48">
        <f t="shared" si="13"/>
        <v>1129.0382448500002</v>
      </c>
    </row>
    <row r="187" spans="1:18">
      <c r="A187" s="14" t="s">
        <v>17</v>
      </c>
      <c r="B187" s="15" t="s">
        <v>391</v>
      </c>
      <c r="C187" s="15" t="s">
        <v>392</v>
      </c>
      <c r="D187" s="14" t="s">
        <v>393</v>
      </c>
      <c r="E187" s="15" t="s">
        <v>394</v>
      </c>
      <c r="F187" s="14" t="s">
        <v>137</v>
      </c>
      <c r="G187" s="15" t="s">
        <v>23</v>
      </c>
      <c r="H187" s="15"/>
      <c r="I187" s="15">
        <v>201403</v>
      </c>
      <c r="J187" s="16">
        <v>2224.0300000000002</v>
      </c>
      <c r="K187" s="44">
        <f t="shared" si="14"/>
        <v>41944</v>
      </c>
      <c r="L187" s="45">
        <f t="shared" si="10"/>
        <v>7</v>
      </c>
      <c r="M187" s="17">
        <v>1.4833299999999999E-3</v>
      </c>
      <c r="N187" s="46">
        <f t="shared" si="11"/>
        <v>23.092792939300001</v>
      </c>
      <c r="O187" s="16"/>
      <c r="P187" s="48">
        <f t="shared" si="12"/>
        <v>1070.3144375000002</v>
      </c>
      <c r="Q187" s="16"/>
      <c r="R187" s="48">
        <f t="shared" si="13"/>
        <v>40.138181425000006</v>
      </c>
    </row>
    <row r="188" spans="1:18">
      <c r="A188" s="14" t="s">
        <v>17</v>
      </c>
      <c r="B188" s="15" t="s">
        <v>410</v>
      </c>
      <c r="C188" s="15" t="s">
        <v>411</v>
      </c>
      <c r="D188" s="14" t="s">
        <v>412</v>
      </c>
      <c r="E188" s="15" t="s">
        <v>62</v>
      </c>
      <c r="F188" s="14" t="s">
        <v>22</v>
      </c>
      <c r="G188" s="15" t="s">
        <v>23</v>
      </c>
      <c r="H188" s="15"/>
      <c r="I188" s="15">
        <v>201403</v>
      </c>
      <c r="J188" s="16">
        <v>15400.22</v>
      </c>
      <c r="K188" s="44">
        <f t="shared" si="14"/>
        <v>41944</v>
      </c>
      <c r="L188" s="45">
        <f t="shared" si="10"/>
        <v>7</v>
      </c>
      <c r="M188" s="17">
        <v>1.4833299999999999E-3</v>
      </c>
      <c r="N188" s="46">
        <f t="shared" si="11"/>
        <v>159.90525832819998</v>
      </c>
      <c r="O188" s="16"/>
      <c r="P188" s="48">
        <f t="shared" si="12"/>
        <v>7411.3558750000011</v>
      </c>
      <c r="Q188" s="16"/>
      <c r="R188" s="48">
        <f t="shared" si="13"/>
        <v>277.93547045000003</v>
      </c>
    </row>
    <row r="189" spans="1:18">
      <c r="A189" s="14" t="s">
        <v>17</v>
      </c>
      <c r="B189" s="15" t="s">
        <v>416</v>
      </c>
      <c r="C189" s="15" t="s">
        <v>417</v>
      </c>
      <c r="D189" s="14" t="s">
        <v>418</v>
      </c>
      <c r="E189" s="15" t="s">
        <v>141</v>
      </c>
      <c r="F189" s="14" t="s">
        <v>142</v>
      </c>
      <c r="G189" s="15" t="s">
        <v>23</v>
      </c>
      <c r="H189" s="15"/>
      <c r="I189" s="15">
        <v>201403</v>
      </c>
      <c r="J189" s="16">
        <v>44153.24</v>
      </c>
      <c r="K189" s="44">
        <f t="shared" si="14"/>
        <v>41944</v>
      </c>
      <c r="L189" s="45">
        <f t="shared" si="10"/>
        <v>7</v>
      </c>
      <c r="M189" s="17">
        <v>1.4833299999999999E-3</v>
      </c>
      <c r="N189" s="46">
        <f t="shared" si="11"/>
        <v>458.45677842439994</v>
      </c>
      <c r="O189" s="16"/>
      <c r="P189" s="48">
        <f t="shared" si="12"/>
        <v>21248.746750000002</v>
      </c>
      <c r="Q189" s="16"/>
      <c r="R189" s="48">
        <f t="shared" si="13"/>
        <v>796.85559890000002</v>
      </c>
    </row>
    <row r="190" spans="1:18">
      <c r="A190" s="14" t="s">
        <v>17</v>
      </c>
      <c r="B190" s="15" t="s">
        <v>447</v>
      </c>
      <c r="C190" s="15" t="s">
        <v>448</v>
      </c>
      <c r="D190" s="14" t="s">
        <v>449</v>
      </c>
      <c r="E190" s="15" t="s">
        <v>296</v>
      </c>
      <c r="F190" s="14" t="s">
        <v>28</v>
      </c>
      <c r="G190" s="15" t="s">
        <v>23</v>
      </c>
      <c r="H190" s="15"/>
      <c r="I190" s="15">
        <v>201403</v>
      </c>
      <c r="J190" s="16">
        <v>27597.82</v>
      </c>
      <c r="K190" s="44">
        <f t="shared" si="14"/>
        <v>41944</v>
      </c>
      <c r="L190" s="45">
        <f t="shared" si="10"/>
        <v>7</v>
      </c>
      <c r="M190" s="17">
        <v>1.4833299999999999E-3</v>
      </c>
      <c r="N190" s="46">
        <f t="shared" si="11"/>
        <v>286.55672038419999</v>
      </c>
      <c r="O190" s="16"/>
      <c r="P190" s="48">
        <f t="shared" si="12"/>
        <v>13281.450875000002</v>
      </c>
      <c r="Q190" s="16"/>
      <c r="R190" s="48">
        <f t="shared" si="13"/>
        <v>498.07165645000003</v>
      </c>
    </row>
    <row r="191" spans="1:18">
      <c r="A191" s="14" t="s">
        <v>17</v>
      </c>
      <c r="B191" s="15" t="s">
        <v>450</v>
      </c>
      <c r="C191" s="15" t="s">
        <v>451</v>
      </c>
      <c r="D191" s="14" t="s">
        <v>452</v>
      </c>
      <c r="E191" s="15" t="s">
        <v>45</v>
      </c>
      <c r="F191" s="14" t="s">
        <v>22</v>
      </c>
      <c r="G191" s="15" t="s">
        <v>23</v>
      </c>
      <c r="H191" s="15"/>
      <c r="I191" s="15">
        <v>201403</v>
      </c>
      <c r="J191" s="16">
        <v>13896.28</v>
      </c>
      <c r="K191" s="44">
        <f t="shared" si="14"/>
        <v>41944</v>
      </c>
      <c r="L191" s="45">
        <f t="shared" si="10"/>
        <v>7</v>
      </c>
      <c r="M191" s="17">
        <v>1.4833299999999999E-3</v>
      </c>
      <c r="N191" s="46">
        <f t="shared" si="11"/>
        <v>144.2893830868</v>
      </c>
      <c r="O191" s="16"/>
      <c r="P191" s="48">
        <f t="shared" si="12"/>
        <v>6687.5847500000009</v>
      </c>
      <c r="Q191" s="16"/>
      <c r="R191" s="48">
        <f t="shared" si="13"/>
        <v>250.79311330000002</v>
      </c>
    </row>
    <row r="192" spans="1:18">
      <c r="A192" s="14" t="s">
        <v>17</v>
      </c>
      <c r="B192" s="15" t="s">
        <v>453</v>
      </c>
      <c r="C192" s="15" t="s">
        <v>454</v>
      </c>
      <c r="D192" s="14" t="s">
        <v>455</v>
      </c>
      <c r="E192" s="15" t="s">
        <v>62</v>
      </c>
      <c r="F192" s="14" t="s">
        <v>22</v>
      </c>
      <c r="G192" s="15" t="s">
        <v>23</v>
      </c>
      <c r="H192" s="15"/>
      <c r="I192" s="15">
        <v>201403</v>
      </c>
      <c r="J192" s="16">
        <v>2936.49</v>
      </c>
      <c r="K192" s="44">
        <f t="shared" si="14"/>
        <v>41944</v>
      </c>
      <c r="L192" s="45">
        <f t="shared" si="10"/>
        <v>7</v>
      </c>
      <c r="M192" s="17">
        <v>1.4833299999999999E-3</v>
      </c>
      <c r="N192" s="46">
        <f t="shared" si="11"/>
        <v>30.490485981899997</v>
      </c>
      <c r="O192" s="16"/>
      <c r="P192" s="48">
        <f t="shared" si="12"/>
        <v>1413.1858125000001</v>
      </c>
      <c r="Q192" s="16"/>
      <c r="R192" s="48">
        <f t="shared" si="13"/>
        <v>52.996303275000002</v>
      </c>
    </row>
    <row r="193" spans="1:18">
      <c r="A193" s="14" t="s">
        <v>17</v>
      </c>
      <c r="B193" s="15" t="s">
        <v>456</v>
      </c>
      <c r="C193" s="15" t="s">
        <v>457</v>
      </c>
      <c r="D193" s="14" t="s">
        <v>458</v>
      </c>
      <c r="E193" s="15" t="s">
        <v>21</v>
      </c>
      <c r="F193" s="14" t="s">
        <v>22</v>
      </c>
      <c r="G193" s="15" t="s">
        <v>23</v>
      </c>
      <c r="H193" s="15"/>
      <c r="I193" s="15">
        <v>201403</v>
      </c>
      <c r="J193" s="16">
        <v>15010.99</v>
      </c>
      <c r="K193" s="44">
        <f t="shared" si="14"/>
        <v>41944</v>
      </c>
      <c r="L193" s="45">
        <f t="shared" si="10"/>
        <v>7</v>
      </c>
      <c r="M193" s="17">
        <v>1.4833299999999999E-3</v>
      </c>
      <c r="N193" s="46">
        <f t="shared" si="11"/>
        <v>155.8637625769</v>
      </c>
      <c r="O193" s="16"/>
      <c r="P193" s="48">
        <f t="shared" si="12"/>
        <v>7224.0389375000013</v>
      </c>
      <c r="Q193" s="16"/>
      <c r="R193" s="48">
        <f t="shared" si="13"/>
        <v>270.91084202500002</v>
      </c>
    </row>
    <row r="194" spans="1:18">
      <c r="A194" s="14" t="s">
        <v>17</v>
      </c>
      <c r="B194" s="15" t="s">
        <v>459</v>
      </c>
      <c r="C194" s="15" t="s">
        <v>460</v>
      </c>
      <c r="D194" s="14" t="s">
        <v>461</v>
      </c>
      <c r="E194" s="15" t="s">
        <v>462</v>
      </c>
      <c r="F194" s="14" t="s">
        <v>142</v>
      </c>
      <c r="G194" s="15" t="s">
        <v>23</v>
      </c>
      <c r="H194" s="15"/>
      <c r="I194" s="15">
        <v>201403</v>
      </c>
      <c r="J194" s="16">
        <v>25484.639999999999</v>
      </c>
      <c r="K194" s="44">
        <f t="shared" si="14"/>
        <v>41944</v>
      </c>
      <c r="L194" s="45">
        <f t="shared" si="10"/>
        <v>7</v>
      </c>
      <c r="M194" s="17">
        <v>1.4833299999999999E-3</v>
      </c>
      <c r="N194" s="46">
        <f t="shared" si="11"/>
        <v>264.61491735839996</v>
      </c>
      <c r="O194" s="16"/>
      <c r="P194" s="48">
        <f t="shared" si="12"/>
        <v>12264.483000000002</v>
      </c>
      <c r="Q194" s="16"/>
      <c r="R194" s="48">
        <f t="shared" si="13"/>
        <v>459.93404040000001</v>
      </c>
    </row>
    <row r="195" spans="1:18">
      <c r="A195" s="14" t="s">
        <v>17</v>
      </c>
      <c r="B195" s="15" t="s">
        <v>474</v>
      </c>
      <c r="C195" s="15" t="s">
        <v>475</v>
      </c>
      <c r="D195" s="14" t="s">
        <v>476</v>
      </c>
      <c r="E195" s="15" t="s">
        <v>40</v>
      </c>
      <c r="F195" s="14" t="s">
        <v>41</v>
      </c>
      <c r="G195" s="15" t="s">
        <v>23</v>
      </c>
      <c r="H195" s="15"/>
      <c r="I195" s="15">
        <v>201403</v>
      </c>
      <c r="J195" s="16">
        <v>11494.2</v>
      </c>
      <c r="K195" s="44">
        <f t="shared" si="14"/>
        <v>41944</v>
      </c>
      <c r="L195" s="45">
        <f t="shared" si="10"/>
        <v>7</v>
      </c>
      <c r="M195" s="17">
        <v>1.4833299999999999E-3</v>
      </c>
      <c r="N195" s="46">
        <f t="shared" si="11"/>
        <v>119.347841802</v>
      </c>
      <c r="O195" s="16"/>
      <c r="P195" s="48">
        <f t="shared" si="12"/>
        <v>5531.5837500000007</v>
      </c>
      <c r="Q195" s="16"/>
      <c r="R195" s="48">
        <f t="shared" si="13"/>
        <v>207.44157450000003</v>
      </c>
    </row>
    <row r="196" spans="1:18">
      <c r="A196" s="14" t="s">
        <v>17</v>
      </c>
      <c r="B196" s="15" t="s">
        <v>477</v>
      </c>
      <c r="C196" s="15" t="s">
        <v>478</v>
      </c>
      <c r="D196" s="14" t="s">
        <v>479</v>
      </c>
      <c r="E196" s="15" t="s">
        <v>440</v>
      </c>
      <c r="F196" s="14" t="s">
        <v>28</v>
      </c>
      <c r="G196" s="15" t="s">
        <v>23</v>
      </c>
      <c r="H196" s="15"/>
      <c r="I196" s="15">
        <v>201403</v>
      </c>
      <c r="J196" s="16">
        <v>3115.43</v>
      </c>
      <c r="K196" s="44">
        <f t="shared" si="14"/>
        <v>41944</v>
      </c>
      <c r="L196" s="45">
        <f t="shared" si="10"/>
        <v>7</v>
      </c>
      <c r="M196" s="17">
        <v>1.4833299999999999E-3</v>
      </c>
      <c r="N196" s="46">
        <f t="shared" si="11"/>
        <v>32.348475473299999</v>
      </c>
      <c r="O196" s="16"/>
      <c r="P196" s="48">
        <f t="shared" si="12"/>
        <v>1499.3006875000001</v>
      </c>
      <c r="Q196" s="16"/>
      <c r="R196" s="48">
        <f t="shared" si="13"/>
        <v>56.225722924999999</v>
      </c>
    </row>
    <row r="197" spans="1:18">
      <c r="A197" s="14" t="s">
        <v>17</v>
      </c>
      <c r="B197" s="15" t="s">
        <v>480</v>
      </c>
      <c r="C197" s="15" t="s">
        <v>481</v>
      </c>
      <c r="D197" s="14" t="s">
        <v>482</v>
      </c>
      <c r="E197" s="15" t="s">
        <v>141</v>
      </c>
      <c r="F197" s="14" t="s">
        <v>142</v>
      </c>
      <c r="G197" s="15" t="s">
        <v>23</v>
      </c>
      <c r="H197" s="15"/>
      <c r="I197" s="15">
        <v>201403</v>
      </c>
      <c r="J197" s="16">
        <v>9476.91</v>
      </c>
      <c r="K197" s="44">
        <f t="shared" si="14"/>
        <v>41944</v>
      </c>
      <c r="L197" s="45">
        <f t="shared" si="10"/>
        <v>7</v>
      </c>
      <c r="M197" s="17">
        <v>1.4833299999999999E-3</v>
      </c>
      <c r="N197" s="46">
        <f t="shared" si="11"/>
        <v>98.401694372099996</v>
      </c>
      <c r="O197" s="16"/>
      <c r="P197" s="48">
        <f t="shared" si="12"/>
        <v>4560.7629375000006</v>
      </c>
      <c r="Q197" s="16"/>
      <c r="R197" s="48">
        <f t="shared" si="13"/>
        <v>171.03453322500002</v>
      </c>
    </row>
    <row r="198" spans="1:18">
      <c r="A198" s="14" t="s">
        <v>17</v>
      </c>
      <c r="B198" s="15" t="s">
        <v>486</v>
      </c>
      <c r="C198" s="15" t="s">
        <v>487</v>
      </c>
      <c r="D198" s="14" t="s">
        <v>488</v>
      </c>
      <c r="E198" s="15" t="s">
        <v>141</v>
      </c>
      <c r="F198" s="14" t="s">
        <v>142</v>
      </c>
      <c r="G198" s="15" t="s">
        <v>23</v>
      </c>
      <c r="H198" s="15"/>
      <c r="I198" s="15">
        <v>201403</v>
      </c>
      <c r="J198" s="16">
        <v>22186.81</v>
      </c>
      <c r="K198" s="44">
        <f t="shared" si="14"/>
        <v>41944</v>
      </c>
      <c r="L198" s="45">
        <f t="shared" ref="L198:L261" si="15">((YEAR($L$1)-YEAR(K198))*12+MONTH($L$1)-MONTH(K198))</f>
        <v>7</v>
      </c>
      <c r="M198" s="17">
        <v>1.4833299999999999E-3</v>
      </c>
      <c r="N198" s="46">
        <f t="shared" ref="N198:N261" si="16">M198*L198*J198</f>
        <v>230.3725261411</v>
      </c>
      <c r="O198" s="16"/>
      <c r="P198" s="48">
        <f t="shared" ref="P198:P261" si="17">$P$4*J198</f>
        <v>10677.402312500002</v>
      </c>
      <c r="Q198" s="16"/>
      <c r="R198" s="48">
        <f t="shared" ref="R198:R261" si="18">$R$4*(J198*0.5)*$T$9</f>
        <v>400.41645347500003</v>
      </c>
    </row>
    <row r="199" spans="1:18">
      <c r="A199" s="18" t="s">
        <v>66</v>
      </c>
      <c r="B199" s="15" t="s">
        <v>489</v>
      </c>
      <c r="C199" s="15" t="s">
        <v>490</v>
      </c>
      <c r="D199" s="14" t="s">
        <v>491</v>
      </c>
      <c r="E199" s="15" t="s">
        <v>492</v>
      </c>
      <c r="F199" s="14" t="s">
        <v>378</v>
      </c>
      <c r="G199" s="15" t="s">
        <v>23</v>
      </c>
      <c r="H199" s="15"/>
      <c r="I199" s="15">
        <v>201403</v>
      </c>
      <c r="J199" s="16">
        <v>13163.9</v>
      </c>
      <c r="K199" s="44">
        <f t="shared" ref="K199:K262" si="19">+K198</f>
        <v>41944</v>
      </c>
      <c r="L199" s="45">
        <f t="shared" si="15"/>
        <v>7</v>
      </c>
      <c r="M199" s="17">
        <v>2.23333E-3</v>
      </c>
      <c r="N199" s="46">
        <f t="shared" si="16"/>
        <v>205.795329509</v>
      </c>
      <c r="O199" s="16"/>
      <c r="P199" s="48">
        <f t="shared" si="17"/>
        <v>6335.1268750000008</v>
      </c>
      <c r="Q199" s="16"/>
      <c r="R199" s="48">
        <f t="shared" si="18"/>
        <v>237.57548525000001</v>
      </c>
    </row>
    <row r="200" spans="1:18">
      <c r="A200" s="14" t="s">
        <v>17</v>
      </c>
      <c r="B200" s="15" t="s">
        <v>493</v>
      </c>
      <c r="C200" s="15" t="s">
        <v>494</v>
      </c>
      <c r="D200" s="14" t="s">
        <v>495</v>
      </c>
      <c r="E200" s="15" t="s">
        <v>62</v>
      </c>
      <c r="F200" s="14" t="s">
        <v>22</v>
      </c>
      <c r="G200" s="15" t="s">
        <v>23</v>
      </c>
      <c r="H200" s="15"/>
      <c r="I200" s="15">
        <v>201403</v>
      </c>
      <c r="J200" s="16">
        <v>1843.09</v>
      </c>
      <c r="K200" s="44">
        <f t="shared" si="19"/>
        <v>41944</v>
      </c>
      <c r="L200" s="45">
        <f t="shared" si="15"/>
        <v>7</v>
      </c>
      <c r="M200" s="17">
        <v>1.4833299999999999E-3</v>
      </c>
      <c r="N200" s="46">
        <f t="shared" si="16"/>
        <v>19.1373748279</v>
      </c>
      <c r="O200" s="16"/>
      <c r="P200" s="48">
        <f t="shared" si="17"/>
        <v>886.98706250000009</v>
      </c>
      <c r="Q200" s="16"/>
      <c r="R200" s="48">
        <f t="shared" si="18"/>
        <v>33.263166775000002</v>
      </c>
    </row>
    <row r="201" spans="1:18">
      <c r="A201" s="18" t="s">
        <v>66</v>
      </c>
      <c r="B201" s="15" t="s">
        <v>496</v>
      </c>
      <c r="C201" s="15" t="s">
        <v>497</v>
      </c>
      <c r="D201" s="14" t="s">
        <v>376</v>
      </c>
      <c r="E201" s="15" t="s">
        <v>498</v>
      </c>
      <c r="F201" s="14" t="s">
        <v>378</v>
      </c>
      <c r="G201" s="15" t="s">
        <v>23</v>
      </c>
      <c r="H201" s="15"/>
      <c r="I201" s="15">
        <v>201403</v>
      </c>
      <c r="J201" s="16">
        <v>7941.49</v>
      </c>
      <c r="K201" s="44">
        <f t="shared" si="19"/>
        <v>41944</v>
      </c>
      <c r="L201" s="45">
        <f t="shared" si="15"/>
        <v>7</v>
      </c>
      <c r="M201" s="17">
        <v>2.23333E-3</v>
      </c>
      <c r="N201" s="46">
        <f t="shared" si="16"/>
        <v>124.1517750319</v>
      </c>
      <c r="O201" s="16"/>
      <c r="P201" s="48">
        <f t="shared" si="17"/>
        <v>3821.8420625000003</v>
      </c>
      <c r="Q201" s="16"/>
      <c r="R201" s="48">
        <f t="shared" si="18"/>
        <v>143.32404077500001</v>
      </c>
    </row>
    <row r="202" spans="1:18">
      <c r="A202" s="18" t="s">
        <v>66</v>
      </c>
      <c r="B202" s="15" t="s">
        <v>499</v>
      </c>
      <c r="C202" s="15" t="s">
        <v>500</v>
      </c>
      <c r="D202" s="14" t="s">
        <v>385</v>
      </c>
      <c r="E202" s="15" t="s">
        <v>501</v>
      </c>
      <c r="F202" s="14" t="s">
        <v>387</v>
      </c>
      <c r="G202" s="15" t="s">
        <v>23</v>
      </c>
      <c r="H202" s="15"/>
      <c r="I202" s="15">
        <v>201403</v>
      </c>
      <c r="J202" s="16">
        <v>41889.51</v>
      </c>
      <c r="K202" s="44">
        <f t="shared" si="19"/>
        <v>41944</v>
      </c>
      <c r="L202" s="45">
        <f t="shared" si="15"/>
        <v>7</v>
      </c>
      <c r="M202" s="17">
        <v>2.23333E-3</v>
      </c>
      <c r="N202" s="46">
        <f t="shared" si="16"/>
        <v>654.87169557810012</v>
      </c>
      <c r="O202" s="16"/>
      <c r="P202" s="48">
        <f t="shared" si="17"/>
        <v>20159.326687500004</v>
      </c>
      <c r="Q202" s="16"/>
      <c r="R202" s="48">
        <f t="shared" si="18"/>
        <v>756.0009317250001</v>
      </c>
    </row>
    <row r="203" spans="1:18">
      <c r="A203" s="14" t="s">
        <v>17</v>
      </c>
      <c r="B203" s="15" t="s">
        <v>529</v>
      </c>
      <c r="C203" s="15" t="s">
        <v>530</v>
      </c>
      <c r="D203" s="14" t="s">
        <v>531</v>
      </c>
      <c r="E203" s="15" t="s">
        <v>141</v>
      </c>
      <c r="F203" s="14" t="s">
        <v>142</v>
      </c>
      <c r="G203" s="15" t="s">
        <v>23</v>
      </c>
      <c r="H203" s="15"/>
      <c r="I203" s="15">
        <v>201403</v>
      </c>
      <c r="J203" s="16">
        <v>2965.26</v>
      </c>
      <c r="K203" s="44">
        <f t="shared" si="19"/>
        <v>41944</v>
      </c>
      <c r="L203" s="45">
        <f t="shared" si="15"/>
        <v>7</v>
      </c>
      <c r="M203" s="17">
        <v>1.4833299999999999E-3</v>
      </c>
      <c r="N203" s="46">
        <f t="shared" si="16"/>
        <v>30.789213810600003</v>
      </c>
      <c r="O203" s="16"/>
      <c r="P203" s="48">
        <f t="shared" si="17"/>
        <v>1427.0313750000003</v>
      </c>
      <c r="Q203" s="16"/>
      <c r="R203" s="48">
        <f t="shared" si="18"/>
        <v>53.515529850000007</v>
      </c>
    </row>
    <row r="204" spans="1:18">
      <c r="A204" s="14" t="s">
        <v>17</v>
      </c>
      <c r="B204" s="15" t="s">
        <v>537</v>
      </c>
      <c r="C204" s="15" t="s">
        <v>538</v>
      </c>
      <c r="D204" s="14" t="s">
        <v>539</v>
      </c>
      <c r="E204" s="15" t="s">
        <v>53</v>
      </c>
      <c r="F204" s="14" t="s">
        <v>41</v>
      </c>
      <c r="G204" s="15" t="s">
        <v>23</v>
      </c>
      <c r="H204" s="15"/>
      <c r="I204" s="15">
        <v>201403</v>
      </c>
      <c r="J204" s="16">
        <v>18588.7</v>
      </c>
      <c r="K204" s="44">
        <f t="shared" si="19"/>
        <v>41944</v>
      </c>
      <c r="L204" s="45">
        <f t="shared" si="15"/>
        <v>7</v>
      </c>
      <c r="M204" s="17">
        <v>1.4833299999999999E-3</v>
      </c>
      <c r="N204" s="46">
        <f t="shared" si="16"/>
        <v>193.012234597</v>
      </c>
      <c r="O204" s="16"/>
      <c r="P204" s="48">
        <f t="shared" si="17"/>
        <v>8945.8118750000012</v>
      </c>
      <c r="Q204" s="16"/>
      <c r="R204" s="48">
        <f t="shared" si="18"/>
        <v>335.47956325000001</v>
      </c>
    </row>
    <row r="205" spans="1:18">
      <c r="A205" s="14" t="s">
        <v>17</v>
      </c>
      <c r="B205" s="15" t="s">
        <v>540</v>
      </c>
      <c r="C205" s="15" t="s">
        <v>541</v>
      </c>
      <c r="D205" s="14" t="s">
        <v>542</v>
      </c>
      <c r="E205" s="15" t="s">
        <v>216</v>
      </c>
      <c r="F205" s="14" t="s">
        <v>22</v>
      </c>
      <c r="G205" s="15" t="s">
        <v>23</v>
      </c>
      <c r="H205" s="15"/>
      <c r="I205" s="15">
        <v>201403</v>
      </c>
      <c r="J205" s="16">
        <v>-383.08</v>
      </c>
      <c r="K205" s="44">
        <f t="shared" si="19"/>
        <v>41944</v>
      </c>
      <c r="L205" s="45">
        <f t="shared" si="15"/>
        <v>7</v>
      </c>
      <c r="M205" s="17">
        <v>1.4833299999999999E-3</v>
      </c>
      <c r="N205" s="46">
        <f t="shared" si="16"/>
        <v>-3.9776383947999996</v>
      </c>
      <c r="O205" s="16"/>
      <c r="P205" s="48">
        <f t="shared" si="17"/>
        <v>-184.35725000000002</v>
      </c>
      <c r="Q205" s="16"/>
      <c r="R205" s="48">
        <f t="shared" si="18"/>
        <v>-6.9136363000000003</v>
      </c>
    </row>
    <row r="206" spans="1:18">
      <c r="A206" s="14" t="s">
        <v>17</v>
      </c>
      <c r="B206" s="15" t="s">
        <v>571</v>
      </c>
      <c r="C206" s="15" t="s">
        <v>572</v>
      </c>
      <c r="D206" s="14" t="s">
        <v>573</v>
      </c>
      <c r="E206" s="15" t="s">
        <v>574</v>
      </c>
      <c r="F206" s="14" t="s">
        <v>28</v>
      </c>
      <c r="G206" s="15" t="s">
        <v>23</v>
      </c>
      <c r="H206" s="15"/>
      <c r="I206" s="15">
        <v>201403</v>
      </c>
      <c r="J206" s="16">
        <v>1040.04</v>
      </c>
      <c r="K206" s="44">
        <f t="shared" si="19"/>
        <v>41944</v>
      </c>
      <c r="L206" s="45">
        <f t="shared" si="15"/>
        <v>7</v>
      </c>
      <c r="M206" s="17">
        <v>1.4833299999999999E-3</v>
      </c>
      <c r="N206" s="46">
        <f t="shared" si="16"/>
        <v>10.7990577324</v>
      </c>
      <c r="O206" s="16"/>
      <c r="P206" s="48">
        <f t="shared" si="17"/>
        <v>500.51925000000006</v>
      </c>
      <c r="Q206" s="16"/>
      <c r="R206" s="48">
        <f t="shared" si="18"/>
        <v>18.770121899999999</v>
      </c>
    </row>
    <row r="207" spans="1:18">
      <c r="A207" s="14" t="s">
        <v>17</v>
      </c>
      <c r="B207" s="15" t="s">
        <v>584</v>
      </c>
      <c r="C207" s="15" t="s">
        <v>585</v>
      </c>
      <c r="D207" s="14" t="s">
        <v>586</v>
      </c>
      <c r="E207" s="15" t="s">
        <v>62</v>
      </c>
      <c r="F207" s="14" t="s">
        <v>22</v>
      </c>
      <c r="G207" s="15" t="s">
        <v>23</v>
      </c>
      <c r="H207" s="15"/>
      <c r="I207" s="15">
        <v>201403</v>
      </c>
      <c r="J207" s="16">
        <v>3897.18</v>
      </c>
      <c r="K207" s="44">
        <f t="shared" si="19"/>
        <v>41944</v>
      </c>
      <c r="L207" s="45">
        <f t="shared" si="15"/>
        <v>7</v>
      </c>
      <c r="M207" s="17">
        <v>1.4833299999999999E-3</v>
      </c>
      <c r="N207" s="46">
        <f t="shared" si="16"/>
        <v>40.465628065799997</v>
      </c>
      <c r="O207" s="16"/>
      <c r="P207" s="48">
        <f t="shared" si="17"/>
        <v>1875.5178750000002</v>
      </c>
      <c r="Q207" s="16"/>
      <c r="R207" s="48">
        <f t="shared" si="18"/>
        <v>70.334356049999997</v>
      </c>
    </row>
    <row r="208" spans="1:18">
      <c r="A208" s="18" t="s">
        <v>66</v>
      </c>
      <c r="B208" s="15" t="s">
        <v>599</v>
      </c>
      <c r="C208" s="15" t="s">
        <v>600</v>
      </c>
      <c r="D208" s="14" t="s">
        <v>385</v>
      </c>
      <c r="E208" s="15" t="s">
        <v>601</v>
      </c>
      <c r="F208" s="14" t="s">
        <v>387</v>
      </c>
      <c r="G208" s="15" t="s">
        <v>23</v>
      </c>
      <c r="H208" s="15"/>
      <c r="I208" s="15">
        <v>201403</v>
      </c>
      <c r="J208" s="16">
        <v>-991.97</v>
      </c>
      <c r="K208" s="44">
        <f t="shared" si="19"/>
        <v>41944</v>
      </c>
      <c r="L208" s="45">
        <f t="shared" si="15"/>
        <v>7</v>
      </c>
      <c r="M208" s="17">
        <v>2.23333E-3</v>
      </c>
      <c r="N208" s="46">
        <f t="shared" si="16"/>
        <v>-15.507774520700002</v>
      </c>
      <c r="O208" s="16"/>
      <c r="P208" s="48">
        <f t="shared" si="17"/>
        <v>-477.38556250000011</v>
      </c>
      <c r="Q208" s="16"/>
      <c r="R208" s="48">
        <f t="shared" si="18"/>
        <v>-17.902578575000003</v>
      </c>
    </row>
    <row r="209" spans="1:18">
      <c r="A209" s="14" t="s">
        <v>17</v>
      </c>
      <c r="B209" s="15" t="s">
        <v>608</v>
      </c>
      <c r="C209" s="15" t="s">
        <v>609</v>
      </c>
      <c r="D209" s="14" t="s">
        <v>610</v>
      </c>
      <c r="E209" s="15" t="s">
        <v>45</v>
      </c>
      <c r="F209" s="14" t="s">
        <v>22</v>
      </c>
      <c r="G209" s="15" t="s">
        <v>23</v>
      </c>
      <c r="H209" s="15"/>
      <c r="I209" s="15">
        <v>201403</v>
      </c>
      <c r="J209" s="16">
        <v>16398.060000000001</v>
      </c>
      <c r="K209" s="44">
        <f t="shared" si="19"/>
        <v>41944</v>
      </c>
      <c r="L209" s="45">
        <f t="shared" si="15"/>
        <v>7</v>
      </c>
      <c r="M209" s="17">
        <v>1.4833299999999999E-3</v>
      </c>
      <c r="N209" s="46">
        <f t="shared" si="16"/>
        <v>170.2661403786</v>
      </c>
      <c r="O209" s="16"/>
      <c r="P209" s="48">
        <f t="shared" si="17"/>
        <v>7891.5663750000022</v>
      </c>
      <c r="Q209" s="16"/>
      <c r="R209" s="48">
        <f t="shared" si="18"/>
        <v>295.94398785000004</v>
      </c>
    </row>
    <row r="210" spans="1:18">
      <c r="A210" s="14" t="s">
        <v>17</v>
      </c>
      <c r="B210" s="15" t="s">
        <v>643</v>
      </c>
      <c r="C210" s="15" t="s">
        <v>644</v>
      </c>
      <c r="D210" s="14" t="s">
        <v>645</v>
      </c>
      <c r="E210" s="15" t="s">
        <v>141</v>
      </c>
      <c r="F210" s="14" t="s">
        <v>142</v>
      </c>
      <c r="G210" s="15" t="s">
        <v>23</v>
      </c>
      <c r="H210" s="15"/>
      <c r="I210" s="15">
        <v>201403</v>
      </c>
      <c r="J210" s="16">
        <v>930.13</v>
      </c>
      <c r="K210" s="44">
        <f t="shared" si="19"/>
        <v>41944</v>
      </c>
      <c r="L210" s="45">
        <f t="shared" si="15"/>
        <v>7</v>
      </c>
      <c r="M210" s="17">
        <v>1.4833299999999999E-3</v>
      </c>
      <c r="N210" s="46">
        <f t="shared" si="16"/>
        <v>9.6578281303000004</v>
      </c>
      <c r="O210" s="16"/>
      <c r="P210" s="48">
        <f t="shared" si="17"/>
        <v>447.62506250000007</v>
      </c>
      <c r="Q210" s="16"/>
      <c r="R210" s="48">
        <f t="shared" si="18"/>
        <v>16.786521175000001</v>
      </c>
    </row>
    <row r="211" spans="1:18">
      <c r="A211" s="14" t="s">
        <v>17</v>
      </c>
      <c r="B211" s="15" t="s">
        <v>652</v>
      </c>
      <c r="C211" s="15" t="s">
        <v>653</v>
      </c>
      <c r="D211" s="14" t="s">
        <v>654</v>
      </c>
      <c r="E211" s="15" t="s">
        <v>40</v>
      </c>
      <c r="F211" s="14" t="s">
        <v>41</v>
      </c>
      <c r="G211" s="15" t="s">
        <v>23</v>
      </c>
      <c r="H211" s="15"/>
      <c r="I211" s="15">
        <v>201403</v>
      </c>
      <c r="J211" s="16">
        <v>5134.2</v>
      </c>
      <c r="K211" s="44">
        <f t="shared" si="19"/>
        <v>41944</v>
      </c>
      <c r="L211" s="45">
        <f t="shared" si="15"/>
        <v>7</v>
      </c>
      <c r="M211" s="17">
        <v>1.4833299999999999E-3</v>
      </c>
      <c r="N211" s="46">
        <f t="shared" si="16"/>
        <v>53.309990201999994</v>
      </c>
      <c r="O211" s="16"/>
      <c r="P211" s="48">
        <f t="shared" si="17"/>
        <v>2470.8337500000002</v>
      </c>
      <c r="Q211" s="16"/>
      <c r="R211" s="48">
        <f t="shared" si="18"/>
        <v>92.659474500000002</v>
      </c>
    </row>
    <row r="212" spans="1:18">
      <c r="A212" s="18" t="s">
        <v>66</v>
      </c>
      <c r="B212" s="15" t="s">
        <v>674</v>
      </c>
      <c r="C212" s="15" t="s">
        <v>675</v>
      </c>
      <c r="D212" s="14" t="s">
        <v>385</v>
      </c>
      <c r="E212" s="15" t="s">
        <v>676</v>
      </c>
      <c r="F212" s="14" t="s">
        <v>387</v>
      </c>
      <c r="G212" s="15" t="s">
        <v>23</v>
      </c>
      <c r="H212" s="15"/>
      <c r="I212" s="15">
        <v>201403</v>
      </c>
      <c r="J212" s="16">
        <v>1200.48</v>
      </c>
      <c r="K212" s="44">
        <f t="shared" si="19"/>
        <v>41944</v>
      </c>
      <c r="L212" s="45">
        <f t="shared" si="15"/>
        <v>7</v>
      </c>
      <c r="M212" s="17">
        <v>2.23333E-3</v>
      </c>
      <c r="N212" s="46">
        <f t="shared" si="16"/>
        <v>18.767475988800001</v>
      </c>
      <c r="O212" s="16"/>
      <c r="P212" s="48">
        <f t="shared" si="17"/>
        <v>577.73100000000011</v>
      </c>
      <c r="Q212" s="16"/>
      <c r="R212" s="48">
        <f t="shared" si="18"/>
        <v>21.665662800000003</v>
      </c>
    </row>
    <row r="213" spans="1:18">
      <c r="A213" s="14" t="s">
        <v>17</v>
      </c>
      <c r="B213" s="15" t="s">
        <v>704</v>
      </c>
      <c r="C213" s="15" t="s">
        <v>705</v>
      </c>
      <c r="D213" s="14" t="s">
        <v>706</v>
      </c>
      <c r="E213" s="15" t="s">
        <v>58</v>
      </c>
      <c r="F213" s="14" t="s">
        <v>22</v>
      </c>
      <c r="G213" s="15" t="s">
        <v>23</v>
      </c>
      <c r="H213" s="15"/>
      <c r="I213" s="15">
        <v>201403</v>
      </c>
      <c r="J213" s="16">
        <v>159806.81</v>
      </c>
      <c r="K213" s="44">
        <f t="shared" si="19"/>
        <v>41944</v>
      </c>
      <c r="L213" s="45">
        <f t="shared" si="15"/>
        <v>7</v>
      </c>
      <c r="M213" s="17">
        <v>1.4833299999999999E-3</v>
      </c>
      <c r="N213" s="46">
        <f t="shared" si="16"/>
        <v>1659.3236483410999</v>
      </c>
      <c r="O213" s="16"/>
      <c r="P213" s="48">
        <f t="shared" si="17"/>
        <v>76907.027312500009</v>
      </c>
      <c r="Q213" s="16"/>
      <c r="R213" s="48">
        <f t="shared" si="18"/>
        <v>2884.1134034750003</v>
      </c>
    </row>
    <row r="214" spans="1:18">
      <c r="A214" s="14" t="s">
        <v>17</v>
      </c>
      <c r="B214" s="15" t="s">
        <v>707</v>
      </c>
      <c r="C214" s="15" t="s">
        <v>708</v>
      </c>
      <c r="D214" s="14" t="s">
        <v>709</v>
      </c>
      <c r="E214" s="15" t="s">
        <v>62</v>
      </c>
      <c r="F214" s="14" t="s">
        <v>22</v>
      </c>
      <c r="G214" s="15" t="s">
        <v>23</v>
      </c>
      <c r="H214" s="15"/>
      <c r="I214" s="15">
        <v>201403</v>
      </c>
      <c r="J214" s="16">
        <v>53280.41</v>
      </c>
      <c r="K214" s="44">
        <f t="shared" si="19"/>
        <v>41944</v>
      </c>
      <c r="L214" s="45">
        <f t="shared" si="15"/>
        <v>7</v>
      </c>
      <c r="M214" s="17">
        <v>1.4833299999999999E-3</v>
      </c>
      <c r="N214" s="46">
        <f t="shared" si="16"/>
        <v>553.22701395709998</v>
      </c>
      <c r="O214" s="16"/>
      <c r="P214" s="48">
        <f t="shared" si="17"/>
        <v>25641.197312500004</v>
      </c>
      <c r="Q214" s="16"/>
      <c r="R214" s="48">
        <f t="shared" si="18"/>
        <v>961.57819947500013</v>
      </c>
    </row>
    <row r="215" spans="1:18">
      <c r="A215" s="14" t="s">
        <v>17</v>
      </c>
      <c r="B215" s="15" t="s">
        <v>710</v>
      </c>
      <c r="C215" s="15" t="s">
        <v>711</v>
      </c>
      <c r="D215" s="14" t="s">
        <v>712</v>
      </c>
      <c r="E215" s="15" t="s">
        <v>45</v>
      </c>
      <c r="F215" s="14" t="s">
        <v>22</v>
      </c>
      <c r="G215" s="15" t="s">
        <v>23</v>
      </c>
      <c r="H215" s="15"/>
      <c r="I215" s="15">
        <v>201403</v>
      </c>
      <c r="J215" s="16">
        <v>211274.07</v>
      </c>
      <c r="K215" s="44">
        <f t="shared" si="19"/>
        <v>41944</v>
      </c>
      <c r="L215" s="45">
        <f t="shared" si="15"/>
        <v>7</v>
      </c>
      <c r="M215" s="17">
        <v>1.4833299999999999E-3</v>
      </c>
      <c r="N215" s="46">
        <f t="shared" si="16"/>
        <v>2193.7241637717002</v>
      </c>
      <c r="O215" s="16"/>
      <c r="P215" s="48">
        <f t="shared" si="17"/>
        <v>101675.64618750002</v>
      </c>
      <c r="Q215" s="16"/>
      <c r="R215" s="48">
        <f t="shared" si="18"/>
        <v>3812.9687783250001</v>
      </c>
    </row>
    <row r="216" spans="1:18">
      <c r="A216" s="14" t="s">
        <v>17</v>
      </c>
      <c r="B216" s="15" t="s">
        <v>728</v>
      </c>
      <c r="C216" s="15" t="s">
        <v>729</v>
      </c>
      <c r="D216" s="14" t="s">
        <v>730</v>
      </c>
      <c r="E216" s="15" t="s">
        <v>141</v>
      </c>
      <c r="F216" s="14" t="s">
        <v>142</v>
      </c>
      <c r="G216" s="15" t="s">
        <v>23</v>
      </c>
      <c r="H216" s="15"/>
      <c r="I216" s="15">
        <v>201403</v>
      </c>
      <c r="J216" s="16">
        <v>17498.599999999999</v>
      </c>
      <c r="K216" s="44">
        <f t="shared" si="19"/>
        <v>41944</v>
      </c>
      <c r="L216" s="45">
        <f t="shared" si="15"/>
        <v>7</v>
      </c>
      <c r="M216" s="17">
        <v>1.4833299999999999E-3</v>
      </c>
      <c r="N216" s="46">
        <f t="shared" si="16"/>
        <v>181.69338836599999</v>
      </c>
      <c r="O216" s="16"/>
      <c r="P216" s="48">
        <f t="shared" si="17"/>
        <v>8421.2012500000001</v>
      </c>
      <c r="Q216" s="16"/>
      <c r="R216" s="48">
        <f t="shared" si="18"/>
        <v>315.80598349999997</v>
      </c>
    </row>
    <row r="217" spans="1:18">
      <c r="A217" s="18" t="s">
        <v>66</v>
      </c>
      <c r="B217" s="15" t="s">
        <v>734</v>
      </c>
      <c r="C217" s="15" t="s">
        <v>735</v>
      </c>
      <c r="D217" s="14" t="s">
        <v>736</v>
      </c>
      <c r="E217" s="15" t="s">
        <v>737</v>
      </c>
      <c r="F217" s="14" t="s">
        <v>624</v>
      </c>
      <c r="G217" s="15" t="s">
        <v>23</v>
      </c>
      <c r="H217" s="15"/>
      <c r="I217" s="15">
        <v>201403</v>
      </c>
      <c r="J217" s="16">
        <v>87.38</v>
      </c>
      <c r="K217" s="44">
        <f t="shared" si="19"/>
        <v>41944</v>
      </c>
      <c r="L217" s="45">
        <f t="shared" si="15"/>
        <v>7</v>
      </c>
      <c r="M217" s="17">
        <v>2.23333E-3</v>
      </c>
      <c r="N217" s="46">
        <f t="shared" si="16"/>
        <v>1.3660386278000001</v>
      </c>
      <c r="O217" s="16"/>
      <c r="P217" s="48">
        <f t="shared" si="17"/>
        <v>42.051625000000001</v>
      </c>
      <c r="Q217" s="16"/>
      <c r="R217" s="48">
        <f t="shared" si="18"/>
        <v>1.5769905500000001</v>
      </c>
    </row>
    <row r="218" spans="1:18">
      <c r="A218" s="18" t="s">
        <v>66</v>
      </c>
      <c r="B218" s="15" t="s">
        <v>747</v>
      </c>
      <c r="C218" s="15" t="s">
        <v>748</v>
      </c>
      <c r="D218" s="14" t="s">
        <v>78</v>
      </c>
      <c r="E218" s="15" t="s">
        <v>749</v>
      </c>
      <c r="F218" s="14" t="s">
        <v>80</v>
      </c>
      <c r="G218" s="15" t="s">
        <v>23</v>
      </c>
      <c r="H218" s="15"/>
      <c r="I218" s="15">
        <v>201403</v>
      </c>
      <c r="J218" s="16">
        <v>120.52</v>
      </c>
      <c r="K218" s="44">
        <f t="shared" si="19"/>
        <v>41944</v>
      </c>
      <c r="L218" s="45">
        <f t="shared" si="15"/>
        <v>7</v>
      </c>
      <c r="M218" s="17">
        <v>2.23333E-3</v>
      </c>
      <c r="N218" s="46">
        <f t="shared" si="16"/>
        <v>1.8841265212</v>
      </c>
      <c r="O218" s="16"/>
      <c r="P218" s="48">
        <f t="shared" si="17"/>
        <v>58.000250000000008</v>
      </c>
      <c r="Q218" s="16"/>
      <c r="R218" s="48">
        <f t="shared" si="18"/>
        <v>2.1750847000000002</v>
      </c>
    </row>
    <row r="219" spans="1:18">
      <c r="A219" s="18" t="s">
        <v>66</v>
      </c>
      <c r="B219" s="15" t="s">
        <v>753</v>
      </c>
      <c r="C219" s="15" t="s">
        <v>754</v>
      </c>
      <c r="D219" s="14" t="s">
        <v>206</v>
      </c>
      <c r="E219" s="15" t="s">
        <v>755</v>
      </c>
      <c r="F219" s="14" t="s">
        <v>97</v>
      </c>
      <c r="G219" s="15" t="s">
        <v>23</v>
      </c>
      <c r="H219" s="15"/>
      <c r="I219" s="15">
        <v>201403</v>
      </c>
      <c r="J219" s="16">
        <v>2486.77</v>
      </c>
      <c r="K219" s="44">
        <f t="shared" si="19"/>
        <v>41944</v>
      </c>
      <c r="L219" s="45">
        <f t="shared" si="15"/>
        <v>7</v>
      </c>
      <c r="M219" s="17">
        <v>2.23333E-3</v>
      </c>
      <c r="N219" s="46">
        <f t="shared" si="16"/>
        <v>38.876446308700004</v>
      </c>
      <c r="O219" s="16"/>
      <c r="P219" s="48">
        <f t="shared" si="17"/>
        <v>1196.7580625000001</v>
      </c>
      <c r="Q219" s="16"/>
      <c r="R219" s="48">
        <f t="shared" si="18"/>
        <v>44.879981575000002</v>
      </c>
    </row>
    <row r="220" spans="1:18">
      <c r="A220" s="14" t="s">
        <v>17</v>
      </c>
      <c r="B220" s="15" t="s">
        <v>765</v>
      </c>
      <c r="C220" s="15" t="s">
        <v>766</v>
      </c>
      <c r="D220" s="14" t="s">
        <v>767</v>
      </c>
      <c r="E220" s="15" t="s">
        <v>216</v>
      </c>
      <c r="F220" s="14" t="s">
        <v>22</v>
      </c>
      <c r="G220" s="15" t="s">
        <v>23</v>
      </c>
      <c r="H220" s="15"/>
      <c r="I220" s="15">
        <v>201403</v>
      </c>
      <c r="J220" s="16">
        <v>76324.25</v>
      </c>
      <c r="K220" s="44">
        <f t="shared" si="19"/>
        <v>41944</v>
      </c>
      <c r="L220" s="45">
        <f t="shared" si="15"/>
        <v>7</v>
      </c>
      <c r="M220" s="17">
        <v>1.4833299999999999E-3</v>
      </c>
      <c r="N220" s="46">
        <f t="shared" si="16"/>
        <v>792.49834826749998</v>
      </c>
      <c r="O220" s="16"/>
      <c r="P220" s="48">
        <f t="shared" si="17"/>
        <v>36731.045312500006</v>
      </c>
      <c r="Q220" s="16"/>
      <c r="R220" s="48">
        <f t="shared" si="18"/>
        <v>1377.461901875</v>
      </c>
    </row>
    <row r="221" spans="1:18">
      <c r="A221" s="14" t="s">
        <v>17</v>
      </c>
      <c r="B221" s="15" t="s">
        <v>768</v>
      </c>
      <c r="C221" s="15" t="s">
        <v>769</v>
      </c>
      <c r="D221" s="14" t="s">
        <v>770</v>
      </c>
      <c r="E221" s="15" t="s">
        <v>104</v>
      </c>
      <c r="F221" s="14" t="s">
        <v>41</v>
      </c>
      <c r="G221" s="15" t="s">
        <v>23</v>
      </c>
      <c r="H221" s="15"/>
      <c r="I221" s="15">
        <v>201403</v>
      </c>
      <c r="J221" s="16">
        <v>10771.02</v>
      </c>
      <c r="K221" s="44">
        <f t="shared" si="19"/>
        <v>41944</v>
      </c>
      <c r="L221" s="45">
        <f t="shared" si="15"/>
        <v>7</v>
      </c>
      <c r="M221" s="17">
        <v>1.4833299999999999E-3</v>
      </c>
      <c r="N221" s="46">
        <f t="shared" si="16"/>
        <v>111.8388396762</v>
      </c>
      <c r="O221" s="16"/>
      <c r="P221" s="48">
        <f t="shared" si="17"/>
        <v>5183.5533750000013</v>
      </c>
      <c r="Q221" s="16"/>
      <c r="R221" s="48">
        <f t="shared" si="18"/>
        <v>194.38998345000002</v>
      </c>
    </row>
    <row r="222" spans="1:18">
      <c r="A222" s="14" t="s">
        <v>238</v>
      </c>
      <c r="B222" s="15" t="s">
        <v>774</v>
      </c>
      <c r="C222" s="15" t="s">
        <v>775</v>
      </c>
      <c r="D222" s="14" t="s">
        <v>776</v>
      </c>
      <c r="E222" s="15" t="s">
        <v>168</v>
      </c>
      <c r="F222" s="14" t="s">
        <v>169</v>
      </c>
      <c r="G222" s="15" t="s">
        <v>23</v>
      </c>
      <c r="H222" s="15"/>
      <c r="I222" s="15">
        <v>201403</v>
      </c>
      <c r="J222" s="16">
        <v>-1535.14</v>
      </c>
      <c r="K222" s="44">
        <f t="shared" si="19"/>
        <v>41944</v>
      </c>
      <c r="L222" s="45">
        <f t="shared" si="15"/>
        <v>7</v>
      </c>
      <c r="M222" s="17">
        <v>2.3833299999999999E-3</v>
      </c>
      <c r="N222" s="46">
        <f t="shared" si="16"/>
        <v>-25.611216513400002</v>
      </c>
      <c r="O222" s="16"/>
      <c r="P222" s="48">
        <f t="shared" si="17"/>
        <v>-738.7861250000002</v>
      </c>
      <c r="Q222" s="16"/>
      <c r="R222" s="48">
        <f t="shared" si="18"/>
        <v>-27.705439150000004</v>
      </c>
    </row>
    <row r="223" spans="1:18">
      <c r="A223" s="14" t="s">
        <v>17</v>
      </c>
      <c r="B223" s="15" t="s">
        <v>780</v>
      </c>
      <c r="C223" s="15" t="s">
        <v>781</v>
      </c>
      <c r="D223" s="14" t="s">
        <v>782</v>
      </c>
      <c r="E223" s="15" t="s">
        <v>141</v>
      </c>
      <c r="F223" s="14" t="s">
        <v>142</v>
      </c>
      <c r="G223" s="15" t="s">
        <v>23</v>
      </c>
      <c r="H223" s="15"/>
      <c r="I223" s="15">
        <v>201403</v>
      </c>
      <c r="J223" s="16">
        <v>21260.16</v>
      </c>
      <c r="K223" s="44">
        <f t="shared" si="19"/>
        <v>41944</v>
      </c>
      <c r="L223" s="45">
        <f t="shared" si="15"/>
        <v>7</v>
      </c>
      <c r="M223" s="17">
        <v>1.4833299999999999E-3</v>
      </c>
      <c r="N223" s="46">
        <f t="shared" si="16"/>
        <v>220.7508319296</v>
      </c>
      <c r="O223" s="16"/>
      <c r="P223" s="48">
        <f t="shared" si="17"/>
        <v>10231.452000000001</v>
      </c>
      <c r="Q223" s="16"/>
      <c r="R223" s="48">
        <f t="shared" si="18"/>
        <v>383.69273760000004</v>
      </c>
    </row>
    <row r="224" spans="1:18">
      <c r="A224" s="14" t="s">
        <v>17</v>
      </c>
      <c r="B224" s="15" t="s">
        <v>786</v>
      </c>
      <c r="C224" s="15" t="s">
        <v>787</v>
      </c>
      <c r="D224" s="14" t="s">
        <v>788</v>
      </c>
      <c r="E224" s="15" t="s">
        <v>246</v>
      </c>
      <c r="F224" s="14" t="s">
        <v>247</v>
      </c>
      <c r="G224" s="15" t="s">
        <v>23</v>
      </c>
      <c r="H224" s="15"/>
      <c r="I224" s="15">
        <v>201403</v>
      </c>
      <c r="J224" s="16">
        <v>1172.4000000000001</v>
      </c>
      <c r="K224" s="44">
        <f t="shared" si="19"/>
        <v>41944</v>
      </c>
      <c r="L224" s="45">
        <f t="shared" si="15"/>
        <v>7</v>
      </c>
      <c r="M224" s="17">
        <v>1.4833299999999999E-3</v>
      </c>
      <c r="N224" s="46">
        <f t="shared" si="16"/>
        <v>12.173392644000002</v>
      </c>
      <c r="O224" s="16"/>
      <c r="P224" s="48">
        <f t="shared" si="17"/>
        <v>564.21750000000009</v>
      </c>
      <c r="Q224" s="16"/>
      <c r="R224" s="48">
        <f t="shared" si="18"/>
        <v>21.158889000000002</v>
      </c>
    </row>
    <row r="225" spans="1:18">
      <c r="A225" s="14" t="s">
        <v>17</v>
      </c>
      <c r="B225" s="15" t="s">
        <v>792</v>
      </c>
      <c r="C225" s="15" t="s">
        <v>793</v>
      </c>
      <c r="D225" s="14" t="s">
        <v>794</v>
      </c>
      <c r="E225" s="15" t="s">
        <v>58</v>
      </c>
      <c r="F225" s="14" t="s">
        <v>22</v>
      </c>
      <c r="G225" s="15" t="s">
        <v>23</v>
      </c>
      <c r="H225" s="15"/>
      <c r="I225" s="15">
        <v>201403</v>
      </c>
      <c r="J225" s="16">
        <v>16602.669999999998</v>
      </c>
      <c r="K225" s="44">
        <f t="shared" si="19"/>
        <v>41944</v>
      </c>
      <c r="L225" s="45">
        <f t="shared" si="15"/>
        <v>7</v>
      </c>
      <c r="M225" s="17">
        <v>1.4833299999999999E-3</v>
      </c>
      <c r="N225" s="46">
        <f t="shared" si="16"/>
        <v>172.39066943769998</v>
      </c>
      <c r="O225" s="16"/>
      <c r="P225" s="48">
        <f t="shared" si="17"/>
        <v>7990.0349375000005</v>
      </c>
      <c r="Q225" s="16"/>
      <c r="R225" s="48">
        <f t="shared" si="18"/>
        <v>299.63668682499997</v>
      </c>
    </row>
    <row r="226" spans="1:18">
      <c r="A226" s="14" t="s">
        <v>17</v>
      </c>
      <c r="B226" s="15" t="s">
        <v>810</v>
      </c>
      <c r="C226" s="15" t="s">
        <v>811</v>
      </c>
      <c r="D226" s="14" t="s">
        <v>812</v>
      </c>
      <c r="E226" s="15" t="s">
        <v>104</v>
      </c>
      <c r="F226" s="14" t="s">
        <v>41</v>
      </c>
      <c r="G226" s="15" t="s">
        <v>23</v>
      </c>
      <c r="H226" s="15"/>
      <c r="I226" s="15">
        <v>201403</v>
      </c>
      <c r="J226" s="16">
        <v>9589.57</v>
      </c>
      <c r="K226" s="44">
        <f t="shared" si="19"/>
        <v>41944</v>
      </c>
      <c r="L226" s="45">
        <f t="shared" si="15"/>
        <v>7</v>
      </c>
      <c r="M226" s="17">
        <v>1.4833299999999999E-3</v>
      </c>
      <c r="N226" s="46">
        <f t="shared" si="16"/>
        <v>99.571478076699989</v>
      </c>
      <c r="O226" s="16"/>
      <c r="P226" s="48">
        <f t="shared" si="17"/>
        <v>4614.9805625000008</v>
      </c>
      <c r="Q226" s="16"/>
      <c r="R226" s="48">
        <f t="shared" si="18"/>
        <v>173.06776457500001</v>
      </c>
    </row>
    <row r="227" spans="1:18">
      <c r="A227" s="14" t="s">
        <v>17</v>
      </c>
      <c r="B227" s="15" t="s">
        <v>18</v>
      </c>
      <c r="C227" s="15" t="s">
        <v>19</v>
      </c>
      <c r="D227" s="14" t="s">
        <v>20</v>
      </c>
      <c r="E227" s="15" t="s">
        <v>21</v>
      </c>
      <c r="F227" s="14" t="s">
        <v>22</v>
      </c>
      <c r="G227" s="15" t="s">
        <v>23</v>
      </c>
      <c r="H227" s="15"/>
      <c r="I227" s="15">
        <v>201404</v>
      </c>
      <c r="J227" s="16">
        <v>18741.61</v>
      </c>
      <c r="K227" s="44">
        <f t="shared" si="19"/>
        <v>41944</v>
      </c>
      <c r="L227" s="45">
        <f t="shared" si="15"/>
        <v>7</v>
      </c>
      <c r="M227" s="17">
        <v>1.4833299999999999E-3</v>
      </c>
      <c r="N227" s="46">
        <f t="shared" si="16"/>
        <v>194.59994652910001</v>
      </c>
      <c r="O227" s="16"/>
      <c r="P227" s="48">
        <f t="shared" si="17"/>
        <v>9019.3998125000016</v>
      </c>
      <c r="Q227" s="16"/>
      <c r="R227" s="48">
        <f t="shared" si="18"/>
        <v>338.239206475</v>
      </c>
    </row>
    <row r="228" spans="1:18">
      <c r="A228" s="14" t="s">
        <v>17</v>
      </c>
      <c r="B228" s="15" t="s">
        <v>24</v>
      </c>
      <c r="C228" s="15" t="s">
        <v>25</v>
      </c>
      <c r="D228" s="14" t="s">
        <v>26</v>
      </c>
      <c r="E228" s="15" t="s">
        <v>27</v>
      </c>
      <c r="F228" s="14" t="s">
        <v>28</v>
      </c>
      <c r="G228" s="15" t="s">
        <v>23</v>
      </c>
      <c r="H228" s="15"/>
      <c r="I228" s="15">
        <v>201404</v>
      </c>
      <c r="J228" s="16">
        <v>1173.95</v>
      </c>
      <c r="K228" s="44">
        <f t="shared" si="19"/>
        <v>41944</v>
      </c>
      <c r="L228" s="45">
        <f t="shared" si="15"/>
        <v>7</v>
      </c>
      <c r="M228" s="17">
        <v>1.4833299999999999E-3</v>
      </c>
      <c r="N228" s="46">
        <f t="shared" si="16"/>
        <v>12.189486774500001</v>
      </c>
      <c r="O228" s="16"/>
      <c r="P228" s="48">
        <f t="shared" si="17"/>
        <v>564.96343750000005</v>
      </c>
      <c r="Q228" s="16"/>
      <c r="R228" s="48">
        <f t="shared" si="18"/>
        <v>21.186862625000003</v>
      </c>
    </row>
    <row r="229" spans="1:18">
      <c r="A229" s="14" t="s">
        <v>17</v>
      </c>
      <c r="B229" s="15" t="s">
        <v>29</v>
      </c>
      <c r="C229" s="15" t="s">
        <v>30</v>
      </c>
      <c r="D229" s="14" t="s">
        <v>31</v>
      </c>
      <c r="E229" s="15" t="s">
        <v>32</v>
      </c>
      <c r="F229" s="14" t="s">
        <v>22</v>
      </c>
      <c r="G229" s="15" t="s">
        <v>23</v>
      </c>
      <c r="H229" s="15"/>
      <c r="I229" s="15">
        <v>201404</v>
      </c>
      <c r="J229" s="16">
        <v>9984.81</v>
      </c>
      <c r="K229" s="44">
        <f t="shared" si="19"/>
        <v>41944</v>
      </c>
      <c r="L229" s="45">
        <f t="shared" si="15"/>
        <v>7</v>
      </c>
      <c r="M229" s="17">
        <v>1.4833299999999999E-3</v>
      </c>
      <c r="N229" s="46">
        <f t="shared" si="16"/>
        <v>103.67537752109999</v>
      </c>
      <c r="O229" s="16"/>
      <c r="P229" s="48">
        <f t="shared" si="17"/>
        <v>4805.1898125000007</v>
      </c>
      <c r="Q229" s="16"/>
      <c r="R229" s="48">
        <f t="shared" si="18"/>
        <v>180.20085847499999</v>
      </c>
    </row>
    <row r="230" spans="1:18">
      <c r="A230" s="14" t="s">
        <v>17</v>
      </c>
      <c r="B230" s="15" t="s">
        <v>33</v>
      </c>
      <c r="C230" s="15" t="s">
        <v>34</v>
      </c>
      <c r="D230" s="14" t="s">
        <v>35</v>
      </c>
      <c r="E230" s="15" t="s">
        <v>36</v>
      </c>
      <c r="F230" s="14" t="s">
        <v>22</v>
      </c>
      <c r="G230" s="15" t="s">
        <v>23</v>
      </c>
      <c r="H230" s="15"/>
      <c r="I230" s="15">
        <v>201404</v>
      </c>
      <c r="J230" s="16">
        <v>-3188.24</v>
      </c>
      <c r="K230" s="44">
        <f t="shared" si="19"/>
        <v>41944</v>
      </c>
      <c r="L230" s="45">
        <f t="shared" si="15"/>
        <v>7</v>
      </c>
      <c r="M230" s="17">
        <v>1.4833299999999999E-3</v>
      </c>
      <c r="N230" s="46">
        <f t="shared" si="16"/>
        <v>-33.104484274399994</v>
      </c>
      <c r="O230" s="16"/>
      <c r="P230" s="48">
        <f t="shared" si="17"/>
        <v>-1534.3405</v>
      </c>
      <c r="Q230" s="16"/>
      <c r="R230" s="48">
        <f t="shared" si="18"/>
        <v>-57.539761399999996</v>
      </c>
    </row>
    <row r="231" spans="1:18">
      <c r="A231" s="14" t="s">
        <v>17</v>
      </c>
      <c r="B231" s="15" t="s">
        <v>37</v>
      </c>
      <c r="C231" s="15" t="s">
        <v>38</v>
      </c>
      <c r="D231" s="14" t="s">
        <v>39</v>
      </c>
      <c r="E231" s="15" t="s">
        <v>40</v>
      </c>
      <c r="F231" s="14" t="s">
        <v>41</v>
      </c>
      <c r="G231" s="15" t="s">
        <v>23</v>
      </c>
      <c r="H231" s="15"/>
      <c r="I231" s="15">
        <v>201404</v>
      </c>
      <c r="J231" s="16">
        <v>1277.21</v>
      </c>
      <c r="K231" s="44">
        <f t="shared" si="19"/>
        <v>41944</v>
      </c>
      <c r="L231" s="45">
        <f t="shared" si="15"/>
        <v>7</v>
      </c>
      <c r="M231" s="17">
        <v>1.4833299999999999E-3</v>
      </c>
      <c r="N231" s="46">
        <f t="shared" si="16"/>
        <v>13.261667365099999</v>
      </c>
      <c r="O231" s="16"/>
      <c r="P231" s="48">
        <f t="shared" si="17"/>
        <v>614.6573125000001</v>
      </c>
      <c r="Q231" s="16"/>
      <c r="R231" s="48">
        <f t="shared" si="18"/>
        <v>23.050447475000002</v>
      </c>
    </row>
    <row r="232" spans="1:18">
      <c r="A232" s="14" t="s">
        <v>17</v>
      </c>
      <c r="B232" s="15" t="s">
        <v>42</v>
      </c>
      <c r="C232" s="15" t="s">
        <v>43</v>
      </c>
      <c r="D232" s="14" t="s">
        <v>44</v>
      </c>
      <c r="E232" s="15" t="s">
        <v>45</v>
      </c>
      <c r="F232" s="14" t="s">
        <v>22</v>
      </c>
      <c r="G232" s="15" t="s">
        <v>23</v>
      </c>
      <c r="H232" s="15"/>
      <c r="I232" s="15">
        <v>201404</v>
      </c>
      <c r="J232" s="16">
        <v>1960.41</v>
      </c>
      <c r="K232" s="44">
        <f t="shared" si="19"/>
        <v>41944</v>
      </c>
      <c r="L232" s="45">
        <f t="shared" si="15"/>
        <v>7</v>
      </c>
      <c r="M232" s="17">
        <v>1.4833299999999999E-3</v>
      </c>
      <c r="N232" s="46">
        <f t="shared" si="16"/>
        <v>20.355544757099999</v>
      </c>
      <c r="O232" s="16"/>
      <c r="P232" s="48">
        <f t="shared" si="17"/>
        <v>943.44731250000018</v>
      </c>
      <c r="Q232" s="16"/>
      <c r="R232" s="48">
        <f t="shared" si="18"/>
        <v>35.380499475000001</v>
      </c>
    </row>
    <row r="233" spans="1:18">
      <c r="A233" s="14" t="s">
        <v>17</v>
      </c>
      <c r="B233" s="15" t="s">
        <v>46</v>
      </c>
      <c r="C233" s="15" t="s">
        <v>47</v>
      </c>
      <c r="D233" s="14" t="s">
        <v>48</v>
      </c>
      <c r="E233" s="15" t="s">
        <v>49</v>
      </c>
      <c r="F233" s="14" t="s">
        <v>22</v>
      </c>
      <c r="G233" s="15" t="s">
        <v>23</v>
      </c>
      <c r="H233" s="15"/>
      <c r="I233" s="15">
        <v>201404</v>
      </c>
      <c r="J233" s="16">
        <v>1839.18</v>
      </c>
      <c r="K233" s="44">
        <f t="shared" si="19"/>
        <v>41944</v>
      </c>
      <c r="L233" s="45">
        <f t="shared" si="15"/>
        <v>7</v>
      </c>
      <c r="M233" s="17">
        <v>1.4833299999999999E-3</v>
      </c>
      <c r="N233" s="46">
        <f t="shared" si="16"/>
        <v>19.096776085800002</v>
      </c>
      <c r="O233" s="16"/>
      <c r="P233" s="48">
        <f t="shared" si="17"/>
        <v>885.10537500000021</v>
      </c>
      <c r="Q233" s="16"/>
      <c r="R233" s="48">
        <f t="shared" si="18"/>
        <v>33.19260105</v>
      </c>
    </row>
    <row r="234" spans="1:18">
      <c r="A234" s="14" t="s">
        <v>17</v>
      </c>
      <c r="B234" s="15" t="s">
        <v>63</v>
      </c>
      <c r="C234" s="15" t="s">
        <v>64</v>
      </c>
      <c r="D234" s="14" t="s">
        <v>65</v>
      </c>
      <c r="E234" s="15" t="s">
        <v>32</v>
      </c>
      <c r="F234" s="14" t="s">
        <v>22</v>
      </c>
      <c r="G234" s="15" t="s">
        <v>23</v>
      </c>
      <c r="H234" s="15"/>
      <c r="I234" s="15">
        <v>201404</v>
      </c>
      <c r="J234" s="16">
        <v>3656.2</v>
      </c>
      <c r="K234" s="44">
        <f t="shared" si="19"/>
        <v>41944</v>
      </c>
      <c r="L234" s="45">
        <f t="shared" si="15"/>
        <v>7</v>
      </c>
      <c r="M234" s="17">
        <v>1.4833299999999999E-3</v>
      </c>
      <c r="N234" s="46">
        <f t="shared" si="16"/>
        <v>37.963458021999998</v>
      </c>
      <c r="O234" s="16"/>
      <c r="P234" s="48">
        <f t="shared" si="17"/>
        <v>1759.5462500000001</v>
      </c>
      <c r="Q234" s="16"/>
      <c r="R234" s="48">
        <f t="shared" si="18"/>
        <v>65.985269500000001</v>
      </c>
    </row>
    <row r="235" spans="1:18">
      <c r="A235" s="18" t="s">
        <v>66</v>
      </c>
      <c r="B235" s="15" t="s">
        <v>72</v>
      </c>
      <c r="C235" s="15" t="s">
        <v>73</v>
      </c>
      <c r="D235" s="14" t="s">
        <v>74</v>
      </c>
      <c r="E235" s="15" t="s">
        <v>75</v>
      </c>
      <c r="F235" s="14" t="s">
        <v>71</v>
      </c>
      <c r="G235" s="15" t="s">
        <v>23</v>
      </c>
      <c r="H235" s="15"/>
      <c r="I235" s="15">
        <v>201404</v>
      </c>
      <c r="J235" s="16">
        <v>42637.73</v>
      </c>
      <c r="K235" s="44">
        <f t="shared" si="19"/>
        <v>41944</v>
      </c>
      <c r="L235" s="45">
        <f t="shared" si="15"/>
        <v>7</v>
      </c>
      <c r="M235" s="17">
        <v>2.23333E-3</v>
      </c>
      <c r="N235" s="46">
        <f t="shared" si="16"/>
        <v>666.56885078630012</v>
      </c>
      <c r="O235" s="16"/>
      <c r="P235" s="48">
        <f t="shared" si="17"/>
        <v>20519.407562500004</v>
      </c>
      <c r="Q235" s="16"/>
      <c r="R235" s="48">
        <f t="shared" si="18"/>
        <v>769.50443217500015</v>
      </c>
    </row>
    <row r="236" spans="1:18">
      <c r="A236" s="18" t="s">
        <v>66</v>
      </c>
      <c r="B236" s="15" t="s">
        <v>76</v>
      </c>
      <c r="C236" s="15" t="s">
        <v>77</v>
      </c>
      <c r="D236" s="14" t="s">
        <v>78</v>
      </c>
      <c r="E236" s="15" t="s">
        <v>79</v>
      </c>
      <c r="F236" s="14" t="s">
        <v>80</v>
      </c>
      <c r="G236" s="15" t="s">
        <v>23</v>
      </c>
      <c r="H236" s="15"/>
      <c r="I236" s="15">
        <v>201404</v>
      </c>
      <c r="J236" s="16">
        <v>-1913.53</v>
      </c>
      <c r="K236" s="44">
        <f t="shared" si="19"/>
        <v>41944</v>
      </c>
      <c r="L236" s="45">
        <f t="shared" si="15"/>
        <v>7</v>
      </c>
      <c r="M236" s="17">
        <v>2.23333E-3</v>
      </c>
      <c r="N236" s="46">
        <f t="shared" si="16"/>
        <v>-29.914807684300001</v>
      </c>
      <c r="O236" s="16"/>
      <c r="P236" s="48">
        <f t="shared" si="17"/>
        <v>-920.88631250000014</v>
      </c>
      <c r="Q236" s="16"/>
      <c r="R236" s="48">
        <f t="shared" si="18"/>
        <v>-34.534432675000005</v>
      </c>
    </row>
    <row r="237" spans="1:18">
      <c r="A237" s="18" t="s">
        <v>66</v>
      </c>
      <c r="B237" s="15" t="s">
        <v>81</v>
      </c>
      <c r="C237" s="15" t="s">
        <v>82</v>
      </c>
      <c r="D237" s="14" t="s">
        <v>83</v>
      </c>
      <c r="E237" s="15" t="s">
        <v>84</v>
      </c>
      <c r="F237" s="14" t="s">
        <v>85</v>
      </c>
      <c r="G237" s="15" t="s">
        <v>23</v>
      </c>
      <c r="H237" s="15"/>
      <c r="I237" s="15">
        <v>201404</v>
      </c>
      <c r="J237" s="16">
        <v>103336.57</v>
      </c>
      <c r="K237" s="44">
        <f t="shared" si="19"/>
        <v>41944</v>
      </c>
      <c r="L237" s="45">
        <f t="shared" si="15"/>
        <v>7</v>
      </c>
      <c r="M237" s="17">
        <v>2.23333E-3</v>
      </c>
      <c r="N237" s="46">
        <f t="shared" si="16"/>
        <v>1615.4926331467002</v>
      </c>
      <c r="O237" s="16"/>
      <c r="P237" s="48">
        <f t="shared" si="17"/>
        <v>49730.72431250001</v>
      </c>
      <c r="Q237" s="16"/>
      <c r="R237" s="48">
        <f t="shared" si="18"/>
        <v>1864.9667470750003</v>
      </c>
    </row>
    <row r="238" spans="1:18">
      <c r="A238" s="18" t="s">
        <v>66</v>
      </c>
      <c r="B238" s="15" t="s">
        <v>86</v>
      </c>
      <c r="C238" s="15" t="s">
        <v>87</v>
      </c>
      <c r="D238" s="14" t="s">
        <v>88</v>
      </c>
      <c r="E238" s="15" t="s">
        <v>89</v>
      </c>
      <c r="F238" s="14" t="s">
        <v>85</v>
      </c>
      <c r="G238" s="15" t="s">
        <v>23</v>
      </c>
      <c r="H238" s="15"/>
      <c r="I238" s="15">
        <v>201404</v>
      </c>
      <c r="J238" s="16">
        <v>11.25</v>
      </c>
      <c r="K238" s="44">
        <f t="shared" si="19"/>
        <v>41944</v>
      </c>
      <c r="L238" s="45">
        <f t="shared" si="15"/>
        <v>7</v>
      </c>
      <c r="M238" s="17">
        <v>2.23333E-3</v>
      </c>
      <c r="N238" s="46">
        <f t="shared" si="16"/>
        <v>0.17587473750000002</v>
      </c>
      <c r="O238" s="16"/>
      <c r="P238" s="48">
        <f t="shared" si="17"/>
        <v>5.4140625000000009</v>
      </c>
      <c r="Q238" s="16"/>
      <c r="R238" s="48">
        <f t="shared" si="18"/>
        <v>0.20303437500000002</v>
      </c>
    </row>
    <row r="239" spans="1:18">
      <c r="A239" s="18" t="s">
        <v>66</v>
      </c>
      <c r="B239" s="15" t="s">
        <v>90</v>
      </c>
      <c r="C239" s="15" t="s">
        <v>91</v>
      </c>
      <c r="D239" s="14" t="s">
        <v>78</v>
      </c>
      <c r="E239" s="15" t="s">
        <v>92</v>
      </c>
      <c r="F239" s="14" t="s">
        <v>80</v>
      </c>
      <c r="G239" s="15" t="s">
        <v>23</v>
      </c>
      <c r="H239" s="15"/>
      <c r="I239" s="15">
        <v>201404</v>
      </c>
      <c r="J239" s="16">
        <v>5414.89</v>
      </c>
      <c r="K239" s="44">
        <f t="shared" si="19"/>
        <v>41944</v>
      </c>
      <c r="L239" s="45">
        <f t="shared" si="15"/>
        <v>7</v>
      </c>
      <c r="M239" s="17">
        <v>2.23333E-3</v>
      </c>
      <c r="N239" s="46">
        <f t="shared" si="16"/>
        <v>84.652653985900017</v>
      </c>
      <c r="O239" s="16"/>
      <c r="P239" s="48">
        <f t="shared" si="17"/>
        <v>2605.9158125000004</v>
      </c>
      <c r="Q239" s="16"/>
      <c r="R239" s="48">
        <f t="shared" si="18"/>
        <v>97.725227275000009</v>
      </c>
    </row>
    <row r="240" spans="1:18">
      <c r="A240" s="18" t="s">
        <v>66</v>
      </c>
      <c r="B240" s="15" t="s">
        <v>93</v>
      </c>
      <c r="C240" s="15" t="s">
        <v>94</v>
      </c>
      <c r="D240" s="14" t="s">
        <v>95</v>
      </c>
      <c r="E240" s="15" t="s">
        <v>96</v>
      </c>
      <c r="F240" s="14" t="s">
        <v>97</v>
      </c>
      <c r="G240" s="15" t="s">
        <v>23</v>
      </c>
      <c r="H240" s="15"/>
      <c r="I240" s="15">
        <v>201404</v>
      </c>
      <c r="J240" s="16">
        <v>3986.33</v>
      </c>
      <c r="K240" s="44">
        <f t="shared" si="19"/>
        <v>41944</v>
      </c>
      <c r="L240" s="45">
        <f t="shared" si="15"/>
        <v>7</v>
      </c>
      <c r="M240" s="17">
        <v>2.23333E-3</v>
      </c>
      <c r="N240" s="46">
        <f t="shared" si="16"/>
        <v>62.319532652300005</v>
      </c>
      <c r="O240" s="16"/>
      <c r="P240" s="48">
        <f t="shared" si="17"/>
        <v>1918.4213125000003</v>
      </c>
      <c r="Q240" s="16"/>
      <c r="R240" s="48">
        <f t="shared" si="18"/>
        <v>71.943290675</v>
      </c>
    </row>
    <row r="241" spans="1:18">
      <c r="A241" s="14" t="s">
        <v>17</v>
      </c>
      <c r="B241" s="15" t="s">
        <v>98</v>
      </c>
      <c r="C241" s="15" t="s">
        <v>99</v>
      </c>
      <c r="D241" s="14" t="s">
        <v>100</v>
      </c>
      <c r="E241" s="15" t="s">
        <v>62</v>
      </c>
      <c r="F241" s="14" t="s">
        <v>22</v>
      </c>
      <c r="G241" s="15" t="s">
        <v>23</v>
      </c>
      <c r="H241" s="15"/>
      <c r="I241" s="15">
        <v>201404</v>
      </c>
      <c r="J241" s="16">
        <v>2802.48</v>
      </c>
      <c r="K241" s="44">
        <f t="shared" si="19"/>
        <v>41944</v>
      </c>
      <c r="L241" s="45">
        <f t="shared" si="15"/>
        <v>7</v>
      </c>
      <c r="M241" s="17">
        <v>1.4833299999999999E-3</v>
      </c>
      <c r="N241" s="46">
        <f t="shared" si="16"/>
        <v>29.099018608799998</v>
      </c>
      <c r="O241" s="16"/>
      <c r="P241" s="48">
        <f t="shared" si="17"/>
        <v>1348.6935000000001</v>
      </c>
      <c r="Q241" s="16"/>
      <c r="R241" s="48">
        <f t="shared" si="18"/>
        <v>50.577757800000001</v>
      </c>
    </row>
    <row r="242" spans="1:18">
      <c r="A242" s="14" t="s">
        <v>17</v>
      </c>
      <c r="B242" s="15" t="s">
        <v>101</v>
      </c>
      <c r="C242" s="15" t="s">
        <v>102</v>
      </c>
      <c r="D242" s="14" t="s">
        <v>103</v>
      </c>
      <c r="E242" s="15" t="s">
        <v>104</v>
      </c>
      <c r="F242" s="14" t="s">
        <v>41</v>
      </c>
      <c r="G242" s="15" t="s">
        <v>23</v>
      </c>
      <c r="H242" s="15"/>
      <c r="I242" s="15">
        <v>201404</v>
      </c>
      <c r="J242" s="16">
        <v>-675</v>
      </c>
      <c r="K242" s="44">
        <f t="shared" si="19"/>
        <v>41944</v>
      </c>
      <c r="L242" s="45">
        <f t="shared" si="15"/>
        <v>7</v>
      </c>
      <c r="M242" s="17">
        <v>1.4833299999999999E-3</v>
      </c>
      <c r="N242" s="46">
        <f t="shared" si="16"/>
        <v>-7.0087342499999998</v>
      </c>
      <c r="O242" s="16"/>
      <c r="P242" s="48">
        <f t="shared" si="17"/>
        <v>-324.84375000000006</v>
      </c>
      <c r="Q242" s="16"/>
      <c r="R242" s="48">
        <f t="shared" si="18"/>
        <v>-12.182062500000001</v>
      </c>
    </row>
    <row r="243" spans="1:18">
      <c r="A243" s="14" t="s">
        <v>17</v>
      </c>
      <c r="B243" s="15" t="s">
        <v>105</v>
      </c>
      <c r="C243" s="15" t="s">
        <v>106</v>
      </c>
      <c r="D243" s="14" t="s">
        <v>107</v>
      </c>
      <c r="E243" s="15" t="s">
        <v>108</v>
      </c>
      <c r="F243" s="14" t="s">
        <v>28</v>
      </c>
      <c r="G243" s="15" t="s">
        <v>23</v>
      </c>
      <c r="H243" s="15"/>
      <c r="I243" s="15">
        <v>201404</v>
      </c>
      <c r="J243" s="16">
        <v>74965.97</v>
      </c>
      <c r="K243" s="44">
        <f t="shared" si="19"/>
        <v>41944</v>
      </c>
      <c r="L243" s="45">
        <f t="shared" si="15"/>
        <v>7</v>
      </c>
      <c r="M243" s="17">
        <v>1.4833299999999999E-3</v>
      </c>
      <c r="N243" s="46">
        <f t="shared" si="16"/>
        <v>778.39490596070004</v>
      </c>
      <c r="O243" s="16"/>
      <c r="P243" s="48">
        <f t="shared" si="17"/>
        <v>36077.373062500003</v>
      </c>
      <c r="Q243" s="16"/>
      <c r="R243" s="48">
        <f t="shared" si="18"/>
        <v>1352.9483435750001</v>
      </c>
    </row>
    <row r="244" spans="1:18">
      <c r="A244" s="14" t="s">
        <v>17</v>
      </c>
      <c r="B244" s="15" t="s">
        <v>109</v>
      </c>
      <c r="C244" s="15" t="s">
        <v>110</v>
      </c>
      <c r="D244" s="14" t="s">
        <v>111</v>
      </c>
      <c r="E244" s="15" t="s">
        <v>112</v>
      </c>
      <c r="F244" s="14" t="s">
        <v>22</v>
      </c>
      <c r="G244" s="15" t="s">
        <v>23</v>
      </c>
      <c r="H244" s="15"/>
      <c r="I244" s="15">
        <v>201404</v>
      </c>
      <c r="J244" s="16">
        <v>-502.44</v>
      </c>
      <c r="K244" s="44">
        <f t="shared" si="19"/>
        <v>41944</v>
      </c>
      <c r="L244" s="45">
        <f t="shared" si="15"/>
        <v>7</v>
      </c>
      <c r="M244" s="17">
        <v>1.4833299999999999E-3</v>
      </c>
      <c r="N244" s="46">
        <f t="shared" si="16"/>
        <v>-5.2169902763999998</v>
      </c>
      <c r="O244" s="16"/>
      <c r="P244" s="48">
        <f t="shared" si="17"/>
        <v>-241.79925000000003</v>
      </c>
      <c r="Q244" s="16"/>
      <c r="R244" s="48">
        <f t="shared" si="18"/>
        <v>-9.0677859000000005</v>
      </c>
    </row>
    <row r="245" spans="1:18">
      <c r="A245" s="14" t="s">
        <v>17</v>
      </c>
      <c r="B245" s="15" t="s">
        <v>113</v>
      </c>
      <c r="C245" s="15" t="s">
        <v>114</v>
      </c>
      <c r="D245" s="14" t="s">
        <v>115</v>
      </c>
      <c r="E245" s="15" t="s">
        <v>58</v>
      </c>
      <c r="F245" s="14" t="s">
        <v>22</v>
      </c>
      <c r="G245" s="15" t="s">
        <v>23</v>
      </c>
      <c r="H245" s="15"/>
      <c r="I245" s="15">
        <v>201404</v>
      </c>
      <c r="J245" s="16">
        <v>1141.27</v>
      </c>
      <c r="K245" s="44">
        <f t="shared" si="19"/>
        <v>41944</v>
      </c>
      <c r="L245" s="45">
        <f t="shared" si="15"/>
        <v>7</v>
      </c>
      <c r="M245" s="17">
        <v>1.4833299999999999E-3</v>
      </c>
      <c r="N245" s="46">
        <f t="shared" si="16"/>
        <v>11.8501602037</v>
      </c>
      <c r="O245" s="16"/>
      <c r="P245" s="48">
        <f t="shared" si="17"/>
        <v>549.23618750000003</v>
      </c>
      <c r="Q245" s="16"/>
      <c r="R245" s="48">
        <f t="shared" si="18"/>
        <v>20.597070325000001</v>
      </c>
    </row>
    <row r="246" spans="1:18">
      <c r="A246" s="14" t="s">
        <v>17</v>
      </c>
      <c r="B246" s="15" t="s">
        <v>119</v>
      </c>
      <c r="C246" s="15" t="s">
        <v>120</v>
      </c>
      <c r="D246" s="14" t="s">
        <v>121</v>
      </c>
      <c r="E246" s="15" t="s">
        <v>32</v>
      </c>
      <c r="F246" s="14" t="s">
        <v>22</v>
      </c>
      <c r="G246" s="15" t="s">
        <v>23</v>
      </c>
      <c r="H246" s="15"/>
      <c r="I246" s="15">
        <v>201404</v>
      </c>
      <c r="J246" s="16">
        <v>6685.18</v>
      </c>
      <c r="K246" s="44">
        <f t="shared" si="19"/>
        <v>41944</v>
      </c>
      <c r="L246" s="45">
        <f t="shared" si="15"/>
        <v>7</v>
      </c>
      <c r="M246" s="17">
        <v>1.4833299999999999E-3</v>
      </c>
      <c r="N246" s="46">
        <f t="shared" si="16"/>
        <v>69.414296345799997</v>
      </c>
      <c r="O246" s="16"/>
      <c r="P246" s="48">
        <f t="shared" si="17"/>
        <v>3217.2428750000004</v>
      </c>
      <c r="Q246" s="16"/>
      <c r="R246" s="48">
        <f t="shared" si="18"/>
        <v>120.65078605000001</v>
      </c>
    </row>
    <row r="247" spans="1:18">
      <c r="A247" s="14" t="s">
        <v>17</v>
      </c>
      <c r="B247" s="15" t="s">
        <v>122</v>
      </c>
      <c r="C247" s="15" t="s">
        <v>123</v>
      </c>
      <c r="D247" s="14" t="s">
        <v>124</v>
      </c>
      <c r="E247" s="15" t="s">
        <v>125</v>
      </c>
      <c r="F247" s="14" t="s">
        <v>126</v>
      </c>
      <c r="G247" s="15" t="s">
        <v>23</v>
      </c>
      <c r="H247" s="15"/>
      <c r="I247" s="15">
        <v>201404</v>
      </c>
      <c r="J247" s="16">
        <v>3758.39</v>
      </c>
      <c r="K247" s="44">
        <f t="shared" si="19"/>
        <v>41944</v>
      </c>
      <c r="L247" s="45">
        <f t="shared" si="15"/>
        <v>7</v>
      </c>
      <c r="M247" s="17">
        <v>1.4833299999999999E-3</v>
      </c>
      <c r="N247" s="46">
        <f t="shared" si="16"/>
        <v>39.024528470899995</v>
      </c>
      <c r="O247" s="16"/>
      <c r="P247" s="48">
        <f t="shared" si="17"/>
        <v>1808.7251875000002</v>
      </c>
      <c r="Q247" s="16"/>
      <c r="R247" s="48">
        <f t="shared" si="18"/>
        <v>67.829543525000005</v>
      </c>
    </row>
    <row r="248" spans="1:18">
      <c r="A248" s="14" t="s">
        <v>17</v>
      </c>
      <c r="B248" s="15" t="s">
        <v>127</v>
      </c>
      <c r="C248" s="15" t="s">
        <v>128</v>
      </c>
      <c r="D248" s="14" t="s">
        <v>129</v>
      </c>
      <c r="E248" s="15" t="s">
        <v>62</v>
      </c>
      <c r="F248" s="14" t="s">
        <v>22</v>
      </c>
      <c r="G248" s="15" t="s">
        <v>23</v>
      </c>
      <c r="H248" s="15"/>
      <c r="I248" s="15">
        <v>201404</v>
      </c>
      <c r="J248" s="16">
        <v>14774.37</v>
      </c>
      <c r="K248" s="44">
        <f t="shared" si="19"/>
        <v>41944</v>
      </c>
      <c r="L248" s="45">
        <f t="shared" si="15"/>
        <v>7</v>
      </c>
      <c r="M248" s="17">
        <v>1.4833299999999999E-3</v>
      </c>
      <c r="N248" s="46">
        <f t="shared" si="16"/>
        <v>153.40686376470001</v>
      </c>
      <c r="O248" s="16"/>
      <c r="P248" s="48">
        <f t="shared" si="17"/>
        <v>7110.1655625000012</v>
      </c>
      <c r="Q248" s="16"/>
      <c r="R248" s="48">
        <f t="shared" si="18"/>
        <v>266.64044257500001</v>
      </c>
    </row>
    <row r="249" spans="1:18">
      <c r="A249" s="14" t="s">
        <v>17</v>
      </c>
      <c r="B249" s="15" t="s">
        <v>130</v>
      </c>
      <c r="C249" s="15" t="s">
        <v>131</v>
      </c>
      <c r="D249" s="14" t="s">
        <v>132</v>
      </c>
      <c r="E249" s="15" t="s">
        <v>36</v>
      </c>
      <c r="F249" s="14" t="s">
        <v>22</v>
      </c>
      <c r="G249" s="15" t="s">
        <v>23</v>
      </c>
      <c r="H249" s="15"/>
      <c r="I249" s="15">
        <v>201404</v>
      </c>
      <c r="J249" s="16">
        <v>5861.72</v>
      </c>
      <c r="K249" s="44">
        <f t="shared" si="19"/>
        <v>41944</v>
      </c>
      <c r="L249" s="45">
        <f t="shared" si="15"/>
        <v>7</v>
      </c>
      <c r="M249" s="17">
        <v>1.4833299999999999E-3</v>
      </c>
      <c r="N249" s="46">
        <f t="shared" si="16"/>
        <v>60.864055893200003</v>
      </c>
      <c r="O249" s="16"/>
      <c r="P249" s="48">
        <f t="shared" si="17"/>
        <v>2820.9527500000004</v>
      </c>
      <c r="Q249" s="16"/>
      <c r="R249" s="48">
        <f t="shared" si="18"/>
        <v>105.78939170000001</v>
      </c>
    </row>
    <row r="250" spans="1:18">
      <c r="A250" s="14" t="s">
        <v>17</v>
      </c>
      <c r="B250" s="15" t="s">
        <v>138</v>
      </c>
      <c r="C250" s="15" t="s">
        <v>139</v>
      </c>
      <c r="D250" s="14" t="s">
        <v>140</v>
      </c>
      <c r="E250" s="15" t="s">
        <v>141</v>
      </c>
      <c r="F250" s="14" t="s">
        <v>142</v>
      </c>
      <c r="G250" s="15" t="s">
        <v>23</v>
      </c>
      <c r="H250" s="15"/>
      <c r="I250" s="15">
        <v>201404</v>
      </c>
      <c r="J250" s="16">
        <v>52302.82</v>
      </c>
      <c r="K250" s="44">
        <f t="shared" si="19"/>
        <v>41944</v>
      </c>
      <c r="L250" s="45">
        <f t="shared" si="15"/>
        <v>7</v>
      </c>
      <c r="M250" s="17">
        <v>1.4833299999999999E-3</v>
      </c>
      <c r="N250" s="46">
        <f t="shared" si="16"/>
        <v>543.07639393420004</v>
      </c>
      <c r="O250" s="16"/>
      <c r="P250" s="48">
        <f t="shared" si="17"/>
        <v>25170.732125000002</v>
      </c>
      <c r="Q250" s="16"/>
      <c r="R250" s="48">
        <f t="shared" si="18"/>
        <v>943.93514395</v>
      </c>
    </row>
    <row r="251" spans="1:18">
      <c r="A251" s="14" t="s">
        <v>17</v>
      </c>
      <c r="B251" s="15" t="s">
        <v>143</v>
      </c>
      <c r="C251" s="15" t="s">
        <v>144</v>
      </c>
      <c r="D251" s="14" t="s">
        <v>145</v>
      </c>
      <c r="E251" s="15" t="s">
        <v>62</v>
      </c>
      <c r="F251" s="14" t="s">
        <v>22</v>
      </c>
      <c r="G251" s="15" t="s">
        <v>23</v>
      </c>
      <c r="H251" s="15"/>
      <c r="I251" s="15">
        <v>201404</v>
      </c>
      <c r="J251" s="16">
        <v>9340.58</v>
      </c>
      <c r="K251" s="44">
        <f t="shared" si="19"/>
        <v>41944</v>
      </c>
      <c r="L251" s="45">
        <f t="shared" si="15"/>
        <v>7</v>
      </c>
      <c r="M251" s="17">
        <v>1.4833299999999999E-3</v>
      </c>
      <c r="N251" s="46">
        <f t="shared" si="16"/>
        <v>96.986137719799999</v>
      </c>
      <c r="O251" s="16"/>
      <c r="P251" s="48">
        <f t="shared" si="17"/>
        <v>4495.1541250000009</v>
      </c>
      <c r="Q251" s="16"/>
      <c r="R251" s="48">
        <f t="shared" si="18"/>
        <v>168.57411755000001</v>
      </c>
    </row>
    <row r="252" spans="1:18">
      <c r="A252" s="14" t="s">
        <v>17</v>
      </c>
      <c r="B252" s="15" t="s">
        <v>149</v>
      </c>
      <c r="C252" s="15" t="s">
        <v>150</v>
      </c>
      <c r="D252" s="14" t="s">
        <v>151</v>
      </c>
      <c r="E252" s="15" t="s">
        <v>40</v>
      </c>
      <c r="F252" s="14" t="s">
        <v>41</v>
      </c>
      <c r="G252" s="15" t="s">
        <v>23</v>
      </c>
      <c r="H252" s="15"/>
      <c r="I252" s="15">
        <v>201404</v>
      </c>
      <c r="J252" s="16">
        <v>6357.88</v>
      </c>
      <c r="K252" s="44">
        <f t="shared" si="19"/>
        <v>41944</v>
      </c>
      <c r="L252" s="45">
        <f t="shared" si="15"/>
        <v>7</v>
      </c>
      <c r="M252" s="17">
        <v>1.4833299999999999E-3</v>
      </c>
      <c r="N252" s="46">
        <f t="shared" si="16"/>
        <v>66.015838982800005</v>
      </c>
      <c r="O252" s="16"/>
      <c r="P252" s="48">
        <f t="shared" si="17"/>
        <v>3059.7297500000004</v>
      </c>
      <c r="Q252" s="16"/>
      <c r="R252" s="48">
        <f t="shared" si="18"/>
        <v>114.7438393</v>
      </c>
    </row>
    <row r="253" spans="1:18">
      <c r="A253" s="14" t="s">
        <v>17</v>
      </c>
      <c r="B253" s="15" t="s">
        <v>152</v>
      </c>
      <c r="C253" s="15" t="s">
        <v>153</v>
      </c>
      <c r="D253" s="14" t="s">
        <v>154</v>
      </c>
      <c r="E253" s="15" t="s">
        <v>53</v>
      </c>
      <c r="F253" s="14" t="s">
        <v>41</v>
      </c>
      <c r="G253" s="15" t="s">
        <v>23</v>
      </c>
      <c r="H253" s="15"/>
      <c r="I253" s="15">
        <v>201404</v>
      </c>
      <c r="J253" s="16">
        <v>1015.92</v>
      </c>
      <c r="K253" s="44">
        <f t="shared" si="19"/>
        <v>41944</v>
      </c>
      <c r="L253" s="45">
        <f t="shared" si="15"/>
        <v>7</v>
      </c>
      <c r="M253" s="17">
        <v>1.4833299999999999E-3</v>
      </c>
      <c r="N253" s="46">
        <f t="shared" si="16"/>
        <v>10.5486122952</v>
      </c>
      <c r="O253" s="16"/>
      <c r="P253" s="48">
        <f t="shared" si="17"/>
        <v>488.91150000000005</v>
      </c>
      <c r="Q253" s="16"/>
      <c r="R253" s="48">
        <f t="shared" si="18"/>
        <v>18.334816199999999</v>
      </c>
    </row>
    <row r="254" spans="1:18">
      <c r="A254" s="14" t="s">
        <v>17</v>
      </c>
      <c r="B254" s="15" t="s">
        <v>155</v>
      </c>
      <c r="C254" s="15" t="s">
        <v>156</v>
      </c>
      <c r="D254" s="14" t="s">
        <v>157</v>
      </c>
      <c r="E254" s="15" t="s">
        <v>32</v>
      </c>
      <c r="F254" s="14" t="s">
        <v>22</v>
      </c>
      <c r="G254" s="15" t="s">
        <v>23</v>
      </c>
      <c r="H254" s="15"/>
      <c r="I254" s="15">
        <v>201404</v>
      </c>
      <c r="J254" s="16">
        <v>6666.43</v>
      </c>
      <c r="K254" s="44">
        <f t="shared" si="19"/>
        <v>41944</v>
      </c>
      <c r="L254" s="45">
        <f t="shared" si="15"/>
        <v>7</v>
      </c>
      <c r="M254" s="17">
        <v>1.4833299999999999E-3</v>
      </c>
      <c r="N254" s="46">
        <f t="shared" si="16"/>
        <v>69.219609283300002</v>
      </c>
      <c r="O254" s="16"/>
      <c r="P254" s="48">
        <f t="shared" si="17"/>
        <v>3208.2194375000004</v>
      </c>
      <c r="Q254" s="16"/>
      <c r="R254" s="48">
        <f t="shared" si="18"/>
        <v>120.31239542500001</v>
      </c>
    </row>
    <row r="255" spans="1:18">
      <c r="A255" s="14" t="s">
        <v>17</v>
      </c>
      <c r="B255" s="15" t="s">
        <v>158</v>
      </c>
      <c r="C255" s="15" t="s">
        <v>159</v>
      </c>
      <c r="D255" s="14" t="s">
        <v>160</v>
      </c>
      <c r="E255" s="15" t="s">
        <v>108</v>
      </c>
      <c r="F255" s="14" t="s">
        <v>28</v>
      </c>
      <c r="G255" s="15" t="s">
        <v>23</v>
      </c>
      <c r="H255" s="15"/>
      <c r="I255" s="15">
        <v>201404</v>
      </c>
      <c r="J255" s="16">
        <v>1455.35</v>
      </c>
      <c r="K255" s="44">
        <f t="shared" si="19"/>
        <v>41944</v>
      </c>
      <c r="L255" s="45">
        <f t="shared" si="15"/>
        <v>7</v>
      </c>
      <c r="M255" s="17">
        <v>1.4833299999999999E-3</v>
      </c>
      <c r="N255" s="46">
        <f t="shared" si="16"/>
        <v>15.111350208499999</v>
      </c>
      <c r="O255" s="16"/>
      <c r="P255" s="48">
        <f t="shared" si="17"/>
        <v>700.3871875000001</v>
      </c>
      <c r="Q255" s="16"/>
      <c r="R255" s="48">
        <f t="shared" si="18"/>
        <v>26.265429125000001</v>
      </c>
    </row>
    <row r="256" spans="1:18">
      <c r="A256" s="14" t="s">
        <v>17</v>
      </c>
      <c r="B256" s="15" t="s">
        <v>161</v>
      </c>
      <c r="C256" s="15" t="s">
        <v>162</v>
      </c>
      <c r="D256" s="14" t="s">
        <v>163</v>
      </c>
      <c r="E256" s="15" t="s">
        <v>62</v>
      </c>
      <c r="F256" s="14" t="s">
        <v>22</v>
      </c>
      <c r="G256" s="15" t="s">
        <v>23</v>
      </c>
      <c r="H256" s="15"/>
      <c r="I256" s="15">
        <v>201404</v>
      </c>
      <c r="J256" s="16">
        <v>4412.97</v>
      </c>
      <c r="K256" s="44">
        <f t="shared" si="19"/>
        <v>41944</v>
      </c>
      <c r="L256" s="45">
        <f t="shared" si="15"/>
        <v>7</v>
      </c>
      <c r="M256" s="17">
        <v>1.4833299999999999E-3</v>
      </c>
      <c r="N256" s="46">
        <f t="shared" si="16"/>
        <v>45.821235530700001</v>
      </c>
      <c r="O256" s="16"/>
      <c r="P256" s="48">
        <f t="shared" si="17"/>
        <v>2123.7418125000004</v>
      </c>
      <c r="Q256" s="16"/>
      <c r="R256" s="48">
        <f t="shared" si="18"/>
        <v>79.64307607500001</v>
      </c>
    </row>
    <row r="257" spans="1:18">
      <c r="A257" s="14" t="s">
        <v>17</v>
      </c>
      <c r="B257" s="15" t="s">
        <v>170</v>
      </c>
      <c r="C257" s="15" t="s">
        <v>171</v>
      </c>
      <c r="D257" s="14" t="s">
        <v>172</v>
      </c>
      <c r="E257" s="15" t="s">
        <v>62</v>
      </c>
      <c r="F257" s="14" t="s">
        <v>22</v>
      </c>
      <c r="G257" s="15" t="s">
        <v>23</v>
      </c>
      <c r="H257" s="15"/>
      <c r="I257" s="15">
        <v>201404</v>
      </c>
      <c r="J257" s="16">
        <v>57497.04</v>
      </c>
      <c r="K257" s="44">
        <f t="shared" si="19"/>
        <v>41944</v>
      </c>
      <c r="L257" s="45">
        <f t="shared" si="15"/>
        <v>7</v>
      </c>
      <c r="M257" s="17">
        <v>1.4833299999999999E-3</v>
      </c>
      <c r="N257" s="46">
        <f t="shared" si="16"/>
        <v>597.00959040240002</v>
      </c>
      <c r="O257" s="16"/>
      <c r="P257" s="48">
        <f t="shared" si="17"/>
        <v>27670.450500000003</v>
      </c>
      <c r="Q257" s="16"/>
      <c r="R257" s="48">
        <f t="shared" si="18"/>
        <v>1037.6778294000001</v>
      </c>
    </row>
    <row r="258" spans="1:18">
      <c r="A258" s="14" t="s">
        <v>17</v>
      </c>
      <c r="B258" s="15" t="s">
        <v>177</v>
      </c>
      <c r="C258" s="15" t="s">
        <v>178</v>
      </c>
      <c r="D258" s="14" t="s">
        <v>179</v>
      </c>
      <c r="E258" s="15" t="s">
        <v>176</v>
      </c>
      <c r="F258" s="14" t="s">
        <v>28</v>
      </c>
      <c r="G258" s="15" t="s">
        <v>23</v>
      </c>
      <c r="H258" s="15"/>
      <c r="I258" s="15">
        <v>201404</v>
      </c>
      <c r="J258" s="16">
        <v>4758.22</v>
      </c>
      <c r="K258" s="44">
        <f t="shared" si="19"/>
        <v>41944</v>
      </c>
      <c r="L258" s="45">
        <f t="shared" si="15"/>
        <v>7</v>
      </c>
      <c r="M258" s="17">
        <v>1.4833299999999999E-3</v>
      </c>
      <c r="N258" s="46">
        <f t="shared" si="16"/>
        <v>49.4060733082</v>
      </c>
      <c r="O258" s="16"/>
      <c r="P258" s="48">
        <f t="shared" si="17"/>
        <v>2289.8933750000006</v>
      </c>
      <c r="Q258" s="16"/>
      <c r="R258" s="48">
        <f t="shared" si="18"/>
        <v>85.873975450000003</v>
      </c>
    </row>
    <row r="259" spans="1:18">
      <c r="A259" s="14" t="s">
        <v>17</v>
      </c>
      <c r="B259" s="15" t="s">
        <v>183</v>
      </c>
      <c r="C259" s="15" t="s">
        <v>184</v>
      </c>
      <c r="D259" s="14" t="s">
        <v>185</v>
      </c>
      <c r="E259" s="15" t="s">
        <v>53</v>
      </c>
      <c r="F259" s="14" t="s">
        <v>41</v>
      </c>
      <c r="G259" s="15" t="s">
        <v>23</v>
      </c>
      <c r="H259" s="15"/>
      <c r="I259" s="15">
        <v>201404</v>
      </c>
      <c r="J259" s="16">
        <v>9562.14</v>
      </c>
      <c r="K259" s="44">
        <f t="shared" si="19"/>
        <v>41944</v>
      </c>
      <c r="L259" s="45">
        <f t="shared" si="15"/>
        <v>7</v>
      </c>
      <c r="M259" s="17">
        <v>1.4833299999999999E-3</v>
      </c>
      <c r="N259" s="46">
        <f t="shared" si="16"/>
        <v>99.286663883399996</v>
      </c>
      <c r="O259" s="16"/>
      <c r="P259" s="48">
        <f t="shared" si="17"/>
        <v>4601.7798750000002</v>
      </c>
      <c r="Q259" s="16"/>
      <c r="R259" s="48">
        <f t="shared" si="18"/>
        <v>172.57272165000001</v>
      </c>
    </row>
    <row r="260" spans="1:18">
      <c r="A260" s="14" t="s">
        <v>17</v>
      </c>
      <c r="B260" s="15" t="s">
        <v>186</v>
      </c>
      <c r="C260" s="15" t="s">
        <v>187</v>
      </c>
      <c r="D260" s="14" t="s">
        <v>188</v>
      </c>
      <c r="E260" s="15" t="s">
        <v>108</v>
      </c>
      <c r="F260" s="14" t="s">
        <v>28</v>
      </c>
      <c r="G260" s="15" t="s">
        <v>23</v>
      </c>
      <c r="H260" s="15"/>
      <c r="I260" s="15">
        <v>201404</v>
      </c>
      <c r="J260" s="16">
        <v>4821.8999999999996</v>
      </c>
      <c r="K260" s="44">
        <f t="shared" si="19"/>
        <v>41944</v>
      </c>
      <c r="L260" s="45">
        <f t="shared" si="15"/>
        <v>7</v>
      </c>
      <c r="M260" s="17">
        <v>1.4833299999999999E-3</v>
      </c>
      <c r="N260" s="46">
        <f t="shared" si="16"/>
        <v>50.067282488999993</v>
      </c>
      <c r="O260" s="16"/>
      <c r="P260" s="48">
        <f t="shared" si="17"/>
        <v>2320.5393750000003</v>
      </c>
      <c r="Q260" s="16"/>
      <c r="R260" s="48">
        <f t="shared" si="18"/>
        <v>87.023240250000001</v>
      </c>
    </row>
    <row r="261" spans="1:18">
      <c r="A261" s="18" t="s">
        <v>66</v>
      </c>
      <c r="B261" s="15" t="s">
        <v>197</v>
      </c>
      <c r="C261" s="15" t="s">
        <v>198</v>
      </c>
      <c r="D261" s="14" t="s">
        <v>69</v>
      </c>
      <c r="E261" s="15" t="s">
        <v>199</v>
      </c>
      <c r="F261" s="14" t="s">
        <v>71</v>
      </c>
      <c r="G261" s="15" t="s">
        <v>23</v>
      </c>
      <c r="H261" s="15"/>
      <c r="I261" s="15">
        <v>201404</v>
      </c>
      <c r="J261" s="16">
        <v>3328.3</v>
      </c>
      <c r="K261" s="44">
        <f t="shared" si="19"/>
        <v>41944</v>
      </c>
      <c r="L261" s="45">
        <f t="shared" si="15"/>
        <v>7</v>
      </c>
      <c r="M261" s="17">
        <v>2.23333E-3</v>
      </c>
      <c r="N261" s="46">
        <f t="shared" si="16"/>
        <v>52.032345673000009</v>
      </c>
      <c r="O261" s="16"/>
      <c r="P261" s="48">
        <f t="shared" si="17"/>
        <v>1601.7443750000002</v>
      </c>
      <c r="Q261" s="16"/>
      <c r="R261" s="48">
        <f t="shared" si="18"/>
        <v>60.06749425000001</v>
      </c>
    </row>
    <row r="262" spans="1:18">
      <c r="A262" s="18" t="s">
        <v>66</v>
      </c>
      <c r="B262" s="15" t="s">
        <v>200</v>
      </c>
      <c r="C262" s="15" t="s">
        <v>201</v>
      </c>
      <c r="D262" s="14" t="s">
        <v>202</v>
      </c>
      <c r="E262" s="15" t="s">
        <v>203</v>
      </c>
      <c r="F262" s="14" t="s">
        <v>80</v>
      </c>
      <c r="G262" s="15" t="s">
        <v>23</v>
      </c>
      <c r="H262" s="15"/>
      <c r="I262" s="15">
        <v>201404</v>
      </c>
      <c r="J262" s="16">
        <v>82528.86</v>
      </c>
      <c r="K262" s="44">
        <f t="shared" si="19"/>
        <v>41944</v>
      </c>
      <c r="L262" s="45">
        <f t="shared" ref="L262:L325" si="20">((YEAR($L$1)-YEAR(K262))*12+MONTH($L$1)-MONTH(K262))</f>
        <v>7</v>
      </c>
      <c r="M262" s="17">
        <v>2.23333E-3</v>
      </c>
      <c r="N262" s="46">
        <f t="shared" ref="N262:N325" si="21">M262*L262*J262</f>
        <v>1290.1992523266001</v>
      </c>
      <c r="O262" s="16"/>
      <c r="P262" s="48">
        <f t="shared" ref="P262:P325" si="22">$P$4*J262</f>
        <v>39717.013875000004</v>
      </c>
      <c r="Q262" s="16"/>
      <c r="R262" s="48">
        <f t="shared" ref="R262:R325" si="23">$R$4*(J262*0.5)*$T$9</f>
        <v>1489.43960085</v>
      </c>
    </row>
    <row r="263" spans="1:18">
      <c r="A263" s="18" t="s">
        <v>66</v>
      </c>
      <c r="B263" s="15" t="s">
        <v>204</v>
      </c>
      <c r="C263" s="15" t="s">
        <v>205</v>
      </c>
      <c r="D263" s="14" t="s">
        <v>206</v>
      </c>
      <c r="E263" s="15" t="s">
        <v>207</v>
      </c>
      <c r="F263" s="14" t="s">
        <v>97</v>
      </c>
      <c r="G263" s="15" t="s">
        <v>23</v>
      </c>
      <c r="H263" s="15"/>
      <c r="I263" s="15">
        <v>201404</v>
      </c>
      <c r="J263" s="16">
        <v>311.74</v>
      </c>
      <c r="K263" s="44">
        <f t="shared" ref="K263:K326" si="24">+K262</f>
        <v>41944</v>
      </c>
      <c r="L263" s="45">
        <f t="shared" si="20"/>
        <v>7</v>
      </c>
      <c r="M263" s="17">
        <v>2.23333E-3</v>
      </c>
      <c r="N263" s="46">
        <f t="shared" si="21"/>
        <v>4.8735280594000008</v>
      </c>
      <c r="O263" s="16"/>
      <c r="P263" s="48">
        <f t="shared" si="22"/>
        <v>150.02487500000004</v>
      </c>
      <c r="Q263" s="16"/>
      <c r="R263" s="48">
        <f t="shared" si="23"/>
        <v>5.6261276500000008</v>
      </c>
    </row>
    <row r="264" spans="1:18">
      <c r="A264" s="18" t="s">
        <v>66</v>
      </c>
      <c r="B264" s="15" t="s">
        <v>208</v>
      </c>
      <c r="C264" s="15" t="s">
        <v>209</v>
      </c>
      <c r="D264" s="14" t="s">
        <v>210</v>
      </c>
      <c r="E264" s="15" t="s">
        <v>211</v>
      </c>
      <c r="F264" s="14" t="s">
        <v>212</v>
      </c>
      <c r="G264" s="15" t="s">
        <v>23</v>
      </c>
      <c r="H264" s="15"/>
      <c r="I264" s="15">
        <v>201404</v>
      </c>
      <c r="J264" s="16">
        <v>18846.759999999998</v>
      </c>
      <c r="K264" s="44">
        <f t="shared" si="24"/>
        <v>41944</v>
      </c>
      <c r="L264" s="45">
        <f t="shared" si="20"/>
        <v>7</v>
      </c>
      <c r="M264" s="17">
        <v>2.23333E-3</v>
      </c>
      <c r="N264" s="46">
        <f t="shared" si="21"/>
        <v>294.6372415756</v>
      </c>
      <c r="O264" s="16"/>
      <c r="P264" s="48">
        <f t="shared" si="22"/>
        <v>9070.0032499999998</v>
      </c>
      <c r="Q264" s="16"/>
      <c r="R264" s="48">
        <f t="shared" si="23"/>
        <v>340.13690109999999</v>
      </c>
    </row>
    <row r="265" spans="1:18">
      <c r="A265" s="14" t="s">
        <v>17</v>
      </c>
      <c r="B265" s="15" t="s">
        <v>213</v>
      </c>
      <c r="C265" s="15" t="s">
        <v>214</v>
      </c>
      <c r="D265" s="14" t="s">
        <v>215</v>
      </c>
      <c r="E265" s="15" t="s">
        <v>216</v>
      </c>
      <c r="F265" s="14" t="s">
        <v>22</v>
      </c>
      <c r="G265" s="15" t="s">
        <v>23</v>
      </c>
      <c r="H265" s="15"/>
      <c r="I265" s="15">
        <v>201404</v>
      </c>
      <c r="J265" s="16">
        <v>3128.02</v>
      </c>
      <c r="K265" s="44">
        <f t="shared" si="24"/>
        <v>41944</v>
      </c>
      <c r="L265" s="45">
        <f t="shared" si="20"/>
        <v>7</v>
      </c>
      <c r="M265" s="17">
        <v>1.4833299999999999E-3</v>
      </c>
      <c r="N265" s="46">
        <f t="shared" si="21"/>
        <v>32.4792013462</v>
      </c>
      <c r="O265" s="16"/>
      <c r="P265" s="48">
        <f t="shared" si="22"/>
        <v>1505.3596250000003</v>
      </c>
      <c r="Q265" s="16"/>
      <c r="R265" s="48">
        <f t="shared" si="23"/>
        <v>56.452940950000006</v>
      </c>
    </row>
    <row r="266" spans="1:18">
      <c r="A266" s="14" t="s">
        <v>217</v>
      </c>
      <c r="B266" s="15" t="s">
        <v>218</v>
      </c>
      <c r="C266" s="15" t="s">
        <v>219</v>
      </c>
      <c r="D266" s="14" t="s">
        <v>220</v>
      </c>
      <c r="E266" s="15" t="s">
        <v>221</v>
      </c>
      <c r="F266" s="14" t="s">
        <v>222</v>
      </c>
      <c r="G266" s="15" t="s">
        <v>23</v>
      </c>
      <c r="H266" s="15"/>
      <c r="I266" s="15">
        <v>201404</v>
      </c>
      <c r="J266" s="16">
        <v>185452.24</v>
      </c>
      <c r="K266" s="44">
        <f t="shared" si="24"/>
        <v>41944</v>
      </c>
      <c r="L266" s="45">
        <f t="shared" si="20"/>
        <v>7</v>
      </c>
      <c r="M266" s="17">
        <v>1.4833299999999999E-3</v>
      </c>
      <c r="N266" s="46">
        <f t="shared" si="21"/>
        <v>1925.6080981143998</v>
      </c>
      <c r="O266" s="16"/>
      <c r="P266" s="48">
        <f t="shared" si="22"/>
        <v>89248.890500000009</v>
      </c>
      <c r="Q266" s="16"/>
      <c r="R266" s="48">
        <f t="shared" si="23"/>
        <v>3346.9493014</v>
      </c>
    </row>
    <row r="267" spans="1:18">
      <c r="A267" s="18" t="s">
        <v>66</v>
      </c>
      <c r="B267" s="15" t="s">
        <v>223</v>
      </c>
      <c r="C267" s="15" t="s">
        <v>224</v>
      </c>
      <c r="D267" s="14" t="s">
        <v>88</v>
      </c>
      <c r="E267" s="15" t="s">
        <v>225</v>
      </c>
      <c r="F267" s="14" t="s">
        <v>85</v>
      </c>
      <c r="G267" s="15" t="s">
        <v>23</v>
      </c>
      <c r="H267" s="15"/>
      <c r="I267" s="15">
        <v>201404</v>
      </c>
      <c r="J267" s="16">
        <v>7209.27</v>
      </c>
      <c r="K267" s="44">
        <f t="shared" si="24"/>
        <v>41944</v>
      </c>
      <c r="L267" s="45">
        <f t="shared" si="20"/>
        <v>7</v>
      </c>
      <c r="M267" s="17">
        <v>2.23333E-3</v>
      </c>
      <c r="N267" s="46">
        <f t="shared" si="21"/>
        <v>112.70475278370002</v>
      </c>
      <c r="O267" s="16"/>
      <c r="P267" s="48">
        <f t="shared" si="22"/>
        <v>3469.4611875000005</v>
      </c>
      <c r="Q267" s="16"/>
      <c r="R267" s="48">
        <f t="shared" si="23"/>
        <v>130.10930032500002</v>
      </c>
    </row>
    <row r="268" spans="1:18">
      <c r="A268" s="18" t="s">
        <v>66</v>
      </c>
      <c r="B268" s="15" t="s">
        <v>226</v>
      </c>
      <c r="C268" s="15" t="s">
        <v>227</v>
      </c>
      <c r="D268" s="14" t="s">
        <v>78</v>
      </c>
      <c r="E268" s="15" t="s">
        <v>228</v>
      </c>
      <c r="F268" s="14" t="s">
        <v>80</v>
      </c>
      <c r="G268" s="15" t="s">
        <v>23</v>
      </c>
      <c r="H268" s="15"/>
      <c r="I268" s="15">
        <v>201404</v>
      </c>
      <c r="J268" s="16">
        <v>966.08</v>
      </c>
      <c r="K268" s="44">
        <f t="shared" si="24"/>
        <v>41944</v>
      </c>
      <c r="L268" s="45">
        <f t="shared" si="20"/>
        <v>7</v>
      </c>
      <c r="M268" s="17">
        <v>2.23333E-3</v>
      </c>
      <c r="N268" s="46">
        <f t="shared" si="21"/>
        <v>15.103028124800002</v>
      </c>
      <c r="O268" s="16"/>
      <c r="P268" s="48">
        <f t="shared" si="22"/>
        <v>464.9260000000001</v>
      </c>
      <c r="Q268" s="16"/>
      <c r="R268" s="48">
        <f t="shared" si="23"/>
        <v>17.435328800000001</v>
      </c>
    </row>
    <row r="269" spans="1:18">
      <c r="A269" s="18" t="s">
        <v>66</v>
      </c>
      <c r="B269" s="15" t="s">
        <v>229</v>
      </c>
      <c r="C269" s="15" t="s">
        <v>230</v>
      </c>
      <c r="D269" s="14" t="s">
        <v>78</v>
      </c>
      <c r="E269" s="15" t="s">
        <v>231</v>
      </c>
      <c r="F269" s="14" t="s">
        <v>80</v>
      </c>
      <c r="G269" s="15" t="s">
        <v>23</v>
      </c>
      <c r="H269" s="15"/>
      <c r="I269" s="15">
        <v>201404</v>
      </c>
      <c r="J269" s="16">
        <v>16556.64</v>
      </c>
      <c r="K269" s="44">
        <f t="shared" si="24"/>
        <v>41944</v>
      </c>
      <c r="L269" s="45">
        <f t="shared" si="20"/>
        <v>7</v>
      </c>
      <c r="M269" s="17">
        <v>2.23333E-3</v>
      </c>
      <c r="N269" s="46">
        <f t="shared" si="21"/>
        <v>258.83508567839999</v>
      </c>
      <c r="O269" s="16"/>
      <c r="P269" s="48">
        <f t="shared" si="22"/>
        <v>7967.8830000000007</v>
      </c>
      <c r="Q269" s="16"/>
      <c r="R269" s="48">
        <f t="shared" si="23"/>
        <v>298.8059604</v>
      </c>
    </row>
    <row r="270" spans="1:18">
      <c r="A270" s="14" t="s">
        <v>17</v>
      </c>
      <c r="B270" s="15" t="s">
        <v>232</v>
      </c>
      <c r="C270" s="15" t="s">
        <v>233</v>
      </c>
      <c r="D270" s="14" t="s">
        <v>234</v>
      </c>
      <c r="E270" s="15" t="s">
        <v>40</v>
      </c>
      <c r="F270" s="14" t="s">
        <v>41</v>
      </c>
      <c r="G270" s="15" t="s">
        <v>23</v>
      </c>
      <c r="H270" s="15"/>
      <c r="I270" s="15">
        <v>201404</v>
      </c>
      <c r="J270" s="16">
        <v>2845.41</v>
      </c>
      <c r="K270" s="44">
        <f t="shared" si="24"/>
        <v>41944</v>
      </c>
      <c r="L270" s="45">
        <f t="shared" si="20"/>
        <v>7</v>
      </c>
      <c r="M270" s="17">
        <v>1.4833299999999999E-3</v>
      </c>
      <c r="N270" s="46">
        <f t="shared" si="21"/>
        <v>29.544774107099997</v>
      </c>
      <c r="O270" s="16"/>
      <c r="P270" s="48">
        <f t="shared" si="22"/>
        <v>1369.3535625000002</v>
      </c>
      <c r="Q270" s="16"/>
      <c r="R270" s="48">
        <f t="shared" si="23"/>
        <v>51.352536975</v>
      </c>
    </row>
    <row r="271" spans="1:18">
      <c r="A271" s="14" t="s">
        <v>17</v>
      </c>
      <c r="B271" s="15" t="s">
        <v>235</v>
      </c>
      <c r="C271" s="15" t="s">
        <v>236</v>
      </c>
      <c r="D271" s="14" t="s">
        <v>237</v>
      </c>
      <c r="E271" s="15" t="s">
        <v>62</v>
      </c>
      <c r="F271" s="14" t="s">
        <v>22</v>
      </c>
      <c r="G271" s="15" t="s">
        <v>23</v>
      </c>
      <c r="H271" s="15"/>
      <c r="I271" s="15">
        <v>201404</v>
      </c>
      <c r="J271" s="16">
        <v>-110.43</v>
      </c>
      <c r="K271" s="44">
        <f t="shared" si="24"/>
        <v>41944</v>
      </c>
      <c r="L271" s="45">
        <f t="shared" si="20"/>
        <v>7</v>
      </c>
      <c r="M271" s="17">
        <v>1.4833299999999999E-3</v>
      </c>
      <c r="N271" s="46">
        <f t="shared" si="21"/>
        <v>-1.1466289233</v>
      </c>
      <c r="O271" s="16"/>
      <c r="P271" s="48">
        <f t="shared" si="22"/>
        <v>-53.144437500000009</v>
      </c>
      <c r="Q271" s="16"/>
      <c r="R271" s="48">
        <f t="shared" si="23"/>
        <v>-1.9929854250000003</v>
      </c>
    </row>
    <row r="272" spans="1:18">
      <c r="A272" s="14" t="s">
        <v>238</v>
      </c>
      <c r="B272" s="15" t="s">
        <v>239</v>
      </c>
      <c r="C272" s="15" t="s">
        <v>240</v>
      </c>
      <c r="D272" s="14" t="s">
        <v>241</v>
      </c>
      <c r="E272" s="15" t="s">
        <v>168</v>
      </c>
      <c r="F272" s="14" t="s">
        <v>169</v>
      </c>
      <c r="G272" s="15" t="s">
        <v>23</v>
      </c>
      <c r="H272" s="15"/>
      <c r="I272" s="15">
        <v>201404</v>
      </c>
      <c r="J272" s="16">
        <v>829.58</v>
      </c>
      <c r="K272" s="44">
        <f t="shared" si="24"/>
        <v>41944</v>
      </c>
      <c r="L272" s="45">
        <f t="shared" si="20"/>
        <v>7</v>
      </c>
      <c r="M272" s="17">
        <v>2.3833299999999999E-3</v>
      </c>
      <c r="N272" s="46">
        <f t="shared" si="21"/>
        <v>13.840140309800001</v>
      </c>
      <c r="O272" s="16"/>
      <c r="P272" s="48">
        <f t="shared" si="22"/>
        <v>399.23537500000009</v>
      </c>
      <c r="Q272" s="16"/>
      <c r="R272" s="48">
        <f t="shared" si="23"/>
        <v>14.971845050000002</v>
      </c>
    </row>
    <row r="273" spans="1:18">
      <c r="A273" s="14" t="s">
        <v>17</v>
      </c>
      <c r="B273" s="15" t="s">
        <v>248</v>
      </c>
      <c r="C273" s="15" t="s">
        <v>249</v>
      </c>
      <c r="D273" s="14" t="s">
        <v>250</v>
      </c>
      <c r="E273" s="15" t="s">
        <v>62</v>
      </c>
      <c r="F273" s="14" t="s">
        <v>22</v>
      </c>
      <c r="G273" s="15" t="s">
        <v>23</v>
      </c>
      <c r="H273" s="15"/>
      <c r="I273" s="15">
        <v>201404</v>
      </c>
      <c r="J273" s="16">
        <v>6.55</v>
      </c>
      <c r="K273" s="44">
        <f t="shared" si="24"/>
        <v>41944</v>
      </c>
      <c r="L273" s="45">
        <f t="shared" si="20"/>
        <v>7</v>
      </c>
      <c r="M273" s="17">
        <v>1.4833299999999999E-3</v>
      </c>
      <c r="N273" s="46">
        <f t="shared" si="21"/>
        <v>6.801068049999999E-2</v>
      </c>
      <c r="O273" s="16"/>
      <c r="P273" s="48">
        <f t="shared" si="22"/>
        <v>3.1521875000000001</v>
      </c>
      <c r="Q273" s="16"/>
      <c r="R273" s="48">
        <f t="shared" si="23"/>
        <v>0.118211125</v>
      </c>
    </row>
    <row r="274" spans="1:18">
      <c r="A274" s="14" t="s">
        <v>17</v>
      </c>
      <c r="B274" s="15" t="s">
        <v>251</v>
      </c>
      <c r="C274" s="15" t="s">
        <v>249</v>
      </c>
      <c r="D274" s="14" t="s">
        <v>250</v>
      </c>
      <c r="E274" s="15" t="s">
        <v>62</v>
      </c>
      <c r="F274" s="14" t="s">
        <v>22</v>
      </c>
      <c r="G274" s="15" t="s">
        <v>23</v>
      </c>
      <c r="H274" s="15"/>
      <c r="I274" s="15">
        <v>201404</v>
      </c>
      <c r="J274" s="16">
        <v>5884.54</v>
      </c>
      <c r="K274" s="44">
        <f t="shared" si="24"/>
        <v>41944</v>
      </c>
      <c r="L274" s="45">
        <f t="shared" si="20"/>
        <v>7</v>
      </c>
      <c r="M274" s="17">
        <v>1.4833299999999999E-3</v>
      </c>
      <c r="N274" s="46">
        <f t="shared" si="21"/>
        <v>61.101003027399997</v>
      </c>
      <c r="O274" s="16"/>
      <c r="P274" s="48">
        <f t="shared" si="22"/>
        <v>2831.9348750000004</v>
      </c>
      <c r="Q274" s="16"/>
      <c r="R274" s="48">
        <f t="shared" si="23"/>
        <v>106.20123565</v>
      </c>
    </row>
    <row r="275" spans="1:18">
      <c r="A275" s="14" t="s">
        <v>17</v>
      </c>
      <c r="B275" s="15" t="s">
        <v>252</v>
      </c>
      <c r="C275" s="15" t="s">
        <v>253</v>
      </c>
      <c r="D275" s="14" t="s">
        <v>254</v>
      </c>
      <c r="E275" s="15" t="s">
        <v>141</v>
      </c>
      <c r="F275" s="14" t="s">
        <v>142</v>
      </c>
      <c r="G275" s="15" t="s">
        <v>23</v>
      </c>
      <c r="H275" s="15"/>
      <c r="I275" s="15">
        <v>201404</v>
      </c>
      <c r="J275" s="16">
        <v>2371.11</v>
      </c>
      <c r="K275" s="44">
        <f t="shared" si="24"/>
        <v>41944</v>
      </c>
      <c r="L275" s="45">
        <f t="shared" si="20"/>
        <v>7</v>
      </c>
      <c r="M275" s="17">
        <v>1.4833299999999999E-3</v>
      </c>
      <c r="N275" s="46">
        <f t="shared" si="21"/>
        <v>24.619970174100001</v>
      </c>
      <c r="O275" s="16"/>
      <c r="P275" s="48">
        <f t="shared" si="22"/>
        <v>1141.0966875000001</v>
      </c>
      <c r="Q275" s="16"/>
      <c r="R275" s="48">
        <f t="shared" si="23"/>
        <v>42.792607725000003</v>
      </c>
    </row>
    <row r="276" spans="1:18">
      <c r="A276" s="14" t="s">
        <v>17</v>
      </c>
      <c r="B276" s="15" t="s">
        <v>255</v>
      </c>
      <c r="C276" s="15" t="s">
        <v>256</v>
      </c>
      <c r="D276" s="14" t="s">
        <v>257</v>
      </c>
      <c r="E276" s="15" t="s">
        <v>258</v>
      </c>
      <c r="F276" s="14" t="s">
        <v>259</v>
      </c>
      <c r="G276" s="15" t="s">
        <v>23</v>
      </c>
      <c r="H276" s="15"/>
      <c r="I276" s="15">
        <v>201404</v>
      </c>
      <c r="J276" s="16">
        <v>2363.61</v>
      </c>
      <c r="K276" s="44">
        <f t="shared" si="24"/>
        <v>41944</v>
      </c>
      <c r="L276" s="45">
        <f t="shared" si="20"/>
        <v>7</v>
      </c>
      <c r="M276" s="17">
        <v>1.4833299999999999E-3</v>
      </c>
      <c r="N276" s="46">
        <f t="shared" si="21"/>
        <v>24.542095349100002</v>
      </c>
      <c r="O276" s="16"/>
      <c r="P276" s="48">
        <f t="shared" si="22"/>
        <v>1137.4873125000001</v>
      </c>
      <c r="Q276" s="16"/>
      <c r="R276" s="48">
        <f t="shared" si="23"/>
        <v>42.657251475000002</v>
      </c>
    </row>
    <row r="277" spans="1:18">
      <c r="A277" s="14" t="s">
        <v>17</v>
      </c>
      <c r="B277" s="15" t="s">
        <v>260</v>
      </c>
      <c r="C277" s="15" t="s">
        <v>261</v>
      </c>
      <c r="D277" s="14" t="s">
        <v>262</v>
      </c>
      <c r="E277" s="15" t="s">
        <v>258</v>
      </c>
      <c r="F277" s="14" t="s">
        <v>259</v>
      </c>
      <c r="G277" s="15" t="s">
        <v>23</v>
      </c>
      <c r="H277" s="15"/>
      <c r="I277" s="15">
        <v>201404</v>
      </c>
      <c r="J277" s="16">
        <v>3805.98</v>
      </c>
      <c r="K277" s="44">
        <f t="shared" si="24"/>
        <v>41944</v>
      </c>
      <c r="L277" s="45">
        <f t="shared" si="20"/>
        <v>7</v>
      </c>
      <c r="M277" s="17">
        <v>1.4833299999999999E-3</v>
      </c>
      <c r="N277" s="46">
        <f t="shared" si="21"/>
        <v>39.518670193799998</v>
      </c>
      <c r="O277" s="16"/>
      <c r="P277" s="48">
        <f t="shared" si="22"/>
        <v>1831.6278750000004</v>
      </c>
      <c r="Q277" s="16"/>
      <c r="R277" s="48">
        <f t="shared" si="23"/>
        <v>68.688424050000009</v>
      </c>
    </row>
    <row r="278" spans="1:18">
      <c r="A278" s="14" t="s">
        <v>17</v>
      </c>
      <c r="B278" s="15" t="s">
        <v>263</v>
      </c>
      <c r="C278" s="15" t="s">
        <v>264</v>
      </c>
      <c r="D278" s="14" t="s">
        <v>265</v>
      </c>
      <c r="E278" s="15" t="s">
        <v>62</v>
      </c>
      <c r="F278" s="14" t="s">
        <v>22</v>
      </c>
      <c r="G278" s="15" t="s">
        <v>23</v>
      </c>
      <c r="H278" s="15"/>
      <c r="I278" s="15">
        <v>201404</v>
      </c>
      <c r="J278" s="16">
        <v>3515.67</v>
      </c>
      <c r="K278" s="44">
        <f t="shared" si="24"/>
        <v>41944</v>
      </c>
      <c r="L278" s="45">
        <f t="shared" si="20"/>
        <v>7</v>
      </c>
      <c r="M278" s="17">
        <v>1.4833299999999999E-3</v>
      </c>
      <c r="N278" s="46">
        <f t="shared" si="21"/>
        <v>36.5042914677</v>
      </c>
      <c r="O278" s="16"/>
      <c r="P278" s="48">
        <f t="shared" si="22"/>
        <v>1691.9161875000002</v>
      </c>
      <c r="Q278" s="16"/>
      <c r="R278" s="48">
        <f t="shared" si="23"/>
        <v>63.449054325000006</v>
      </c>
    </row>
    <row r="279" spans="1:18">
      <c r="A279" s="14" t="s">
        <v>17</v>
      </c>
      <c r="B279" s="15" t="s">
        <v>266</v>
      </c>
      <c r="C279" s="15" t="s">
        <v>267</v>
      </c>
      <c r="D279" s="14" t="s">
        <v>268</v>
      </c>
      <c r="E279" s="15" t="s">
        <v>104</v>
      </c>
      <c r="F279" s="14" t="s">
        <v>41</v>
      </c>
      <c r="G279" s="15" t="s">
        <v>23</v>
      </c>
      <c r="H279" s="15"/>
      <c r="I279" s="15">
        <v>201404</v>
      </c>
      <c r="J279" s="16">
        <v>375.17</v>
      </c>
      <c r="K279" s="44">
        <f t="shared" si="24"/>
        <v>41944</v>
      </c>
      <c r="L279" s="45">
        <f t="shared" si="20"/>
        <v>7</v>
      </c>
      <c r="M279" s="17">
        <v>1.4833299999999999E-3</v>
      </c>
      <c r="N279" s="46">
        <f t="shared" si="21"/>
        <v>3.8955064127000001</v>
      </c>
      <c r="O279" s="16"/>
      <c r="P279" s="48">
        <f t="shared" si="22"/>
        <v>180.55056250000004</v>
      </c>
      <c r="Q279" s="16"/>
      <c r="R279" s="48">
        <f t="shared" si="23"/>
        <v>6.7708805750000005</v>
      </c>
    </row>
    <row r="280" spans="1:18">
      <c r="A280" s="14" t="s">
        <v>17</v>
      </c>
      <c r="B280" s="15" t="s">
        <v>269</v>
      </c>
      <c r="C280" s="15" t="s">
        <v>270</v>
      </c>
      <c r="D280" s="14" t="s">
        <v>271</v>
      </c>
      <c r="E280" s="15" t="s">
        <v>62</v>
      </c>
      <c r="F280" s="14" t="s">
        <v>22</v>
      </c>
      <c r="G280" s="15" t="s">
        <v>23</v>
      </c>
      <c r="H280" s="15"/>
      <c r="I280" s="15">
        <v>201404</v>
      </c>
      <c r="J280" s="16">
        <v>2155.64</v>
      </c>
      <c r="K280" s="44">
        <f t="shared" si="24"/>
        <v>41944</v>
      </c>
      <c r="L280" s="45">
        <f t="shared" si="20"/>
        <v>7</v>
      </c>
      <c r="M280" s="17">
        <v>1.4833299999999999E-3</v>
      </c>
      <c r="N280" s="46">
        <f t="shared" si="21"/>
        <v>22.382678368399997</v>
      </c>
      <c r="O280" s="16"/>
      <c r="P280" s="48">
        <f t="shared" si="22"/>
        <v>1037.40175</v>
      </c>
      <c r="Q280" s="16"/>
      <c r="R280" s="48">
        <f t="shared" si="23"/>
        <v>38.903912900000002</v>
      </c>
    </row>
    <row r="281" spans="1:18">
      <c r="A281" s="14" t="s">
        <v>17</v>
      </c>
      <c r="B281" s="15" t="s">
        <v>272</v>
      </c>
      <c r="C281" s="15" t="s">
        <v>273</v>
      </c>
      <c r="D281" s="14" t="s">
        <v>274</v>
      </c>
      <c r="E281" s="15" t="s">
        <v>36</v>
      </c>
      <c r="F281" s="14" t="s">
        <v>22</v>
      </c>
      <c r="G281" s="15" t="s">
        <v>23</v>
      </c>
      <c r="H281" s="15"/>
      <c r="I281" s="15">
        <v>201404</v>
      </c>
      <c r="J281" s="16">
        <v>36639.24</v>
      </c>
      <c r="K281" s="44">
        <f t="shared" si="24"/>
        <v>41944</v>
      </c>
      <c r="L281" s="45">
        <f t="shared" si="20"/>
        <v>7</v>
      </c>
      <c r="M281" s="17">
        <v>1.4833299999999999E-3</v>
      </c>
      <c r="N281" s="46">
        <f t="shared" si="21"/>
        <v>380.43658708439995</v>
      </c>
      <c r="O281" s="16"/>
      <c r="P281" s="48">
        <f t="shared" si="22"/>
        <v>17632.634250000003</v>
      </c>
      <c r="Q281" s="16"/>
      <c r="R281" s="48">
        <f t="shared" si="23"/>
        <v>661.24668389999999</v>
      </c>
    </row>
    <row r="282" spans="1:18">
      <c r="A282" s="14" t="s">
        <v>17</v>
      </c>
      <c r="B282" s="15" t="s">
        <v>275</v>
      </c>
      <c r="C282" s="15" t="s">
        <v>276</v>
      </c>
      <c r="D282" s="14" t="s">
        <v>277</v>
      </c>
      <c r="E282" s="15" t="s">
        <v>40</v>
      </c>
      <c r="F282" s="14" t="s">
        <v>41</v>
      </c>
      <c r="G282" s="15" t="s">
        <v>23</v>
      </c>
      <c r="H282" s="15"/>
      <c r="I282" s="15">
        <v>201404</v>
      </c>
      <c r="J282" s="16">
        <v>28377.5</v>
      </c>
      <c r="K282" s="44">
        <f t="shared" si="24"/>
        <v>41944</v>
      </c>
      <c r="L282" s="45">
        <f t="shared" si="20"/>
        <v>7</v>
      </c>
      <c r="M282" s="17">
        <v>1.4833299999999999E-3</v>
      </c>
      <c r="N282" s="46">
        <f t="shared" si="21"/>
        <v>294.65237952500001</v>
      </c>
      <c r="O282" s="16"/>
      <c r="P282" s="48">
        <f t="shared" si="22"/>
        <v>13656.671875000002</v>
      </c>
      <c r="Q282" s="16"/>
      <c r="R282" s="48">
        <f t="shared" si="23"/>
        <v>512.14293125000006</v>
      </c>
    </row>
    <row r="283" spans="1:18">
      <c r="A283" s="14" t="s">
        <v>17</v>
      </c>
      <c r="B283" s="15" t="s">
        <v>287</v>
      </c>
      <c r="C283" s="15" t="s">
        <v>288</v>
      </c>
      <c r="D283" s="14" t="s">
        <v>289</v>
      </c>
      <c r="E283" s="15" t="s">
        <v>21</v>
      </c>
      <c r="F283" s="14" t="s">
        <v>22</v>
      </c>
      <c r="G283" s="15" t="s">
        <v>23</v>
      </c>
      <c r="H283" s="15"/>
      <c r="I283" s="15">
        <v>201404</v>
      </c>
      <c r="J283" s="16">
        <v>2282.4699999999998</v>
      </c>
      <c r="K283" s="44">
        <f t="shared" si="24"/>
        <v>41944</v>
      </c>
      <c r="L283" s="45">
        <f t="shared" si="20"/>
        <v>7</v>
      </c>
      <c r="M283" s="17">
        <v>1.4833299999999999E-3</v>
      </c>
      <c r="N283" s="46">
        <f t="shared" si="21"/>
        <v>23.699593575699996</v>
      </c>
      <c r="O283" s="16"/>
      <c r="P283" s="48">
        <f t="shared" si="22"/>
        <v>1098.4386875</v>
      </c>
      <c r="Q283" s="16"/>
      <c r="R283" s="48">
        <f t="shared" si="23"/>
        <v>41.192877324999998</v>
      </c>
    </row>
    <row r="284" spans="1:18">
      <c r="A284" s="14" t="s">
        <v>17</v>
      </c>
      <c r="B284" s="15" t="s">
        <v>290</v>
      </c>
      <c r="C284" s="15" t="s">
        <v>291</v>
      </c>
      <c r="D284" s="14" t="s">
        <v>292</v>
      </c>
      <c r="E284" s="15" t="s">
        <v>62</v>
      </c>
      <c r="F284" s="14" t="s">
        <v>22</v>
      </c>
      <c r="G284" s="15" t="s">
        <v>23</v>
      </c>
      <c r="H284" s="15"/>
      <c r="I284" s="15">
        <v>201404</v>
      </c>
      <c r="J284" s="16">
        <v>2070.58</v>
      </c>
      <c r="K284" s="44">
        <f t="shared" si="24"/>
        <v>41944</v>
      </c>
      <c r="L284" s="45">
        <f t="shared" si="20"/>
        <v>7</v>
      </c>
      <c r="M284" s="17">
        <v>1.4833299999999999E-3</v>
      </c>
      <c r="N284" s="46">
        <f t="shared" si="21"/>
        <v>21.499474019799997</v>
      </c>
      <c r="O284" s="16"/>
      <c r="P284" s="48">
        <f t="shared" si="22"/>
        <v>996.46662500000014</v>
      </c>
      <c r="Q284" s="16"/>
      <c r="R284" s="48">
        <f t="shared" si="23"/>
        <v>37.368792550000002</v>
      </c>
    </row>
    <row r="285" spans="1:18">
      <c r="A285" s="14" t="s">
        <v>17</v>
      </c>
      <c r="B285" s="15" t="s">
        <v>293</v>
      </c>
      <c r="C285" s="15" t="s">
        <v>294</v>
      </c>
      <c r="D285" s="14" t="s">
        <v>295</v>
      </c>
      <c r="E285" s="15" t="s">
        <v>296</v>
      </c>
      <c r="F285" s="14" t="s">
        <v>28</v>
      </c>
      <c r="G285" s="15" t="s">
        <v>23</v>
      </c>
      <c r="H285" s="15"/>
      <c r="I285" s="15">
        <v>201404</v>
      </c>
      <c r="J285" s="16">
        <v>959.79</v>
      </c>
      <c r="K285" s="44">
        <f t="shared" si="24"/>
        <v>41944</v>
      </c>
      <c r="L285" s="45">
        <f t="shared" si="20"/>
        <v>7</v>
      </c>
      <c r="M285" s="17">
        <v>1.4833299999999999E-3</v>
      </c>
      <c r="N285" s="46">
        <f t="shared" si="21"/>
        <v>9.9657971049</v>
      </c>
      <c r="O285" s="16"/>
      <c r="P285" s="48">
        <f t="shared" si="22"/>
        <v>461.89893750000005</v>
      </c>
      <c r="Q285" s="16"/>
      <c r="R285" s="48">
        <f t="shared" si="23"/>
        <v>17.321810025000001</v>
      </c>
    </row>
    <row r="286" spans="1:18">
      <c r="A286" s="14" t="s">
        <v>17</v>
      </c>
      <c r="B286" s="15" t="s">
        <v>297</v>
      </c>
      <c r="C286" s="15" t="s">
        <v>298</v>
      </c>
      <c r="D286" s="14" t="s">
        <v>299</v>
      </c>
      <c r="E286" s="15" t="s">
        <v>21</v>
      </c>
      <c r="F286" s="14" t="s">
        <v>22</v>
      </c>
      <c r="G286" s="15" t="s">
        <v>23</v>
      </c>
      <c r="H286" s="15"/>
      <c r="I286" s="15">
        <v>201404</v>
      </c>
      <c r="J286" s="16">
        <v>20696.169999999998</v>
      </c>
      <c r="K286" s="44">
        <f t="shared" si="24"/>
        <v>41944</v>
      </c>
      <c r="L286" s="45">
        <f t="shared" si="20"/>
        <v>7</v>
      </c>
      <c r="M286" s="17">
        <v>1.4833299999999999E-3</v>
      </c>
      <c r="N286" s="46">
        <f t="shared" si="21"/>
        <v>214.89474892269999</v>
      </c>
      <c r="O286" s="16"/>
      <c r="P286" s="48">
        <f t="shared" si="22"/>
        <v>9960.0318125000013</v>
      </c>
      <c r="Q286" s="16"/>
      <c r="R286" s="48">
        <f t="shared" si="23"/>
        <v>373.51412807499997</v>
      </c>
    </row>
    <row r="287" spans="1:18">
      <c r="A287" s="14" t="s">
        <v>17</v>
      </c>
      <c r="B287" s="15" t="s">
        <v>300</v>
      </c>
      <c r="C287" s="15" t="s">
        <v>301</v>
      </c>
      <c r="D287" s="14" t="s">
        <v>302</v>
      </c>
      <c r="E287" s="15" t="s">
        <v>141</v>
      </c>
      <c r="F287" s="14" t="s">
        <v>142</v>
      </c>
      <c r="G287" s="15" t="s">
        <v>23</v>
      </c>
      <c r="H287" s="15"/>
      <c r="I287" s="15">
        <v>201404</v>
      </c>
      <c r="J287" s="16">
        <v>5475.24</v>
      </c>
      <c r="K287" s="44">
        <f t="shared" si="24"/>
        <v>41944</v>
      </c>
      <c r="L287" s="45">
        <f t="shared" si="20"/>
        <v>7</v>
      </c>
      <c r="M287" s="17">
        <v>1.4833299999999999E-3</v>
      </c>
      <c r="N287" s="46">
        <f t="shared" si="21"/>
        <v>56.851114244399994</v>
      </c>
      <c r="O287" s="16"/>
      <c r="P287" s="48">
        <f t="shared" si="22"/>
        <v>2634.9592500000003</v>
      </c>
      <c r="Q287" s="16"/>
      <c r="R287" s="48">
        <f t="shared" si="23"/>
        <v>98.814393899999999</v>
      </c>
    </row>
    <row r="288" spans="1:18">
      <c r="A288" s="14" t="s">
        <v>17</v>
      </c>
      <c r="B288" s="15" t="s">
        <v>312</v>
      </c>
      <c r="C288" s="15" t="s">
        <v>313</v>
      </c>
      <c r="D288" s="14" t="s">
        <v>314</v>
      </c>
      <c r="E288" s="15" t="s">
        <v>176</v>
      </c>
      <c r="F288" s="14" t="s">
        <v>28</v>
      </c>
      <c r="G288" s="15" t="s">
        <v>23</v>
      </c>
      <c r="H288" s="15"/>
      <c r="I288" s="15">
        <v>201404</v>
      </c>
      <c r="J288" s="16">
        <v>793</v>
      </c>
      <c r="K288" s="44">
        <f t="shared" si="24"/>
        <v>41944</v>
      </c>
      <c r="L288" s="45">
        <f t="shared" si="20"/>
        <v>7</v>
      </c>
      <c r="M288" s="17">
        <v>1.4833299999999999E-3</v>
      </c>
      <c r="N288" s="46">
        <f t="shared" si="21"/>
        <v>8.2339648299999997</v>
      </c>
      <c r="O288" s="16"/>
      <c r="P288" s="48">
        <f t="shared" si="22"/>
        <v>381.63125000000008</v>
      </c>
      <c r="Q288" s="16"/>
      <c r="R288" s="48">
        <f t="shared" si="23"/>
        <v>14.3116675</v>
      </c>
    </row>
    <row r="289" spans="1:18">
      <c r="A289" s="14" t="s">
        <v>17</v>
      </c>
      <c r="B289" s="15" t="s">
        <v>315</v>
      </c>
      <c r="C289" s="15" t="s">
        <v>316</v>
      </c>
      <c r="D289" s="14" t="s">
        <v>317</v>
      </c>
      <c r="E289" s="15" t="s">
        <v>141</v>
      </c>
      <c r="F289" s="14" t="s">
        <v>142</v>
      </c>
      <c r="G289" s="15" t="s">
        <v>23</v>
      </c>
      <c r="H289" s="15"/>
      <c r="I289" s="15">
        <v>201404</v>
      </c>
      <c r="J289" s="16">
        <v>5399.77</v>
      </c>
      <c r="K289" s="44">
        <f t="shared" si="24"/>
        <v>41944</v>
      </c>
      <c r="L289" s="45">
        <f t="shared" si="20"/>
        <v>7</v>
      </c>
      <c r="M289" s="17">
        <v>1.4833299999999999E-3</v>
      </c>
      <c r="N289" s="46">
        <f t="shared" si="21"/>
        <v>56.067485838700001</v>
      </c>
      <c r="O289" s="16"/>
      <c r="P289" s="48">
        <f t="shared" si="22"/>
        <v>2598.6393125000004</v>
      </c>
      <c r="Q289" s="16"/>
      <c r="R289" s="48">
        <f t="shared" si="23"/>
        <v>97.452349075000015</v>
      </c>
    </row>
    <row r="290" spans="1:18">
      <c r="A290" s="14" t="s">
        <v>17</v>
      </c>
      <c r="B290" s="15" t="s">
        <v>318</v>
      </c>
      <c r="C290" s="15" t="s">
        <v>319</v>
      </c>
      <c r="D290" s="14" t="s">
        <v>320</v>
      </c>
      <c r="E290" s="15" t="s">
        <v>141</v>
      </c>
      <c r="F290" s="14" t="s">
        <v>142</v>
      </c>
      <c r="G290" s="15" t="s">
        <v>23</v>
      </c>
      <c r="H290" s="15"/>
      <c r="I290" s="15">
        <v>201404</v>
      </c>
      <c r="J290" s="16">
        <v>6293.74</v>
      </c>
      <c r="K290" s="44">
        <f t="shared" si="24"/>
        <v>41944</v>
      </c>
      <c r="L290" s="45">
        <f t="shared" si="20"/>
        <v>7</v>
      </c>
      <c r="M290" s="17">
        <v>1.4833299999999999E-3</v>
      </c>
      <c r="N290" s="46">
        <f t="shared" si="21"/>
        <v>65.349853479399997</v>
      </c>
      <c r="O290" s="16"/>
      <c r="P290" s="48">
        <f t="shared" si="22"/>
        <v>3028.8623750000002</v>
      </c>
      <c r="Q290" s="16"/>
      <c r="R290" s="48">
        <f t="shared" si="23"/>
        <v>113.58627265</v>
      </c>
    </row>
    <row r="291" spans="1:18">
      <c r="A291" s="14" t="s">
        <v>17</v>
      </c>
      <c r="B291" s="15" t="s">
        <v>321</v>
      </c>
      <c r="C291" s="15" t="s">
        <v>322</v>
      </c>
      <c r="D291" s="14" t="s">
        <v>323</v>
      </c>
      <c r="E291" s="15" t="s">
        <v>324</v>
      </c>
      <c r="F291" s="14" t="s">
        <v>325</v>
      </c>
      <c r="G291" s="15" t="s">
        <v>23</v>
      </c>
      <c r="H291" s="15"/>
      <c r="I291" s="15">
        <v>201404</v>
      </c>
      <c r="J291" s="16">
        <v>4653.93</v>
      </c>
      <c r="K291" s="44">
        <f t="shared" si="24"/>
        <v>41944</v>
      </c>
      <c r="L291" s="45">
        <f t="shared" si="20"/>
        <v>7</v>
      </c>
      <c r="M291" s="17">
        <v>1.4833299999999999E-3</v>
      </c>
      <c r="N291" s="46">
        <f t="shared" si="21"/>
        <v>48.323197908300003</v>
      </c>
      <c r="O291" s="16"/>
      <c r="P291" s="48">
        <f t="shared" si="22"/>
        <v>2239.7038125000004</v>
      </c>
      <c r="Q291" s="16"/>
      <c r="R291" s="48">
        <f t="shared" si="23"/>
        <v>83.991801675000005</v>
      </c>
    </row>
    <row r="292" spans="1:18">
      <c r="A292" s="14" t="s">
        <v>17</v>
      </c>
      <c r="B292" s="15" t="s">
        <v>326</v>
      </c>
      <c r="C292" s="15" t="s">
        <v>327</v>
      </c>
      <c r="D292" s="14" t="s">
        <v>328</v>
      </c>
      <c r="E292" s="15" t="s">
        <v>32</v>
      </c>
      <c r="F292" s="14" t="s">
        <v>22</v>
      </c>
      <c r="G292" s="15" t="s">
        <v>23</v>
      </c>
      <c r="H292" s="15"/>
      <c r="I292" s="15">
        <v>201404</v>
      </c>
      <c r="J292" s="16">
        <v>10096.4</v>
      </c>
      <c r="K292" s="44">
        <f t="shared" si="24"/>
        <v>41944</v>
      </c>
      <c r="L292" s="45">
        <f t="shared" si="20"/>
        <v>7</v>
      </c>
      <c r="M292" s="17">
        <v>1.4833299999999999E-3</v>
      </c>
      <c r="N292" s="46">
        <f t="shared" si="21"/>
        <v>104.834051084</v>
      </c>
      <c r="O292" s="16"/>
      <c r="P292" s="48">
        <f t="shared" si="22"/>
        <v>4858.8925000000008</v>
      </c>
      <c r="Q292" s="16"/>
      <c r="R292" s="48">
        <f t="shared" si="23"/>
        <v>182.21477899999999</v>
      </c>
    </row>
    <row r="293" spans="1:18">
      <c r="A293" s="14" t="s">
        <v>17</v>
      </c>
      <c r="B293" s="15" t="s">
        <v>329</v>
      </c>
      <c r="C293" s="15" t="s">
        <v>330</v>
      </c>
      <c r="D293" s="14" t="s">
        <v>331</v>
      </c>
      <c r="E293" s="15" t="s">
        <v>108</v>
      </c>
      <c r="F293" s="14" t="s">
        <v>28</v>
      </c>
      <c r="G293" s="15" t="s">
        <v>23</v>
      </c>
      <c r="H293" s="15"/>
      <c r="I293" s="15">
        <v>201404</v>
      </c>
      <c r="J293" s="16">
        <v>3899.33</v>
      </c>
      <c r="K293" s="44">
        <f t="shared" si="24"/>
        <v>41944</v>
      </c>
      <c r="L293" s="45">
        <f t="shared" si="20"/>
        <v>7</v>
      </c>
      <c r="M293" s="17">
        <v>1.4833299999999999E-3</v>
      </c>
      <c r="N293" s="46">
        <f t="shared" si="21"/>
        <v>40.487952182299999</v>
      </c>
      <c r="O293" s="16"/>
      <c r="P293" s="48">
        <f t="shared" si="22"/>
        <v>1876.5525625000002</v>
      </c>
      <c r="Q293" s="16"/>
      <c r="R293" s="48">
        <f t="shared" si="23"/>
        <v>70.373158175</v>
      </c>
    </row>
    <row r="294" spans="1:18">
      <c r="A294" s="14" t="s">
        <v>17</v>
      </c>
      <c r="B294" s="15" t="s">
        <v>332</v>
      </c>
      <c r="C294" s="15" t="s">
        <v>333</v>
      </c>
      <c r="D294" s="14" t="s">
        <v>334</v>
      </c>
      <c r="E294" s="15" t="s">
        <v>36</v>
      </c>
      <c r="F294" s="14" t="s">
        <v>22</v>
      </c>
      <c r="G294" s="15" t="s">
        <v>23</v>
      </c>
      <c r="H294" s="15"/>
      <c r="I294" s="15">
        <v>201404</v>
      </c>
      <c r="J294" s="16">
        <v>21924.42</v>
      </c>
      <c r="K294" s="44">
        <f t="shared" si="24"/>
        <v>41944</v>
      </c>
      <c r="L294" s="45">
        <f t="shared" si="20"/>
        <v>7</v>
      </c>
      <c r="M294" s="17">
        <v>1.4833299999999999E-3</v>
      </c>
      <c r="N294" s="46">
        <f t="shared" si="21"/>
        <v>227.64804943019999</v>
      </c>
      <c r="O294" s="16"/>
      <c r="P294" s="48">
        <f t="shared" si="22"/>
        <v>10551.127125000001</v>
      </c>
      <c r="Q294" s="16"/>
      <c r="R294" s="48">
        <f t="shared" si="23"/>
        <v>395.68096995000002</v>
      </c>
    </row>
    <row r="295" spans="1:18">
      <c r="A295" s="14" t="s">
        <v>17</v>
      </c>
      <c r="B295" s="15" t="s">
        <v>335</v>
      </c>
      <c r="C295" s="15" t="s">
        <v>336</v>
      </c>
      <c r="D295" s="14" t="s">
        <v>337</v>
      </c>
      <c r="E295" s="15" t="s">
        <v>62</v>
      </c>
      <c r="F295" s="14" t="s">
        <v>22</v>
      </c>
      <c r="G295" s="15" t="s">
        <v>23</v>
      </c>
      <c r="H295" s="15"/>
      <c r="I295" s="15">
        <v>201404</v>
      </c>
      <c r="J295" s="16">
        <v>15653.94</v>
      </c>
      <c r="K295" s="44">
        <f t="shared" si="24"/>
        <v>41944</v>
      </c>
      <c r="L295" s="45">
        <f t="shared" si="20"/>
        <v>7</v>
      </c>
      <c r="M295" s="17">
        <v>1.4833299999999999E-3</v>
      </c>
      <c r="N295" s="46">
        <f t="shared" si="21"/>
        <v>162.5397117414</v>
      </c>
      <c r="O295" s="16"/>
      <c r="P295" s="48">
        <f t="shared" si="22"/>
        <v>7533.4586250000011</v>
      </c>
      <c r="Q295" s="16"/>
      <c r="R295" s="48">
        <f t="shared" si="23"/>
        <v>282.51448215000005</v>
      </c>
    </row>
    <row r="296" spans="1:18">
      <c r="A296" s="14" t="s">
        <v>17</v>
      </c>
      <c r="B296" s="15" t="s">
        <v>338</v>
      </c>
      <c r="C296" s="15" t="s">
        <v>339</v>
      </c>
      <c r="D296" s="14" t="s">
        <v>340</v>
      </c>
      <c r="E296" s="15" t="s">
        <v>62</v>
      </c>
      <c r="F296" s="14" t="s">
        <v>22</v>
      </c>
      <c r="G296" s="15" t="s">
        <v>23</v>
      </c>
      <c r="H296" s="15"/>
      <c r="I296" s="15">
        <v>201404</v>
      </c>
      <c r="J296" s="16">
        <v>-2316.3000000000002</v>
      </c>
      <c r="K296" s="44">
        <f t="shared" si="24"/>
        <v>41944</v>
      </c>
      <c r="L296" s="45">
        <f t="shared" si="20"/>
        <v>7</v>
      </c>
      <c r="M296" s="17">
        <v>1.4833299999999999E-3</v>
      </c>
      <c r="N296" s="46">
        <f t="shared" si="21"/>
        <v>-24.050860953000001</v>
      </c>
      <c r="O296" s="16"/>
      <c r="P296" s="48">
        <f t="shared" si="22"/>
        <v>-1114.7193750000004</v>
      </c>
      <c r="Q296" s="16"/>
      <c r="R296" s="48">
        <f t="shared" si="23"/>
        <v>-41.803424250000006</v>
      </c>
    </row>
    <row r="297" spans="1:18">
      <c r="A297" s="14" t="s">
        <v>17</v>
      </c>
      <c r="B297" s="15" t="s">
        <v>344</v>
      </c>
      <c r="C297" s="15" t="s">
        <v>345</v>
      </c>
      <c r="D297" s="14" t="s">
        <v>346</v>
      </c>
      <c r="E297" s="15" t="s">
        <v>53</v>
      </c>
      <c r="F297" s="14" t="s">
        <v>41</v>
      </c>
      <c r="G297" s="15" t="s">
        <v>23</v>
      </c>
      <c r="H297" s="15"/>
      <c r="I297" s="15">
        <v>201404</v>
      </c>
      <c r="J297" s="16">
        <v>14365.65</v>
      </c>
      <c r="K297" s="44">
        <f t="shared" si="24"/>
        <v>41944</v>
      </c>
      <c r="L297" s="45">
        <f t="shared" si="20"/>
        <v>7</v>
      </c>
      <c r="M297" s="17">
        <v>1.4833299999999999E-3</v>
      </c>
      <c r="N297" s="46">
        <f t="shared" si="21"/>
        <v>149.16299730149998</v>
      </c>
      <c r="O297" s="16"/>
      <c r="P297" s="48">
        <f t="shared" si="22"/>
        <v>6913.4690625000012</v>
      </c>
      <c r="Q297" s="16"/>
      <c r="R297" s="48">
        <f t="shared" si="23"/>
        <v>259.26406837500002</v>
      </c>
    </row>
    <row r="298" spans="1:18">
      <c r="A298" s="14" t="s">
        <v>17</v>
      </c>
      <c r="B298" s="15" t="s">
        <v>347</v>
      </c>
      <c r="C298" s="15" t="s">
        <v>348</v>
      </c>
      <c r="D298" s="14" t="s">
        <v>349</v>
      </c>
      <c r="E298" s="15" t="s">
        <v>324</v>
      </c>
      <c r="F298" s="14" t="s">
        <v>325</v>
      </c>
      <c r="G298" s="15" t="s">
        <v>23</v>
      </c>
      <c r="H298" s="15"/>
      <c r="I298" s="15">
        <v>201404</v>
      </c>
      <c r="J298" s="16">
        <v>2217.19</v>
      </c>
      <c r="K298" s="44">
        <f t="shared" si="24"/>
        <v>41944</v>
      </c>
      <c r="L298" s="45">
        <f t="shared" si="20"/>
        <v>7</v>
      </c>
      <c r="M298" s="17">
        <v>1.4833299999999999E-3</v>
      </c>
      <c r="N298" s="46">
        <f t="shared" si="21"/>
        <v>23.0217710989</v>
      </c>
      <c r="O298" s="16"/>
      <c r="P298" s="48">
        <f t="shared" si="22"/>
        <v>1067.0226875000001</v>
      </c>
      <c r="Q298" s="16"/>
      <c r="R298" s="48">
        <f t="shared" si="23"/>
        <v>40.014736525000004</v>
      </c>
    </row>
    <row r="299" spans="1:18">
      <c r="A299" s="14" t="s">
        <v>17</v>
      </c>
      <c r="B299" s="15" t="s">
        <v>350</v>
      </c>
      <c r="C299" s="15" t="s">
        <v>351</v>
      </c>
      <c r="D299" s="14" t="s">
        <v>352</v>
      </c>
      <c r="E299" s="15" t="s">
        <v>108</v>
      </c>
      <c r="F299" s="14" t="s">
        <v>28</v>
      </c>
      <c r="G299" s="15" t="s">
        <v>23</v>
      </c>
      <c r="H299" s="15"/>
      <c r="I299" s="15">
        <v>201404</v>
      </c>
      <c r="J299" s="16">
        <v>2092.7199999999998</v>
      </c>
      <c r="K299" s="44">
        <f t="shared" si="24"/>
        <v>41944</v>
      </c>
      <c r="L299" s="45">
        <f t="shared" si="20"/>
        <v>7</v>
      </c>
      <c r="M299" s="17">
        <v>1.4833299999999999E-3</v>
      </c>
      <c r="N299" s="46">
        <f t="shared" si="21"/>
        <v>21.729360503199999</v>
      </c>
      <c r="O299" s="16"/>
      <c r="P299" s="48">
        <f t="shared" si="22"/>
        <v>1007.1215000000001</v>
      </c>
      <c r="Q299" s="16"/>
      <c r="R299" s="48">
        <f t="shared" si="23"/>
        <v>37.768364200000001</v>
      </c>
    </row>
    <row r="300" spans="1:18">
      <c r="A300" s="14" t="s">
        <v>17</v>
      </c>
      <c r="B300" s="15" t="s">
        <v>353</v>
      </c>
      <c r="C300" s="15" t="s">
        <v>354</v>
      </c>
      <c r="D300" s="14" t="s">
        <v>355</v>
      </c>
      <c r="E300" s="15" t="s">
        <v>62</v>
      </c>
      <c r="F300" s="14" t="s">
        <v>22</v>
      </c>
      <c r="G300" s="15" t="s">
        <v>23</v>
      </c>
      <c r="H300" s="15"/>
      <c r="I300" s="15">
        <v>201404</v>
      </c>
      <c r="J300" s="16">
        <v>10465.06</v>
      </c>
      <c r="K300" s="44">
        <f t="shared" si="24"/>
        <v>41944</v>
      </c>
      <c r="L300" s="45">
        <f t="shared" si="20"/>
        <v>7</v>
      </c>
      <c r="M300" s="17">
        <v>1.4833299999999999E-3</v>
      </c>
      <c r="N300" s="46">
        <f t="shared" si="21"/>
        <v>108.6619621486</v>
      </c>
      <c r="O300" s="16"/>
      <c r="P300" s="48">
        <f t="shared" si="22"/>
        <v>5036.3101250000009</v>
      </c>
      <c r="Q300" s="16"/>
      <c r="R300" s="48">
        <f t="shared" si="23"/>
        <v>188.86817035000001</v>
      </c>
    </row>
    <row r="301" spans="1:18">
      <c r="A301" s="14" t="s">
        <v>238</v>
      </c>
      <c r="B301" s="15" t="s">
        <v>356</v>
      </c>
      <c r="C301" s="15" t="s">
        <v>357</v>
      </c>
      <c r="D301" s="14" t="s">
        <v>358</v>
      </c>
      <c r="E301" s="15" t="s">
        <v>168</v>
      </c>
      <c r="F301" s="14" t="s">
        <v>169</v>
      </c>
      <c r="G301" s="15" t="s">
        <v>23</v>
      </c>
      <c r="H301" s="15"/>
      <c r="I301" s="15">
        <v>201404</v>
      </c>
      <c r="J301" s="16">
        <v>17774.849999999999</v>
      </c>
      <c r="K301" s="44">
        <f t="shared" si="24"/>
        <v>41944</v>
      </c>
      <c r="L301" s="45">
        <f t="shared" si="20"/>
        <v>7</v>
      </c>
      <c r="M301" s="17">
        <v>2.3833299999999999E-3</v>
      </c>
      <c r="N301" s="46">
        <f t="shared" si="21"/>
        <v>296.54333275349995</v>
      </c>
      <c r="O301" s="16"/>
      <c r="P301" s="48">
        <f t="shared" si="22"/>
        <v>8554.1465625000001</v>
      </c>
      <c r="Q301" s="16"/>
      <c r="R301" s="48">
        <f t="shared" si="23"/>
        <v>320.79160537500002</v>
      </c>
    </row>
    <row r="302" spans="1:18">
      <c r="A302" s="14" t="s">
        <v>17</v>
      </c>
      <c r="B302" s="15" t="s">
        <v>363</v>
      </c>
      <c r="C302" s="15" t="s">
        <v>364</v>
      </c>
      <c r="D302" s="14" t="s">
        <v>365</v>
      </c>
      <c r="E302" s="15" t="s">
        <v>21</v>
      </c>
      <c r="F302" s="14" t="s">
        <v>22</v>
      </c>
      <c r="G302" s="15" t="s">
        <v>23</v>
      </c>
      <c r="H302" s="15"/>
      <c r="I302" s="15">
        <v>201404</v>
      </c>
      <c r="J302" s="16">
        <v>3121.86</v>
      </c>
      <c r="K302" s="44">
        <f t="shared" si="24"/>
        <v>41944</v>
      </c>
      <c r="L302" s="45">
        <f t="shared" si="20"/>
        <v>7</v>
      </c>
      <c r="M302" s="17">
        <v>1.4833299999999999E-3</v>
      </c>
      <c r="N302" s="46">
        <f t="shared" si="21"/>
        <v>32.415240156599999</v>
      </c>
      <c r="O302" s="16"/>
      <c r="P302" s="48">
        <f t="shared" si="22"/>
        <v>1502.3951250000002</v>
      </c>
      <c r="Q302" s="16"/>
      <c r="R302" s="48">
        <f t="shared" si="23"/>
        <v>56.341768350000002</v>
      </c>
    </row>
    <row r="303" spans="1:18">
      <c r="A303" s="18" t="s">
        <v>66</v>
      </c>
      <c r="B303" s="15" t="s">
        <v>371</v>
      </c>
      <c r="C303" s="15" t="s">
        <v>372</v>
      </c>
      <c r="D303" s="14" t="s">
        <v>88</v>
      </c>
      <c r="E303" s="15" t="s">
        <v>373</v>
      </c>
      <c r="F303" s="14" t="s">
        <v>85</v>
      </c>
      <c r="G303" s="15" t="s">
        <v>23</v>
      </c>
      <c r="H303" s="15"/>
      <c r="I303" s="15">
        <v>201404</v>
      </c>
      <c r="J303" s="16">
        <v>42881.1</v>
      </c>
      <c r="K303" s="44">
        <f t="shared" si="24"/>
        <v>41944</v>
      </c>
      <c r="L303" s="45">
        <f t="shared" si="20"/>
        <v>7</v>
      </c>
      <c r="M303" s="17">
        <v>2.23333E-3</v>
      </c>
      <c r="N303" s="46">
        <f t="shared" si="21"/>
        <v>670.37352944100007</v>
      </c>
      <c r="O303" s="16"/>
      <c r="P303" s="48">
        <f t="shared" si="22"/>
        <v>20636.529375000002</v>
      </c>
      <c r="Q303" s="16"/>
      <c r="R303" s="48">
        <f t="shared" si="23"/>
        <v>773.89665224999999</v>
      </c>
    </row>
    <row r="304" spans="1:18">
      <c r="A304" s="18" t="s">
        <v>66</v>
      </c>
      <c r="B304" s="15" t="s">
        <v>374</v>
      </c>
      <c r="C304" s="15" t="s">
        <v>375</v>
      </c>
      <c r="D304" s="14" t="s">
        <v>376</v>
      </c>
      <c r="E304" s="15" t="s">
        <v>377</v>
      </c>
      <c r="F304" s="14" t="s">
        <v>378</v>
      </c>
      <c r="G304" s="15" t="s">
        <v>23</v>
      </c>
      <c r="H304" s="15"/>
      <c r="I304" s="15">
        <v>201404</v>
      </c>
      <c r="J304" s="16">
        <v>4199.7299999999996</v>
      </c>
      <c r="K304" s="44">
        <f t="shared" si="24"/>
        <v>41944</v>
      </c>
      <c r="L304" s="45">
        <f t="shared" si="20"/>
        <v>7</v>
      </c>
      <c r="M304" s="17">
        <v>2.23333E-3</v>
      </c>
      <c r="N304" s="46">
        <f t="shared" si="21"/>
        <v>65.6556810063</v>
      </c>
      <c r="O304" s="16"/>
      <c r="P304" s="48">
        <f t="shared" si="22"/>
        <v>2021.1200625000001</v>
      </c>
      <c r="Q304" s="16"/>
      <c r="R304" s="48">
        <f t="shared" si="23"/>
        <v>75.794627175000002</v>
      </c>
    </row>
    <row r="305" spans="1:18">
      <c r="A305" s="18" t="s">
        <v>66</v>
      </c>
      <c r="B305" s="15" t="s">
        <v>379</v>
      </c>
      <c r="C305" s="15" t="s">
        <v>380</v>
      </c>
      <c r="D305" s="14" t="s">
        <v>381</v>
      </c>
      <c r="E305" s="15" t="s">
        <v>382</v>
      </c>
      <c r="F305" s="14" t="s">
        <v>212</v>
      </c>
      <c r="G305" s="15" t="s">
        <v>23</v>
      </c>
      <c r="H305" s="15"/>
      <c r="I305" s="15">
        <v>201404</v>
      </c>
      <c r="J305" s="16">
        <v>8117.9</v>
      </c>
      <c r="K305" s="44">
        <f t="shared" si="24"/>
        <v>41944</v>
      </c>
      <c r="L305" s="45">
        <f t="shared" si="20"/>
        <v>7</v>
      </c>
      <c r="M305" s="17">
        <v>2.23333E-3</v>
      </c>
      <c r="N305" s="46">
        <f t="shared" si="21"/>
        <v>126.909647249</v>
      </c>
      <c r="O305" s="16"/>
      <c r="P305" s="48">
        <f t="shared" si="22"/>
        <v>3906.7393750000006</v>
      </c>
      <c r="Q305" s="16"/>
      <c r="R305" s="48">
        <f t="shared" si="23"/>
        <v>146.50780025</v>
      </c>
    </row>
    <row r="306" spans="1:18">
      <c r="A306" s="18" t="s">
        <v>66</v>
      </c>
      <c r="B306" s="15" t="s">
        <v>383</v>
      </c>
      <c r="C306" s="15" t="s">
        <v>384</v>
      </c>
      <c r="D306" s="14" t="s">
        <v>385</v>
      </c>
      <c r="E306" s="15" t="s">
        <v>386</v>
      </c>
      <c r="F306" s="14" t="s">
        <v>387</v>
      </c>
      <c r="G306" s="15" t="s">
        <v>23</v>
      </c>
      <c r="H306" s="15"/>
      <c r="I306" s="15">
        <v>201404</v>
      </c>
      <c r="J306" s="16">
        <v>223964.32</v>
      </c>
      <c r="K306" s="44">
        <f t="shared" si="24"/>
        <v>41944</v>
      </c>
      <c r="L306" s="45">
        <f t="shared" si="20"/>
        <v>7</v>
      </c>
      <c r="M306" s="17">
        <v>2.23333E-3</v>
      </c>
      <c r="N306" s="46">
        <f t="shared" si="21"/>
        <v>3501.3036434992005</v>
      </c>
      <c r="O306" s="16"/>
      <c r="P306" s="48">
        <f t="shared" si="22"/>
        <v>107782.82900000001</v>
      </c>
      <c r="Q306" s="16"/>
      <c r="R306" s="48">
        <f t="shared" si="23"/>
        <v>4041.9960652000004</v>
      </c>
    </row>
    <row r="307" spans="1:18">
      <c r="A307" s="18" t="s">
        <v>66</v>
      </c>
      <c r="B307" s="15" t="s">
        <v>388</v>
      </c>
      <c r="C307" s="15" t="s">
        <v>389</v>
      </c>
      <c r="D307" s="14" t="s">
        <v>385</v>
      </c>
      <c r="E307" s="15" t="s">
        <v>390</v>
      </c>
      <c r="F307" s="14" t="s">
        <v>387</v>
      </c>
      <c r="G307" s="15" t="s">
        <v>23</v>
      </c>
      <c r="H307" s="15"/>
      <c r="I307" s="15">
        <v>201404</v>
      </c>
      <c r="J307" s="16">
        <v>203251.89</v>
      </c>
      <c r="K307" s="44">
        <f t="shared" si="24"/>
        <v>41944</v>
      </c>
      <c r="L307" s="45">
        <f t="shared" si="20"/>
        <v>7</v>
      </c>
      <c r="M307" s="17">
        <v>2.23333E-3</v>
      </c>
      <c r="N307" s="46">
        <f t="shared" si="21"/>
        <v>3177.4998044559006</v>
      </c>
      <c r="O307" s="16"/>
      <c r="P307" s="48">
        <f t="shared" si="22"/>
        <v>97814.972062500019</v>
      </c>
      <c r="Q307" s="16"/>
      <c r="R307" s="48">
        <f t="shared" si="23"/>
        <v>3668.1884847750007</v>
      </c>
    </row>
    <row r="308" spans="1:18">
      <c r="A308" s="14" t="s">
        <v>17</v>
      </c>
      <c r="B308" s="15" t="s">
        <v>391</v>
      </c>
      <c r="C308" s="15" t="s">
        <v>392</v>
      </c>
      <c r="D308" s="14" t="s">
        <v>393</v>
      </c>
      <c r="E308" s="15" t="s">
        <v>394</v>
      </c>
      <c r="F308" s="14" t="s">
        <v>137</v>
      </c>
      <c r="G308" s="15" t="s">
        <v>23</v>
      </c>
      <c r="H308" s="15"/>
      <c r="I308" s="15">
        <v>201404</v>
      </c>
      <c r="J308" s="16">
        <v>1611.1</v>
      </c>
      <c r="K308" s="44">
        <f t="shared" si="24"/>
        <v>41944</v>
      </c>
      <c r="L308" s="45">
        <f t="shared" si="20"/>
        <v>7</v>
      </c>
      <c r="M308" s="17">
        <v>1.4833299999999999E-3</v>
      </c>
      <c r="N308" s="46">
        <f t="shared" si="21"/>
        <v>16.728550740999999</v>
      </c>
      <c r="O308" s="16"/>
      <c r="P308" s="48">
        <f t="shared" si="22"/>
        <v>775.34187500000007</v>
      </c>
      <c r="Q308" s="16"/>
      <c r="R308" s="48">
        <f t="shared" si="23"/>
        <v>29.076327249999999</v>
      </c>
    </row>
    <row r="309" spans="1:18">
      <c r="A309" s="14" t="s">
        <v>17</v>
      </c>
      <c r="B309" s="15" t="s">
        <v>395</v>
      </c>
      <c r="C309" s="15" t="s">
        <v>396</v>
      </c>
      <c r="D309" s="14" t="s">
        <v>397</v>
      </c>
      <c r="E309" s="15" t="s">
        <v>49</v>
      </c>
      <c r="F309" s="14" t="s">
        <v>22</v>
      </c>
      <c r="G309" s="15" t="s">
        <v>23</v>
      </c>
      <c r="H309" s="15"/>
      <c r="I309" s="15">
        <v>201404</v>
      </c>
      <c r="J309" s="16">
        <v>343.61</v>
      </c>
      <c r="K309" s="44">
        <f t="shared" si="24"/>
        <v>41944</v>
      </c>
      <c r="L309" s="45">
        <f t="shared" si="20"/>
        <v>7</v>
      </c>
      <c r="M309" s="17">
        <v>1.4833299999999999E-3</v>
      </c>
      <c r="N309" s="46">
        <f t="shared" si="21"/>
        <v>3.5678091490999999</v>
      </c>
      <c r="O309" s="16"/>
      <c r="P309" s="48">
        <f t="shared" si="22"/>
        <v>165.36231250000003</v>
      </c>
      <c r="Q309" s="16"/>
      <c r="R309" s="48">
        <f t="shared" si="23"/>
        <v>6.2013014750000002</v>
      </c>
    </row>
    <row r="310" spans="1:18">
      <c r="A310" s="14" t="s">
        <v>238</v>
      </c>
      <c r="B310" s="15" t="s">
        <v>401</v>
      </c>
      <c r="C310" s="15" t="s">
        <v>402</v>
      </c>
      <c r="D310" s="14" t="s">
        <v>403</v>
      </c>
      <c r="E310" s="15" t="s">
        <v>168</v>
      </c>
      <c r="F310" s="14" t="s">
        <v>169</v>
      </c>
      <c r="G310" s="15" t="s">
        <v>23</v>
      </c>
      <c r="H310" s="15"/>
      <c r="I310" s="15">
        <v>201404</v>
      </c>
      <c r="J310" s="16">
        <v>3405.7</v>
      </c>
      <c r="K310" s="44">
        <f t="shared" si="24"/>
        <v>41944</v>
      </c>
      <c r="L310" s="45">
        <f t="shared" si="20"/>
        <v>7</v>
      </c>
      <c r="M310" s="17">
        <v>2.3833299999999999E-3</v>
      </c>
      <c r="N310" s="46">
        <f t="shared" si="21"/>
        <v>56.818348866999997</v>
      </c>
      <c r="O310" s="16"/>
      <c r="P310" s="48">
        <f t="shared" si="22"/>
        <v>1638.9931250000002</v>
      </c>
      <c r="Q310" s="16"/>
      <c r="R310" s="48">
        <f t="shared" si="23"/>
        <v>61.46437075</v>
      </c>
    </row>
    <row r="311" spans="1:18">
      <c r="A311" s="14" t="s">
        <v>17</v>
      </c>
      <c r="B311" s="15" t="s">
        <v>404</v>
      </c>
      <c r="C311" s="15" t="s">
        <v>405</v>
      </c>
      <c r="D311" s="14" t="s">
        <v>406</v>
      </c>
      <c r="E311" s="15" t="s">
        <v>58</v>
      </c>
      <c r="F311" s="14" t="s">
        <v>22</v>
      </c>
      <c r="G311" s="15" t="s">
        <v>23</v>
      </c>
      <c r="H311" s="15"/>
      <c r="I311" s="15">
        <v>201404</v>
      </c>
      <c r="J311" s="16">
        <v>3493.31</v>
      </c>
      <c r="K311" s="44">
        <f t="shared" si="24"/>
        <v>41944</v>
      </c>
      <c r="L311" s="45">
        <f t="shared" si="20"/>
        <v>7</v>
      </c>
      <c r="M311" s="17">
        <v>1.4833299999999999E-3</v>
      </c>
      <c r="N311" s="46">
        <f t="shared" si="21"/>
        <v>36.2721206561</v>
      </c>
      <c r="O311" s="16"/>
      <c r="P311" s="48">
        <f t="shared" si="22"/>
        <v>1681.1554375000003</v>
      </c>
      <c r="Q311" s="16"/>
      <c r="R311" s="48">
        <f t="shared" si="23"/>
        <v>63.045512225000003</v>
      </c>
    </row>
    <row r="312" spans="1:18">
      <c r="A312" s="14" t="s">
        <v>17</v>
      </c>
      <c r="B312" s="15" t="s">
        <v>407</v>
      </c>
      <c r="C312" s="15" t="s">
        <v>408</v>
      </c>
      <c r="D312" s="14" t="s">
        <v>409</v>
      </c>
      <c r="E312" s="15" t="s">
        <v>53</v>
      </c>
      <c r="F312" s="14" t="s">
        <v>41</v>
      </c>
      <c r="G312" s="15" t="s">
        <v>23</v>
      </c>
      <c r="H312" s="15"/>
      <c r="I312" s="15">
        <v>201404</v>
      </c>
      <c r="J312" s="16">
        <v>1279.58</v>
      </c>
      <c r="K312" s="44">
        <f t="shared" si="24"/>
        <v>41944</v>
      </c>
      <c r="L312" s="45">
        <f t="shared" si="20"/>
        <v>7</v>
      </c>
      <c r="M312" s="17">
        <v>1.4833299999999999E-3</v>
      </c>
      <c r="N312" s="46">
        <f t="shared" si="21"/>
        <v>13.286275809799999</v>
      </c>
      <c r="O312" s="16"/>
      <c r="P312" s="48">
        <f t="shared" si="22"/>
        <v>615.79787500000009</v>
      </c>
      <c r="Q312" s="16"/>
      <c r="R312" s="48">
        <f t="shared" si="23"/>
        <v>23.093220049999999</v>
      </c>
    </row>
    <row r="313" spans="1:18">
      <c r="A313" s="14" t="s">
        <v>17</v>
      </c>
      <c r="B313" s="15" t="s">
        <v>410</v>
      </c>
      <c r="C313" s="15" t="s">
        <v>411</v>
      </c>
      <c r="D313" s="14" t="s">
        <v>412</v>
      </c>
      <c r="E313" s="15" t="s">
        <v>62</v>
      </c>
      <c r="F313" s="14" t="s">
        <v>22</v>
      </c>
      <c r="G313" s="15" t="s">
        <v>23</v>
      </c>
      <c r="H313" s="15"/>
      <c r="I313" s="15">
        <v>201404</v>
      </c>
      <c r="J313" s="16">
        <v>4325.72</v>
      </c>
      <c r="K313" s="44">
        <f t="shared" si="24"/>
        <v>41944</v>
      </c>
      <c r="L313" s="45">
        <f t="shared" si="20"/>
        <v>7</v>
      </c>
      <c r="M313" s="17">
        <v>1.4833299999999999E-3</v>
      </c>
      <c r="N313" s="46">
        <f t="shared" si="21"/>
        <v>44.9152917332</v>
      </c>
      <c r="O313" s="16"/>
      <c r="P313" s="48">
        <f t="shared" si="22"/>
        <v>2081.7527500000006</v>
      </c>
      <c r="Q313" s="16"/>
      <c r="R313" s="48">
        <f t="shared" si="23"/>
        <v>78.068431700000005</v>
      </c>
    </row>
    <row r="314" spans="1:18">
      <c r="A314" s="14" t="s">
        <v>17</v>
      </c>
      <c r="B314" s="15" t="s">
        <v>413</v>
      </c>
      <c r="C314" s="15" t="s">
        <v>414</v>
      </c>
      <c r="D314" s="14" t="s">
        <v>415</v>
      </c>
      <c r="E314" s="15" t="s">
        <v>104</v>
      </c>
      <c r="F314" s="14" t="s">
        <v>41</v>
      </c>
      <c r="G314" s="15" t="s">
        <v>23</v>
      </c>
      <c r="H314" s="15"/>
      <c r="I314" s="15">
        <v>201404</v>
      </c>
      <c r="J314" s="16">
        <v>7900.69</v>
      </c>
      <c r="K314" s="44">
        <f t="shared" si="24"/>
        <v>41944</v>
      </c>
      <c r="L314" s="45">
        <f t="shared" si="20"/>
        <v>7</v>
      </c>
      <c r="M314" s="17">
        <v>1.4833299999999999E-3</v>
      </c>
      <c r="N314" s="46">
        <f t="shared" si="21"/>
        <v>82.035313483899998</v>
      </c>
      <c r="O314" s="16"/>
      <c r="P314" s="48">
        <f t="shared" si="22"/>
        <v>3802.2070625000001</v>
      </c>
      <c r="Q314" s="16"/>
      <c r="R314" s="48">
        <f t="shared" si="23"/>
        <v>142.587702775</v>
      </c>
    </row>
    <row r="315" spans="1:18">
      <c r="A315" s="14" t="s">
        <v>17</v>
      </c>
      <c r="B315" s="15" t="s">
        <v>416</v>
      </c>
      <c r="C315" s="15" t="s">
        <v>417</v>
      </c>
      <c r="D315" s="14" t="s">
        <v>418</v>
      </c>
      <c r="E315" s="15" t="s">
        <v>141</v>
      </c>
      <c r="F315" s="14" t="s">
        <v>142</v>
      </c>
      <c r="G315" s="15" t="s">
        <v>23</v>
      </c>
      <c r="H315" s="15"/>
      <c r="I315" s="15">
        <v>201404</v>
      </c>
      <c r="J315" s="16">
        <v>48259.27</v>
      </c>
      <c r="K315" s="44">
        <f t="shared" si="24"/>
        <v>41944</v>
      </c>
      <c r="L315" s="45">
        <f t="shared" si="20"/>
        <v>7</v>
      </c>
      <c r="M315" s="17">
        <v>1.4833299999999999E-3</v>
      </c>
      <c r="N315" s="46">
        <f t="shared" si="21"/>
        <v>501.09096078369993</v>
      </c>
      <c r="O315" s="16"/>
      <c r="P315" s="48">
        <f t="shared" si="22"/>
        <v>23224.773687500001</v>
      </c>
      <c r="Q315" s="16"/>
      <c r="R315" s="48">
        <f t="shared" si="23"/>
        <v>870.95917532500005</v>
      </c>
    </row>
    <row r="316" spans="1:18">
      <c r="A316" s="14" t="s">
        <v>17</v>
      </c>
      <c r="B316" s="15" t="s">
        <v>422</v>
      </c>
      <c r="C316" s="15" t="s">
        <v>423</v>
      </c>
      <c r="D316" s="14" t="s">
        <v>424</v>
      </c>
      <c r="E316" s="15" t="s">
        <v>246</v>
      </c>
      <c r="F316" s="14" t="s">
        <v>247</v>
      </c>
      <c r="G316" s="15" t="s">
        <v>23</v>
      </c>
      <c r="H316" s="15"/>
      <c r="I316" s="15">
        <v>201404</v>
      </c>
      <c r="J316" s="16">
        <v>2800.18</v>
      </c>
      <c r="K316" s="44">
        <f t="shared" si="24"/>
        <v>41944</v>
      </c>
      <c r="L316" s="45">
        <f t="shared" si="20"/>
        <v>7</v>
      </c>
      <c r="M316" s="17">
        <v>1.4833299999999999E-3</v>
      </c>
      <c r="N316" s="46">
        <f t="shared" si="21"/>
        <v>29.075136995799998</v>
      </c>
      <c r="O316" s="16"/>
      <c r="P316" s="48">
        <f t="shared" si="22"/>
        <v>1347.5866250000001</v>
      </c>
      <c r="Q316" s="16"/>
      <c r="R316" s="48">
        <f t="shared" si="23"/>
        <v>50.536248550000003</v>
      </c>
    </row>
    <row r="317" spans="1:18">
      <c r="A317" s="14" t="s">
        <v>17</v>
      </c>
      <c r="B317" s="15" t="s">
        <v>425</v>
      </c>
      <c r="C317" s="15" t="s">
        <v>426</v>
      </c>
      <c r="D317" s="14" t="s">
        <v>427</v>
      </c>
      <c r="E317" s="15" t="s">
        <v>104</v>
      </c>
      <c r="F317" s="14" t="s">
        <v>41</v>
      </c>
      <c r="G317" s="15" t="s">
        <v>23</v>
      </c>
      <c r="H317" s="15"/>
      <c r="I317" s="15">
        <v>201404</v>
      </c>
      <c r="J317" s="16">
        <v>814.22</v>
      </c>
      <c r="K317" s="44">
        <f t="shared" si="24"/>
        <v>41944</v>
      </c>
      <c r="L317" s="45">
        <f t="shared" si="20"/>
        <v>7</v>
      </c>
      <c r="M317" s="17">
        <v>1.4833299999999999E-3</v>
      </c>
      <c r="N317" s="46">
        <f t="shared" si="21"/>
        <v>8.4542986681999999</v>
      </c>
      <c r="O317" s="16"/>
      <c r="P317" s="48">
        <f t="shared" si="22"/>
        <v>391.84337500000009</v>
      </c>
      <c r="Q317" s="16"/>
      <c r="R317" s="48">
        <f t="shared" si="23"/>
        <v>14.694635450000002</v>
      </c>
    </row>
    <row r="318" spans="1:18">
      <c r="A318" s="14" t="s">
        <v>17</v>
      </c>
      <c r="B318" s="15" t="s">
        <v>428</v>
      </c>
      <c r="C318" s="15" t="s">
        <v>429</v>
      </c>
      <c r="D318" s="14" t="s">
        <v>430</v>
      </c>
      <c r="E318" s="15" t="s">
        <v>32</v>
      </c>
      <c r="F318" s="14" t="s">
        <v>22</v>
      </c>
      <c r="G318" s="15" t="s">
        <v>23</v>
      </c>
      <c r="H318" s="15"/>
      <c r="I318" s="15">
        <v>201404</v>
      </c>
      <c r="J318" s="16">
        <v>4424.75</v>
      </c>
      <c r="K318" s="44">
        <f t="shared" si="24"/>
        <v>41944</v>
      </c>
      <c r="L318" s="45">
        <f t="shared" si="20"/>
        <v>7</v>
      </c>
      <c r="M318" s="17">
        <v>1.4833299999999999E-3</v>
      </c>
      <c r="N318" s="46">
        <f t="shared" si="21"/>
        <v>45.943550922500002</v>
      </c>
      <c r="O318" s="16"/>
      <c r="P318" s="48">
        <f t="shared" si="22"/>
        <v>2129.4109375000003</v>
      </c>
      <c r="Q318" s="16"/>
      <c r="R318" s="48">
        <f t="shared" si="23"/>
        <v>79.855675625000003</v>
      </c>
    </row>
    <row r="319" spans="1:18">
      <c r="A319" s="14" t="s">
        <v>17</v>
      </c>
      <c r="B319" s="15" t="s">
        <v>431</v>
      </c>
      <c r="C319" s="15" t="s">
        <v>432</v>
      </c>
      <c r="D319" s="14" t="s">
        <v>433</v>
      </c>
      <c r="E319" s="15" t="s">
        <v>258</v>
      </c>
      <c r="F319" s="14" t="s">
        <v>259</v>
      </c>
      <c r="G319" s="15" t="s">
        <v>23</v>
      </c>
      <c r="H319" s="15"/>
      <c r="I319" s="15">
        <v>201404</v>
      </c>
      <c r="J319" s="16">
        <v>1525.94</v>
      </c>
      <c r="K319" s="44">
        <f t="shared" si="24"/>
        <v>41944</v>
      </c>
      <c r="L319" s="45">
        <f t="shared" si="20"/>
        <v>7</v>
      </c>
      <c r="M319" s="17">
        <v>1.4833299999999999E-3</v>
      </c>
      <c r="N319" s="46">
        <f t="shared" si="21"/>
        <v>15.8443080614</v>
      </c>
      <c r="O319" s="16"/>
      <c r="P319" s="48">
        <f t="shared" si="22"/>
        <v>734.35862500000007</v>
      </c>
      <c r="Q319" s="16"/>
      <c r="R319" s="48">
        <f t="shared" si="23"/>
        <v>27.539402150000001</v>
      </c>
    </row>
    <row r="320" spans="1:18">
      <c r="A320" s="14" t="s">
        <v>17</v>
      </c>
      <c r="B320" s="15" t="s">
        <v>437</v>
      </c>
      <c r="C320" s="15" t="s">
        <v>438</v>
      </c>
      <c r="D320" s="14" t="s">
        <v>439</v>
      </c>
      <c r="E320" s="15" t="s">
        <v>440</v>
      </c>
      <c r="F320" s="14" t="s">
        <v>28</v>
      </c>
      <c r="G320" s="15" t="s">
        <v>23</v>
      </c>
      <c r="H320" s="15"/>
      <c r="I320" s="15">
        <v>201404</v>
      </c>
      <c r="J320" s="16">
        <v>1483.06</v>
      </c>
      <c r="K320" s="44">
        <f t="shared" si="24"/>
        <v>41944</v>
      </c>
      <c r="L320" s="45">
        <f t="shared" si="20"/>
        <v>7</v>
      </c>
      <c r="M320" s="17">
        <v>1.4833299999999999E-3</v>
      </c>
      <c r="N320" s="46">
        <f t="shared" si="21"/>
        <v>15.399071728599999</v>
      </c>
      <c r="O320" s="16"/>
      <c r="P320" s="48">
        <f t="shared" si="22"/>
        <v>713.72262500000011</v>
      </c>
      <c r="Q320" s="16"/>
      <c r="R320" s="48">
        <f t="shared" si="23"/>
        <v>26.765525350000001</v>
      </c>
    </row>
    <row r="321" spans="1:18">
      <c r="A321" s="14" t="s">
        <v>17</v>
      </c>
      <c r="B321" s="15" t="s">
        <v>444</v>
      </c>
      <c r="C321" s="15" t="s">
        <v>445</v>
      </c>
      <c r="D321" s="14" t="s">
        <v>446</v>
      </c>
      <c r="E321" s="15" t="s">
        <v>62</v>
      </c>
      <c r="F321" s="14" t="s">
        <v>22</v>
      </c>
      <c r="G321" s="15" t="s">
        <v>23</v>
      </c>
      <c r="H321" s="15"/>
      <c r="I321" s="15">
        <v>201404</v>
      </c>
      <c r="J321" s="16">
        <v>48818.44</v>
      </c>
      <c r="K321" s="44">
        <f t="shared" si="24"/>
        <v>41944</v>
      </c>
      <c r="L321" s="45">
        <f t="shared" si="20"/>
        <v>7</v>
      </c>
      <c r="M321" s="17">
        <v>1.4833299999999999E-3</v>
      </c>
      <c r="N321" s="46">
        <f t="shared" si="21"/>
        <v>506.89699623640001</v>
      </c>
      <c r="O321" s="16"/>
      <c r="P321" s="48">
        <f t="shared" si="22"/>
        <v>23493.874250000004</v>
      </c>
      <c r="Q321" s="16"/>
      <c r="R321" s="48">
        <f t="shared" si="23"/>
        <v>881.05079590000014</v>
      </c>
    </row>
    <row r="322" spans="1:18">
      <c r="A322" s="14" t="s">
        <v>17</v>
      </c>
      <c r="B322" s="15" t="s">
        <v>447</v>
      </c>
      <c r="C322" s="15" t="s">
        <v>448</v>
      </c>
      <c r="D322" s="14" t="s">
        <v>449</v>
      </c>
      <c r="E322" s="15" t="s">
        <v>296</v>
      </c>
      <c r="F322" s="14" t="s">
        <v>28</v>
      </c>
      <c r="G322" s="15" t="s">
        <v>23</v>
      </c>
      <c r="H322" s="15"/>
      <c r="I322" s="15">
        <v>201404</v>
      </c>
      <c r="J322" s="16">
        <v>5840.97</v>
      </c>
      <c r="K322" s="44">
        <f t="shared" si="24"/>
        <v>41944</v>
      </c>
      <c r="L322" s="45">
        <f t="shared" si="20"/>
        <v>7</v>
      </c>
      <c r="M322" s="17">
        <v>1.4833299999999999E-3</v>
      </c>
      <c r="N322" s="46">
        <f t="shared" si="21"/>
        <v>60.648602210699998</v>
      </c>
      <c r="O322" s="16"/>
      <c r="P322" s="48">
        <f t="shared" si="22"/>
        <v>2810.9668125000003</v>
      </c>
      <c r="Q322" s="16"/>
      <c r="R322" s="48">
        <f t="shared" si="23"/>
        <v>105.414906075</v>
      </c>
    </row>
    <row r="323" spans="1:18">
      <c r="A323" s="14" t="s">
        <v>17</v>
      </c>
      <c r="B323" s="15" t="s">
        <v>450</v>
      </c>
      <c r="C323" s="15" t="s">
        <v>451</v>
      </c>
      <c r="D323" s="14" t="s">
        <v>452</v>
      </c>
      <c r="E323" s="15" t="s">
        <v>45</v>
      </c>
      <c r="F323" s="14" t="s">
        <v>22</v>
      </c>
      <c r="G323" s="15" t="s">
        <v>23</v>
      </c>
      <c r="H323" s="15"/>
      <c r="I323" s="15">
        <v>201404</v>
      </c>
      <c r="J323" s="16">
        <v>6044.66</v>
      </c>
      <c r="K323" s="44">
        <f t="shared" si="24"/>
        <v>41944</v>
      </c>
      <c r="L323" s="45">
        <f t="shared" si="20"/>
        <v>7</v>
      </c>
      <c r="M323" s="17">
        <v>1.4833299999999999E-3</v>
      </c>
      <c r="N323" s="46">
        <f t="shared" si="21"/>
        <v>62.763578624599994</v>
      </c>
      <c r="O323" s="16"/>
      <c r="P323" s="48">
        <f t="shared" si="22"/>
        <v>2908.9926250000003</v>
      </c>
      <c r="Q323" s="16"/>
      <c r="R323" s="48">
        <f t="shared" si="23"/>
        <v>109.09100135</v>
      </c>
    </row>
    <row r="324" spans="1:18">
      <c r="A324" s="14" t="s">
        <v>17</v>
      </c>
      <c r="B324" s="15" t="s">
        <v>453</v>
      </c>
      <c r="C324" s="15" t="s">
        <v>454</v>
      </c>
      <c r="D324" s="14" t="s">
        <v>455</v>
      </c>
      <c r="E324" s="15" t="s">
        <v>62</v>
      </c>
      <c r="F324" s="14" t="s">
        <v>22</v>
      </c>
      <c r="G324" s="15" t="s">
        <v>23</v>
      </c>
      <c r="H324" s="15"/>
      <c r="I324" s="15">
        <v>201404</v>
      </c>
      <c r="J324" s="16">
        <v>9545.69</v>
      </c>
      <c r="K324" s="44">
        <f t="shared" si="24"/>
        <v>41944</v>
      </c>
      <c r="L324" s="45">
        <f t="shared" si="20"/>
        <v>7</v>
      </c>
      <c r="M324" s="17">
        <v>1.4833299999999999E-3</v>
      </c>
      <c r="N324" s="46">
        <f t="shared" si="21"/>
        <v>99.115858433900002</v>
      </c>
      <c r="O324" s="16"/>
      <c r="P324" s="48">
        <f t="shared" si="22"/>
        <v>4593.8633125000006</v>
      </c>
      <c r="Q324" s="16"/>
      <c r="R324" s="48">
        <f t="shared" si="23"/>
        <v>172.27584027500001</v>
      </c>
    </row>
    <row r="325" spans="1:18">
      <c r="A325" s="14" t="s">
        <v>17</v>
      </c>
      <c r="B325" s="15" t="s">
        <v>456</v>
      </c>
      <c r="C325" s="15" t="s">
        <v>457</v>
      </c>
      <c r="D325" s="14" t="s">
        <v>458</v>
      </c>
      <c r="E325" s="15" t="s">
        <v>21</v>
      </c>
      <c r="F325" s="14" t="s">
        <v>22</v>
      </c>
      <c r="G325" s="15" t="s">
        <v>23</v>
      </c>
      <c r="H325" s="15"/>
      <c r="I325" s="15">
        <v>201404</v>
      </c>
      <c r="J325" s="16">
        <v>10719.7</v>
      </c>
      <c r="K325" s="44">
        <f t="shared" si="24"/>
        <v>41944</v>
      </c>
      <c r="L325" s="45">
        <f t="shared" si="20"/>
        <v>7</v>
      </c>
      <c r="M325" s="17">
        <v>1.4833299999999999E-3</v>
      </c>
      <c r="N325" s="46">
        <f t="shared" si="21"/>
        <v>111.30596820700001</v>
      </c>
      <c r="O325" s="16"/>
      <c r="P325" s="48">
        <f t="shared" si="22"/>
        <v>5158.8556250000011</v>
      </c>
      <c r="Q325" s="16"/>
      <c r="R325" s="48">
        <f t="shared" si="23"/>
        <v>193.46378575000003</v>
      </c>
    </row>
    <row r="326" spans="1:18">
      <c r="A326" s="14" t="s">
        <v>17</v>
      </c>
      <c r="B326" s="15" t="s">
        <v>459</v>
      </c>
      <c r="C326" s="15" t="s">
        <v>460</v>
      </c>
      <c r="D326" s="14" t="s">
        <v>461</v>
      </c>
      <c r="E326" s="15" t="s">
        <v>462</v>
      </c>
      <c r="F326" s="14" t="s">
        <v>142</v>
      </c>
      <c r="G326" s="15" t="s">
        <v>23</v>
      </c>
      <c r="H326" s="15"/>
      <c r="I326" s="15">
        <v>201404</v>
      </c>
      <c r="J326" s="16">
        <v>9882.2199999999993</v>
      </c>
      <c r="K326" s="44">
        <f t="shared" si="24"/>
        <v>41944</v>
      </c>
      <c r="L326" s="45">
        <f t="shared" ref="L326:L389" si="25">((YEAR($L$1)-YEAR(K326))*12+MONTH($L$1)-MONTH(K326))</f>
        <v>7</v>
      </c>
      <c r="M326" s="17">
        <v>1.4833299999999999E-3</v>
      </c>
      <c r="N326" s="46">
        <f t="shared" ref="N326:N389" si="26">M326*L326*J326</f>
        <v>102.61015374819999</v>
      </c>
      <c r="O326" s="16"/>
      <c r="P326" s="48">
        <f t="shared" ref="P326:P389" si="27">$P$4*J326</f>
        <v>4755.8183750000007</v>
      </c>
      <c r="Q326" s="16"/>
      <c r="R326" s="48">
        <f t="shared" ref="R326:R389" si="28">$R$4*(J326*0.5)*$T$9</f>
        <v>178.34936544999999</v>
      </c>
    </row>
    <row r="327" spans="1:18">
      <c r="A327" s="14" t="s">
        <v>17</v>
      </c>
      <c r="B327" s="15" t="s">
        <v>468</v>
      </c>
      <c r="C327" s="15" t="s">
        <v>469</v>
      </c>
      <c r="D327" s="14" t="s">
        <v>470</v>
      </c>
      <c r="E327" s="15" t="s">
        <v>136</v>
      </c>
      <c r="F327" s="14" t="s">
        <v>137</v>
      </c>
      <c r="G327" s="15" t="s">
        <v>23</v>
      </c>
      <c r="H327" s="15"/>
      <c r="I327" s="15">
        <v>201404</v>
      </c>
      <c r="J327" s="16">
        <v>64657.3</v>
      </c>
      <c r="K327" s="44">
        <f t="shared" ref="K327:K390" si="29">+K326</f>
        <v>41944</v>
      </c>
      <c r="L327" s="45">
        <f t="shared" si="25"/>
        <v>7</v>
      </c>
      <c r="M327" s="17">
        <v>1.4833299999999999E-3</v>
      </c>
      <c r="N327" s="46">
        <f t="shared" si="26"/>
        <v>671.35678966299997</v>
      </c>
      <c r="O327" s="16"/>
      <c r="P327" s="48">
        <f t="shared" si="27"/>
        <v>31116.325625000005</v>
      </c>
      <c r="Q327" s="16"/>
      <c r="R327" s="48">
        <f t="shared" si="28"/>
        <v>1166.9026217500002</v>
      </c>
    </row>
    <row r="328" spans="1:18">
      <c r="A328" s="14" t="s">
        <v>17</v>
      </c>
      <c r="B328" s="15" t="s">
        <v>471</v>
      </c>
      <c r="C328" s="15" t="s">
        <v>472</v>
      </c>
      <c r="D328" s="14" t="s">
        <v>473</v>
      </c>
      <c r="E328" s="15" t="s">
        <v>27</v>
      </c>
      <c r="F328" s="14" t="s">
        <v>28</v>
      </c>
      <c r="G328" s="15" t="s">
        <v>23</v>
      </c>
      <c r="H328" s="15"/>
      <c r="I328" s="15">
        <v>201404</v>
      </c>
      <c r="J328" s="16">
        <v>1591.44</v>
      </c>
      <c r="K328" s="44">
        <f t="shared" si="29"/>
        <v>41944</v>
      </c>
      <c r="L328" s="45">
        <f t="shared" si="25"/>
        <v>7</v>
      </c>
      <c r="M328" s="17">
        <v>1.4833299999999999E-3</v>
      </c>
      <c r="N328" s="46">
        <f t="shared" si="26"/>
        <v>16.524414866400001</v>
      </c>
      <c r="O328" s="16"/>
      <c r="P328" s="48">
        <f t="shared" si="27"/>
        <v>765.8805000000001</v>
      </c>
      <c r="Q328" s="16"/>
      <c r="R328" s="48">
        <f t="shared" si="28"/>
        <v>28.721513400000003</v>
      </c>
    </row>
    <row r="329" spans="1:18">
      <c r="A329" s="14" t="s">
        <v>17</v>
      </c>
      <c r="B329" s="15" t="s">
        <v>474</v>
      </c>
      <c r="C329" s="15" t="s">
        <v>475</v>
      </c>
      <c r="D329" s="14" t="s">
        <v>476</v>
      </c>
      <c r="E329" s="15" t="s">
        <v>40</v>
      </c>
      <c r="F329" s="14" t="s">
        <v>41</v>
      </c>
      <c r="G329" s="15" t="s">
        <v>23</v>
      </c>
      <c r="H329" s="15"/>
      <c r="I329" s="15">
        <v>201404</v>
      </c>
      <c r="J329" s="16">
        <v>36847</v>
      </c>
      <c r="K329" s="44">
        <f t="shared" si="29"/>
        <v>41944</v>
      </c>
      <c r="L329" s="45">
        <f t="shared" si="25"/>
        <v>7</v>
      </c>
      <c r="M329" s="17">
        <v>1.4833299999999999E-3</v>
      </c>
      <c r="N329" s="46">
        <f t="shared" si="26"/>
        <v>382.59382356999998</v>
      </c>
      <c r="O329" s="16"/>
      <c r="P329" s="48">
        <f t="shared" si="27"/>
        <v>17732.618750000001</v>
      </c>
      <c r="Q329" s="16"/>
      <c r="R329" s="48">
        <f t="shared" si="28"/>
        <v>664.99623250000002</v>
      </c>
    </row>
    <row r="330" spans="1:18">
      <c r="A330" s="14" t="s">
        <v>17</v>
      </c>
      <c r="B330" s="15" t="s">
        <v>477</v>
      </c>
      <c r="C330" s="15" t="s">
        <v>478</v>
      </c>
      <c r="D330" s="14" t="s">
        <v>479</v>
      </c>
      <c r="E330" s="15" t="s">
        <v>440</v>
      </c>
      <c r="F330" s="14" t="s">
        <v>28</v>
      </c>
      <c r="G330" s="15" t="s">
        <v>23</v>
      </c>
      <c r="H330" s="15"/>
      <c r="I330" s="15">
        <v>201404</v>
      </c>
      <c r="J330" s="16">
        <v>1253.17</v>
      </c>
      <c r="K330" s="44">
        <f t="shared" si="29"/>
        <v>41944</v>
      </c>
      <c r="L330" s="45">
        <f t="shared" si="25"/>
        <v>7</v>
      </c>
      <c r="M330" s="17">
        <v>1.4833299999999999E-3</v>
      </c>
      <c r="N330" s="46">
        <f t="shared" si="26"/>
        <v>13.0120525927</v>
      </c>
      <c r="O330" s="16"/>
      <c r="P330" s="48">
        <f t="shared" si="27"/>
        <v>603.08806250000009</v>
      </c>
      <c r="Q330" s="16"/>
      <c r="R330" s="48">
        <f t="shared" si="28"/>
        <v>22.616585575000002</v>
      </c>
    </row>
    <row r="331" spans="1:18">
      <c r="A331" s="14" t="s">
        <v>17</v>
      </c>
      <c r="B331" s="15" t="s">
        <v>480</v>
      </c>
      <c r="C331" s="15" t="s">
        <v>481</v>
      </c>
      <c r="D331" s="14" t="s">
        <v>482</v>
      </c>
      <c r="E331" s="15" t="s">
        <v>141</v>
      </c>
      <c r="F331" s="14" t="s">
        <v>142</v>
      </c>
      <c r="G331" s="15" t="s">
        <v>23</v>
      </c>
      <c r="H331" s="15"/>
      <c r="I331" s="15">
        <v>201404</v>
      </c>
      <c r="J331" s="16">
        <v>4227.45</v>
      </c>
      <c r="K331" s="44">
        <f t="shared" si="29"/>
        <v>41944</v>
      </c>
      <c r="L331" s="45">
        <f t="shared" si="25"/>
        <v>7</v>
      </c>
      <c r="M331" s="17">
        <v>1.4833299999999999E-3</v>
      </c>
      <c r="N331" s="46">
        <f t="shared" si="26"/>
        <v>43.894923859499997</v>
      </c>
      <c r="O331" s="16"/>
      <c r="P331" s="48">
        <f t="shared" si="27"/>
        <v>2034.4603125000001</v>
      </c>
      <c r="Q331" s="16"/>
      <c r="R331" s="48">
        <f t="shared" si="28"/>
        <v>76.294903875000003</v>
      </c>
    </row>
    <row r="332" spans="1:18">
      <c r="A332" s="14" t="s">
        <v>17</v>
      </c>
      <c r="B332" s="15" t="s">
        <v>483</v>
      </c>
      <c r="C332" s="15" t="s">
        <v>484</v>
      </c>
      <c r="D332" s="14" t="s">
        <v>485</v>
      </c>
      <c r="E332" s="15" t="s">
        <v>324</v>
      </c>
      <c r="F332" s="14" t="s">
        <v>325</v>
      </c>
      <c r="G332" s="15" t="s">
        <v>23</v>
      </c>
      <c r="H332" s="15"/>
      <c r="I332" s="15">
        <v>201404</v>
      </c>
      <c r="J332" s="16">
        <v>4469.59</v>
      </c>
      <c r="K332" s="44">
        <f t="shared" si="29"/>
        <v>41944</v>
      </c>
      <c r="L332" s="45">
        <f t="shared" si="25"/>
        <v>7</v>
      </c>
      <c r="M332" s="17">
        <v>1.4833299999999999E-3</v>
      </c>
      <c r="N332" s="46">
        <f t="shared" si="26"/>
        <v>46.409138542900003</v>
      </c>
      <c r="O332" s="16"/>
      <c r="P332" s="48">
        <f t="shared" si="27"/>
        <v>2150.9901875000005</v>
      </c>
      <c r="Q332" s="16"/>
      <c r="R332" s="48">
        <f t="shared" si="28"/>
        <v>80.664925525000001</v>
      </c>
    </row>
    <row r="333" spans="1:18">
      <c r="A333" s="14" t="s">
        <v>17</v>
      </c>
      <c r="B333" s="15" t="s">
        <v>486</v>
      </c>
      <c r="C333" s="15" t="s">
        <v>487</v>
      </c>
      <c r="D333" s="14" t="s">
        <v>488</v>
      </c>
      <c r="E333" s="15" t="s">
        <v>141</v>
      </c>
      <c r="F333" s="14" t="s">
        <v>142</v>
      </c>
      <c r="G333" s="15" t="s">
        <v>23</v>
      </c>
      <c r="H333" s="15"/>
      <c r="I333" s="15">
        <v>201404</v>
      </c>
      <c r="J333" s="16">
        <v>6086.43</v>
      </c>
      <c r="K333" s="44">
        <f t="shared" si="29"/>
        <v>41944</v>
      </c>
      <c r="L333" s="45">
        <f t="shared" si="25"/>
        <v>7</v>
      </c>
      <c r="M333" s="17">
        <v>1.4833299999999999E-3</v>
      </c>
      <c r="N333" s="46">
        <f t="shared" si="26"/>
        <v>63.197289483300004</v>
      </c>
      <c r="O333" s="16"/>
      <c r="P333" s="48">
        <f t="shared" si="27"/>
        <v>2929.0944375000004</v>
      </c>
      <c r="Q333" s="16"/>
      <c r="R333" s="48">
        <f t="shared" si="28"/>
        <v>109.84484542500002</v>
      </c>
    </row>
    <row r="334" spans="1:18">
      <c r="A334" s="18" t="s">
        <v>66</v>
      </c>
      <c r="B334" s="15" t="s">
        <v>489</v>
      </c>
      <c r="C334" s="15" t="s">
        <v>490</v>
      </c>
      <c r="D334" s="14" t="s">
        <v>491</v>
      </c>
      <c r="E334" s="15" t="s">
        <v>492</v>
      </c>
      <c r="F334" s="14" t="s">
        <v>378</v>
      </c>
      <c r="G334" s="15" t="s">
        <v>23</v>
      </c>
      <c r="H334" s="15"/>
      <c r="I334" s="15">
        <v>201404</v>
      </c>
      <c r="J334" s="16">
        <v>16158.98</v>
      </c>
      <c r="K334" s="44">
        <f t="shared" si="29"/>
        <v>41944</v>
      </c>
      <c r="L334" s="45">
        <f t="shared" si="25"/>
        <v>7</v>
      </c>
      <c r="M334" s="17">
        <v>2.23333E-3</v>
      </c>
      <c r="N334" s="46">
        <f t="shared" si="26"/>
        <v>252.6183436238</v>
      </c>
      <c r="O334" s="16"/>
      <c r="P334" s="48">
        <f t="shared" si="27"/>
        <v>7776.5091250000005</v>
      </c>
      <c r="Q334" s="16"/>
      <c r="R334" s="48">
        <f t="shared" si="28"/>
        <v>291.62919155000003</v>
      </c>
    </row>
    <row r="335" spans="1:18">
      <c r="A335" s="14" t="s">
        <v>17</v>
      </c>
      <c r="B335" s="15" t="s">
        <v>493</v>
      </c>
      <c r="C335" s="15" t="s">
        <v>494</v>
      </c>
      <c r="D335" s="14" t="s">
        <v>495</v>
      </c>
      <c r="E335" s="15" t="s">
        <v>62</v>
      </c>
      <c r="F335" s="14" t="s">
        <v>22</v>
      </c>
      <c r="G335" s="15" t="s">
        <v>23</v>
      </c>
      <c r="H335" s="15"/>
      <c r="I335" s="15">
        <v>201404</v>
      </c>
      <c r="J335" s="16">
        <v>161.30000000000001</v>
      </c>
      <c r="K335" s="44">
        <f t="shared" si="29"/>
        <v>41944</v>
      </c>
      <c r="L335" s="45">
        <f t="shared" si="25"/>
        <v>7</v>
      </c>
      <c r="M335" s="17">
        <v>1.4833299999999999E-3</v>
      </c>
      <c r="N335" s="46">
        <f t="shared" si="26"/>
        <v>1.6748279030000002</v>
      </c>
      <c r="O335" s="16"/>
      <c r="P335" s="48">
        <f t="shared" si="27"/>
        <v>77.625625000000014</v>
      </c>
      <c r="Q335" s="16"/>
      <c r="R335" s="48">
        <f t="shared" si="28"/>
        <v>2.9110617500000004</v>
      </c>
    </row>
    <row r="336" spans="1:18">
      <c r="A336" s="18" t="s">
        <v>66</v>
      </c>
      <c r="B336" s="15" t="s">
        <v>496</v>
      </c>
      <c r="C336" s="15" t="s">
        <v>497</v>
      </c>
      <c r="D336" s="14" t="s">
        <v>376</v>
      </c>
      <c r="E336" s="15" t="s">
        <v>498</v>
      </c>
      <c r="F336" s="14" t="s">
        <v>378</v>
      </c>
      <c r="G336" s="15" t="s">
        <v>23</v>
      </c>
      <c r="H336" s="15"/>
      <c r="I336" s="15">
        <v>201404</v>
      </c>
      <c r="J336" s="16">
        <v>158603.71</v>
      </c>
      <c r="K336" s="44">
        <f t="shared" si="29"/>
        <v>41944</v>
      </c>
      <c r="L336" s="45">
        <f t="shared" si="25"/>
        <v>7</v>
      </c>
      <c r="M336" s="17">
        <v>2.23333E-3</v>
      </c>
      <c r="N336" s="46">
        <f t="shared" si="26"/>
        <v>2479.5009655801</v>
      </c>
      <c r="O336" s="16"/>
      <c r="P336" s="48">
        <f t="shared" si="27"/>
        <v>76328.035437500002</v>
      </c>
      <c r="Q336" s="16"/>
      <c r="R336" s="48">
        <f t="shared" si="28"/>
        <v>2862.4004562250002</v>
      </c>
    </row>
    <row r="337" spans="1:18">
      <c r="A337" s="18" t="s">
        <v>66</v>
      </c>
      <c r="B337" s="15" t="s">
        <v>499</v>
      </c>
      <c r="C337" s="15" t="s">
        <v>500</v>
      </c>
      <c r="D337" s="14" t="s">
        <v>385</v>
      </c>
      <c r="E337" s="15" t="s">
        <v>501</v>
      </c>
      <c r="F337" s="14" t="s">
        <v>387</v>
      </c>
      <c r="G337" s="15" t="s">
        <v>23</v>
      </c>
      <c r="H337" s="15"/>
      <c r="I337" s="15">
        <v>201404</v>
      </c>
      <c r="J337" s="16">
        <v>68743.61</v>
      </c>
      <c r="K337" s="44">
        <f t="shared" si="29"/>
        <v>41944</v>
      </c>
      <c r="L337" s="45">
        <f t="shared" si="25"/>
        <v>7</v>
      </c>
      <c r="M337" s="17">
        <v>2.23333E-3</v>
      </c>
      <c r="N337" s="46">
        <f t="shared" si="26"/>
        <v>1074.6901656491</v>
      </c>
      <c r="O337" s="16"/>
      <c r="P337" s="48">
        <f t="shared" si="27"/>
        <v>33082.862312500001</v>
      </c>
      <c r="Q337" s="16"/>
      <c r="R337" s="48">
        <f t="shared" si="28"/>
        <v>1240.6503014750001</v>
      </c>
    </row>
    <row r="338" spans="1:18">
      <c r="A338" s="14" t="s">
        <v>17</v>
      </c>
      <c r="B338" s="15" t="s">
        <v>502</v>
      </c>
      <c r="C338" s="15" t="s">
        <v>503</v>
      </c>
      <c r="D338" s="14" t="s">
        <v>504</v>
      </c>
      <c r="E338" s="15" t="s">
        <v>40</v>
      </c>
      <c r="F338" s="14" t="s">
        <v>41</v>
      </c>
      <c r="G338" s="15" t="s">
        <v>23</v>
      </c>
      <c r="H338" s="15"/>
      <c r="I338" s="15">
        <v>201404</v>
      </c>
      <c r="J338" s="16">
        <v>191.34</v>
      </c>
      <c r="K338" s="44">
        <f t="shared" si="29"/>
        <v>41944</v>
      </c>
      <c r="L338" s="45">
        <f t="shared" si="25"/>
        <v>7</v>
      </c>
      <c r="M338" s="17">
        <v>1.4833299999999999E-3</v>
      </c>
      <c r="N338" s="46">
        <f t="shared" si="26"/>
        <v>1.9867425353999999</v>
      </c>
      <c r="O338" s="16"/>
      <c r="P338" s="48">
        <f t="shared" si="27"/>
        <v>92.082375000000013</v>
      </c>
      <c r="Q338" s="16"/>
      <c r="R338" s="48">
        <f t="shared" si="28"/>
        <v>3.4532086500000001</v>
      </c>
    </row>
    <row r="339" spans="1:18">
      <c r="A339" s="14" t="s">
        <v>17</v>
      </c>
      <c r="B339" s="15" t="s">
        <v>505</v>
      </c>
      <c r="C339" s="15" t="s">
        <v>506</v>
      </c>
      <c r="D339" s="14" t="s">
        <v>507</v>
      </c>
      <c r="E339" s="15" t="s">
        <v>104</v>
      </c>
      <c r="F339" s="14" t="s">
        <v>41</v>
      </c>
      <c r="G339" s="15" t="s">
        <v>23</v>
      </c>
      <c r="H339" s="15"/>
      <c r="I339" s="15">
        <v>201404</v>
      </c>
      <c r="J339" s="16">
        <v>181.64</v>
      </c>
      <c r="K339" s="44">
        <f t="shared" si="29"/>
        <v>41944</v>
      </c>
      <c r="L339" s="45">
        <f t="shared" si="25"/>
        <v>7</v>
      </c>
      <c r="M339" s="17">
        <v>1.4833299999999999E-3</v>
      </c>
      <c r="N339" s="46">
        <f t="shared" si="26"/>
        <v>1.8860244283999998</v>
      </c>
      <c r="O339" s="16"/>
      <c r="P339" s="48">
        <f t="shared" si="27"/>
        <v>87.41425000000001</v>
      </c>
      <c r="Q339" s="16"/>
      <c r="R339" s="48">
        <f t="shared" si="28"/>
        <v>3.2781479</v>
      </c>
    </row>
    <row r="340" spans="1:18">
      <c r="A340" s="14" t="s">
        <v>17</v>
      </c>
      <c r="B340" s="15" t="s">
        <v>508</v>
      </c>
      <c r="C340" s="15" t="s">
        <v>509</v>
      </c>
      <c r="D340" s="14" t="s">
        <v>510</v>
      </c>
      <c r="E340" s="15" t="s">
        <v>27</v>
      </c>
      <c r="F340" s="14" t="s">
        <v>28</v>
      </c>
      <c r="G340" s="15" t="s">
        <v>23</v>
      </c>
      <c r="H340" s="15"/>
      <c r="I340" s="15">
        <v>201404</v>
      </c>
      <c r="J340" s="16">
        <v>3270.39</v>
      </c>
      <c r="K340" s="44">
        <f t="shared" si="29"/>
        <v>41944</v>
      </c>
      <c r="L340" s="45">
        <f t="shared" si="25"/>
        <v>7</v>
      </c>
      <c r="M340" s="17">
        <v>1.4833299999999999E-3</v>
      </c>
      <c r="N340" s="46">
        <f t="shared" si="26"/>
        <v>33.957473190899996</v>
      </c>
      <c r="O340" s="16"/>
      <c r="P340" s="48">
        <f t="shared" si="27"/>
        <v>1573.8751875000003</v>
      </c>
      <c r="Q340" s="16"/>
      <c r="R340" s="48">
        <f t="shared" si="28"/>
        <v>59.022363525000003</v>
      </c>
    </row>
    <row r="341" spans="1:18">
      <c r="A341" s="14" t="s">
        <v>17</v>
      </c>
      <c r="B341" s="15" t="s">
        <v>514</v>
      </c>
      <c r="C341" s="15" t="s">
        <v>515</v>
      </c>
      <c r="D341" s="14" t="s">
        <v>516</v>
      </c>
      <c r="E341" s="15" t="s">
        <v>49</v>
      </c>
      <c r="F341" s="14" t="s">
        <v>22</v>
      </c>
      <c r="G341" s="15" t="s">
        <v>23</v>
      </c>
      <c r="H341" s="15"/>
      <c r="I341" s="15">
        <v>201404</v>
      </c>
      <c r="J341" s="16">
        <v>307.55</v>
      </c>
      <c r="K341" s="44">
        <f t="shared" si="29"/>
        <v>41944</v>
      </c>
      <c r="L341" s="45">
        <f t="shared" si="25"/>
        <v>7</v>
      </c>
      <c r="M341" s="17">
        <v>1.4833299999999999E-3</v>
      </c>
      <c r="N341" s="46">
        <f t="shared" si="26"/>
        <v>3.1933869905000001</v>
      </c>
      <c r="O341" s="16"/>
      <c r="P341" s="48">
        <f t="shared" si="27"/>
        <v>148.00843750000001</v>
      </c>
      <c r="Q341" s="16"/>
      <c r="R341" s="48">
        <f t="shared" si="28"/>
        <v>5.5505086250000009</v>
      </c>
    </row>
    <row r="342" spans="1:18">
      <c r="A342" s="14" t="s">
        <v>17</v>
      </c>
      <c r="B342" s="15" t="s">
        <v>517</v>
      </c>
      <c r="C342" s="15" t="s">
        <v>518</v>
      </c>
      <c r="D342" s="14" t="s">
        <v>519</v>
      </c>
      <c r="E342" s="15" t="s">
        <v>125</v>
      </c>
      <c r="F342" s="14" t="s">
        <v>126</v>
      </c>
      <c r="G342" s="15" t="s">
        <v>23</v>
      </c>
      <c r="H342" s="15"/>
      <c r="I342" s="15">
        <v>201404</v>
      </c>
      <c r="J342" s="16">
        <v>3470.21</v>
      </c>
      <c r="K342" s="44">
        <f t="shared" si="29"/>
        <v>41944</v>
      </c>
      <c r="L342" s="45">
        <f t="shared" si="25"/>
        <v>7</v>
      </c>
      <c r="M342" s="17">
        <v>1.4833299999999999E-3</v>
      </c>
      <c r="N342" s="46">
        <f t="shared" si="26"/>
        <v>36.0322661951</v>
      </c>
      <c r="O342" s="16"/>
      <c r="P342" s="48">
        <f t="shared" si="27"/>
        <v>1670.0385625000004</v>
      </c>
      <c r="Q342" s="16"/>
      <c r="R342" s="48">
        <f t="shared" si="28"/>
        <v>62.628614975000005</v>
      </c>
    </row>
    <row r="343" spans="1:18">
      <c r="A343" s="14" t="s">
        <v>17</v>
      </c>
      <c r="B343" s="15" t="s">
        <v>520</v>
      </c>
      <c r="C343" s="15" t="s">
        <v>521</v>
      </c>
      <c r="D343" s="14" t="s">
        <v>522</v>
      </c>
      <c r="E343" s="15" t="s">
        <v>125</v>
      </c>
      <c r="F343" s="14" t="s">
        <v>126</v>
      </c>
      <c r="G343" s="15" t="s">
        <v>23</v>
      </c>
      <c r="H343" s="15"/>
      <c r="I343" s="15">
        <v>201404</v>
      </c>
      <c r="J343" s="16">
        <v>5876.64</v>
      </c>
      <c r="K343" s="44">
        <f t="shared" si="29"/>
        <v>41944</v>
      </c>
      <c r="L343" s="45">
        <f t="shared" si="25"/>
        <v>7</v>
      </c>
      <c r="M343" s="17">
        <v>1.4833299999999999E-3</v>
      </c>
      <c r="N343" s="46">
        <f t="shared" si="26"/>
        <v>61.018974878400002</v>
      </c>
      <c r="O343" s="16"/>
      <c r="P343" s="48">
        <f t="shared" si="27"/>
        <v>2828.1330000000007</v>
      </c>
      <c r="Q343" s="16"/>
      <c r="R343" s="48">
        <f t="shared" si="28"/>
        <v>106.05866040000001</v>
      </c>
    </row>
    <row r="344" spans="1:18">
      <c r="A344" s="14" t="s">
        <v>17</v>
      </c>
      <c r="B344" s="15" t="s">
        <v>523</v>
      </c>
      <c r="C344" s="15" t="s">
        <v>524</v>
      </c>
      <c r="D344" s="14" t="s">
        <v>525</v>
      </c>
      <c r="E344" s="15" t="s">
        <v>141</v>
      </c>
      <c r="F344" s="14" t="s">
        <v>142</v>
      </c>
      <c r="G344" s="15" t="s">
        <v>23</v>
      </c>
      <c r="H344" s="15"/>
      <c r="I344" s="15">
        <v>201404</v>
      </c>
      <c r="J344" s="16">
        <v>1494.91</v>
      </c>
      <c r="K344" s="44">
        <f t="shared" si="29"/>
        <v>41944</v>
      </c>
      <c r="L344" s="45">
        <f t="shared" si="25"/>
        <v>7</v>
      </c>
      <c r="M344" s="17">
        <v>1.4833299999999999E-3</v>
      </c>
      <c r="N344" s="46">
        <f t="shared" si="26"/>
        <v>15.5221139521</v>
      </c>
      <c r="O344" s="16"/>
      <c r="P344" s="48">
        <f t="shared" si="27"/>
        <v>719.42543750000016</v>
      </c>
      <c r="Q344" s="16"/>
      <c r="R344" s="48">
        <f t="shared" si="28"/>
        <v>26.979388225000005</v>
      </c>
    </row>
    <row r="345" spans="1:18">
      <c r="A345" s="14" t="s">
        <v>17</v>
      </c>
      <c r="B345" s="15" t="s">
        <v>529</v>
      </c>
      <c r="C345" s="15" t="s">
        <v>530</v>
      </c>
      <c r="D345" s="14" t="s">
        <v>531</v>
      </c>
      <c r="E345" s="15" t="s">
        <v>141</v>
      </c>
      <c r="F345" s="14" t="s">
        <v>142</v>
      </c>
      <c r="G345" s="15" t="s">
        <v>23</v>
      </c>
      <c r="H345" s="15"/>
      <c r="I345" s="15">
        <v>201404</v>
      </c>
      <c r="J345" s="16">
        <v>3977.65</v>
      </c>
      <c r="K345" s="44">
        <f t="shared" si="29"/>
        <v>41944</v>
      </c>
      <c r="L345" s="45">
        <f t="shared" si="25"/>
        <v>7</v>
      </c>
      <c r="M345" s="17">
        <v>1.4833299999999999E-3</v>
      </c>
      <c r="N345" s="46">
        <f t="shared" si="26"/>
        <v>41.301173021499999</v>
      </c>
      <c r="O345" s="16"/>
      <c r="P345" s="48">
        <f t="shared" si="27"/>
        <v>1914.2440625000004</v>
      </c>
      <c r="Q345" s="16"/>
      <c r="R345" s="48">
        <f t="shared" si="28"/>
        <v>71.78663837500001</v>
      </c>
    </row>
    <row r="346" spans="1:18">
      <c r="A346" s="14" t="s">
        <v>17</v>
      </c>
      <c r="B346" s="15" t="s">
        <v>537</v>
      </c>
      <c r="C346" s="15" t="s">
        <v>538</v>
      </c>
      <c r="D346" s="14" t="s">
        <v>539</v>
      </c>
      <c r="E346" s="15" t="s">
        <v>53</v>
      </c>
      <c r="F346" s="14" t="s">
        <v>41</v>
      </c>
      <c r="G346" s="15" t="s">
        <v>23</v>
      </c>
      <c r="H346" s="15"/>
      <c r="I346" s="15">
        <v>201404</v>
      </c>
      <c r="J346" s="16">
        <v>5297.81</v>
      </c>
      <c r="K346" s="44">
        <f t="shared" si="29"/>
        <v>41944</v>
      </c>
      <c r="L346" s="45">
        <f t="shared" si="25"/>
        <v>7</v>
      </c>
      <c r="M346" s="17">
        <v>1.4833299999999999E-3</v>
      </c>
      <c r="N346" s="46">
        <f t="shared" si="26"/>
        <v>55.008803551100002</v>
      </c>
      <c r="O346" s="16"/>
      <c r="P346" s="48">
        <f t="shared" si="27"/>
        <v>2549.5710625000006</v>
      </c>
      <c r="Q346" s="16"/>
      <c r="R346" s="48">
        <f t="shared" si="28"/>
        <v>95.612225975000015</v>
      </c>
    </row>
    <row r="347" spans="1:18">
      <c r="A347" s="14" t="s">
        <v>17</v>
      </c>
      <c r="B347" s="15" t="s">
        <v>540</v>
      </c>
      <c r="C347" s="15" t="s">
        <v>541</v>
      </c>
      <c r="D347" s="14" t="s">
        <v>542</v>
      </c>
      <c r="E347" s="15" t="s">
        <v>216</v>
      </c>
      <c r="F347" s="14" t="s">
        <v>22</v>
      </c>
      <c r="G347" s="15" t="s">
        <v>23</v>
      </c>
      <c r="H347" s="15"/>
      <c r="I347" s="15">
        <v>201404</v>
      </c>
      <c r="J347" s="16">
        <v>1173.0999999999999</v>
      </c>
      <c r="K347" s="44">
        <f t="shared" si="29"/>
        <v>41944</v>
      </c>
      <c r="L347" s="45">
        <f t="shared" si="25"/>
        <v>7</v>
      </c>
      <c r="M347" s="17">
        <v>1.4833299999999999E-3</v>
      </c>
      <c r="N347" s="46">
        <f t="shared" si="26"/>
        <v>12.180660960999999</v>
      </c>
      <c r="O347" s="16"/>
      <c r="P347" s="48">
        <f t="shared" si="27"/>
        <v>564.55437500000005</v>
      </c>
      <c r="Q347" s="16"/>
      <c r="R347" s="48">
        <f t="shared" si="28"/>
        <v>21.171522249999999</v>
      </c>
    </row>
    <row r="348" spans="1:18">
      <c r="A348" s="14" t="s">
        <v>17</v>
      </c>
      <c r="B348" s="15" t="s">
        <v>552</v>
      </c>
      <c r="C348" s="15" t="s">
        <v>553</v>
      </c>
      <c r="D348" s="14" t="s">
        <v>554</v>
      </c>
      <c r="E348" s="15" t="s">
        <v>62</v>
      </c>
      <c r="F348" s="14" t="s">
        <v>22</v>
      </c>
      <c r="G348" s="15" t="s">
        <v>23</v>
      </c>
      <c r="H348" s="15"/>
      <c r="I348" s="15">
        <v>201404</v>
      </c>
      <c r="J348" s="16">
        <v>9180.09</v>
      </c>
      <c r="K348" s="44">
        <f t="shared" si="29"/>
        <v>41944</v>
      </c>
      <c r="L348" s="45">
        <f t="shared" si="25"/>
        <v>7</v>
      </c>
      <c r="M348" s="17">
        <v>1.4833299999999999E-3</v>
      </c>
      <c r="N348" s="46">
        <f t="shared" si="26"/>
        <v>95.319720297900005</v>
      </c>
      <c r="O348" s="16"/>
      <c r="P348" s="48">
        <f t="shared" si="27"/>
        <v>4417.9183125000009</v>
      </c>
      <c r="Q348" s="16"/>
      <c r="R348" s="48">
        <f t="shared" si="28"/>
        <v>165.67767427500002</v>
      </c>
    </row>
    <row r="349" spans="1:18">
      <c r="A349" s="14" t="s">
        <v>54</v>
      </c>
      <c r="B349" s="15" t="s">
        <v>558</v>
      </c>
      <c r="C349" s="15" t="s">
        <v>559</v>
      </c>
      <c r="D349" s="14" t="s">
        <v>560</v>
      </c>
      <c r="E349" s="15" t="s">
        <v>36</v>
      </c>
      <c r="F349" s="14" t="s">
        <v>22</v>
      </c>
      <c r="G349" s="15" t="s">
        <v>23</v>
      </c>
      <c r="H349" s="15"/>
      <c r="I349" s="15">
        <v>201404</v>
      </c>
      <c r="J349" s="16">
        <v>32317.599999999999</v>
      </c>
      <c r="K349" s="44">
        <f t="shared" si="29"/>
        <v>41944</v>
      </c>
      <c r="L349" s="45">
        <f t="shared" si="25"/>
        <v>7</v>
      </c>
      <c r="M349" s="17">
        <v>1.4833299999999999E-3</v>
      </c>
      <c r="N349" s="46">
        <f t="shared" si="26"/>
        <v>335.56365925599999</v>
      </c>
      <c r="O349" s="16"/>
      <c r="P349" s="48">
        <f t="shared" si="27"/>
        <v>15552.845000000001</v>
      </c>
      <c r="Q349" s="16"/>
      <c r="R349" s="48">
        <f t="shared" si="28"/>
        <v>583.25188600000001</v>
      </c>
    </row>
    <row r="350" spans="1:18">
      <c r="A350" s="14" t="s">
        <v>17</v>
      </c>
      <c r="B350" s="15" t="s">
        <v>564</v>
      </c>
      <c r="C350" s="15" t="s">
        <v>565</v>
      </c>
      <c r="D350" s="14" t="s">
        <v>566</v>
      </c>
      <c r="E350" s="15" t="s">
        <v>567</v>
      </c>
      <c r="F350" s="14" t="s">
        <v>137</v>
      </c>
      <c r="G350" s="15" t="s">
        <v>23</v>
      </c>
      <c r="H350" s="15"/>
      <c r="I350" s="15">
        <v>201404</v>
      </c>
      <c r="J350" s="16">
        <v>4974.08</v>
      </c>
      <c r="K350" s="44">
        <f t="shared" si="29"/>
        <v>41944</v>
      </c>
      <c r="L350" s="45">
        <f t="shared" si="25"/>
        <v>7</v>
      </c>
      <c r="M350" s="17">
        <v>1.4833299999999999E-3</v>
      </c>
      <c r="N350" s="46">
        <f t="shared" si="26"/>
        <v>51.647414604799998</v>
      </c>
      <c r="O350" s="16"/>
      <c r="P350" s="48">
        <f t="shared" si="27"/>
        <v>2393.7760000000003</v>
      </c>
      <c r="Q350" s="16"/>
      <c r="R350" s="48">
        <f t="shared" si="28"/>
        <v>89.769708800000004</v>
      </c>
    </row>
    <row r="351" spans="1:18">
      <c r="A351" s="14" t="s">
        <v>17</v>
      </c>
      <c r="B351" s="15" t="s">
        <v>568</v>
      </c>
      <c r="C351" s="15" t="s">
        <v>569</v>
      </c>
      <c r="D351" s="14" t="s">
        <v>570</v>
      </c>
      <c r="E351" s="15" t="s">
        <v>324</v>
      </c>
      <c r="F351" s="14" t="s">
        <v>325</v>
      </c>
      <c r="G351" s="15" t="s">
        <v>23</v>
      </c>
      <c r="H351" s="15"/>
      <c r="I351" s="15">
        <v>201404</v>
      </c>
      <c r="J351" s="16">
        <v>1658.95</v>
      </c>
      <c r="K351" s="44">
        <f t="shared" si="29"/>
        <v>41944</v>
      </c>
      <c r="L351" s="45">
        <f t="shared" si="25"/>
        <v>7</v>
      </c>
      <c r="M351" s="17">
        <v>1.4833299999999999E-3</v>
      </c>
      <c r="N351" s="46">
        <f t="shared" si="26"/>
        <v>17.225392124500001</v>
      </c>
      <c r="O351" s="16"/>
      <c r="P351" s="48">
        <f t="shared" si="27"/>
        <v>798.36968750000017</v>
      </c>
      <c r="Q351" s="16"/>
      <c r="R351" s="48">
        <f t="shared" si="28"/>
        <v>29.939900125000001</v>
      </c>
    </row>
    <row r="352" spans="1:18">
      <c r="A352" s="14" t="s">
        <v>17</v>
      </c>
      <c r="B352" s="15" t="s">
        <v>571</v>
      </c>
      <c r="C352" s="15" t="s">
        <v>572</v>
      </c>
      <c r="D352" s="14" t="s">
        <v>573</v>
      </c>
      <c r="E352" s="15" t="s">
        <v>574</v>
      </c>
      <c r="F352" s="14" t="s">
        <v>28</v>
      </c>
      <c r="G352" s="15" t="s">
        <v>23</v>
      </c>
      <c r="H352" s="15"/>
      <c r="I352" s="15">
        <v>201404</v>
      </c>
      <c r="J352" s="16">
        <v>3148.25</v>
      </c>
      <c r="K352" s="44">
        <f t="shared" si="29"/>
        <v>41944</v>
      </c>
      <c r="L352" s="45">
        <f t="shared" si="25"/>
        <v>7</v>
      </c>
      <c r="M352" s="17">
        <v>1.4833299999999999E-3</v>
      </c>
      <c r="N352" s="46">
        <f t="shared" si="26"/>
        <v>32.689255707500003</v>
      </c>
      <c r="O352" s="16"/>
      <c r="P352" s="48">
        <f t="shared" si="27"/>
        <v>1515.0953125000003</v>
      </c>
      <c r="Q352" s="16"/>
      <c r="R352" s="48">
        <f t="shared" si="28"/>
        <v>56.818041875000006</v>
      </c>
    </row>
    <row r="353" spans="1:18">
      <c r="A353" s="14" t="s">
        <v>17</v>
      </c>
      <c r="B353" s="15" t="s">
        <v>578</v>
      </c>
      <c r="C353" s="15" t="s">
        <v>579</v>
      </c>
      <c r="D353" s="14" t="s">
        <v>580</v>
      </c>
      <c r="E353" s="15" t="s">
        <v>136</v>
      </c>
      <c r="F353" s="14" t="s">
        <v>137</v>
      </c>
      <c r="G353" s="15" t="s">
        <v>23</v>
      </c>
      <c r="H353" s="15"/>
      <c r="I353" s="15">
        <v>201404</v>
      </c>
      <c r="J353" s="16">
        <v>18496.91</v>
      </c>
      <c r="K353" s="44">
        <f t="shared" si="29"/>
        <v>41944</v>
      </c>
      <c r="L353" s="45">
        <f t="shared" si="25"/>
        <v>7</v>
      </c>
      <c r="M353" s="17">
        <v>1.4833299999999999E-3</v>
      </c>
      <c r="N353" s="46">
        <f t="shared" si="26"/>
        <v>192.05915057209998</v>
      </c>
      <c r="O353" s="16"/>
      <c r="P353" s="48">
        <f t="shared" si="27"/>
        <v>8901.6379375000015</v>
      </c>
      <c r="Q353" s="16"/>
      <c r="R353" s="48">
        <f t="shared" si="28"/>
        <v>333.82298322500003</v>
      </c>
    </row>
    <row r="354" spans="1:18">
      <c r="A354" s="14" t="s">
        <v>17</v>
      </c>
      <c r="B354" s="15" t="s">
        <v>584</v>
      </c>
      <c r="C354" s="15" t="s">
        <v>585</v>
      </c>
      <c r="D354" s="14" t="s">
        <v>586</v>
      </c>
      <c r="E354" s="15" t="s">
        <v>62</v>
      </c>
      <c r="F354" s="14" t="s">
        <v>22</v>
      </c>
      <c r="G354" s="15" t="s">
        <v>23</v>
      </c>
      <c r="H354" s="15"/>
      <c r="I354" s="15">
        <v>201404</v>
      </c>
      <c r="J354" s="16">
        <v>51898.69</v>
      </c>
      <c r="K354" s="44">
        <f t="shared" si="29"/>
        <v>41944</v>
      </c>
      <c r="L354" s="45">
        <f t="shared" si="25"/>
        <v>7</v>
      </c>
      <c r="M354" s="17">
        <v>1.4833299999999999E-3</v>
      </c>
      <c r="N354" s="46">
        <f t="shared" si="26"/>
        <v>538.88018686390001</v>
      </c>
      <c r="O354" s="16"/>
      <c r="P354" s="48">
        <f t="shared" si="27"/>
        <v>24976.244562500004</v>
      </c>
      <c r="Q354" s="16"/>
      <c r="R354" s="48">
        <f t="shared" si="28"/>
        <v>936.64160777500013</v>
      </c>
    </row>
    <row r="355" spans="1:18">
      <c r="A355" s="18" t="s">
        <v>66</v>
      </c>
      <c r="B355" s="15" t="s">
        <v>592</v>
      </c>
      <c r="C355" s="15" t="s">
        <v>593</v>
      </c>
      <c r="D355" s="14" t="s">
        <v>381</v>
      </c>
      <c r="E355" s="15" t="s">
        <v>594</v>
      </c>
      <c r="F355" s="14" t="s">
        <v>212</v>
      </c>
      <c r="G355" s="15" t="s">
        <v>23</v>
      </c>
      <c r="H355" s="15"/>
      <c r="I355" s="15">
        <v>201404</v>
      </c>
      <c r="J355" s="16">
        <v>10677.91</v>
      </c>
      <c r="K355" s="44">
        <f t="shared" si="29"/>
        <v>41944</v>
      </c>
      <c r="L355" s="45">
        <f t="shared" si="25"/>
        <v>7</v>
      </c>
      <c r="M355" s="17">
        <v>2.23333E-3</v>
      </c>
      <c r="N355" s="46">
        <f t="shared" si="26"/>
        <v>166.93107718210001</v>
      </c>
      <c r="O355" s="16"/>
      <c r="P355" s="48">
        <f t="shared" si="27"/>
        <v>5138.7441875000004</v>
      </c>
      <c r="Q355" s="16"/>
      <c r="R355" s="48">
        <f t="shared" si="28"/>
        <v>192.709580725</v>
      </c>
    </row>
    <row r="356" spans="1:18">
      <c r="A356" s="18" t="s">
        <v>66</v>
      </c>
      <c r="B356" s="15" t="s">
        <v>595</v>
      </c>
      <c r="C356" s="15" t="s">
        <v>596</v>
      </c>
      <c r="D356" s="14" t="s">
        <v>597</v>
      </c>
      <c r="E356" s="15" t="s">
        <v>598</v>
      </c>
      <c r="F356" s="14" t="s">
        <v>212</v>
      </c>
      <c r="G356" s="15" t="s">
        <v>23</v>
      </c>
      <c r="H356" s="15"/>
      <c r="I356" s="15">
        <v>201404</v>
      </c>
      <c r="J356" s="16">
        <v>111430.55</v>
      </c>
      <c r="K356" s="44">
        <f t="shared" si="29"/>
        <v>41944</v>
      </c>
      <c r="L356" s="45">
        <f t="shared" si="25"/>
        <v>7</v>
      </c>
      <c r="M356" s="17">
        <v>2.23333E-3</v>
      </c>
      <c r="N356" s="46">
        <f t="shared" si="26"/>
        <v>1742.0283316205002</v>
      </c>
      <c r="O356" s="16"/>
      <c r="P356" s="48">
        <f t="shared" si="27"/>
        <v>53625.952187500006</v>
      </c>
      <c r="Q356" s="16"/>
      <c r="R356" s="48">
        <f t="shared" si="28"/>
        <v>2011.0428511250002</v>
      </c>
    </row>
    <row r="357" spans="1:18">
      <c r="A357" s="18" t="s">
        <v>66</v>
      </c>
      <c r="B357" s="15" t="s">
        <v>599</v>
      </c>
      <c r="C357" s="15" t="s">
        <v>600</v>
      </c>
      <c r="D357" s="14" t="s">
        <v>385</v>
      </c>
      <c r="E357" s="15" t="s">
        <v>601</v>
      </c>
      <c r="F357" s="14" t="s">
        <v>387</v>
      </c>
      <c r="G357" s="15" t="s">
        <v>23</v>
      </c>
      <c r="H357" s="15"/>
      <c r="I357" s="15">
        <v>201404</v>
      </c>
      <c r="J357" s="16">
        <v>36239.269999999997</v>
      </c>
      <c r="K357" s="44">
        <f t="shared" si="29"/>
        <v>41944</v>
      </c>
      <c r="L357" s="45">
        <f t="shared" si="25"/>
        <v>7</v>
      </c>
      <c r="M357" s="17">
        <v>2.23333E-3</v>
      </c>
      <c r="N357" s="46">
        <f t="shared" si="26"/>
        <v>566.53974208369993</v>
      </c>
      <c r="O357" s="16"/>
      <c r="P357" s="48">
        <f t="shared" si="27"/>
        <v>17440.148687500001</v>
      </c>
      <c r="Q357" s="16"/>
      <c r="R357" s="48">
        <f t="shared" si="28"/>
        <v>654.02822532499999</v>
      </c>
    </row>
    <row r="358" spans="1:18">
      <c r="A358" s="14" t="s">
        <v>17</v>
      </c>
      <c r="B358" s="15" t="s">
        <v>602</v>
      </c>
      <c r="C358" s="15" t="s">
        <v>603</v>
      </c>
      <c r="D358" s="14" t="s">
        <v>604</v>
      </c>
      <c r="E358" s="15" t="s">
        <v>58</v>
      </c>
      <c r="F358" s="14" t="s">
        <v>22</v>
      </c>
      <c r="G358" s="15" t="s">
        <v>23</v>
      </c>
      <c r="H358" s="15"/>
      <c r="I358" s="15">
        <v>201404</v>
      </c>
      <c r="J358" s="16">
        <v>-340.28</v>
      </c>
      <c r="K358" s="44">
        <f t="shared" si="29"/>
        <v>41944</v>
      </c>
      <c r="L358" s="45">
        <f t="shared" si="25"/>
        <v>7</v>
      </c>
      <c r="M358" s="17">
        <v>1.4833299999999999E-3</v>
      </c>
      <c r="N358" s="46">
        <f t="shared" si="26"/>
        <v>-3.5332327267999997</v>
      </c>
      <c r="O358" s="16"/>
      <c r="P358" s="48">
        <f t="shared" si="27"/>
        <v>-163.75975</v>
      </c>
      <c r="Q358" s="16"/>
      <c r="R358" s="48">
        <f t="shared" si="28"/>
        <v>-6.1412032999999999</v>
      </c>
    </row>
    <row r="359" spans="1:18">
      <c r="A359" s="14" t="s">
        <v>17</v>
      </c>
      <c r="B359" s="15" t="s">
        <v>605</v>
      </c>
      <c r="C359" s="15" t="s">
        <v>606</v>
      </c>
      <c r="D359" s="14" t="s">
        <v>607</v>
      </c>
      <c r="E359" s="15" t="s">
        <v>62</v>
      </c>
      <c r="F359" s="14" t="s">
        <v>22</v>
      </c>
      <c r="G359" s="15" t="s">
        <v>23</v>
      </c>
      <c r="H359" s="15"/>
      <c r="I359" s="15">
        <v>201404</v>
      </c>
      <c r="J359" s="16">
        <v>12471.72</v>
      </c>
      <c r="K359" s="44">
        <f t="shared" si="29"/>
        <v>41944</v>
      </c>
      <c r="L359" s="45">
        <f t="shared" si="25"/>
        <v>7</v>
      </c>
      <c r="M359" s="17">
        <v>1.4833299999999999E-3</v>
      </c>
      <c r="N359" s="46">
        <f t="shared" si="26"/>
        <v>129.4977349932</v>
      </c>
      <c r="O359" s="16"/>
      <c r="P359" s="48">
        <f t="shared" si="27"/>
        <v>6002.0152500000004</v>
      </c>
      <c r="Q359" s="16"/>
      <c r="R359" s="48">
        <f t="shared" si="28"/>
        <v>225.0833667</v>
      </c>
    </row>
    <row r="360" spans="1:18">
      <c r="A360" s="14" t="s">
        <v>17</v>
      </c>
      <c r="B360" s="15" t="s">
        <v>608</v>
      </c>
      <c r="C360" s="15" t="s">
        <v>609</v>
      </c>
      <c r="D360" s="14" t="s">
        <v>610</v>
      </c>
      <c r="E360" s="15" t="s">
        <v>45</v>
      </c>
      <c r="F360" s="14" t="s">
        <v>22</v>
      </c>
      <c r="G360" s="15" t="s">
        <v>23</v>
      </c>
      <c r="H360" s="15"/>
      <c r="I360" s="15">
        <v>201404</v>
      </c>
      <c r="J360" s="16">
        <v>9760.34</v>
      </c>
      <c r="K360" s="44">
        <f t="shared" si="29"/>
        <v>41944</v>
      </c>
      <c r="L360" s="45">
        <f t="shared" si="25"/>
        <v>7</v>
      </c>
      <c r="M360" s="17">
        <v>1.4833299999999999E-3</v>
      </c>
      <c r="N360" s="46">
        <f t="shared" si="26"/>
        <v>101.3446359254</v>
      </c>
      <c r="O360" s="16"/>
      <c r="P360" s="48">
        <f t="shared" si="27"/>
        <v>4697.163625000001</v>
      </c>
      <c r="Q360" s="16"/>
      <c r="R360" s="48">
        <f t="shared" si="28"/>
        <v>176.14973615000002</v>
      </c>
    </row>
    <row r="361" spans="1:18">
      <c r="A361" s="14" t="s">
        <v>17</v>
      </c>
      <c r="B361" s="15" t="s">
        <v>614</v>
      </c>
      <c r="C361" s="15" t="s">
        <v>615</v>
      </c>
      <c r="D361" s="14" t="s">
        <v>616</v>
      </c>
      <c r="E361" s="15" t="s">
        <v>40</v>
      </c>
      <c r="F361" s="14" t="s">
        <v>41</v>
      </c>
      <c r="G361" s="15" t="s">
        <v>23</v>
      </c>
      <c r="H361" s="15"/>
      <c r="I361" s="15">
        <v>201404</v>
      </c>
      <c r="J361" s="16">
        <v>2551.35</v>
      </c>
      <c r="K361" s="44">
        <f t="shared" si="29"/>
        <v>41944</v>
      </c>
      <c r="L361" s="45">
        <f t="shared" si="25"/>
        <v>7</v>
      </c>
      <c r="M361" s="17">
        <v>1.4833299999999999E-3</v>
      </c>
      <c r="N361" s="46">
        <f t="shared" si="26"/>
        <v>26.491457968499997</v>
      </c>
      <c r="O361" s="16"/>
      <c r="P361" s="48">
        <f t="shared" si="27"/>
        <v>1227.8371875</v>
      </c>
      <c r="Q361" s="16"/>
      <c r="R361" s="48">
        <f t="shared" si="28"/>
        <v>46.045489125000003</v>
      </c>
    </row>
    <row r="362" spans="1:18">
      <c r="A362" s="14" t="s">
        <v>17</v>
      </c>
      <c r="B362" s="15" t="s">
        <v>617</v>
      </c>
      <c r="C362" s="15" t="s">
        <v>618</v>
      </c>
      <c r="D362" s="14" t="s">
        <v>619</v>
      </c>
      <c r="E362" s="15" t="s">
        <v>141</v>
      </c>
      <c r="F362" s="14" t="s">
        <v>142</v>
      </c>
      <c r="G362" s="15" t="s">
        <v>23</v>
      </c>
      <c r="H362" s="15"/>
      <c r="I362" s="15">
        <v>201404</v>
      </c>
      <c r="J362" s="16">
        <v>6042.78</v>
      </c>
      <c r="K362" s="44">
        <f t="shared" si="29"/>
        <v>41944</v>
      </c>
      <c r="L362" s="45">
        <f t="shared" si="25"/>
        <v>7</v>
      </c>
      <c r="M362" s="17">
        <v>1.4833299999999999E-3</v>
      </c>
      <c r="N362" s="46">
        <f t="shared" si="26"/>
        <v>62.744058001799999</v>
      </c>
      <c r="O362" s="16"/>
      <c r="P362" s="48">
        <f t="shared" si="27"/>
        <v>2908.0878750000002</v>
      </c>
      <c r="Q362" s="16"/>
      <c r="R362" s="48">
        <f t="shared" si="28"/>
        <v>109.05707205</v>
      </c>
    </row>
    <row r="363" spans="1:18">
      <c r="A363" s="18" t="s">
        <v>66</v>
      </c>
      <c r="B363" s="15" t="s">
        <v>620</v>
      </c>
      <c r="C363" s="15" t="s">
        <v>621</v>
      </c>
      <c r="D363" s="14" t="s">
        <v>622</v>
      </c>
      <c r="E363" s="15" t="s">
        <v>623</v>
      </c>
      <c r="F363" s="14" t="s">
        <v>624</v>
      </c>
      <c r="G363" s="15" t="s">
        <v>23</v>
      </c>
      <c r="H363" s="15"/>
      <c r="I363" s="15">
        <v>201404</v>
      </c>
      <c r="J363" s="16">
        <v>1757.73</v>
      </c>
      <c r="K363" s="44">
        <f t="shared" si="29"/>
        <v>41944</v>
      </c>
      <c r="L363" s="45">
        <f t="shared" si="25"/>
        <v>7</v>
      </c>
      <c r="M363" s="17">
        <v>2.23333E-3</v>
      </c>
      <c r="N363" s="46">
        <f t="shared" si="26"/>
        <v>27.479137986300003</v>
      </c>
      <c r="O363" s="16"/>
      <c r="P363" s="48">
        <f t="shared" si="27"/>
        <v>845.90756250000015</v>
      </c>
      <c r="Q363" s="16"/>
      <c r="R363" s="48">
        <f t="shared" si="28"/>
        <v>31.722632175000001</v>
      </c>
    </row>
    <row r="364" spans="1:18">
      <c r="A364" s="14" t="s">
        <v>17</v>
      </c>
      <c r="B364" s="15" t="s">
        <v>625</v>
      </c>
      <c r="C364" s="15" t="s">
        <v>626</v>
      </c>
      <c r="D364" s="14" t="s">
        <v>627</v>
      </c>
      <c r="E364" s="15" t="s">
        <v>62</v>
      </c>
      <c r="F364" s="14" t="s">
        <v>22</v>
      </c>
      <c r="G364" s="15" t="s">
        <v>23</v>
      </c>
      <c r="H364" s="15"/>
      <c r="I364" s="15">
        <v>201404</v>
      </c>
      <c r="J364" s="16">
        <v>7576.7</v>
      </c>
      <c r="K364" s="44">
        <f t="shared" si="29"/>
        <v>41944</v>
      </c>
      <c r="L364" s="45">
        <f t="shared" si="25"/>
        <v>7</v>
      </c>
      <c r="M364" s="17">
        <v>1.4833299999999999E-3</v>
      </c>
      <c r="N364" s="46">
        <f t="shared" si="26"/>
        <v>78.671224877</v>
      </c>
      <c r="O364" s="16"/>
      <c r="P364" s="48">
        <f t="shared" si="27"/>
        <v>3646.2868750000002</v>
      </c>
      <c r="Q364" s="16"/>
      <c r="R364" s="48">
        <f t="shared" si="28"/>
        <v>136.74049325000001</v>
      </c>
    </row>
    <row r="365" spans="1:18">
      <c r="A365" s="14" t="s">
        <v>17</v>
      </c>
      <c r="B365" s="15" t="s">
        <v>628</v>
      </c>
      <c r="C365" s="15" t="s">
        <v>629</v>
      </c>
      <c r="D365" s="14" t="s">
        <v>630</v>
      </c>
      <c r="E365" s="15" t="s">
        <v>440</v>
      </c>
      <c r="F365" s="14" t="s">
        <v>28</v>
      </c>
      <c r="G365" s="15" t="s">
        <v>23</v>
      </c>
      <c r="H365" s="15"/>
      <c r="I365" s="15">
        <v>201404</v>
      </c>
      <c r="J365" s="16">
        <v>4155.53</v>
      </c>
      <c r="K365" s="44">
        <f t="shared" si="29"/>
        <v>41944</v>
      </c>
      <c r="L365" s="45">
        <f t="shared" si="25"/>
        <v>7</v>
      </c>
      <c r="M365" s="17">
        <v>1.4833299999999999E-3</v>
      </c>
      <c r="N365" s="46">
        <f t="shared" si="26"/>
        <v>43.148156204299994</v>
      </c>
      <c r="O365" s="16"/>
      <c r="P365" s="48">
        <f t="shared" si="27"/>
        <v>1999.8488125000001</v>
      </c>
      <c r="Q365" s="16"/>
      <c r="R365" s="48">
        <f t="shared" si="28"/>
        <v>74.996927674999995</v>
      </c>
    </row>
    <row r="366" spans="1:18">
      <c r="A366" s="14" t="s">
        <v>17</v>
      </c>
      <c r="B366" s="15" t="s">
        <v>631</v>
      </c>
      <c r="C366" s="15" t="s">
        <v>632</v>
      </c>
      <c r="D366" s="14" t="s">
        <v>633</v>
      </c>
      <c r="E366" s="15" t="s">
        <v>32</v>
      </c>
      <c r="F366" s="14" t="s">
        <v>22</v>
      </c>
      <c r="G366" s="15" t="s">
        <v>23</v>
      </c>
      <c r="H366" s="15"/>
      <c r="I366" s="15">
        <v>201404</v>
      </c>
      <c r="J366" s="16">
        <v>4919.08</v>
      </c>
      <c r="K366" s="44">
        <f t="shared" si="29"/>
        <v>41944</v>
      </c>
      <c r="L366" s="45">
        <f t="shared" si="25"/>
        <v>7</v>
      </c>
      <c r="M366" s="17">
        <v>1.4833299999999999E-3</v>
      </c>
      <c r="N366" s="46">
        <f t="shared" si="26"/>
        <v>51.076332554799997</v>
      </c>
      <c r="O366" s="16"/>
      <c r="P366" s="48">
        <f t="shared" si="27"/>
        <v>2367.3072500000003</v>
      </c>
      <c r="Q366" s="16"/>
      <c r="R366" s="48">
        <f t="shared" si="28"/>
        <v>88.777096300000011</v>
      </c>
    </row>
    <row r="367" spans="1:18">
      <c r="A367" s="14" t="s">
        <v>17</v>
      </c>
      <c r="B367" s="15" t="s">
        <v>634</v>
      </c>
      <c r="C367" s="15" t="s">
        <v>635</v>
      </c>
      <c r="D367" s="14" t="s">
        <v>636</v>
      </c>
      <c r="E367" s="15" t="s">
        <v>567</v>
      </c>
      <c r="F367" s="14" t="s">
        <v>137</v>
      </c>
      <c r="G367" s="15" t="s">
        <v>23</v>
      </c>
      <c r="H367" s="15"/>
      <c r="I367" s="15">
        <v>201404</v>
      </c>
      <c r="J367" s="16">
        <v>709294.75</v>
      </c>
      <c r="K367" s="44">
        <f t="shared" si="29"/>
        <v>41944</v>
      </c>
      <c r="L367" s="45">
        <f t="shared" si="25"/>
        <v>7</v>
      </c>
      <c r="M367" s="17">
        <v>1.4833299999999999E-3</v>
      </c>
      <c r="N367" s="46">
        <f t="shared" si="26"/>
        <v>7364.8272706224998</v>
      </c>
      <c r="O367" s="16"/>
      <c r="P367" s="48">
        <f t="shared" si="27"/>
        <v>341348.09843750007</v>
      </c>
      <c r="Q367" s="16"/>
      <c r="R367" s="48">
        <f t="shared" si="28"/>
        <v>12800.997000625001</v>
      </c>
    </row>
    <row r="368" spans="1:18">
      <c r="A368" s="14" t="s">
        <v>17</v>
      </c>
      <c r="B368" s="15" t="s">
        <v>640</v>
      </c>
      <c r="C368" s="15" t="s">
        <v>641</v>
      </c>
      <c r="D368" s="14" t="s">
        <v>642</v>
      </c>
      <c r="E368" s="15" t="s">
        <v>362</v>
      </c>
      <c r="F368" s="14" t="s">
        <v>41</v>
      </c>
      <c r="G368" s="15" t="s">
        <v>23</v>
      </c>
      <c r="H368" s="15"/>
      <c r="I368" s="15">
        <v>201404</v>
      </c>
      <c r="J368" s="16">
        <v>770.71</v>
      </c>
      <c r="K368" s="44">
        <f t="shared" si="29"/>
        <v>41944</v>
      </c>
      <c r="L368" s="45">
        <f t="shared" si="25"/>
        <v>7</v>
      </c>
      <c r="M368" s="17">
        <v>1.4833299999999999E-3</v>
      </c>
      <c r="N368" s="46">
        <f t="shared" si="26"/>
        <v>8.0025208500999998</v>
      </c>
      <c r="O368" s="16"/>
      <c r="P368" s="48">
        <f t="shared" si="27"/>
        <v>370.90418750000009</v>
      </c>
      <c r="Q368" s="16"/>
      <c r="R368" s="48">
        <f t="shared" si="28"/>
        <v>13.909388725000001</v>
      </c>
    </row>
    <row r="369" spans="1:18">
      <c r="A369" s="14" t="s">
        <v>17</v>
      </c>
      <c r="B369" s="15" t="s">
        <v>643</v>
      </c>
      <c r="C369" s="15" t="s">
        <v>644</v>
      </c>
      <c r="D369" s="14" t="s">
        <v>645</v>
      </c>
      <c r="E369" s="15" t="s">
        <v>141</v>
      </c>
      <c r="F369" s="14" t="s">
        <v>142</v>
      </c>
      <c r="G369" s="15" t="s">
        <v>23</v>
      </c>
      <c r="H369" s="15"/>
      <c r="I369" s="15">
        <v>201404</v>
      </c>
      <c r="J369" s="16">
        <v>7120.16</v>
      </c>
      <c r="K369" s="44">
        <f t="shared" si="29"/>
        <v>41944</v>
      </c>
      <c r="L369" s="45">
        <f t="shared" si="25"/>
        <v>7</v>
      </c>
      <c r="M369" s="17">
        <v>1.4833299999999999E-3</v>
      </c>
      <c r="N369" s="46">
        <f t="shared" si="26"/>
        <v>73.930828529599992</v>
      </c>
      <c r="O369" s="16"/>
      <c r="P369" s="48">
        <f t="shared" si="27"/>
        <v>3426.5770000000002</v>
      </c>
      <c r="Q369" s="16"/>
      <c r="R369" s="48">
        <f t="shared" si="28"/>
        <v>128.50108760000001</v>
      </c>
    </row>
    <row r="370" spans="1:18">
      <c r="A370" s="14" t="s">
        <v>17</v>
      </c>
      <c r="B370" s="15" t="s">
        <v>652</v>
      </c>
      <c r="C370" s="15" t="s">
        <v>653</v>
      </c>
      <c r="D370" s="14" t="s">
        <v>654</v>
      </c>
      <c r="E370" s="15" t="s">
        <v>40</v>
      </c>
      <c r="F370" s="14" t="s">
        <v>41</v>
      </c>
      <c r="G370" s="15" t="s">
        <v>23</v>
      </c>
      <c r="H370" s="15"/>
      <c r="I370" s="15">
        <v>201404</v>
      </c>
      <c r="J370" s="16">
        <v>-1808.23</v>
      </c>
      <c r="K370" s="44">
        <f t="shared" si="29"/>
        <v>41944</v>
      </c>
      <c r="L370" s="45">
        <f t="shared" si="25"/>
        <v>7</v>
      </c>
      <c r="M370" s="17">
        <v>1.4833299999999999E-3</v>
      </c>
      <c r="N370" s="46">
        <f t="shared" si="26"/>
        <v>-18.775412641300001</v>
      </c>
      <c r="O370" s="16"/>
      <c r="P370" s="48">
        <f t="shared" si="27"/>
        <v>-870.21068750000018</v>
      </c>
      <c r="Q370" s="16"/>
      <c r="R370" s="48">
        <f t="shared" si="28"/>
        <v>-32.634030925000005</v>
      </c>
    </row>
    <row r="371" spans="1:18">
      <c r="A371" s="14" t="s">
        <v>17</v>
      </c>
      <c r="B371" s="15" t="s">
        <v>655</v>
      </c>
      <c r="C371" s="15" t="s">
        <v>656</v>
      </c>
      <c r="D371" s="14" t="s">
        <v>657</v>
      </c>
      <c r="E371" s="15" t="s">
        <v>36</v>
      </c>
      <c r="F371" s="14" t="s">
        <v>22</v>
      </c>
      <c r="G371" s="15" t="s">
        <v>23</v>
      </c>
      <c r="H371" s="15"/>
      <c r="I371" s="15">
        <v>201404</v>
      </c>
      <c r="J371" s="16">
        <v>4064.94</v>
      </c>
      <c r="K371" s="44">
        <f t="shared" si="29"/>
        <v>41944</v>
      </c>
      <c r="L371" s="45">
        <f t="shared" si="25"/>
        <v>7</v>
      </c>
      <c r="M371" s="17">
        <v>1.4833299999999999E-3</v>
      </c>
      <c r="N371" s="46">
        <f t="shared" si="26"/>
        <v>42.207532151400002</v>
      </c>
      <c r="O371" s="16"/>
      <c r="P371" s="48">
        <f t="shared" si="27"/>
        <v>1956.2523750000003</v>
      </c>
      <c r="Q371" s="16"/>
      <c r="R371" s="48">
        <f t="shared" si="28"/>
        <v>73.362004650000003</v>
      </c>
    </row>
    <row r="372" spans="1:18">
      <c r="A372" s="14" t="s">
        <v>17</v>
      </c>
      <c r="B372" s="15" t="s">
        <v>658</v>
      </c>
      <c r="C372" s="15" t="s">
        <v>659</v>
      </c>
      <c r="D372" s="14" t="s">
        <v>660</v>
      </c>
      <c r="E372" s="15" t="s">
        <v>440</v>
      </c>
      <c r="F372" s="14" t="s">
        <v>28</v>
      </c>
      <c r="G372" s="15" t="s">
        <v>23</v>
      </c>
      <c r="H372" s="15"/>
      <c r="I372" s="15">
        <v>201404</v>
      </c>
      <c r="J372" s="16">
        <v>1942.37</v>
      </c>
      <c r="K372" s="44">
        <f t="shared" si="29"/>
        <v>41944</v>
      </c>
      <c r="L372" s="45">
        <f t="shared" si="25"/>
        <v>7</v>
      </c>
      <c r="M372" s="17">
        <v>1.4833299999999999E-3</v>
      </c>
      <c r="N372" s="46">
        <f t="shared" si="26"/>
        <v>20.168229844699997</v>
      </c>
      <c r="O372" s="16"/>
      <c r="P372" s="48">
        <f t="shared" si="27"/>
        <v>934.7655625000001</v>
      </c>
      <c r="Q372" s="16"/>
      <c r="R372" s="48">
        <f t="shared" si="28"/>
        <v>35.054922574999999</v>
      </c>
    </row>
    <row r="373" spans="1:18">
      <c r="A373" s="14" t="s">
        <v>17</v>
      </c>
      <c r="B373" s="15" t="s">
        <v>661</v>
      </c>
      <c r="C373" s="15" t="s">
        <v>662</v>
      </c>
      <c r="D373" s="14" t="s">
        <v>663</v>
      </c>
      <c r="E373" s="15" t="s">
        <v>40</v>
      </c>
      <c r="F373" s="14" t="s">
        <v>41</v>
      </c>
      <c r="G373" s="15" t="s">
        <v>23</v>
      </c>
      <c r="H373" s="15"/>
      <c r="I373" s="15">
        <v>201404</v>
      </c>
      <c r="J373" s="16">
        <v>3451.36</v>
      </c>
      <c r="K373" s="44">
        <f t="shared" si="29"/>
        <v>41944</v>
      </c>
      <c r="L373" s="45">
        <f t="shared" si="25"/>
        <v>7</v>
      </c>
      <c r="M373" s="17">
        <v>1.4833299999999999E-3</v>
      </c>
      <c r="N373" s="46">
        <f t="shared" si="26"/>
        <v>35.836540801600002</v>
      </c>
      <c r="O373" s="16"/>
      <c r="P373" s="48">
        <f t="shared" si="27"/>
        <v>1660.9670000000003</v>
      </c>
      <c r="Q373" s="16"/>
      <c r="R373" s="48">
        <f t="shared" si="28"/>
        <v>62.288419600000005</v>
      </c>
    </row>
    <row r="374" spans="1:18">
      <c r="A374" s="14" t="s">
        <v>17</v>
      </c>
      <c r="B374" s="15" t="s">
        <v>664</v>
      </c>
      <c r="C374" s="15" t="s">
        <v>665</v>
      </c>
      <c r="D374" s="14" t="s">
        <v>666</v>
      </c>
      <c r="E374" s="15" t="s">
        <v>667</v>
      </c>
      <c r="F374" s="14" t="s">
        <v>28</v>
      </c>
      <c r="G374" s="15" t="s">
        <v>23</v>
      </c>
      <c r="H374" s="15"/>
      <c r="I374" s="15">
        <v>201404</v>
      </c>
      <c r="J374" s="16">
        <v>749.64</v>
      </c>
      <c r="K374" s="44">
        <f t="shared" si="29"/>
        <v>41944</v>
      </c>
      <c r="L374" s="45">
        <f t="shared" si="25"/>
        <v>7</v>
      </c>
      <c r="M374" s="17">
        <v>1.4833299999999999E-3</v>
      </c>
      <c r="N374" s="46">
        <f t="shared" si="26"/>
        <v>7.7837445083999999</v>
      </c>
      <c r="O374" s="16"/>
      <c r="P374" s="48">
        <f t="shared" si="27"/>
        <v>360.76425000000006</v>
      </c>
      <c r="Q374" s="16"/>
      <c r="R374" s="48">
        <f t="shared" si="28"/>
        <v>13.529127900000001</v>
      </c>
    </row>
    <row r="375" spans="1:18">
      <c r="A375" s="14" t="s">
        <v>17</v>
      </c>
      <c r="B375" s="15" t="s">
        <v>668</v>
      </c>
      <c r="C375" s="15" t="s">
        <v>669</v>
      </c>
      <c r="D375" s="14" t="s">
        <v>670</v>
      </c>
      <c r="E375" s="15" t="s">
        <v>45</v>
      </c>
      <c r="F375" s="14" t="s">
        <v>22</v>
      </c>
      <c r="G375" s="15" t="s">
        <v>23</v>
      </c>
      <c r="H375" s="15"/>
      <c r="I375" s="15">
        <v>201404</v>
      </c>
      <c r="J375" s="16">
        <v>1291.75</v>
      </c>
      <c r="K375" s="44">
        <f t="shared" si="29"/>
        <v>41944</v>
      </c>
      <c r="L375" s="45">
        <f t="shared" si="25"/>
        <v>7</v>
      </c>
      <c r="M375" s="17">
        <v>1.4833299999999999E-3</v>
      </c>
      <c r="N375" s="46">
        <f t="shared" si="26"/>
        <v>13.4126406925</v>
      </c>
      <c r="O375" s="16"/>
      <c r="P375" s="48">
        <f t="shared" si="27"/>
        <v>621.65468750000014</v>
      </c>
      <c r="Q375" s="16"/>
      <c r="R375" s="48">
        <f t="shared" si="28"/>
        <v>23.312858125000002</v>
      </c>
    </row>
    <row r="376" spans="1:18">
      <c r="A376" s="18" t="s">
        <v>66</v>
      </c>
      <c r="B376" s="15" t="s">
        <v>674</v>
      </c>
      <c r="C376" s="15" t="s">
        <v>675</v>
      </c>
      <c r="D376" s="14" t="s">
        <v>385</v>
      </c>
      <c r="E376" s="15" t="s">
        <v>676</v>
      </c>
      <c r="F376" s="14" t="s">
        <v>387</v>
      </c>
      <c r="G376" s="15" t="s">
        <v>23</v>
      </c>
      <c r="H376" s="15"/>
      <c r="I376" s="15">
        <v>201404</v>
      </c>
      <c r="J376" s="16">
        <v>25924.26</v>
      </c>
      <c r="K376" s="44">
        <f t="shared" si="29"/>
        <v>41944</v>
      </c>
      <c r="L376" s="45">
        <f t="shared" si="25"/>
        <v>7</v>
      </c>
      <c r="M376" s="17">
        <v>2.23333E-3</v>
      </c>
      <c r="N376" s="46">
        <f t="shared" si="26"/>
        <v>405.2819931006</v>
      </c>
      <c r="O376" s="16"/>
      <c r="P376" s="48">
        <f t="shared" si="27"/>
        <v>12476.050125000002</v>
      </c>
      <c r="Q376" s="16"/>
      <c r="R376" s="48">
        <f t="shared" si="28"/>
        <v>467.86808235000001</v>
      </c>
    </row>
    <row r="377" spans="1:18">
      <c r="A377" s="14" t="s">
        <v>17</v>
      </c>
      <c r="B377" s="15" t="s">
        <v>677</v>
      </c>
      <c r="C377" s="15" t="s">
        <v>678</v>
      </c>
      <c r="D377" s="14" t="s">
        <v>679</v>
      </c>
      <c r="E377" s="15" t="s">
        <v>216</v>
      </c>
      <c r="F377" s="14" t="s">
        <v>22</v>
      </c>
      <c r="G377" s="15" t="s">
        <v>23</v>
      </c>
      <c r="H377" s="15"/>
      <c r="I377" s="15">
        <v>201404</v>
      </c>
      <c r="J377" s="16">
        <v>-42.59</v>
      </c>
      <c r="K377" s="44">
        <f t="shared" si="29"/>
        <v>41944</v>
      </c>
      <c r="L377" s="45">
        <f t="shared" si="25"/>
        <v>7</v>
      </c>
      <c r="M377" s="17">
        <v>1.4833299999999999E-3</v>
      </c>
      <c r="N377" s="46">
        <f t="shared" si="26"/>
        <v>-0.44222517290000002</v>
      </c>
      <c r="O377" s="16"/>
      <c r="P377" s="48">
        <f t="shared" si="27"/>
        <v>-20.496437500000006</v>
      </c>
      <c r="Q377" s="16"/>
      <c r="R377" s="48">
        <f t="shared" si="28"/>
        <v>-0.76864302500000015</v>
      </c>
    </row>
    <row r="378" spans="1:18">
      <c r="A378" s="14" t="s">
        <v>238</v>
      </c>
      <c r="B378" s="15" t="s">
        <v>680</v>
      </c>
      <c r="C378" s="15" t="s">
        <v>681</v>
      </c>
      <c r="D378" s="14" t="s">
        <v>682</v>
      </c>
      <c r="E378" s="15" t="s">
        <v>683</v>
      </c>
      <c r="F378" s="14" t="s">
        <v>684</v>
      </c>
      <c r="G378" s="15" t="s">
        <v>23</v>
      </c>
      <c r="H378" s="15"/>
      <c r="I378" s="15">
        <v>201404</v>
      </c>
      <c r="J378" s="16">
        <v>1443.29</v>
      </c>
      <c r="K378" s="44">
        <f t="shared" si="29"/>
        <v>41944</v>
      </c>
      <c r="L378" s="45">
        <f t="shared" si="25"/>
        <v>7</v>
      </c>
      <c r="M378" s="17">
        <v>2.3833299999999999E-3</v>
      </c>
      <c r="N378" s="46">
        <f t="shared" si="26"/>
        <v>24.078854489899999</v>
      </c>
      <c r="O378" s="16"/>
      <c r="P378" s="48">
        <f t="shared" si="27"/>
        <v>694.58331250000003</v>
      </c>
      <c r="Q378" s="16"/>
      <c r="R378" s="48">
        <f t="shared" si="28"/>
        <v>26.047776275</v>
      </c>
    </row>
    <row r="379" spans="1:18">
      <c r="A379" s="14" t="s">
        <v>17</v>
      </c>
      <c r="B379" s="15" t="s">
        <v>685</v>
      </c>
      <c r="C379" s="15" t="s">
        <v>686</v>
      </c>
      <c r="D379" s="14" t="s">
        <v>687</v>
      </c>
      <c r="E379" s="15" t="s">
        <v>40</v>
      </c>
      <c r="F379" s="14" t="s">
        <v>41</v>
      </c>
      <c r="G379" s="15" t="s">
        <v>23</v>
      </c>
      <c r="H379" s="15"/>
      <c r="I379" s="15">
        <v>201404</v>
      </c>
      <c r="J379" s="16">
        <v>15955.56</v>
      </c>
      <c r="K379" s="44">
        <f t="shared" si="29"/>
        <v>41944</v>
      </c>
      <c r="L379" s="45">
        <f t="shared" si="25"/>
        <v>7</v>
      </c>
      <c r="M379" s="17">
        <v>1.4833299999999999E-3</v>
      </c>
      <c r="N379" s="46">
        <f t="shared" si="26"/>
        <v>165.6715257036</v>
      </c>
      <c r="O379" s="16"/>
      <c r="P379" s="48">
        <f t="shared" si="27"/>
        <v>7678.6132500000012</v>
      </c>
      <c r="Q379" s="16"/>
      <c r="R379" s="48">
        <f t="shared" si="28"/>
        <v>287.95796910000001</v>
      </c>
    </row>
    <row r="380" spans="1:18">
      <c r="A380" s="14" t="s">
        <v>17</v>
      </c>
      <c r="B380" s="15" t="s">
        <v>688</v>
      </c>
      <c r="C380" s="15" t="s">
        <v>689</v>
      </c>
      <c r="D380" s="14" t="s">
        <v>690</v>
      </c>
      <c r="E380" s="15" t="s">
        <v>141</v>
      </c>
      <c r="F380" s="14" t="s">
        <v>142</v>
      </c>
      <c r="G380" s="15" t="s">
        <v>23</v>
      </c>
      <c r="H380" s="15"/>
      <c r="I380" s="15">
        <v>201404</v>
      </c>
      <c r="J380" s="16">
        <v>18201.509999999998</v>
      </c>
      <c r="K380" s="44">
        <f t="shared" si="29"/>
        <v>41944</v>
      </c>
      <c r="L380" s="45">
        <f t="shared" si="25"/>
        <v>7</v>
      </c>
      <c r="M380" s="17">
        <v>1.4833299999999999E-3</v>
      </c>
      <c r="N380" s="46">
        <f t="shared" si="26"/>
        <v>188.99192079809998</v>
      </c>
      <c r="O380" s="16"/>
      <c r="P380" s="48">
        <f t="shared" si="27"/>
        <v>8759.4766875000005</v>
      </c>
      <c r="Q380" s="16"/>
      <c r="R380" s="48">
        <f t="shared" si="28"/>
        <v>328.49175172499997</v>
      </c>
    </row>
    <row r="381" spans="1:18">
      <c r="A381" s="14" t="s">
        <v>17</v>
      </c>
      <c r="B381" s="15" t="s">
        <v>691</v>
      </c>
      <c r="C381" s="15" t="s">
        <v>692</v>
      </c>
      <c r="D381" s="14" t="s">
        <v>693</v>
      </c>
      <c r="E381" s="15" t="s">
        <v>58</v>
      </c>
      <c r="F381" s="14" t="s">
        <v>22</v>
      </c>
      <c r="G381" s="15" t="s">
        <v>23</v>
      </c>
      <c r="H381" s="15"/>
      <c r="I381" s="15">
        <v>201404</v>
      </c>
      <c r="J381" s="16">
        <v>773.72</v>
      </c>
      <c r="K381" s="44">
        <f t="shared" si="29"/>
        <v>41944</v>
      </c>
      <c r="L381" s="45">
        <f t="shared" si="25"/>
        <v>7</v>
      </c>
      <c r="M381" s="17">
        <v>1.4833299999999999E-3</v>
      </c>
      <c r="N381" s="46">
        <f t="shared" si="26"/>
        <v>8.0337746132000003</v>
      </c>
      <c r="O381" s="16"/>
      <c r="P381" s="48">
        <f t="shared" si="27"/>
        <v>372.35275000000007</v>
      </c>
      <c r="Q381" s="16"/>
      <c r="R381" s="48">
        <f t="shared" si="28"/>
        <v>13.963711700000001</v>
      </c>
    </row>
    <row r="382" spans="1:18">
      <c r="A382" s="14" t="s">
        <v>17</v>
      </c>
      <c r="B382" s="15" t="s">
        <v>694</v>
      </c>
      <c r="C382" s="15" t="s">
        <v>695</v>
      </c>
      <c r="D382" s="14" t="s">
        <v>696</v>
      </c>
      <c r="E382" s="15" t="s">
        <v>141</v>
      </c>
      <c r="F382" s="14" t="s">
        <v>142</v>
      </c>
      <c r="G382" s="15" t="s">
        <v>23</v>
      </c>
      <c r="H382" s="15"/>
      <c r="I382" s="15">
        <v>201404</v>
      </c>
      <c r="J382" s="16">
        <v>601.87</v>
      </c>
      <c r="K382" s="44">
        <f t="shared" si="29"/>
        <v>41944</v>
      </c>
      <c r="L382" s="45">
        <f t="shared" si="25"/>
        <v>7</v>
      </c>
      <c r="M382" s="17">
        <v>1.4833299999999999E-3</v>
      </c>
      <c r="N382" s="46">
        <f t="shared" si="26"/>
        <v>6.2494027896999995</v>
      </c>
      <c r="O382" s="16"/>
      <c r="P382" s="48">
        <f t="shared" si="27"/>
        <v>289.64993750000002</v>
      </c>
      <c r="Q382" s="16"/>
      <c r="R382" s="48">
        <f t="shared" si="28"/>
        <v>10.862248825</v>
      </c>
    </row>
    <row r="383" spans="1:18">
      <c r="A383" s="14" t="s">
        <v>238</v>
      </c>
      <c r="B383" s="15" t="s">
        <v>1447</v>
      </c>
      <c r="C383" s="15" t="s">
        <v>1448</v>
      </c>
      <c r="D383" s="14" t="s">
        <v>1449</v>
      </c>
      <c r="E383" s="15" t="s">
        <v>168</v>
      </c>
      <c r="F383" s="14" t="s">
        <v>169</v>
      </c>
      <c r="G383" s="15" t="s">
        <v>23</v>
      </c>
      <c r="H383" s="15"/>
      <c r="I383" s="15">
        <v>201404</v>
      </c>
      <c r="J383" s="16">
        <v>16565.98</v>
      </c>
      <c r="K383" s="44">
        <f t="shared" si="29"/>
        <v>41944</v>
      </c>
      <c r="L383" s="45">
        <f t="shared" si="25"/>
        <v>7</v>
      </c>
      <c r="M383" s="17">
        <v>2.3833299999999999E-3</v>
      </c>
      <c r="N383" s="46">
        <f t="shared" si="26"/>
        <v>276.37537979379999</v>
      </c>
      <c r="O383" s="16"/>
      <c r="P383" s="48">
        <f t="shared" si="27"/>
        <v>7972.377875000001</v>
      </c>
      <c r="Q383" s="16"/>
      <c r="R383" s="48">
        <f t="shared" si="28"/>
        <v>298.97452405000001</v>
      </c>
    </row>
    <row r="384" spans="1:18">
      <c r="A384" s="14" t="s">
        <v>17</v>
      </c>
      <c r="B384" s="15" t="s">
        <v>697</v>
      </c>
      <c r="C384" s="15" t="s">
        <v>698</v>
      </c>
      <c r="D384" s="14" t="s">
        <v>699</v>
      </c>
      <c r="E384" s="15" t="s">
        <v>108</v>
      </c>
      <c r="F384" s="14" t="s">
        <v>28</v>
      </c>
      <c r="G384" s="15" t="s">
        <v>23</v>
      </c>
      <c r="H384" s="15"/>
      <c r="I384" s="15">
        <v>201404</v>
      </c>
      <c r="J384" s="16">
        <v>409.79</v>
      </c>
      <c r="K384" s="44">
        <f t="shared" si="29"/>
        <v>41944</v>
      </c>
      <c r="L384" s="45">
        <f t="shared" si="25"/>
        <v>7</v>
      </c>
      <c r="M384" s="17">
        <v>1.4833299999999999E-3</v>
      </c>
      <c r="N384" s="46">
        <f t="shared" si="26"/>
        <v>4.2549766049000004</v>
      </c>
      <c r="O384" s="16"/>
      <c r="P384" s="48">
        <f t="shared" si="27"/>
        <v>197.21143750000005</v>
      </c>
      <c r="Q384" s="16"/>
      <c r="R384" s="48">
        <f t="shared" si="28"/>
        <v>7.3956850250000006</v>
      </c>
    </row>
    <row r="385" spans="1:18">
      <c r="A385" s="14" t="s">
        <v>17</v>
      </c>
      <c r="B385" s="15" t="s">
        <v>700</v>
      </c>
      <c r="C385" s="15" t="s">
        <v>701</v>
      </c>
      <c r="D385" s="14" t="s">
        <v>702</v>
      </c>
      <c r="E385" s="15" t="s">
        <v>703</v>
      </c>
      <c r="F385" s="14" t="s">
        <v>142</v>
      </c>
      <c r="G385" s="15" t="s">
        <v>23</v>
      </c>
      <c r="H385" s="15"/>
      <c r="I385" s="15">
        <v>201404</v>
      </c>
      <c r="J385" s="16">
        <v>13461.34</v>
      </c>
      <c r="K385" s="44">
        <f t="shared" si="29"/>
        <v>41944</v>
      </c>
      <c r="L385" s="45">
        <f t="shared" si="25"/>
        <v>7</v>
      </c>
      <c r="M385" s="17">
        <v>1.4833299999999999E-3</v>
      </c>
      <c r="N385" s="46">
        <f t="shared" si="26"/>
        <v>139.7732662354</v>
      </c>
      <c r="O385" s="16"/>
      <c r="P385" s="48">
        <f t="shared" si="27"/>
        <v>6478.2698750000009</v>
      </c>
      <c r="Q385" s="16"/>
      <c r="R385" s="48">
        <f t="shared" si="28"/>
        <v>242.94353365000001</v>
      </c>
    </row>
    <row r="386" spans="1:18">
      <c r="A386" s="14" t="s">
        <v>17</v>
      </c>
      <c r="B386" s="15" t="s">
        <v>704</v>
      </c>
      <c r="C386" s="15" t="s">
        <v>705</v>
      </c>
      <c r="D386" s="14" t="s">
        <v>706</v>
      </c>
      <c r="E386" s="15" t="s">
        <v>58</v>
      </c>
      <c r="F386" s="14" t="s">
        <v>22</v>
      </c>
      <c r="G386" s="15" t="s">
        <v>23</v>
      </c>
      <c r="H386" s="15"/>
      <c r="I386" s="15">
        <v>201404</v>
      </c>
      <c r="J386" s="16">
        <v>40930.53</v>
      </c>
      <c r="K386" s="44">
        <f t="shared" si="29"/>
        <v>41944</v>
      </c>
      <c r="L386" s="45">
        <f t="shared" si="25"/>
        <v>7</v>
      </c>
      <c r="M386" s="17">
        <v>1.4833299999999999E-3</v>
      </c>
      <c r="N386" s="46">
        <f t="shared" si="26"/>
        <v>424.99438145429997</v>
      </c>
      <c r="O386" s="16"/>
      <c r="P386" s="48">
        <f t="shared" si="27"/>
        <v>19697.8175625</v>
      </c>
      <c r="Q386" s="16"/>
      <c r="R386" s="48">
        <f t="shared" si="28"/>
        <v>738.69374017500002</v>
      </c>
    </row>
    <row r="387" spans="1:18">
      <c r="A387" s="14" t="s">
        <v>17</v>
      </c>
      <c r="B387" s="15" t="s">
        <v>707</v>
      </c>
      <c r="C387" s="15" t="s">
        <v>708</v>
      </c>
      <c r="D387" s="14" t="s">
        <v>709</v>
      </c>
      <c r="E387" s="15" t="s">
        <v>62</v>
      </c>
      <c r="F387" s="14" t="s">
        <v>22</v>
      </c>
      <c r="G387" s="15" t="s">
        <v>23</v>
      </c>
      <c r="H387" s="15"/>
      <c r="I387" s="15">
        <v>201404</v>
      </c>
      <c r="J387" s="16">
        <v>42977.84</v>
      </c>
      <c r="K387" s="44">
        <f t="shared" si="29"/>
        <v>41944</v>
      </c>
      <c r="L387" s="45">
        <f t="shared" si="25"/>
        <v>7</v>
      </c>
      <c r="M387" s="17">
        <v>1.4833299999999999E-3</v>
      </c>
      <c r="N387" s="46">
        <f t="shared" si="26"/>
        <v>446.25223585039993</v>
      </c>
      <c r="O387" s="16"/>
      <c r="P387" s="48">
        <f t="shared" si="27"/>
        <v>20683.085500000001</v>
      </c>
      <c r="Q387" s="16"/>
      <c r="R387" s="48">
        <f t="shared" si="28"/>
        <v>775.64256739999996</v>
      </c>
    </row>
    <row r="388" spans="1:18">
      <c r="A388" s="14" t="s">
        <v>17</v>
      </c>
      <c r="B388" s="15" t="s">
        <v>710</v>
      </c>
      <c r="C388" s="15" t="s">
        <v>711</v>
      </c>
      <c r="D388" s="14" t="s">
        <v>712</v>
      </c>
      <c r="E388" s="15" t="s">
        <v>45</v>
      </c>
      <c r="F388" s="14" t="s">
        <v>22</v>
      </c>
      <c r="G388" s="15" t="s">
        <v>23</v>
      </c>
      <c r="H388" s="15"/>
      <c r="I388" s="15">
        <v>201404</v>
      </c>
      <c r="J388" s="16">
        <v>44248.25</v>
      </c>
      <c r="K388" s="44">
        <f t="shared" si="29"/>
        <v>41944</v>
      </c>
      <c r="L388" s="45">
        <f t="shared" si="25"/>
        <v>7</v>
      </c>
      <c r="M388" s="17">
        <v>1.4833299999999999E-3</v>
      </c>
      <c r="N388" s="46">
        <f t="shared" si="26"/>
        <v>459.4432967075</v>
      </c>
      <c r="O388" s="16"/>
      <c r="P388" s="48">
        <f t="shared" si="27"/>
        <v>21294.470312500001</v>
      </c>
      <c r="Q388" s="16"/>
      <c r="R388" s="48">
        <f t="shared" si="28"/>
        <v>798.57029187500007</v>
      </c>
    </row>
    <row r="389" spans="1:18">
      <c r="A389" s="14" t="s">
        <v>17</v>
      </c>
      <c r="B389" s="15" t="s">
        <v>713</v>
      </c>
      <c r="C389" s="15" t="s">
        <v>714</v>
      </c>
      <c r="D389" s="14" t="s">
        <v>715</v>
      </c>
      <c r="E389" s="15" t="s">
        <v>258</v>
      </c>
      <c r="F389" s="14" t="s">
        <v>259</v>
      </c>
      <c r="G389" s="15" t="s">
        <v>23</v>
      </c>
      <c r="H389" s="15"/>
      <c r="I389" s="15">
        <v>201404</v>
      </c>
      <c r="J389" s="16">
        <v>2703.86</v>
      </c>
      <c r="K389" s="44">
        <f t="shared" si="29"/>
        <v>41944</v>
      </c>
      <c r="L389" s="45">
        <f t="shared" si="25"/>
        <v>7</v>
      </c>
      <c r="M389" s="17">
        <v>1.4833299999999999E-3</v>
      </c>
      <c r="N389" s="46">
        <f t="shared" si="26"/>
        <v>28.075016576599999</v>
      </c>
      <c r="O389" s="16"/>
      <c r="P389" s="48">
        <f t="shared" si="27"/>
        <v>1301.2326250000003</v>
      </c>
      <c r="Q389" s="16"/>
      <c r="R389" s="48">
        <f t="shared" si="28"/>
        <v>48.797913350000002</v>
      </c>
    </row>
    <row r="390" spans="1:18">
      <c r="A390" s="14" t="s">
        <v>17</v>
      </c>
      <c r="B390" s="15" t="s">
        <v>716</v>
      </c>
      <c r="C390" s="15" t="s">
        <v>717</v>
      </c>
      <c r="D390" s="14" t="s">
        <v>718</v>
      </c>
      <c r="E390" s="15" t="s">
        <v>104</v>
      </c>
      <c r="F390" s="14" t="s">
        <v>41</v>
      </c>
      <c r="G390" s="15" t="s">
        <v>23</v>
      </c>
      <c r="H390" s="15"/>
      <c r="I390" s="15">
        <v>201404</v>
      </c>
      <c r="J390" s="16">
        <v>2821.21</v>
      </c>
      <c r="K390" s="44">
        <f t="shared" si="29"/>
        <v>41944</v>
      </c>
      <c r="L390" s="45">
        <f t="shared" ref="L390:L453" si="30">((YEAR($L$1)-YEAR(K390))*12+MONTH($L$1)-MONTH(K390))</f>
        <v>7</v>
      </c>
      <c r="M390" s="17">
        <v>1.4833299999999999E-3</v>
      </c>
      <c r="N390" s="46">
        <f t="shared" ref="N390:N453" si="31">M390*L390*J390</f>
        <v>29.293498005099998</v>
      </c>
      <c r="O390" s="16"/>
      <c r="P390" s="48">
        <f t="shared" ref="P390:P453" si="32">$P$4*J390</f>
        <v>1357.7073125000002</v>
      </c>
      <c r="Q390" s="16"/>
      <c r="R390" s="48">
        <f t="shared" ref="R390:R453" si="33">$R$4*(J390*0.5)*$T$9</f>
        <v>50.915787475000002</v>
      </c>
    </row>
    <row r="391" spans="1:18">
      <c r="A391" s="14" t="s">
        <v>17</v>
      </c>
      <c r="B391" s="15" t="s">
        <v>725</v>
      </c>
      <c r="C391" s="15" t="s">
        <v>726</v>
      </c>
      <c r="D391" s="14" t="s">
        <v>727</v>
      </c>
      <c r="E391" s="15" t="s">
        <v>141</v>
      </c>
      <c r="F391" s="14" t="s">
        <v>142</v>
      </c>
      <c r="G391" s="15" t="s">
        <v>23</v>
      </c>
      <c r="H391" s="15"/>
      <c r="I391" s="15">
        <v>201404</v>
      </c>
      <c r="J391" s="16">
        <v>13163.59</v>
      </c>
      <c r="K391" s="44">
        <f t="shared" ref="K391:K454" si="34">+K390</f>
        <v>41944</v>
      </c>
      <c r="L391" s="45">
        <f t="shared" si="30"/>
        <v>7</v>
      </c>
      <c r="M391" s="17">
        <v>1.4833299999999999E-3</v>
      </c>
      <c r="N391" s="46">
        <f t="shared" si="31"/>
        <v>136.68163568290001</v>
      </c>
      <c r="O391" s="16"/>
      <c r="P391" s="48">
        <f t="shared" si="32"/>
        <v>6334.9776875000007</v>
      </c>
      <c r="Q391" s="16"/>
      <c r="R391" s="48">
        <f t="shared" si="33"/>
        <v>237.56989052500001</v>
      </c>
    </row>
    <row r="392" spans="1:18">
      <c r="A392" s="14" t="s">
        <v>17</v>
      </c>
      <c r="B392" s="15" t="s">
        <v>728</v>
      </c>
      <c r="C392" s="15" t="s">
        <v>729</v>
      </c>
      <c r="D392" s="14" t="s">
        <v>730</v>
      </c>
      <c r="E392" s="15" t="s">
        <v>141</v>
      </c>
      <c r="F392" s="14" t="s">
        <v>142</v>
      </c>
      <c r="G392" s="15" t="s">
        <v>23</v>
      </c>
      <c r="H392" s="15"/>
      <c r="I392" s="15">
        <v>201404</v>
      </c>
      <c r="J392" s="16">
        <v>4296.0600000000004</v>
      </c>
      <c r="K392" s="44">
        <f t="shared" si="34"/>
        <v>41944</v>
      </c>
      <c r="L392" s="45">
        <f t="shared" si="30"/>
        <v>7</v>
      </c>
      <c r="M392" s="17">
        <v>1.4833299999999999E-3</v>
      </c>
      <c r="N392" s="46">
        <f t="shared" si="31"/>
        <v>44.607322758600006</v>
      </c>
      <c r="O392" s="16"/>
      <c r="P392" s="48">
        <f t="shared" si="32"/>
        <v>2067.4788750000007</v>
      </c>
      <c r="Q392" s="16"/>
      <c r="R392" s="48">
        <f t="shared" si="33"/>
        <v>77.533142850000019</v>
      </c>
    </row>
    <row r="393" spans="1:18">
      <c r="A393" s="18" t="s">
        <v>66</v>
      </c>
      <c r="B393" s="15" t="s">
        <v>734</v>
      </c>
      <c r="C393" s="15" t="s">
        <v>735</v>
      </c>
      <c r="D393" s="14" t="s">
        <v>736</v>
      </c>
      <c r="E393" s="15" t="s">
        <v>737</v>
      </c>
      <c r="F393" s="14" t="s">
        <v>624</v>
      </c>
      <c r="G393" s="15" t="s">
        <v>23</v>
      </c>
      <c r="H393" s="15"/>
      <c r="I393" s="15">
        <v>201404</v>
      </c>
      <c r="J393" s="16">
        <v>3035.57</v>
      </c>
      <c r="K393" s="44">
        <f t="shared" si="34"/>
        <v>41944</v>
      </c>
      <c r="L393" s="45">
        <f t="shared" si="30"/>
        <v>7</v>
      </c>
      <c r="M393" s="17">
        <v>2.23333E-3</v>
      </c>
      <c r="N393" s="46">
        <f t="shared" si="31"/>
        <v>47.456006836700006</v>
      </c>
      <c r="O393" s="16"/>
      <c r="P393" s="48">
        <f t="shared" si="32"/>
        <v>1460.8680625000002</v>
      </c>
      <c r="Q393" s="16"/>
      <c r="R393" s="48">
        <f t="shared" si="33"/>
        <v>54.784449575000004</v>
      </c>
    </row>
    <row r="394" spans="1:18">
      <c r="A394" s="18" t="s">
        <v>66</v>
      </c>
      <c r="B394" s="15" t="s">
        <v>741</v>
      </c>
      <c r="C394" s="15" t="s">
        <v>742</v>
      </c>
      <c r="D394" s="14" t="s">
        <v>69</v>
      </c>
      <c r="E394" s="15" t="s">
        <v>70</v>
      </c>
      <c r="F394" s="14" t="s">
        <v>71</v>
      </c>
      <c r="G394" s="15" t="s">
        <v>23</v>
      </c>
      <c r="H394" s="15"/>
      <c r="I394" s="15">
        <v>201404</v>
      </c>
      <c r="J394" s="16">
        <v>9285.49</v>
      </c>
      <c r="K394" s="44">
        <f t="shared" si="34"/>
        <v>41944</v>
      </c>
      <c r="L394" s="45">
        <f t="shared" si="30"/>
        <v>7</v>
      </c>
      <c r="M394" s="17">
        <v>2.23333E-3</v>
      </c>
      <c r="N394" s="46">
        <f t="shared" si="31"/>
        <v>145.1629436719</v>
      </c>
      <c r="O394" s="16"/>
      <c r="P394" s="48">
        <f t="shared" si="32"/>
        <v>4468.6420625000001</v>
      </c>
      <c r="Q394" s="16"/>
      <c r="R394" s="48">
        <f t="shared" si="33"/>
        <v>167.57988077499999</v>
      </c>
    </row>
    <row r="395" spans="1:18">
      <c r="A395" s="18" t="s">
        <v>66</v>
      </c>
      <c r="B395" s="15" t="s">
        <v>743</v>
      </c>
      <c r="C395" s="15" t="s">
        <v>744</v>
      </c>
      <c r="D395" s="14" t="s">
        <v>745</v>
      </c>
      <c r="E395" s="15" t="s">
        <v>746</v>
      </c>
      <c r="F395" s="14" t="s">
        <v>80</v>
      </c>
      <c r="G395" s="15" t="s">
        <v>23</v>
      </c>
      <c r="H395" s="15"/>
      <c r="I395" s="15">
        <v>201404</v>
      </c>
      <c r="J395" s="16">
        <v>4648.12</v>
      </c>
      <c r="K395" s="44">
        <f t="shared" si="34"/>
        <v>41944</v>
      </c>
      <c r="L395" s="45">
        <f t="shared" si="30"/>
        <v>7</v>
      </c>
      <c r="M395" s="17">
        <v>2.23333E-3</v>
      </c>
      <c r="N395" s="46">
        <f t="shared" si="31"/>
        <v>72.665500877200003</v>
      </c>
      <c r="O395" s="16"/>
      <c r="P395" s="48">
        <f t="shared" si="32"/>
        <v>2236.9077500000003</v>
      </c>
      <c r="Q395" s="16"/>
      <c r="R395" s="48">
        <f t="shared" si="33"/>
        <v>83.886945699999998</v>
      </c>
    </row>
    <row r="396" spans="1:18">
      <c r="A396" s="18" t="s">
        <v>66</v>
      </c>
      <c r="B396" s="15" t="s">
        <v>747</v>
      </c>
      <c r="C396" s="15" t="s">
        <v>748</v>
      </c>
      <c r="D396" s="14" t="s">
        <v>78</v>
      </c>
      <c r="E396" s="15" t="s">
        <v>749</v>
      </c>
      <c r="F396" s="14" t="s">
        <v>80</v>
      </c>
      <c r="G396" s="15" t="s">
        <v>23</v>
      </c>
      <c r="H396" s="15"/>
      <c r="I396" s="15">
        <v>201404</v>
      </c>
      <c r="J396" s="16">
        <v>11598.89</v>
      </c>
      <c r="K396" s="44">
        <f t="shared" si="34"/>
        <v>41944</v>
      </c>
      <c r="L396" s="45">
        <f t="shared" si="30"/>
        <v>7</v>
      </c>
      <c r="M396" s="17">
        <v>2.23333E-3</v>
      </c>
      <c r="N396" s="46">
        <f t="shared" si="31"/>
        <v>181.32904302590001</v>
      </c>
      <c r="O396" s="16"/>
      <c r="P396" s="48">
        <f t="shared" si="32"/>
        <v>5581.9658125000005</v>
      </c>
      <c r="Q396" s="16"/>
      <c r="R396" s="48">
        <f t="shared" si="33"/>
        <v>209.33096727500001</v>
      </c>
    </row>
    <row r="397" spans="1:18">
      <c r="A397" s="18" t="s">
        <v>66</v>
      </c>
      <c r="B397" s="15" t="s">
        <v>753</v>
      </c>
      <c r="C397" s="15" t="s">
        <v>754</v>
      </c>
      <c r="D397" s="14" t="s">
        <v>206</v>
      </c>
      <c r="E397" s="15" t="s">
        <v>755</v>
      </c>
      <c r="F397" s="14" t="s">
        <v>97</v>
      </c>
      <c r="G397" s="15" t="s">
        <v>23</v>
      </c>
      <c r="H397" s="15"/>
      <c r="I397" s="15">
        <v>201404</v>
      </c>
      <c r="J397" s="16">
        <v>20167.71</v>
      </c>
      <c r="K397" s="44">
        <f t="shared" si="34"/>
        <v>41944</v>
      </c>
      <c r="L397" s="45">
        <f t="shared" si="30"/>
        <v>7</v>
      </c>
      <c r="M397" s="17">
        <v>2.23333E-3</v>
      </c>
      <c r="N397" s="46">
        <f t="shared" si="31"/>
        <v>315.2880624201</v>
      </c>
      <c r="O397" s="16"/>
      <c r="P397" s="48">
        <f t="shared" si="32"/>
        <v>9705.7104375000017</v>
      </c>
      <c r="Q397" s="16"/>
      <c r="R397" s="48">
        <f t="shared" si="33"/>
        <v>363.976746225</v>
      </c>
    </row>
    <row r="398" spans="1:18">
      <c r="A398" s="14" t="s">
        <v>17</v>
      </c>
      <c r="B398" s="15" t="s">
        <v>756</v>
      </c>
      <c r="C398" s="15" t="s">
        <v>757</v>
      </c>
      <c r="D398" s="14" t="s">
        <v>758</v>
      </c>
      <c r="E398" s="15" t="s">
        <v>141</v>
      </c>
      <c r="F398" s="14" t="s">
        <v>142</v>
      </c>
      <c r="G398" s="15" t="s">
        <v>23</v>
      </c>
      <c r="H398" s="15"/>
      <c r="I398" s="15">
        <v>201404</v>
      </c>
      <c r="J398" s="16">
        <v>43344.160000000003</v>
      </c>
      <c r="K398" s="44">
        <f t="shared" si="34"/>
        <v>41944</v>
      </c>
      <c r="L398" s="45">
        <f t="shared" si="30"/>
        <v>7</v>
      </c>
      <c r="M398" s="17">
        <v>1.4833299999999999E-3</v>
      </c>
      <c r="N398" s="46">
        <f t="shared" si="31"/>
        <v>450.05584996960005</v>
      </c>
      <c r="O398" s="16"/>
      <c r="P398" s="48">
        <f t="shared" si="32"/>
        <v>20859.377000000004</v>
      </c>
      <c r="Q398" s="16"/>
      <c r="R398" s="48">
        <f t="shared" si="33"/>
        <v>782.25372760000016</v>
      </c>
    </row>
    <row r="399" spans="1:18">
      <c r="A399" s="14" t="s">
        <v>17</v>
      </c>
      <c r="B399" s="15" t="s">
        <v>759</v>
      </c>
      <c r="C399" s="15" t="s">
        <v>760</v>
      </c>
      <c r="D399" s="14" t="s">
        <v>761</v>
      </c>
      <c r="E399" s="15" t="s">
        <v>62</v>
      </c>
      <c r="F399" s="14" t="s">
        <v>22</v>
      </c>
      <c r="G399" s="15" t="s">
        <v>23</v>
      </c>
      <c r="H399" s="15"/>
      <c r="I399" s="15">
        <v>201404</v>
      </c>
      <c r="J399" s="16">
        <v>562.53</v>
      </c>
      <c r="K399" s="44">
        <f t="shared" si="34"/>
        <v>41944</v>
      </c>
      <c r="L399" s="45">
        <f t="shared" si="30"/>
        <v>7</v>
      </c>
      <c r="M399" s="17">
        <v>1.4833299999999999E-3</v>
      </c>
      <c r="N399" s="46">
        <f t="shared" si="31"/>
        <v>5.8409233743</v>
      </c>
      <c r="O399" s="16"/>
      <c r="P399" s="48">
        <f t="shared" si="32"/>
        <v>270.71756250000004</v>
      </c>
      <c r="Q399" s="16"/>
      <c r="R399" s="48">
        <f t="shared" si="33"/>
        <v>10.152260175</v>
      </c>
    </row>
    <row r="400" spans="1:18">
      <c r="A400" s="14" t="s">
        <v>238</v>
      </c>
      <c r="B400" s="15" t="s">
        <v>762</v>
      </c>
      <c r="C400" s="15" t="s">
        <v>763</v>
      </c>
      <c r="D400" s="14" t="s">
        <v>764</v>
      </c>
      <c r="E400" s="15" t="s">
        <v>168</v>
      </c>
      <c r="F400" s="14" t="s">
        <v>169</v>
      </c>
      <c r="G400" s="15" t="s">
        <v>23</v>
      </c>
      <c r="H400" s="15"/>
      <c r="I400" s="15">
        <v>201404</v>
      </c>
      <c r="J400" s="16">
        <v>13875.97</v>
      </c>
      <c r="K400" s="44">
        <f t="shared" si="34"/>
        <v>41944</v>
      </c>
      <c r="L400" s="45">
        <f t="shared" si="30"/>
        <v>7</v>
      </c>
      <c r="M400" s="17">
        <v>2.3833299999999999E-3</v>
      </c>
      <c r="N400" s="46">
        <f t="shared" si="31"/>
        <v>231.49710906069998</v>
      </c>
      <c r="O400" s="16"/>
      <c r="P400" s="48">
        <f t="shared" si="32"/>
        <v>6677.8105625000007</v>
      </c>
      <c r="Q400" s="16"/>
      <c r="R400" s="48">
        <f t="shared" si="33"/>
        <v>250.426568575</v>
      </c>
    </row>
    <row r="401" spans="1:18">
      <c r="A401" s="14" t="s">
        <v>17</v>
      </c>
      <c r="B401" s="15" t="s">
        <v>765</v>
      </c>
      <c r="C401" s="15" t="s">
        <v>766</v>
      </c>
      <c r="D401" s="14" t="s">
        <v>767</v>
      </c>
      <c r="E401" s="15" t="s">
        <v>216</v>
      </c>
      <c r="F401" s="14" t="s">
        <v>22</v>
      </c>
      <c r="G401" s="15" t="s">
        <v>23</v>
      </c>
      <c r="H401" s="15"/>
      <c r="I401" s="15">
        <v>201404</v>
      </c>
      <c r="J401" s="16">
        <v>11617.57</v>
      </c>
      <c r="K401" s="44">
        <f t="shared" si="34"/>
        <v>41944</v>
      </c>
      <c r="L401" s="45">
        <f t="shared" si="30"/>
        <v>7</v>
      </c>
      <c r="M401" s="17">
        <v>1.4833299999999999E-3</v>
      </c>
      <c r="N401" s="46">
        <f t="shared" si="31"/>
        <v>120.6288307567</v>
      </c>
      <c r="O401" s="16"/>
      <c r="P401" s="48">
        <f t="shared" si="32"/>
        <v>5590.9555625000003</v>
      </c>
      <c r="Q401" s="16"/>
      <c r="R401" s="48">
        <f t="shared" si="33"/>
        <v>209.668094575</v>
      </c>
    </row>
    <row r="402" spans="1:18">
      <c r="A402" s="14" t="s">
        <v>17</v>
      </c>
      <c r="B402" s="15" t="s">
        <v>768</v>
      </c>
      <c r="C402" s="15" t="s">
        <v>769</v>
      </c>
      <c r="D402" s="14" t="s">
        <v>770</v>
      </c>
      <c r="E402" s="15" t="s">
        <v>104</v>
      </c>
      <c r="F402" s="14" t="s">
        <v>41</v>
      </c>
      <c r="G402" s="15" t="s">
        <v>23</v>
      </c>
      <c r="H402" s="15"/>
      <c r="I402" s="15">
        <v>201404</v>
      </c>
      <c r="J402" s="16">
        <v>5244.88</v>
      </c>
      <c r="K402" s="44">
        <f t="shared" si="34"/>
        <v>41944</v>
      </c>
      <c r="L402" s="45">
        <f t="shared" si="30"/>
        <v>7</v>
      </c>
      <c r="M402" s="17">
        <v>1.4833299999999999E-3</v>
      </c>
      <c r="N402" s="46">
        <f t="shared" si="31"/>
        <v>54.459214952799996</v>
      </c>
      <c r="O402" s="16"/>
      <c r="P402" s="48">
        <f t="shared" si="32"/>
        <v>2524.0985000000005</v>
      </c>
      <c r="Q402" s="16"/>
      <c r="R402" s="48">
        <f t="shared" si="33"/>
        <v>94.656971800000008</v>
      </c>
    </row>
    <row r="403" spans="1:18">
      <c r="A403" s="14" t="s">
        <v>238</v>
      </c>
      <c r="B403" s="15" t="s">
        <v>771</v>
      </c>
      <c r="C403" s="15" t="s">
        <v>772</v>
      </c>
      <c r="D403" s="14" t="s">
        <v>773</v>
      </c>
      <c r="E403" s="15" t="s">
        <v>168</v>
      </c>
      <c r="F403" s="14" t="s">
        <v>169</v>
      </c>
      <c r="G403" s="15" t="s">
        <v>23</v>
      </c>
      <c r="H403" s="15"/>
      <c r="I403" s="15">
        <v>201404</v>
      </c>
      <c r="J403" s="16">
        <v>6005.35</v>
      </c>
      <c r="K403" s="44">
        <f t="shared" si="34"/>
        <v>41944</v>
      </c>
      <c r="L403" s="45">
        <f t="shared" si="30"/>
        <v>7</v>
      </c>
      <c r="M403" s="17">
        <v>2.3833299999999999E-3</v>
      </c>
      <c r="N403" s="46">
        <f t="shared" si="31"/>
        <v>100.18911570850001</v>
      </c>
      <c r="O403" s="16"/>
      <c r="P403" s="48">
        <f t="shared" si="32"/>
        <v>2890.0746875000004</v>
      </c>
      <c r="Q403" s="16"/>
      <c r="R403" s="48">
        <f t="shared" si="33"/>
        <v>108.38155412500001</v>
      </c>
    </row>
    <row r="404" spans="1:18">
      <c r="A404" s="14" t="s">
        <v>238</v>
      </c>
      <c r="B404" s="15" t="s">
        <v>774</v>
      </c>
      <c r="C404" s="15" t="s">
        <v>775</v>
      </c>
      <c r="D404" s="14" t="s">
        <v>776</v>
      </c>
      <c r="E404" s="15" t="s">
        <v>168</v>
      </c>
      <c r="F404" s="14" t="s">
        <v>169</v>
      </c>
      <c r="G404" s="15" t="s">
        <v>23</v>
      </c>
      <c r="H404" s="15"/>
      <c r="I404" s="15">
        <v>201404</v>
      </c>
      <c r="J404" s="16">
        <v>780.94</v>
      </c>
      <c r="K404" s="44">
        <f t="shared" si="34"/>
        <v>41944</v>
      </c>
      <c r="L404" s="45">
        <f t="shared" si="30"/>
        <v>7</v>
      </c>
      <c r="M404" s="17">
        <v>2.3833299999999999E-3</v>
      </c>
      <c r="N404" s="46">
        <f t="shared" si="31"/>
        <v>13.028664111400001</v>
      </c>
      <c r="O404" s="16"/>
      <c r="P404" s="48">
        <f t="shared" si="32"/>
        <v>375.82737500000007</v>
      </c>
      <c r="Q404" s="16"/>
      <c r="R404" s="48">
        <f t="shared" si="33"/>
        <v>14.094014650000002</v>
      </c>
    </row>
    <row r="405" spans="1:18">
      <c r="A405" s="14" t="s">
        <v>17</v>
      </c>
      <c r="B405" s="15" t="s">
        <v>777</v>
      </c>
      <c r="C405" s="15" t="s">
        <v>778</v>
      </c>
      <c r="D405" s="14" t="s">
        <v>779</v>
      </c>
      <c r="E405" s="15" t="s">
        <v>62</v>
      </c>
      <c r="F405" s="14" t="s">
        <v>22</v>
      </c>
      <c r="G405" s="15" t="s">
        <v>23</v>
      </c>
      <c r="H405" s="15"/>
      <c r="I405" s="15">
        <v>201404</v>
      </c>
      <c r="J405" s="16">
        <v>442.27</v>
      </c>
      <c r="K405" s="44">
        <f t="shared" si="34"/>
        <v>41944</v>
      </c>
      <c r="L405" s="45">
        <f t="shared" si="30"/>
        <v>7</v>
      </c>
      <c r="M405" s="17">
        <v>1.4833299999999999E-3</v>
      </c>
      <c r="N405" s="46">
        <f t="shared" si="31"/>
        <v>4.5922265137</v>
      </c>
      <c r="O405" s="16"/>
      <c r="P405" s="48">
        <f t="shared" si="32"/>
        <v>212.84243750000002</v>
      </c>
      <c r="Q405" s="16"/>
      <c r="R405" s="48">
        <f t="shared" si="33"/>
        <v>7.9818678250000001</v>
      </c>
    </row>
    <row r="406" spans="1:18">
      <c r="A406" s="14" t="s">
        <v>17</v>
      </c>
      <c r="B406" s="15" t="s">
        <v>780</v>
      </c>
      <c r="C406" s="15" t="s">
        <v>781</v>
      </c>
      <c r="D406" s="14" t="s">
        <v>782</v>
      </c>
      <c r="E406" s="15" t="s">
        <v>141</v>
      </c>
      <c r="F406" s="14" t="s">
        <v>142</v>
      </c>
      <c r="G406" s="15" t="s">
        <v>23</v>
      </c>
      <c r="H406" s="15"/>
      <c r="I406" s="15">
        <v>201404</v>
      </c>
      <c r="J406" s="16">
        <v>15872.01</v>
      </c>
      <c r="K406" s="44">
        <f t="shared" si="34"/>
        <v>41944</v>
      </c>
      <c r="L406" s="45">
        <f t="shared" si="30"/>
        <v>7</v>
      </c>
      <c r="M406" s="17">
        <v>1.4833299999999999E-3</v>
      </c>
      <c r="N406" s="46">
        <f t="shared" si="31"/>
        <v>164.80400015309999</v>
      </c>
      <c r="O406" s="16"/>
      <c r="P406" s="48">
        <f t="shared" si="32"/>
        <v>7638.4048125000008</v>
      </c>
      <c r="Q406" s="16"/>
      <c r="R406" s="48">
        <f t="shared" si="33"/>
        <v>286.450100475</v>
      </c>
    </row>
    <row r="407" spans="1:18">
      <c r="A407" s="14" t="s">
        <v>17</v>
      </c>
      <c r="B407" s="15" t="s">
        <v>783</v>
      </c>
      <c r="C407" s="15" t="s">
        <v>784</v>
      </c>
      <c r="D407" s="14" t="s">
        <v>785</v>
      </c>
      <c r="E407" s="15" t="s">
        <v>141</v>
      </c>
      <c r="F407" s="14" t="s">
        <v>142</v>
      </c>
      <c r="G407" s="15" t="s">
        <v>23</v>
      </c>
      <c r="H407" s="15"/>
      <c r="I407" s="15">
        <v>201404</v>
      </c>
      <c r="J407" s="16">
        <v>13360.14</v>
      </c>
      <c r="K407" s="44">
        <f t="shared" si="34"/>
        <v>41944</v>
      </c>
      <c r="L407" s="45">
        <f t="shared" si="30"/>
        <v>7</v>
      </c>
      <c r="M407" s="17">
        <v>1.4833299999999999E-3</v>
      </c>
      <c r="N407" s="46">
        <f t="shared" si="31"/>
        <v>138.72247526339999</v>
      </c>
      <c r="O407" s="16"/>
      <c r="P407" s="48">
        <f t="shared" si="32"/>
        <v>6429.5673750000005</v>
      </c>
      <c r="Q407" s="16"/>
      <c r="R407" s="48">
        <f t="shared" si="33"/>
        <v>241.11712665000002</v>
      </c>
    </row>
    <row r="408" spans="1:18">
      <c r="A408" s="14" t="s">
        <v>17</v>
      </c>
      <c r="B408" s="15" t="s">
        <v>789</v>
      </c>
      <c r="C408" s="15" t="s">
        <v>790</v>
      </c>
      <c r="D408" s="14" t="s">
        <v>791</v>
      </c>
      <c r="E408" s="15" t="s">
        <v>246</v>
      </c>
      <c r="F408" s="14" t="s">
        <v>247</v>
      </c>
      <c r="G408" s="15" t="s">
        <v>23</v>
      </c>
      <c r="H408" s="15"/>
      <c r="I408" s="15">
        <v>201404</v>
      </c>
      <c r="J408" s="16">
        <v>12677.61</v>
      </c>
      <c r="K408" s="44">
        <f t="shared" si="34"/>
        <v>41944</v>
      </c>
      <c r="L408" s="45">
        <f t="shared" si="30"/>
        <v>7</v>
      </c>
      <c r="M408" s="17">
        <v>1.4833299999999999E-3</v>
      </c>
      <c r="N408" s="46">
        <f t="shared" si="31"/>
        <v>131.63555468909999</v>
      </c>
      <c r="O408" s="16"/>
      <c r="P408" s="48">
        <f t="shared" si="32"/>
        <v>6101.0998125000015</v>
      </c>
      <c r="Q408" s="16"/>
      <c r="R408" s="48">
        <f t="shared" si="33"/>
        <v>228.79916647500002</v>
      </c>
    </row>
    <row r="409" spans="1:18">
      <c r="A409" s="14" t="s">
        <v>17</v>
      </c>
      <c r="B409" s="15" t="s">
        <v>792</v>
      </c>
      <c r="C409" s="15" t="s">
        <v>793</v>
      </c>
      <c r="D409" s="14" t="s">
        <v>794</v>
      </c>
      <c r="E409" s="15" t="s">
        <v>58</v>
      </c>
      <c r="F409" s="14" t="s">
        <v>22</v>
      </c>
      <c r="G409" s="15" t="s">
        <v>23</v>
      </c>
      <c r="H409" s="15"/>
      <c r="I409" s="15">
        <v>201404</v>
      </c>
      <c r="J409" s="16">
        <v>13139.37</v>
      </c>
      <c r="K409" s="44">
        <f t="shared" si="34"/>
        <v>41944</v>
      </c>
      <c r="L409" s="45">
        <f t="shared" si="30"/>
        <v>7</v>
      </c>
      <c r="M409" s="17">
        <v>1.4833299999999999E-3</v>
      </c>
      <c r="N409" s="46">
        <f t="shared" si="31"/>
        <v>136.43015191470002</v>
      </c>
      <c r="O409" s="16"/>
      <c r="P409" s="48">
        <f t="shared" si="32"/>
        <v>6323.3218125000012</v>
      </c>
      <c r="Q409" s="16"/>
      <c r="R409" s="48">
        <f t="shared" si="33"/>
        <v>237.13278007500003</v>
      </c>
    </row>
    <row r="410" spans="1:18">
      <c r="A410" s="14" t="s">
        <v>17</v>
      </c>
      <c r="B410" s="15" t="s">
        <v>795</v>
      </c>
      <c r="C410" s="15" t="s">
        <v>796</v>
      </c>
      <c r="D410" s="14" t="s">
        <v>797</v>
      </c>
      <c r="E410" s="15" t="s">
        <v>176</v>
      </c>
      <c r="F410" s="14" t="s">
        <v>28</v>
      </c>
      <c r="G410" s="15" t="s">
        <v>23</v>
      </c>
      <c r="H410" s="15"/>
      <c r="I410" s="15">
        <v>201404</v>
      </c>
      <c r="J410" s="16">
        <v>2482.11</v>
      </c>
      <c r="K410" s="44">
        <f t="shared" si="34"/>
        <v>41944</v>
      </c>
      <c r="L410" s="45">
        <f t="shared" si="30"/>
        <v>7</v>
      </c>
      <c r="M410" s="17">
        <v>1.4833299999999999E-3</v>
      </c>
      <c r="N410" s="46">
        <f t="shared" si="31"/>
        <v>25.772517584100001</v>
      </c>
      <c r="O410" s="16"/>
      <c r="P410" s="48">
        <f t="shared" si="32"/>
        <v>1194.5154375000002</v>
      </c>
      <c r="Q410" s="16"/>
      <c r="R410" s="48">
        <f t="shared" si="33"/>
        <v>44.795880225000005</v>
      </c>
    </row>
    <row r="411" spans="1:18">
      <c r="A411" s="14" t="s">
        <v>17</v>
      </c>
      <c r="B411" s="15" t="s">
        <v>798</v>
      </c>
      <c r="C411" s="15" t="s">
        <v>799</v>
      </c>
      <c r="D411" s="14" t="s">
        <v>800</v>
      </c>
      <c r="E411" s="15" t="s">
        <v>62</v>
      </c>
      <c r="F411" s="14" t="s">
        <v>22</v>
      </c>
      <c r="G411" s="15" t="s">
        <v>23</v>
      </c>
      <c r="H411" s="15"/>
      <c r="I411" s="15">
        <v>201404</v>
      </c>
      <c r="J411" s="16">
        <v>1277.8900000000001</v>
      </c>
      <c r="K411" s="44">
        <f t="shared" si="34"/>
        <v>41944</v>
      </c>
      <c r="L411" s="45">
        <f t="shared" si="30"/>
        <v>7</v>
      </c>
      <c r="M411" s="17">
        <v>1.4833299999999999E-3</v>
      </c>
      <c r="N411" s="46">
        <f t="shared" si="31"/>
        <v>13.268728015900001</v>
      </c>
      <c r="O411" s="16"/>
      <c r="P411" s="48">
        <f t="shared" si="32"/>
        <v>614.98456250000015</v>
      </c>
      <c r="Q411" s="16"/>
      <c r="R411" s="48">
        <f t="shared" si="33"/>
        <v>23.062719775000001</v>
      </c>
    </row>
    <row r="412" spans="1:18">
      <c r="A412" s="14" t="s">
        <v>17</v>
      </c>
      <c r="B412" s="15" t="s">
        <v>1435</v>
      </c>
      <c r="C412" s="15" t="s">
        <v>1436</v>
      </c>
      <c r="D412" s="14" t="s">
        <v>1437</v>
      </c>
      <c r="E412" s="15" t="s">
        <v>667</v>
      </c>
      <c r="F412" s="14" t="s">
        <v>28</v>
      </c>
      <c r="G412" s="15" t="s">
        <v>23</v>
      </c>
      <c r="H412" s="15"/>
      <c r="I412" s="15">
        <v>201404</v>
      </c>
      <c r="J412" s="16">
        <v>1224.0899999999999</v>
      </c>
      <c r="K412" s="44">
        <f t="shared" si="34"/>
        <v>41944</v>
      </c>
      <c r="L412" s="45">
        <f t="shared" si="30"/>
        <v>7</v>
      </c>
      <c r="M412" s="17">
        <v>1.4833299999999999E-3</v>
      </c>
      <c r="N412" s="46">
        <f t="shared" si="31"/>
        <v>12.710105937899998</v>
      </c>
      <c r="O412" s="16"/>
      <c r="P412" s="48">
        <f t="shared" si="32"/>
        <v>589.09331250000002</v>
      </c>
      <c r="Q412" s="16"/>
      <c r="R412" s="48">
        <f t="shared" si="33"/>
        <v>22.091764274999999</v>
      </c>
    </row>
    <row r="413" spans="1:18">
      <c r="A413" s="14" t="s">
        <v>17</v>
      </c>
      <c r="B413" s="15" t="s">
        <v>801</v>
      </c>
      <c r="C413" s="15" t="s">
        <v>802</v>
      </c>
      <c r="D413" s="14" t="s">
        <v>803</v>
      </c>
      <c r="E413" s="15" t="s">
        <v>440</v>
      </c>
      <c r="F413" s="14" t="s">
        <v>28</v>
      </c>
      <c r="G413" s="15" t="s">
        <v>23</v>
      </c>
      <c r="H413" s="15"/>
      <c r="I413" s="15">
        <v>201404</v>
      </c>
      <c r="J413" s="16">
        <v>4665.88</v>
      </c>
      <c r="K413" s="44">
        <f t="shared" si="34"/>
        <v>41944</v>
      </c>
      <c r="L413" s="45">
        <f t="shared" si="30"/>
        <v>7</v>
      </c>
      <c r="M413" s="17">
        <v>1.4833299999999999E-3</v>
      </c>
      <c r="N413" s="46">
        <f t="shared" si="31"/>
        <v>48.4472784628</v>
      </c>
      <c r="O413" s="16"/>
      <c r="P413" s="48">
        <f t="shared" si="32"/>
        <v>2245.4547500000003</v>
      </c>
      <c r="Q413" s="16"/>
      <c r="R413" s="48">
        <f t="shared" si="33"/>
        <v>84.207469300000014</v>
      </c>
    </row>
    <row r="414" spans="1:18">
      <c r="A414" s="14" t="s">
        <v>17</v>
      </c>
      <c r="B414" s="15" t="s">
        <v>804</v>
      </c>
      <c r="C414" s="15" t="s">
        <v>805</v>
      </c>
      <c r="D414" s="14" t="s">
        <v>806</v>
      </c>
      <c r="E414" s="15" t="s">
        <v>141</v>
      </c>
      <c r="F414" s="14" t="s">
        <v>142</v>
      </c>
      <c r="G414" s="15" t="s">
        <v>23</v>
      </c>
      <c r="H414" s="15"/>
      <c r="I414" s="15">
        <v>201404</v>
      </c>
      <c r="J414" s="16">
        <v>7576.58</v>
      </c>
      <c r="K414" s="44">
        <f t="shared" si="34"/>
        <v>41944</v>
      </c>
      <c r="L414" s="45">
        <f t="shared" si="30"/>
        <v>7</v>
      </c>
      <c r="M414" s="17">
        <v>1.4833299999999999E-3</v>
      </c>
      <c r="N414" s="46">
        <f t="shared" si="31"/>
        <v>78.669978879799999</v>
      </c>
      <c r="O414" s="16"/>
      <c r="P414" s="48">
        <f t="shared" si="32"/>
        <v>3646.2291250000003</v>
      </c>
      <c r="Q414" s="16"/>
      <c r="R414" s="48">
        <f t="shared" si="33"/>
        <v>136.73832755000001</v>
      </c>
    </row>
    <row r="415" spans="1:18">
      <c r="A415" s="14" t="s">
        <v>17</v>
      </c>
      <c r="B415" s="15" t="s">
        <v>807</v>
      </c>
      <c r="C415" s="15" t="s">
        <v>808</v>
      </c>
      <c r="D415" s="14" t="s">
        <v>809</v>
      </c>
      <c r="E415" s="15" t="s">
        <v>108</v>
      </c>
      <c r="F415" s="14" t="s">
        <v>28</v>
      </c>
      <c r="G415" s="15" t="s">
        <v>23</v>
      </c>
      <c r="H415" s="15"/>
      <c r="I415" s="15">
        <v>201404</v>
      </c>
      <c r="J415" s="16">
        <v>3804.45</v>
      </c>
      <c r="K415" s="44">
        <f t="shared" si="34"/>
        <v>41944</v>
      </c>
      <c r="L415" s="45">
        <f t="shared" si="30"/>
        <v>7</v>
      </c>
      <c r="M415" s="17">
        <v>1.4833299999999999E-3</v>
      </c>
      <c r="N415" s="46">
        <f t="shared" si="31"/>
        <v>39.502783729499996</v>
      </c>
      <c r="O415" s="16"/>
      <c r="P415" s="48">
        <f t="shared" si="32"/>
        <v>1830.8915625000002</v>
      </c>
      <c r="Q415" s="16"/>
      <c r="R415" s="48">
        <f t="shared" si="33"/>
        <v>68.660811374999994</v>
      </c>
    </row>
    <row r="416" spans="1:18">
      <c r="A416" s="14" t="s">
        <v>17</v>
      </c>
      <c r="B416" s="15" t="s">
        <v>810</v>
      </c>
      <c r="C416" s="15" t="s">
        <v>811</v>
      </c>
      <c r="D416" s="14" t="s">
        <v>812</v>
      </c>
      <c r="E416" s="15" t="s">
        <v>104</v>
      </c>
      <c r="F416" s="14" t="s">
        <v>41</v>
      </c>
      <c r="G416" s="15" t="s">
        <v>23</v>
      </c>
      <c r="H416" s="15"/>
      <c r="I416" s="15">
        <v>201404</v>
      </c>
      <c r="J416" s="16">
        <v>17172</v>
      </c>
      <c r="K416" s="44">
        <f t="shared" si="34"/>
        <v>41944</v>
      </c>
      <c r="L416" s="45">
        <f t="shared" si="30"/>
        <v>7</v>
      </c>
      <c r="M416" s="17">
        <v>1.4833299999999999E-3</v>
      </c>
      <c r="N416" s="46">
        <f t="shared" si="31"/>
        <v>178.30219932</v>
      </c>
      <c r="O416" s="16"/>
      <c r="P416" s="48">
        <f t="shared" si="32"/>
        <v>8264.0250000000015</v>
      </c>
      <c r="Q416" s="16"/>
      <c r="R416" s="48">
        <f t="shared" si="33"/>
        <v>309.91167000000002</v>
      </c>
    </row>
    <row r="417" spans="1:18">
      <c r="A417" s="14" t="s">
        <v>17</v>
      </c>
      <c r="B417" s="15" t="s">
        <v>18</v>
      </c>
      <c r="C417" s="15" t="s">
        <v>19</v>
      </c>
      <c r="D417" s="14" t="s">
        <v>20</v>
      </c>
      <c r="E417" s="15" t="s">
        <v>21</v>
      </c>
      <c r="F417" s="14" t="s">
        <v>22</v>
      </c>
      <c r="G417" s="15" t="s">
        <v>23</v>
      </c>
      <c r="H417" s="15"/>
      <c r="I417" s="15">
        <v>201405</v>
      </c>
      <c r="J417" s="16">
        <v>-3633.97</v>
      </c>
      <c r="K417" s="44">
        <f t="shared" si="34"/>
        <v>41944</v>
      </c>
      <c r="L417" s="45">
        <f t="shared" si="30"/>
        <v>7</v>
      </c>
      <c r="M417" s="17">
        <v>1.4833299999999999E-3</v>
      </c>
      <c r="N417" s="46">
        <f t="shared" si="31"/>
        <v>-37.732637040699998</v>
      </c>
      <c r="O417" s="16"/>
      <c r="P417" s="48">
        <f t="shared" si="32"/>
        <v>-1748.8480625000002</v>
      </c>
      <c r="Q417" s="16"/>
      <c r="R417" s="48">
        <f t="shared" si="33"/>
        <v>-65.584073575000005</v>
      </c>
    </row>
    <row r="418" spans="1:18">
      <c r="A418" s="14" t="s">
        <v>17</v>
      </c>
      <c r="B418" s="15" t="s">
        <v>24</v>
      </c>
      <c r="C418" s="15" t="s">
        <v>25</v>
      </c>
      <c r="D418" s="14" t="s">
        <v>26</v>
      </c>
      <c r="E418" s="15" t="s">
        <v>27</v>
      </c>
      <c r="F418" s="14" t="s">
        <v>28</v>
      </c>
      <c r="G418" s="15" t="s">
        <v>23</v>
      </c>
      <c r="H418" s="15"/>
      <c r="I418" s="15">
        <v>201405</v>
      </c>
      <c r="J418" s="16">
        <v>-1197.5</v>
      </c>
      <c r="K418" s="44">
        <f t="shared" si="34"/>
        <v>41944</v>
      </c>
      <c r="L418" s="45">
        <f t="shared" si="30"/>
        <v>7</v>
      </c>
      <c r="M418" s="17">
        <v>1.4833299999999999E-3</v>
      </c>
      <c r="N418" s="46">
        <f t="shared" si="31"/>
        <v>-12.434013725</v>
      </c>
      <c r="O418" s="16"/>
      <c r="P418" s="48">
        <f t="shared" si="32"/>
        <v>-576.29687500000011</v>
      </c>
      <c r="Q418" s="16"/>
      <c r="R418" s="48">
        <f t="shared" si="33"/>
        <v>-21.61188125</v>
      </c>
    </row>
    <row r="419" spans="1:18">
      <c r="A419" s="14" t="s">
        <v>17</v>
      </c>
      <c r="B419" s="15" t="s">
        <v>29</v>
      </c>
      <c r="C419" s="15" t="s">
        <v>30</v>
      </c>
      <c r="D419" s="14" t="s">
        <v>31</v>
      </c>
      <c r="E419" s="15" t="s">
        <v>32</v>
      </c>
      <c r="F419" s="14" t="s">
        <v>22</v>
      </c>
      <c r="G419" s="15" t="s">
        <v>23</v>
      </c>
      <c r="H419" s="15"/>
      <c r="I419" s="15">
        <v>201405</v>
      </c>
      <c r="J419" s="16">
        <v>-2784.07</v>
      </c>
      <c r="K419" s="44">
        <f t="shared" si="34"/>
        <v>41944</v>
      </c>
      <c r="L419" s="45">
        <f t="shared" si="30"/>
        <v>7</v>
      </c>
      <c r="M419" s="17">
        <v>1.4833299999999999E-3</v>
      </c>
      <c r="N419" s="46">
        <f t="shared" si="31"/>
        <v>-28.9078618717</v>
      </c>
      <c r="O419" s="16"/>
      <c r="P419" s="48">
        <f t="shared" si="32"/>
        <v>-1339.8336875000002</v>
      </c>
      <c r="Q419" s="16"/>
      <c r="R419" s="48">
        <f t="shared" si="33"/>
        <v>-50.245503325000008</v>
      </c>
    </row>
    <row r="420" spans="1:18">
      <c r="A420" s="14" t="s">
        <v>17</v>
      </c>
      <c r="B420" s="15" t="s">
        <v>33</v>
      </c>
      <c r="C420" s="15" t="s">
        <v>34</v>
      </c>
      <c r="D420" s="14" t="s">
        <v>35</v>
      </c>
      <c r="E420" s="15" t="s">
        <v>36</v>
      </c>
      <c r="F420" s="14" t="s">
        <v>22</v>
      </c>
      <c r="G420" s="15" t="s">
        <v>23</v>
      </c>
      <c r="H420" s="15"/>
      <c r="I420" s="15">
        <v>201405</v>
      </c>
      <c r="J420" s="16">
        <v>3569.7</v>
      </c>
      <c r="K420" s="44">
        <f t="shared" si="34"/>
        <v>41944</v>
      </c>
      <c r="L420" s="45">
        <f t="shared" si="30"/>
        <v>7</v>
      </c>
      <c r="M420" s="17">
        <v>1.4833299999999999E-3</v>
      </c>
      <c r="N420" s="46">
        <f t="shared" si="31"/>
        <v>37.065301706999996</v>
      </c>
      <c r="O420" s="16"/>
      <c r="P420" s="48">
        <f t="shared" si="32"/>
        <v>1717.9181250000001</v>
      </c>
      <c r="Q420" s="16"/>
      <c r="R420" s="48">
        <f t="shared" si="33"/>
        <v>64.424160749999999</v>
      </c>
    </row>
    <row r="421" spans="1:18">
      <c r="A421" s="14" t="s">
        <v>17</v>
      </c>
      <c r="B421" s="15" t="s">
        <v>37</v>
      </c>
      <c r="C421" s="15" t="s">
        <v>38</v>
      </c>
      <c r="D421" s="14" t="s">
        <v>39</v>
      </c>
      <c r="E421" s="15" t="s">
        <v>40</v>
      </c>
      <c r="F421" s="14" t="s">
        <v>41</v>
      </c>
      <c r="G421" s="15" t="s">
        <v>23</v>
      </c>
      <c r="H421" s="15"/>
      <c r="I421" s="15">
        <v>201405</v>
      </c>
      <c r="J421" s="16">
        <v>-1321.93</v>
      </c>
      <c r="K421" s="44">
        <f t="shared" si="34"/>
        <v>41944</v>
      </c>
      <c r="L421" s="45">
        <f t="shared" si="30"/>
        <v>7</v>
      </c>
      <c r="M421" s="17">
        <v>1.4833299999999999E-3</v>
      </c>
      <c r="N421" s="46">
        <f t="shared" si="31"/>
        <v>-13.7260089883</v>
      </c>
      <c r="O421" s="16"/>
      <c r="P421" s="48">
        <f t="shared" si="32"/>
        <v>-636.17881250000016</v>
      </c>
      <c r="Q421" s="16"/>
      <c r="R421" s="48">
        <f t="shared" si="33"/>
        <v>-23.857531675000004</v>
      </c>
    </row>
    <row r="422" spans="1:18">
      <c r="A422" s="14" t="s">
        <v>17</v>
      </c>
      <c r="B422" s="15" t="s">
        <v>42</v>
      </c>
      <c r="C422" s="15" t="s">
        <v>43</v>
      </c>
      <c r="D422" s="14" t="s">
        <v>44</v>
      </c>
      <c r="E422" s="15" t="s">
        <v>45</v>
      </c>
      <c r="F422" s="14" t="s">
        <v>22</v>
      </c>
      <c r="G422" s="15" t="s">
        <v>23</v>
      </c>
      <c r="H422" s="15"/>
      <c r="I422" s="15">
        <v>201405</v>
      </c>
      <c r="J422" s="16">
        <v>-2007.48</v>
      </c>
      <c r="K422" s="44">
        <f t="shared" si="34"/>
        <v>41944</v>
      </c>
      <c r="L422" s="45">
        <f t="shared" si="30"/>
        <v>7</v>
      </c>
      <c r="M422" s="17">
        <v>1.4833299999999999E-3</v>
      </c>
      <c r="N422" s="46">
        <f t="shared" si="31"/>
        <v>-20.8442871588</v>
      </c>
      <c r="O422" s="16"/>
      <c r="P422" s="48">
        <f t="shared" si="32"/>
        <v>-966.0997500000002</v>
      </c>
      <c r="Q422" s="16"/>
      <c r="R422" s="48">
        <f t="shared" si="33"/>
        <v>-36.229995300000006</v>
      </c>
    </row>
    <row r="423" spans="1:18">
      <c r="A423" s="14" t="s">
        <v>17</v>
      </c>
      <c r="B423" s="15" t="s">
        <v>46</v>
      </c>
      <c r="C423" s="15" t="s">
        <v>47</v>
      </c>
      <c r="D423" s="14" t="s">
        <v>48</v>
      </c>
      <c r="E423" s="15" t="s">
        <v>49</v>
      </c>
      <c r="F423" s="14" t="s">
        <v>22</v>
      </c>
      <c r="G423" s="15" t="s">
        <v>23</v>
      </c>
      <c r="H423" s="15"/>
      <c r="I423" s="15">
        <v>201405</v>
      </c>
      <c r="J423" s="16">
        <v>-1916.18</v>
      </c>
      <c r="K423" s="44">
        <f t="shared" si="34"/>
        <v>41944</v>
      </c>
      <c r="L423" s="45">
        <f t="shared" si="30"/>
        <v>7</v>
      </c>
      <c r="M423" s="17">
        <v>1.4833299999999999E-3</v>
      </c>
      <c r="N423" s="46">
        <f t="shared" si="31"/>
        <v>-19.896290955800001</v>
      </c>
      <c r="O423" s="16"/>
      <c r="P423" s="48">
        <f t="shared" si="32"/>
        <v>-922.16162500000019</v>
      </c>
      <c r="Q423" s="16"/>
      <c r="R423" s="48">
        <f t="shared" si="33"/>
        <v>-34.582258550000006</v>
      </c>
    </row>
    <row r="424" spans="1:18">
      <c r="A424" s="14" t="s">
        <v>17</v>
      </c>
      <c r="B424" s="15" t="s">
        <v>63</v>
      </c>
      <c r="C424" s="15" t="s">
        <v>64</v>
      </c>
      <c r="D424" s="14" t="s">
        <v>65</v>
      </c>
      <c r="E424" s="15" t="s">
        <v>32</v>
      </c>
      <c r="F424" s="14" t="s">
        <v>22</v>
      </c>
      <c r="G424" s="15" t="s">
        <v>23</v>
      </c>
      <c r="H424" s="15"/>
      <c r="I424" s="15">
        <v>201405</v>
      </c>
      <c r="J424" s="16">
        <v>-3717.14</v>
      </c>
      <c r="K424" s="44">
        <f t="shared" si="34"/>
        <v>41944</v>
      </c>
      <c r="L424" s="45">
        <f t="shared" si="30"/>
        <v>7</v>
      </c>
      <c r="M424" s="17">
        <v>1.4833299999999999E-3</v>
      </c>
      <c r="N424" s="46">
        <f t="shared" si="31"/>
        <v>-38.596216933400001</v>
      </c>
      <c r="O424" s="16"/>
      <c r="P424" s="48">
        <f t="shared" si="32"/>
        <v>-1788.8736250000002</v>
      </c>
      <c r="Q424" s="16"/>
      <c r="R424" s="48">
        <f t="shared" si="33"/>
        <v>-67.08508415</v>
      </c>
    </row>
    <row r="425" spans="1:18">
      <c r="A425" s="18" t="s">
        <v>66</v>
      </c>
      <c r="B425" s="15" t="s">
        <v>72</v>
      </c>
      <c r="C425" s="15" t="s">
        <v>73</v>
      </c>
      <c r="D425" s="14" t="s">
        <v>74</v>
      </c>
      <c r="E425" s="15" t="s">
        <v>75</v>
      </c>
      <c r="F425" s="14" t="s">
        <v>71</v>
      </c>
      <c r="G425" s="15" t="s">
        <v>23</v>
      </c>
      <c r="H425" s="15"/>
      <c r="I425" s="15">
        <v>201405</v>
      </c>
      <c r="J425" s="16">
        <v>-21939.040000000001</v>
      </c>
      <c r="K425" s="44">
        <f t="shared" si="34"/>
        <v>41944</v>
      </c>
      <c r="L425" s="45">
        <f t="shared" si="30"/>
        <v>7</v>
      </c>
      <c r="M425" s="17">
        <v>2.23333E-3</v>
      </c>
      <c r="N425" s="46">
        <f t="shared" si="31"/>
        <v>-342.97981342240001</v>
      </c>
      <c r="O425" s="16"/>
      <c r="P425" s="48">
        <f t="shared" si="32"/>
        <v>-10558.163000000002</v>
      </c>
      <c r="Q425" s="16"/>
      <c r="R425" s="48">
        <f t="shared" si="33"/>
        <v>-395.94482440000002</v>
      </c>
    </row>
    <row r="426" spans="1:18">
      <c r="A426" s="18" t="s">
        <v>66</v>
      </c>
      <c r="B426" s="15" t="s">
        <v>76</v>
      </c>
      <c r="C426" s="15" t="s">
        <v>77</v>
      </c>
      <c r="D426" s="14" t="s">
        <v>78</v>
      </c>
      <c r="E426" s="15" t="s">
        <v>79</v>
      </c>
      <c r="F426" s="14" t="s">
        <v>80</v>
      </c>
      <c r="G426" s="15" t="s">
        <v>23</v>
      </c>
      <c r="H426" s="15"/>
      <c r="I426" s="15">
        <v>201405</v>
      </c>
      <c r="J426" s="16">
        <v>2018.95</v>
      </c>
      <c r="K426" s="44">
        <f t="shared" si="34"/>
        <v>41944</v>
      </c>
      <c r="L426" s="45">
        <f t="shared" si="30"/>
        <v>7</v>
      </c>
      <c r="M426" s="17">
        <v>2.23333E-3</v>
      </c>
      <c r="N426" s="46">
        <f t="shared" si="31"/>
        <v>31.562871224500004</v>
      </c>
      <c r="O426" s="16"/>
      <c r="P426" s="48">
        <f t="shared" si="32"/>
        <v>971.61968750000017</v>
      </c>
      <c r="Q426" s="16"/>
      <c r="R426" s="48">
        <f t="shared" si="33"/>
        <v>36.437000125000004</v>
      </c>
    </row>
    <row r="427" spans="1:18">
      <c r="A427" s="18" t="s">
        <v>66</v>
      </c>
      <c r="B427" s="15" t="s">
        <v>81</v>
      </c>
      <c r="C427" s="15" t="s">
        <v>82</v>
      </c>
      <c r="D427" s="14" t="s">
        <v>83</v>
      </c>
      <c r="E427" s="15" t="s">
        <v>84</v>
      </c>
      <c r="F427" s="14" t="s">
        <v>85</v>
      </c>
      <c r="G427" s="15" t="s">
        <v>23</v>
      </c>
      <c r="H427" s="15"/>
      <c r="I427" s="15">
        <v>201405</v>
      </c>
      <c r="J427" s="16">
        <v>-1668.16</v>
      </c>
      <c r="K427" s="44">
        <f t="shared" si="34"/>
        <v>41944</v>
      </c>
      <c r="L427" s="45">
        <f t="shared" si="30"/>
        <v>7</v>
      </c>
      <c r="M427" s="17">
        <v>2.23333E-3</v>
      </c>
      <c r="N427" s="46">
        <f t="shared" si="31"/>
        <v>-26.078862409600003</v>
      </c>
      <c r="O427" s="16"/>
      <c r="P427" s="48">
        <f t="shared" si="32"/>
        <v>-802.80200000000013</v>
      </c>
      <c r="Q427" s="16"/>
      <c r="R427" s="48">
        <f t="shared" si="33"/>
        <v>-30.106117600000005</v>
      </c>
    </row>
    <row r="428" spans="1:18">
      <c r="A428" s="18" t="s">
        <v>66</v>
      </c>
      <c r="B428" s="15" t="s">
        <v>86</v>
      </c>
      <c r="C428" s="15" t="s">
        <v>87</v>
      </c>
      <c r="D428" s="14" t="s">
        <v>88</v>
      </c>
      <c r="E428" s="15" t="s">
        <v>89</v>
      </c>
      <c r="F428" s="14" t="s">
        <v>85</v>
      </c>
      <c r="G428" s="15" t="s">
        <v>23</v>
      </c>
      <c r="H428" s="15"/>
      <c r="I428" s="15">
        <v>201405</v>
      </c>
      <c r="J428" s="16">
        <v>-7.18</v>
      </c>
      <c r="K428" s="44">
        <f t="shared" si="34"/>
        <v>41944</v>
      </c>
      <c r="L428" s="45">
        <f t="shared" si="30"/>
        <v>7</v>
      </c>
      <c r="M428" s="17">
        <v>2.23333E-3</v>
      </c>
      <c r="N428" s="46">
        <f t="shared" si="31"/>
        <v>-0.11224716580000001</v>
      </c>
      <c r="O428" s="16"/>
      <c r="P428" s="48">
        <f t="shared" si="32"/>
        <v>-3.4553750000000005</v>
      </c>
      <c r="Q428" s="16"/>
      <c r="R428" s="48">
        <f t="shared" si="33"/>
        <v>-0.12958105</v>
      </c>
    </row>
    <row r="429" spans="1:18">
      <c r="A429" s="18" t="s">
        <v>66</v>
      </c>
      <c r="B429" s="15" t="s">
        <v>90</v>
      </c>
      <c r="C429" s="15" t="s">
        <v>91</v>
      </c>
      <c r="D429" s="14" t="s">
        <v>78</v>
      </c>
      <c r="E429" s="15" t="s">
        <v>92</v>
      </c>
      <c r="F429" s="14" t="s">
        <v>80</v>
      </c>
      <c r="G429" s="15" t="s">
        <v>23</v>
      </c>
      <c r="H429" s="15"/>
      <c r="I429" s="15">
        <v>201405</v>
      </c>
      <c r="J429" s="16">
        <v>-1646.62</v>
      </c>
      <c r="K429" s="44">
        <f t="shared" si="34"/>
        <v>41944</v>
      </c>
      <c r="L429" s="45">
        <f t="shared" si="30"/>
        <v>7</v>
      </c>
      <c r="M429" s="17">
        <v>2.23333E-3</v>
      </c>
      <c r="N429" s="46">
        <f t="shared" si="31"/>
        <v>-25.742120912200001</v>
      </c>
      <c r="O429" s="16"/>
      <c r="P429" s="48">
        <f t="shared" si="32"/>
        <v>-792.43587500000001</v>
      </c>
      <c r="Q429" s="16"/>
      <c r="R429" s="48">
        <f t="shared" si="33"/>
        <v>-29.717374450000001</v>
      </c>
    </row>
    <row r="430" spans="1:18">
      <c r="A430" s="18" t="s">
        <v>66</v>
      </c>
      <c r="B430" s="15" t="s">
        <v>93</v>
      </c>
      <c r="C430" s="15" t="s">
        <v>94</v>
      </c>
      <c r="D430" s="14" t="s">
        <v>95</v>
      </c>
      <c r="E430" s="15" t="s">
        <v>96</v>
      </c>
      <c r="F430" s="14" t="s">
        <v>97</v>
      </c>
      <c r="G430" s="15" t="s">
        <v>23</v>
      </c>
      <c r="H430" s="15"/>
      <c r="I430" s="15">
        <v>201405</v>
      </c>
      <c r="J430" s="16">
        <v>-2544.38</v>
      </c>
      <c r="K430" s="44">
        <f t="shared" si="34"/>
        <v>41944</v>
      </c>
      <c r="L430" s="45">
        <f t="shared" si="30"/>
        <v>7</v>
      </c>
      <c r="M430" s="17">
        <v>2.23333E-3</v>
      </c>
      <c r="N430" s="46">
        <f t="shared" si="31"/>
        <v>-39.777081297800002</v>
      </c>
      <c r="O430" s="16"/>
      <c r="P430" s="48">
        <f t="shared" si="32"/>
        <v>-1224.4828750000001</v>
      </c>
      <c r="Q430" s="16"/>
      <c r="R430" s="48">
        <f t="shared" si="33"/>
        <v>-45.919698050000008</v>
      </c>
    </row>
    <row r="431" spans="1:18">
      <c r="A431" s="14" t="s">
        <v>17</v>
      </c>
      <c r="B431" s="15" t="s">
        <v>98</v>
      </c>
      <c r="C431" s="15" t="s">
        <v>99</v>
      </c>
      <c r="D431" s="14" t="s">
        <v>100</v>
      </c>
      <c r="E431" s="15" t="s">
        <v>62</v>
      </c>
      <c r="F431" s="14" t="s">
        <v>22</v>
      </c>
      <c r="G431" s="15" t="s">
        <v>23</v>
      </c>
      <c r="H431" s="15"/>
      <c r="I431" s="15">
        <v>201405</v>
      </c>
      <c r="J431" s="16">
        <v>-2843.84</v>
      </c>
      <c r="K431" s="44">
        <f t="shared" si="34"/>
        <v>41944</v>
      </c>
      <c r="L431" s="45">
        <f t="shared" si="30"/>
        <v>7</v>
      </c>
      <c r="M431" s="17">
        <v>1.4833299999999999E-3</v>
      </c>
      <c r="N431" s="46">
        <f t="shared" si="31"/>
        <v>-29.528472310400002</v>
      </c>
      <c r="O431" s="16"/>
      <c r="P431" s="48">
        <f t="shared" si="32"/>
        <v>-1368.5980000000002</v>
      </c>
      <c r="Q431" s="16"/>
      <c r="R431" s="48">
        <f t="shared" si="33"/>
        <v>-51.324202400000004</v>
      </c>
    </row>
    <row r="432" spans="1:18">
      <c r="A432" s="14" t="s">
        <v>17</v>
      </c>
      <c r="B432" s="15" t="s">
        <v>101</v>
      </c>
      <c r="C432" s="15" t="s">
        <v>102</v>
      </c>
      <c r="D432" s="14" t="s">
        <v>103</v>
      </c>
      <c r="E432" s="15" t="s">
        <v>104</v>
      </c>
      <c r="F432" s="14" t="s">
        <v>41</v>
      </c>
      <c r="G432" s="15" t="s">
        <v>23</v>
      </c>
      <c r="H432" s="15"/>
      <c r="I432" s="15">
        <v>201405</v>
      </c>
      <c r="J432" s="16">
        <v>785.09</v>
      </c>
      <c r="K432" s="44">
        <f t="shared" si="34"/>
        <v>41944</v>
      </c>
      <c r="L432" s="45">
        <f t="shared" si="30"/>
        <v>7</v>
      </c>
      <c r="M432" s="17">
        <v>1.4833299999999999E-3</v>
      </c>
      <c r="N432" s="46">
        <f t="shared" si="31"/>
        <v>8.1518328478999997</v>
      </c>
      <c r="O432" s="16"/>
      <c r="P432" s="48">
        <f t="shared" si="32"/>
        <v>377.82456250000007</v>
      </c>
      <c r="Q432" s="16"/>
      <c r="R432" s="48">
        <f t="shared" si="33"/>
        <v>14.168911775000002</v>
      </c>
    </row>
    <row r="433" spans="1:18">
      <c r="A433" s="14" t="s">
        <v>17</v>
      </c>
      <c r="B433" s="15" t="s">
        <v>105</v>
      </c>
      <c r="C433" s="15" t="s">
        <v>106</v>
      </c>
      <c r="D433" s="14" t="s">
        <v>107</v>
      </c>
      <c r="E433" s="15" t="s">
        <v>108</v>
      </c>
      <c r="F433" s="14" t="s">
        <v>28</v>
      </c>
      <c r="G433" s="15" t="s">
        <v>23</v>
      </c>
      <c r="H433" s="15"/>
      <c r="I433" s="15">
        <v>201405</v>
      </c>
      <c r="J433" s="16">
        <v>-50638.84</v>
      </c>
      <c r="K433" s="44">
        <f t="shared" si="34"/>
        <v>41944</v>
      </c>
      <c r="L433" s="45">
        <f t="shared" si="30"/>
        <v>7</v>
      </c>
      <c r="M433" s="17">
        <v>1.4833299999999999E-3</v>
      </c>
      <c r="N433" s="46">
        <f t="shared" si="31"/>
        <v>-525.79877376039997</v>
      </c>
      <c r="O433" s="16"/>
      <c r="P433" s="48">
        <f t="shared" si="32"/>
        <v>-24369.941750000002</v>
      </c>
      <c r="Q433" s="16"/>
      <c r="R433" s="48">
        <f t="shared" si="33"/>
        <v>-913.90446489999999</v>
      </c>
    </row>
    <row r="434" spans="1:18">
      <c r="A434" s="14" t="s">
        <v>17</v>
      </c>
      <c r="B434" s="15" t="s">
        <v>109</v>
      </c>
      <c r="C434" s="15" t="s">
        <v>110</v>
      </c>
      <c r="D434" s="14" t="s">
        <v>111</v>
      </c>
      <c r="E434" s="15" t="s">
        <v>112</v>
      </c>
      <c r="F434" s="14" t="s">
        <v>22</v>
      </c>
      <c r="G434" s="15" t="s">
        <v>23</v>
      </c>
      <c r="H434" s="15"/>
      <c r="I434" s="15">
        <v>201405</v>
      </c>
      <c r="J434" s="16">
        <v>586.69000000000005</v>
      </c>
      <c r="K434" s="44">
        <f t="shared" si="34"/>
        <v>41944</v>
      </c>
      <c r="L434" s="45">
        <f t="shared" si="30"/>
        <v>7</v>
      </c>
      <c r="M434" s="17">
        <v>1.4833299999999999E-3</v>
      </c>
      <c r="N434" s="46">
        <f t="shared" si="31"/>
        <v>6.0917841439</v>
      </c>
      <c r="O434" s="16"/>
      <c r="P434" s="48">
        <f t="shared" si="32"/>
        <v>282.34456250000005</v>
      </c>
      <c r="Q434" s="16"/>
      <c r="R434" s="48">
        <f t="shared" si="33"/>
        <v>10.588287775000001</v>
      </c>
    </row>
    <row r="435" spans="1:18">
      <c r="A435" s="14" t="s">
        <v>17</v>
      </c>
      <c r="B435" s="15" t="s">
        <v>113</v>
      </c>
      <c r="C435" s="15" t="s">
        <v>114</v>
      </c>
      <c r="D435" s="14" t="s">
        <v>115</v>
      </c>
      <c r="E435" s="15" t="s">
        <v>58</v>
      </c>
      <c r="F435" s="14" t="s">
        <v>22</v>
      </c>
      <c r="G435" s="15" t="s">
        <v>23</v>
      </c>
      <c r="H435" s="15"/>
      <c r="I435" s="15">
        <v>201405</v>
      </c>
      <c r="J435" s="16">
        <v>-728.52</v>
      </c>
      <c r="K435" s="44">
        <f t="shared" si="34"/>
        <v>41944</v>
      </c>
      <c r="L435" s="45">
        <f t="shared" si="30"/>
        <v>7</v>
      </c>
      <c r="M435" s="17">
        <v>1.4833299999999999E-3</v>
      </c>
      <c r="N435" s="46">
        <f t="shared" si="31"/>
        <v>-7.5644490011999999</v>
      </c>
      <c r="O435" s="16"/>
      <c r="P435" s="48">
        <f t="shared" si="32"/>
        <v>-350.60025000000002</v>
      </c>
      <c r="Q435" s="16"/>
      <c r="R435" s="48">
        <f t="shared" si="33"/>
        <v>-13.147964700000001</v>
      </c>
    </row>
    <row r="436" spans="1:18">
      <c r="A436" s="14" t="s">
        <v>17</v>
      </c>
      <c r="B436" s="15" t="s">
        <v>119</v>
      </c>
      <c r="C436" s="15" t="s">
        <v>120</v>
      </c>
      <c r="D436" s="14" t="s">
        <v>121</v>
      </c>
      <c r="E436" s="15" t="s">
        <v>32</v>
      </c>
      <c r="F436" s="14" t="s">
        <v>22</v>
      </c>
      <c r="G436" s="15" t="s">
        <v>23</v>
      </c>
      <c r="H436" s="15"/>
      <c r="I436" s="15">
        <v>201405</v>
      </c>
      <c r="J436" s="16">
        <v>-6104.73</v>
      </c>
      <c r="K436" s="44">
        <f t="shared" si="34"/>
        <v>41944</v>
      </c>
      <c r="L436" s="45">
        <f t="shared" si="30"/>
        <v>7</v>
      </c>
      <c r="M436" s="17">
        <v>1.4833299999999999E-3</v>
      </c>
      <c r="N436" s="46">
        <f t="shared" si="31"/>
        <v>-63.387304056299996</v>
      </c>
      <c r="O436" s="16"/>
      <c r="P436" s="48">
        <f t="shared" si="32"/>
        <v>-2937.9013125000001</v>
      </c>
      <c r="Q436" s="16"/>
      <c r="R436" s="48">
        <f t="shared" si="33"/>
        <v>-110.175114675</v>
      </c>
    </row>
    <row r="437" spans="1:18">
      <c r="A437" s="14" t="s">
        <v>17</v>
      </c>
      <c r="B437" s="15" t="s">
        <v>122</v>
      </c>
      <c r="C437" s="15" t="s">
        <v>123</v>
      </c>
      <c r="D437" s="14" t="s">
        <v>124</v>
      </c>
      <c r="E437" s="15" t="s">
        <v>125</v>
      </c>
      <c r="F437" s="14" t="s">
        <v>126</v>
      </c>
      <c r="G437" s="15" t="s">
        <v>23</v>
      </c>
      <c r="H437" s="15"/>
      <c r="I437" s="15">
        <v>201405</v>
      </c>
      <c r="J437" s="16">
        <v>-3481.52</v>
      </c>
      <c r="K437" s="44">
        <f t="shared" si="34"/>
        <v>41944</v>
      </c>
      <c r="L437" s="45">
        <f t="shared" si="30"/>
        <v>7</v>
      </c>
      <c r="M437" s="17">
        <v>1.4833299999999999E-3</v>
      </c>
      <c r="N437" s="46">
        <f t="shared" si="31"/>
        <v>-36.1497014312</v>
      </c>
      <c r="O437" s="16"/>
      <c r="P437" s="48">
        <f t="shared" si="32"/>
        <v>-1675.4815000000003</v>
      </c>
      <c r="Q437" s="16"/>
      <c r="R437" s="48">
        <f t="shared" si="33"/>
        <v>-62.832732200000002</v>
      </c>
    </row>
    <row r="438" spans="1:18">
      <c r="A438" s="14" t="s">
        <v>17</v>
      </c>
      <c r="B438" s="15" t="s">
        <v>127</v>
      </c>
      <c r="C438" s="15" t="s">
        <v>128</v>
      </c>
      <c r="D438" s="14" t="s">
        <v>129</v>
      </c>
      <c r="E438" s="15" t="s">
        <v>62</v>
      </c>
      <c r="F438" s="14" t="s">
        <v>22</v>
      </c>
      <c r="G438" s="15" t="s">
        <v>23</v>
      </c>
      <c r="H438" s="15"/>
      <c r="I438" s="15">
        <v>201405</v>
      </c>
      <c r="J438" s="16">
        <v>-11632.93</v>
      </c>
      <c r="K438" s="44">
        <f t="shared" si="34"/>
        <v>41944</v>
      </c>
      <c r="L438" s="45">
        <f t="shared" si="30"/>
        <v>7</v>
      </c>
      <c r="M438" s="17">
        <v>1.4833299999999999E-3</v>
      </c>
      <c r="N438" s="46">
        <f t="shared" si="31"/>
        <v>-120.78831839830001</v>
      </c>
      <c r="O438" s="16"/>
      <c r="P438" s="48">
        <f t="shared" si="32"/>
        <v>-5598.347562500001</v>
      </c>
      <c r="Q438" s="16"/>
      <c r="R438" s="48">
        <f t="shared" si="33"/>
        <v>-209.94530417500002</v>
      </c>
    </row>
    <row r="439" spans="1:18">
      <c r="A439" s="14" t="s">
        <v>17</v>
      </c>
      <c r="B439" s="15" t="s">
        <v>130</v>
      </c>
      <c r="C439" s="15" t="s">
        <v>131</v>
      </c>
      <c r="D439" s="14" t="s">
        <v>132</v>
      </c>
      <c r="E439" s="15" t="s">
        <v>36</v>
      </c>
      <c r="F439" s="14" t="s">
        <v>22</v>
      </c>
      <c r="G439" s="15" t="s">
        <v>23</v>
      </c>
      <c r="H439" s="15"/>
      <c r="I439" s="15">
        <v>201405</v>
      </c>
      <c r="J439" s="16">
        <v>-5147.97</v>
      </c>
      <c r="K439" s="44">
        <f t="shared" si="34"/>
        <v>41944</v>
      </c>
      <c r="L439" s="45">
        <f t="shared" si="30"/>
        <v>7</v>
      </c>
      <c r="M439" s="17">
        <v>1.4833299999999999E-3</v>
      </c>
      <c r="N439" s="46">
        <f t="shared" si="31"/>
        <v>-53.4529683807</v>
      </c>
      <c r="O439" s="16"/>
      <c r="P439" s="48">
        <f t="shared" si="32"/>
        <v>-2477.4605625000004</v>
      </c>
      <c r="Q439" s="16"/>
      <c r="R439" s="48">
        <f t="shared" si="33"/>
        <v>-92.907988575000005</v>
      </c>
    </row>
    <row r="440" spans="1:18">
      <c r="A440" s="14" t="s">
        <v>17</v>
      </c>
      <c r="B440" s="15" t="s">
        <v>138</v>
      </c>
      <c r="C440" s="15" t="s">
        <v>139</v>
      </c>
      <c r="D440" s="14" t="s">
        <v>140</v>
      </c>
      <c r="E440" s="15" t="s">
        <v>141</v>
      </c>
      <c r="F440" s="14" t="s">
        <v>142</v>
      </c>
      <c r="G440" s="15" t="s">
        <v>23</v>
      </c>
      <c r="H440" s="15"/>
      <c r="I440" s="15">
        <v>201405</v>
      </c>
      <c r="J440" s="16">
        <v>26509.919999999998</v>
      </c>
      <c r="K440" s="44">
        <f t="shared" si="34"/>
        <v>41944</v>
      </c>
      <c r="L440" s="45">
        <f t="shared" si="30"/>
        <v>7</v>
      </c>
      <c r="M440" s="17">
        <v>1.4833299999999999E-3</v>
      </c>
      <c r="N440" s="46">
        <f t="shared" si="31"/>
        <v>275.26071743519998</v>
      </c>
      <c r="O440" s="16"/>
      <c r="P440" s="48">
        <f t="shared" si="32"/>
        <v>12757.899000000001</v>
      </c>
      <c r="Q440" s="16"/>
      <c r="R440" s="48">
        <f t="shared" si="33"/>
        <v>478.43778120000002</v>
      </c>
    </row>
    <row r="441" spans="1:18">
      <c r="A441" s="14" t="s">
        <v>17</v>
      </c>
      <c r="B441" s="15" t="s">
        <v>143</v>
      </c>
      <c r="C441" s="15" t="s">
        <v>144</v>
      </c>
      <c r="D441" s="14" t="s">
        <v>145</v>
      </c>
      <c r="E441" s="15" t="s">
        <v>62</v>
      </c>
      <c r="F441" s="14" t="s">
        <v>22</v>
      </c>
      <c r="G441" s="15" t="s">
        <v>23</v>
      </c>
      <c r="H441" s="15"/>
      <c r="I441" s="15">
        <v>201405</v>
      </c>
      <c r="J441" s="16">
        <v>-8178.68</v>
      </c>
      <c r="K441" s="44">
        <f t="shared" si="34"/>
        <v>41944</v>
      </c>
      <c r="L441" s="45">
        <f t="shared" si="30"/>
        <v>7</v>
      </c>
      <c r="M441" s="17">
        <v>1.4833299999999999E-3</v>
      </c>
      <c r="N441" s="46">
        <f t="shared" si="31"/>
        <v>-84.921769830800002</v>
      </c>
      <c r="O441" s="16"/>
      <c r="P441" s="48">
        <f t="shared" si="32"/>
        <v>-3935.9897500000006</v>
      </c>
      <c r="Q441" s="16"/>
      <c r="R441" s="48">
        <f t="shared" si="33"/>
        <v>-147.60472730000001</v>
      </c>
    </row>
    <row r="442" spans="1:18">
      <c r="A442" s="14" t="s">
        <v>17</v>
      </c>
      <c r="B442" s="15" t="s">
        <v>149</v>
      </c>
      <c r="C442" s="15" t="s">
        <v>150</v>
      </c>
      <c r="D442" s="14" t="s">
        <v>151</v>
      </c>
      <c r="E442" s="15" t="s">
        <v>40</v>
      </c>
      <c r="F442" s="14" t="s">
        <v>41</v>
      </c>
      <c r="G442" s="15" t="s">
        <v>23</v>
      </c>
      <c r="H442" s="15"/>
      <c r="I442" s="15">
        <v>201405</v>
      </c>
      <c r="J442" s="16">
        <v>-4285.13</v>
      </c>
      <c r="K442" s="44">
        <f t="shared" si="34"/>
        <v>41944</v>
      </c>
      <c r="L442" s="45">
        <f t="shared" si="30"/>
        <v>7</v>
      </c>
      <c r="M442" s="17">
        <v>1.4833299999999999E-3</v>
      </c>
      <c r="N442" s="46">
        <f t="shared" si="31"/>
        <v>-44.493833180300001</v>
      </c>
      <c r="O442" s="16"/>
      <c r="P442" s="48">
        <f t="shared" si="32"/>
        <v>-2062.2188125000002</v>
      </c>
      <c r="Q442" s="16"/>
      <c r="R442" s="48">
        <f t="shared" si="33"/>
        <v>-77.335883675000005</v>
      </c>
    </row>
    <row r="443" spans="1:18">
      <c r="A443" s="14" t="s">
        <v>17</v>
      </c>
      <c r="B443" s="15" t="s">
        <v>152</v>
      </c>
      <c r="C443" s="15" t="s">
        <v>153</v>
      </c>
      <c r="D443" s="14" t="s">
        <v>154</v>
      </c>
      <c r="E443" s="15" t="s">
        <v>53</v>
      </c>
      <c r="F443" s="14" t="s">
        <v>41</v>
      </c>
      <c r="G443" s="15" t="s">
        <v>23</v>
      </c>
      <c r="H443" s="15"/>
      <c r="I443" s="15">
        <v>201405</v>
      </c>
      <c r="J443" s="16">
        <v>-950.54</v>
      </c>
      <c r="K443" s="44">
        <f t="shared" si="34"/>
        <v>41944</v>
      </c>
      <c r="L443" s="45">
        <f t="shared" si="30"/>
        <v>7</v>
      </c>
      <c r="M443" s="17">
        <v>1.4833299999999999E-3</v>
      </c>
      <c r="N443" s="46">
        <f t="shared" si="31"/>
        <v>-9.8697514873999985</v>
      </c>
      <c r="O443" s="16"/>
      <c r="P443" s="48">
        <f t="shared" si="32"/>
        <v>-457.44737500000002</v>
      </c>
      <c r="Q443" s="16"/>
      <c r="R443" s="48">
        <f t="shared" si="33"/>
        <v>-17.154870649999999</v>
      </c>
    </row>
    <row r="444" spans="1:18">
      <c r="A444" s="14" t="s">
        <v>17</v>
      </c>
      <c r="B444" s="15" t="s">
        <v>155</v>
      </c>
      <c r="C444" s="15" t="s">
        <v>156</v>
      </c>
      <c r="D444" s="14" t="s">
        <v>157</v>
      </c>
      <c r="E444" s="15" t="s">
        <v>32</v>
      </c>
      <c r="F444" s="14" t="s">
        <v>22</v>
      </c>
      <c r="G444" s="15" t="s">
        <v>23</v>
      </c>
      <c r="H444" s="15"/>
      <c r="I444" s="15">
        <v>201405</v>
      </c>
      <c r="J444" s="16">
        <v>-5583.19</v>
      </c>
      <c r="K444" s="44">
        <f t="shared" si="34"/>
        <v>41944</v>
      </c>
      <c r="L444" s="45">
        <f t="shared" si="30"/>
        <v>7</v>
      </c>
      <c r="M444" s="17">
        <v>1.4833299999999999E-3</v>
      </c>
      <c r="N444" s="46">
        <f t="shared" si="31"/>
        <v>-57.971992558899991</v>
      </c>
      <c r="O444" s="16"/>
      <c r="P444" s="48">
        <f t="shared" si="32"/>
        <v>-2686.9101875000001</v>
      </c>
      <c r="Q444" s="16"/>
      <c r="R444" s="48">
        <f t="shared" si="33"/>
        <v>-100.762621525</v>
      </c>
    </row>
    <row r="445" spans="1:18">
      <c r="A445" s="14" t="s">
        <v>17</v>
      </c>
      <c r="B445" s="15" t="s">
        <v>158</v>
      </c>
      <c r="C445" s="15" t="s">
        <v>159</v>
      </c>
      <c r="D445" s="14" t="s">
        <v>160</v>
      </c>
      <c r="E445" s="15" t="s">
        <v>108</v>
      </c>
      <c r="F445" s="14" t="s">
        <v>28</v>
      </c>
      <c r="G445" s="15" t="s">
        <v>23</v>
      </c>
      <c r="H445" s="15"/>
      <c r="I445" s="15">
        <v>201405</v>
      </c>
      <c r="J445" s="16">
        <v>-929</v>
      </c>
      <c r="K445" s="44">
        <f t="shared" si="34"/>
        <v>41944</v>
      </c>
      <c r="L445" s="45">
        <f t="shared" si="30"/>
        <v>7</v>
      </c>
      <c r="M445" s="17">
        <v>1.4833299999999999E-3</v>
      </c>
      <c r="N445" s="46">
        <f t="shared" si="31"/>
        <v>-9.6460949899999999</v>
      </c>
      <c r="O445" s="16"/>
      <c r="P445" s="48">
        <f t="shared" si="32"/>
        <v>-447.08125000000007</v>
      </c>
      <c r="Q445" s="16"/>
      <c r="R445" s="48">
        <f t="shared" si="33"/>
        <v>-16.7661275</v>
      </c>
    </row>
    <row r="446" spans="1:18">
      <c r="A446" s="14" t="s">
        <v>17</v>
      </c>
      <c r="B446" s="15" t="s">
        <v>161</v>
      </c>
      <c r="C446" s="15" t="s">
        <v>162</v>
      </c>
      <c r="D446" s="14" t="s">
        <v>163</v>
      </c>
      <c r="E446" s="15" t="s">
        <v>62</v>
      </c>
      <c r="F446" s="14" t="s">
        <v>22</v>
      </c>
      <c r="G446" s="15" t="s">
        <v>23</v>
      </c>
      <c r="H446" s="15"/>
      <c r="I446" s="15">
        <v>201405</v>
      </c>
      <c r="J446" s="16">
        <v>-3756.1</v>
      </c>
      <c r="K446" s="44">
        <f t="shared" si="34"/>
        <v>41944</v>
      </c>
      <c r="L446" s="45">
        <f t="shared" si="30"/>
        <v>7</v>
      </c>
      <c r="M446" s="17">
        <v>1.4833299999999999E-3</v>
      </c>
      <c r="N446" s="46">
        <f t="shared" si="31"/>
        <v>-39.000750691</v>
      </c>
      <c r="O446" s="16"/>
      <c r="P446" s="48">
        <f t="shared" si="32"/>
        <v>-1807.6231250000003</v>
      </c>
      <c r="Q446" s="16"/>
      <c r="R446" s="48">
        <f t="shared" si="33"/>
        <v>-67.788214750000009</v>
      </c>
    </row>
    <row r="447" spans="1:18">
      <c r="A447" s="14" t="s">
        <v>164</v>
      </c>
      <c r="B447" s="15" t="s">
        <v>165</v>
      </c>
      <c r="C447" s="15" t="s">
        <v>166</v>
      </c>
      <c r="D447" s="14" t="s">
        <v>167</v>
      </c>
      <c r="E447" s="15" t="s">
        <v>168</v>
      </c>
      <c r="F447" s="14" t="s">
        <v>169</v>
      </c>
      <c r="G447" s="15" t="s">
        <v>23</v>
      </c>
      <c r="H447" s="15"/>
      <c r="I447" s="15">
        <v>201405</v>
      </c>
      <c r="J447" s="16">
        <v>3995.9</v>
      </c>
      <c r="K447" s="44">
        <f t="shared" si="34"/>
        <v>41944</v>
      </c>
      <c r="L447" s="45">
        <f t="shared" si="30"/>
        <v>7</v>
      </c>
      <c r="M447" s="17">
        <v>2.1916700000000002E-3</v>
      </c>
      <c r="N447" s="46">
        <f t="shared" si="31"/>
        <v>61.303859071000005</v>
      </c>
      <c r="O447" s="16"/>
      <c r="P447" s="48">
        <f t="shared" si="32"/>
        <v>1923.0268750000002</v>
      </c>
      <c r="Q447" s="16"/>
      <c r="R447" s="48">
        <f t="shared" si="33"/>
        <v>72.116005250000001</v>
      </c>
    </row>
    <row r="448" spans="1:18">
      <c r="A448" s="14" t="s">
        <v>17</v>
      </c>
      <c r="B448" s="15" t="s">
        <v>170</v>
      </c>
      <c r="C448" s="15" t="s">
        <v>171</v>
      </c>
      <c r="D448" s="14" t="s">
        <v>172</v>
      </c>
      <c r="E448" s="15" t="s">
        <v>62</v>
      </c>
      <c r="F448" s="14" t="s">
        <v>22</v>
      </c>
      <c r="G448" s="15" t="s">
        <v>23</v>
      </c>
      <c r="H448" s="15"/>
      <c r="I448" s="15">
        <v>201405</v>
      </c>
      <c r="J448" s="16">
        <v>-28517.41</v>
      </c>
      <c r="K448" s="44">
        <f t="shared" si="34"/>
        <v>41944</v>
      </c>
      <c r="L448" s="45">
        <f t="shared" si="30"/>
        <v>7</v>
      </c>
      <c r="M448" s="17">
        <v>1.4833299999999999E-3</v>
      </c>
      <c r="N448" s="46">
        <f t="shared" si="31"/>
        <v>-296.10510842709999</v>
      </c>
      <c r="O448" s="16"/>
      <c r="P448" s="48">
        <f t="shared" si="32"/>
        <v>-13724.003562500002</v>
      </c>
      <c r="Q448" s="16"/>
      <c r="R448" s="48">
        <f t="shared" si="33"/>
        <v>-514.66795697500004</v>
      </c>
    </row>
    <row r="449" spans="1:18">
      <c r="A449" s="14" t="s">
        <v>17</v>
      </c>
      <c r="B449" s="15" t="s">
        <v>177</v>
      </c>
      <c r="C449" s="15" t="s">
        <v>178</v>
      </c>
      <c r="D449" s="14" t="s">
        <v>179</v>
      </c>
      <c r="E449" s="15" t="s">
        <v>176</v>
      </c>
      <c r="F449" s="14" t="s">
        <v>28</v>
      </c>
      <c r="G449" s="15" t="s">
        <v>23</v>
      </c>
      <c r="H449" s="15"/>
      <c r="I449" s="15">
        <v>201405</v>
      </c>
      <c r="J449" s="16">
        <v>-4898.51</v>
      </c>
      <c r="K449" s="44">
        <f t="shared" si="34"/>
        <v>41944</v>
      </c>
      <c r="L449" s="45">
        <f t="shared" si="30"/>
        <v>7</v>
      </c>
      <c r="M449" s="17">
        <v>1.4833299999999999E-3</v>
      </c>
      <c r="N449" s="46">
        <f t="shared" si="31"/>
        <v>-50.862747868100001</v>
      </c>
      <c r="O449" s="16"/>
      <c r="P449" s="48">
        <f t="shared" si="32"/>
        <v>-2357.4079375000006</v>
      </c>
      <c r="Q449" s="16"/>
      <c r="R449" s="48">
        <f t="shared" si="33"/>
        <v>-88.405859225000015</v>
      </c>
    </row>
    <row r="450" spans="1:18">
      <c r="A450" s="14" t="s">
        <v>17</v>
      </c>
      <c r="B450" s="15" t="s">
        <v>183</v>
      </c>
      <c r="C450" s="15" t="s">
        <v>184</v>
      </c>
      <c r="D450" s="14" t="s">
        <v>185</v>
      </c>
      <c r="E450" s="15" t="s">
        <v>53</v>
      </c>
      <c r="F450" s="14" t="s">
        <v>41</v>
      </c>
      <c r="G450" s="15" t="s">
        <v>23</v>
      </c>
      <c r="H450" s="15"/>
      <c r="I450" s="15">
        <v>201405</v>
      </c>
      <c r="J450" s="16">
        <v>-6859.64</v>
      </c>
      <c r="K450" s="44">
        <f t="shared" si="34"/>
        <v>41944</v>
      </c>
      <c r="L450" s="45">
        <f t="shared" si="30"/>
        <v>7</v>
      </c>
      <c r="M450" s="17">
        <v>1.4833299999999999E-3</v>
      </c>
      <c r="N450" s="46">
        <f t="shared" si="31"/>
        <v>-71.225768608400003</v>
      </c>
      <c r="O450" s="16"/>
      <c r="P450" s="48">
        <f t="shared" si="32"/>
        <v>-3301.2017500000006</v>
      </c>
      <c r="Q450" s="16"/>
      <c r="R450" s="48">
        <f t="shared" si="33"/>
        <v>-123.79935290000002</v>
      </c>
    </row>
    <row r="451" spans="1:18">
      <c r="A451" s="14" t="s">
        <v>17</v>
      </c>
      <c r="B451" s="15" t="s">
        <v>186</v>
      </c>
      <c r="C451" s="15" t="s">
        <v>187</v>
      </c>
      <c r="D451" s="14" t="s">
        <v>188</v>
      </c>
      <c r="E451" s="15" t="s">
        <v>108</v>
      </c>
      <c r="F451" s="14" t="s">
        <v>28</v>
      </c>
      <c r="G451" s="15" t="s">
        <v>23</v>
      </c>
      <c r="H451" s="15"/>
      <c r="I451" s="15">
        <v>201405</v>
      </c>
      <c r="J451" s="16">
        <v>-4833.3500000000004</v>
      </c>
      <c r="K451" s="44">
        <f t="shared" si="34"/>
        <v>41944</v>
      </c>
      <c r="L451" s="45">
        <f t="shared" si="30"/>
        <v>7</v>
      </c>
      <c r="M451" s="17">
        <v>1.4833299999999999E-3</v>
      </c>
      <c r="N451" s="46">
        <f t="shared" si="31"/>
        <v>-50.1861713885</v>
      </c>
      <c r="O451" s="16"/>
      <c r="P451" s="48">
        <f t="shared" si="32"/>
        <v>-2326.0496875000003</v>
      </c>
      <c r="Q451" s="16"/>
      <c r="R451" s="48">
        <f t="shared" si="33"/>
        <v>-87.229884125000012</v>
      </c>
    </row>
    <row r="452" spans="1:18">
      <c r="A452" s="18" t="s">
        <v>66</v>
      </c>
      <c r="B452" s="15" t="s">
        <v>197</v>
      </c>
      <c r="C452" s="15" t="s">
        <v>198</v>
      </c>
      <c r="D452" s="14" t="s">
        <v>69</v>
      </c>
      <c r="E452" s="15" t="s">
        <v>199</v>
      </c>
      <c r="F452" s="14" t="s">
        <v>71</v>
      </c>
      <c r="G452" s="15" t="s">
        <v>23</v>
      </c>
      <c r="H452" s="15"/>
      <c r="I452" s="15">
        <v>201405</v>
      </c>
      <c r="J452" s="16">
        <v>-3439.48</v>
      </c>
      <c r="K452" s="44">
        <f t="shared" si="34"/>
        <v>41944</v>
      </c>
      <c r="L452" s="45">
        <f t="shared" si="30"/>
        <v>7</v>
      </c>
      <c r="M452" s="17">
        <v>2.23333E-3</v>
      </c>
      <c r="N452" s="46">
        <f t="shared" si="31"/>
        <v>-53.770457078800007</v>
      </c>
      <c r="O452" s="16"/>
      <c r="P452" s="48">
        <f t="shared" si="32"/>
        <v>-1655.2497500000002</v>
      </c>
      <c r="Q452" s="16"/>
      <c r="R452" s="48">
        <f t="shared" si="33"/>
        <v>-62.074015300000006</v>
      </c>
    </row>
    <row r="453" spans="1:18">
      <c r="A453" s="18" t="s">
        <v>66</v>
      </c>
      <c r="B453" s="15" t="s">
        <v>200</v>
      </c>
      <c r="C453" s="15" t="s">
        <v>201</v>
      </c>
      <c r="D453" s="14" t="s">
        <v>202</v>
      </c>
      <c r="E453" s="15" t="s">
        <v>203</v>
      </c>
      <c r="F453" s="14" t="s">
        <v>80</v>
      </c>
      <c r="G453" s="15" t="s">
        <v>23</v>
      </c>
      <c r="H453" s="15"/>
      <c r="I453" s="15">
        <v>201405</v>
      </c>
      <c r="J453" s="16">
        <v>-44563.98</v>
      </c>
      <c r="K453" s="44">
        <f t="shared" si="34"/>
        <v>41944</v>
      </c>
      <c r="L453" s="45">
        <f t="shared" si="30"/>
        <v>7</v>
      </c>
      <c r="M453" s="17">
        <v>2.23333E-3</v>
      </c>
      <c r="N453" s="46">
        <f t="shared" si="31"/>
        <v>-696.68251417380009</v>
      </c>
      <c r="O453" s="16"/>
      <c r="P453" s="48">
        <f t="shared" si="32"/>
        <v>-21446.415375000004</v>
      </c>
      <c r="Q453" s="16"/>
      <c r="R453" s="48">
        <f t="shared" si="33"/>
        <v>-804.26842905000012</v>
      </c>
    </row>
    <row r="454" spans="1:18">
      <c r="A454" s="18" t="s">
        <v>66</v>
      </c>
      <c r="B454" s="15" t="s">
        <v>204</v>
      </c>
      <c r="C454" s="15" t="s">
        <v>205</v>
      </c>
      <c r="D454" s="14" t="s">
        <v>206</v>
      </c>
      <c r="E454" s="15" t="s">
        <v>207</v>
      </c>
      <c r="F454" s="14" t="s">
        <v>97</v>
      </c>
      <c r="G454" s="15" t="s">
        <v>23</v>
      </c>
      <c r="H454" s="15"/>
      <c r="I454" s="15">
        <v>201405</v>
      </c>
      <c r="J454" s="16">
        <v>-198.97</v>
      </c>
      <c r="K454" s="44">
        <f t="shared" si="34"/>
        <v>41944</v>
      </c>
      <c r="L454" s="45">
        <f t="shared" ref="L454:L517" si="35">((YEAR($L$1)-YEAR(K454))*12+MONTH($L$1)-MONTH(K454))</f>
        <v>7</v>
      </c>
      <c r="M454" s="17">
        <v>2.23333E-3</v>
      </c>
      <c r="N454" s="46">
        <f t="shared" ref="N454:N517" si="36">M454*L454*J454</f>
        <v>-3.1105596907000002</v>
      </c>
      <c r="O454" s="16"/>
      <c r="P454" s="48">
        <f t="shared" ref="P454:P517" si="37">$P$4*J454</f>
        <v>-95.754312500000012</v>
      </c>
      <c r="Q454" s="16"/>
      <c r="R454" s="48">
        <f t="shared" ref="R454:R517" si="38">$R$4*(J454*0.5)*$T$9</f>
        <v>-3.5909110750000002</v>
      </c>
    </row>
    <row r="455" spans="1:18">
      <c r="A455" s="18" t="s">
        <v>66</v>
      </c>
      <c r="B455" s="15" t="s">
        <v>208</v>
      </c>
      <c r="C455" s="15" t="s">
        <v>209</v>
      </c>
      <c r="D455" s="14" t="s">
        <v>210</v>
      </c>
      <c r="E455" s="15" t="s">
        <v>211</v>
      </c>
      <c r="F455" s="14" t="s">
        <v>212</v>
      </c>
      <c r="G455" s="15" t="s">
        <v>23</v>
      </c>
      <c r="H455" s="15"/>
      <c r="I455" s="15">
        <v>201405</v>
      </c>
      <c r="J455" s="16">
        <v>-2151.09</v>
      </c>
      <c r="K455" s="44">
        <f t="shared" ref="K455:K518" si="39">+K454</f>
        <v>41944</v>
      </c>
      <c r="L455" s="45">
        <f t="shared" si="35"/>
        <v>7</v>
      </c>
      <c r="M455" s="17">
        <v>2.23333E-3</v>
      </c>
      <c r="N455" s="46">
        <f t="shared" si="36"/>
        <v>-33.628656807900008</v>
      </c>
      <c r="O455" s="16"/>
      <c r="P455" s="48">
        <f t="shared" si="37"/>
        <v>-1035.2120625000002</v>
      </c>
      <c r="Q455" s="16"/>
      <c r="R455" s="48">
        <f t="shared" si="38"/>
        <v>-38.821796775000003</v>
      </c>
    </row>
    <row r="456" spans="1:18">
      <c r="A456" s="14" t="s">
        <v>17</v>
      </c>
      <c r="B456" s="15" t="s">
        <v>213</v>
      </c>
      <c r="C456" s="15" t="s">
        <v>214</v>
      </c>
      <c r="D456" s="14" t="s">
        <v>215</v>
      </c>
      <c r="E456" s="15" t="s">
        <v>216</v>
      </c>
      <c r="F456" s="14" t="s">
        <v>22</v>
      </c>
      <c r="G456" s="15" t="s">
        <v>23</v>
      </c>
      <c r="H456" s="15"/>
      <c r="I456" s="15">
        <v>201405</v>
      </c>
      <c r="J456" s="16">
        <v>-1696.72</v>
      </c>
      <c r="K456" s="44">
        <f t="shared" si="39"/>
        <v>41944</v>
      </c>
      <c r="L456" s="45">
        <f t="shared" si="35"/>
        <v>7</v>
      </c>
      <c r="M456" s="17">
        <v>1.4833299999999999E-3</v>
      </c>
      <c r="N456" s="46">
        <f t="shared" si="36"/>
        <v>-17.617569743200001</v>
      </c>
      <c r="O456" s="16"/>
      <c r="P456" s="48">
        <f t="shared" si="37"/>
        <v>-816.54650000000015</v>
      </c>
      <c r="Q456" s="16"/>
      <c r="R456" s="48">
        <f t="shared" si="38"/>
        <v>-30.621554200000002</v>
      </c>
    </row>
    <row r="457" spans="1:18">
      <c r="A457" s="14" t="s">
        <v>217</v>
      </c>
      <c r="B457" s="15" t="s">
        <v>218</v>
      </c>
      <c r="C457" s="15" t="s">
        <v>219</v>
      </c>
      <c r="D457" s="14" t="s">
        <v>220</v>
      </c>
      <c r="E457" s="15" t="s">
        <v>221</v>
      </c>
      <c r="F457" s="14" t="s">
        <v>222</v>
      </c>
      <c r="G457" s="15" t="s">
        <v>23</v>
      </c>
      <c r="H457" s="15"/>
      <c r="I457" s="15">
        <v>201405</v>
      </c>
      <c r="J457" s="16">
        <v>32706.04</v>
      </c>
      <c r="K457" s="44">
        <f t="shared" si="39"/>
        <v>41944</v>
      </c>
      <c r="L457" s="45">
        <f t="shared" si="35"/>
        <v>7</v>
      </c>
      <c r="M457" s="17">
        <v>1.4833299999999999E-3</v>
      </c>
      <c r="N457" s="46">
        <f t="shared" si="36"/>
        <v>339.59695219240001</v>
      </c>
      <c r="O457" s="16"/>
      <c r="P457" s="48">
        <f t="shared" si="37"/>
        <v>15739.781750000002</v>
      </c>
      <c r="Q457" s="16"/>
      <c r="R457" s="48">
        <f t="shared" si="38"/>
        <v>590.26225690000001</v>
      </c>
    </row>
    <row r="458" spans="1:18">
      <c r="A458" s="18" t="s">
        <v>66</v>
      </c>
      <c r="B458" s="15" t="s">
        <v>223</v>
      </c>
      <c r="C458" s="15" t="s">
        <v>224</v>
      </c>
      <c r="D458" s="14" t="s">
        <v>88</v>
      </c>
      <c r="E458" s="15" t="s">
        <v>225</v>
      </c>
      <c r="F458" s="14" t="s">
        <v>85</v>
      </c>
      <c r="G458" s="15" t="s">
        <v>23</v>
      </c>
      <c r="H458" s="15"/>
      <c r="I458" s="15">
        <v>201405</v>
      </c>
      <c r="J458" s="16">
        <v>-4003.07</v>
      </c>
      <c r="K458" s="44">
        <f t="shared" si="39"/>
        <v>41944</v>
      </c>
      <c r="L458" s="45">
        <f t="shared" si="35"/>
        <v>7</v>
      </c>
      <c r="M458" s="17">
        <v>2.23333E-3</v>
      </c>
      <c r="N458" s="46">
        <f t="shared" si="36"/>
        <v>-62.581234261700004</v>
      </c>
      <c r="O458" s="16"/>
      <c r="P458" s="48">
        <f t="shared" si="37"/>
        <v>-1926.4774375000004</v>
      </c>
      <c r="Q458" s="16"/>
      <c r="R458" s="48">
        <f t="shared" si="38"/>
        <v>-72.245405825000006</v>
      </c>
    </row>
    <row r="459" spans="1:18">
      <c r="A459" s="18" t="s">
        <v>66</v>
      </c>
      <c r="B459" s="15" t="s">
        <v>226</v>
      </c>
      <c r="C459" s="15" t="s">
        <v>227</v>
      </c>
      <c r="D459" s="14" t="s">
        <v>78</v>
      </c>
      <c r="E459" s="15" t="s">
        <v>228</v>
      </c>
      <c r="F459" s="14" t="s">
        <v>80</v>
      </c>
      <c r="G459" s="15" t="s">
        <v>23</v>
      </c>
      <c r="H459" s="15"/>
      <c r="I459" s="15">
        <v>201405</v>
      </c>
      <c r="J459" s="16">
        <v>-999.21</v>
      </c>
      <c r="K459" s="44">
        <f t="shared" si="39"/>
        <v>41944</v>
      </c>
      <c r="L459" s="45">
        <f t="shared" si="35"/>
        <v>7</v>
      </c>
      <c r="M459" s="17">
        <v>2.23333E-3</v>
      </c>
      <c r="N459" s="46">
        <f t="shared" si="36"/>
        <v>-15.620959685100001</v>
      </c>
      <c r="O459" s="16"/>
      <c r="P459" s="48">
        <f t="shared" si="37"/>
        <v>-480.86981250000008</v>
      </c>
      <c r="Q459" s="16"/>
      <c r="R459" s="48">
        <f t="shared" si="38"/>
        <v>-18.033242475000002</v>
      </c>
    </row>
    <row r="460" spans="1:18">
      <c r="A460" s="18" t="s">
        <v>66</v>
      </c>
      <c r="B460" s="15" t="s">
        <v>229</v>
      </c>
      <c r="C460" s="15" t="s">
        <v>230</v>
      </c>
      <c r="D460" s="14" t="s">
        <v>78</v>
      </c>
      <c r="E460" s="15" t="s">
        <v>231</v>
      </c>
      <c r="F460" s="14" t="s">
        <v>80</v>
      </c>
      <c r="G460" s="15" t="s">
        <v>23</v>
      </c>
      <c r="H460" s="15"/>
      <c r="I460" s="15">
        <v>201405</v>
      </c>
      <c r="J460" s="16">
        <v>-8089.39</v>
      </c>
      <c r="K460" s="44">
        <f t="shared" si="39"/>
        <v>41944</v>
      </c>
      <c r="L460" s="45">
        <f t="shared" si="35"/>
        <v>7</v>
      </c>
      <c r="M460" s="17">
        <v>2.23333E-3</v>
      </c>
      <c r="N460" s="46">
        <f t="shared" si="36"/>
        <v>-126.46394158090001</v>
      </c>
      <c r="O460" s="16"/>
      <c r="P460" s="48">
        <f t="shared" si="37"/>
        <v>-3893.0189375000009</v>
      </c>
      <c r="Q460" s="16"/>
      <c r="R460" s="48">
        <f t="shared" si="38"/>
        <v>-145.99326602500003</v>
      </c>
    </row>
    <row r="461" spans="1:18">
      <c r="A461" s="14" t="s">
        <v>17</v>
      </c>
      <c r="B461" s="15" t="s">
        <v>232</v>
      </c>
      <c r="C461" s="15" t="s">
        <v>233</v>
      </c>
      <c r="D461" s="14" t="s">
        <v>234</v>
      </c>
      <c r="E461" s="15" t="s">
        <v>40</v>
      </c>
      <c r="F461" s="14" t="s">
        <v>41</v>
      </c>
      <c r="G461" s="15" t="s">
        <v>23</v>
      </c>
      <c r="H461" s="15"/>
      <c r="I461" s="15">
        <v>201405</v>
      </c>
      <c r="J461" s="16">
        <v>-2973.38</v>
      </c>
      <c r="K461" s="44">
        <f t="shared" si="39"/>
        <v>41944</v>
      </c>
      <c r="L461" s="45">
        <f t="shared" si="35"/>
        <v>7</v>
      </c>
      <c r="M461" s="17">
        <v>1.4833299999999999E-3</v>
      </c>
      <c r="N461" s="46">
        <f t="shared" si="36"/>
        <v>-30.873526287800001</v>
      </c>
      <c r="O461" s="16"/>
      <c r="P461" s="48">
        <f t="shared" si="37"/>
        <v>-1430.9391250000003</v>
      </c>
      <c r="Q461" s="16"/>
      <c r="R461" s="48">
        <f t="shared" si="38"/>
        <v>-53.662075550000004</v>
      </c>
    </row>
    <row r="462" spans="1:18">
      <c r="A462" s="14" t="s">
        <v>17</v>
      </c>
      <c r="B462" s="15" t="s">
        <v>235</v>
      </c>
      <c r="C462" s="15" t="s">
        <v>236</v>
      </c>
      <c r="D462" s="14" t="s">
        <v>237</v>
      </c>
      <c r="E462" s="15" t="s">
        <v>62</v>
      </c>
      <c r="F462" s="14" t="s">
        <v>22</v>
      </c>
      <c r="G462" s="15" t="s">
        <v>23</v>
      </c>
      <c r="H462" s="15"/>
      <c r="I462" s="15">
        <v>201405</v>
      </c>
      <c r="J462" s="16">
        <v>70.489999999999995</v>
      </c>
      <c r="K462" s="44">
        <f t="shared" si="39"/>
        <v>41944</v>
      </c>
      <c r="L462" s="45">
        <f t="shared" si="35"/>
        <v>7</v>
      </c>
      <c r="M462" s="17">
        <v>1.4833299999999999E-3</v>
      </c>
      <c r="N462" s="46">
        <f t="shared" si="36"/>
        <v>0.73191952189999998</v>
      </c>
      <c r="O462" s="16"/>
      <c r="P462" s="48">
        <f t="shared" si="37"/>
        <v>33.923312500000002</v>
      </c>
      <c r="Q462" s="16"/>
      <c r="R462" s="48">
        <f t="shared" si="38"/>
        <v>1.2721682750000001</v>
      </c>
    </row>
    <row r="463" spans="1:18">
      <c r="A463" s="14" t="s">
        <v>238</v>
      </c>
      <c r="B463" s="15" t="s">
        <v>239</v>
      </c>
      <c r="C463" s="15" t="s">
        <v>240</v>
      </c>
      <c r="D463" s="14" t="s">
        <v>241</v>
      </c>
      <c r="E463" s="15" t="s">
        <v>168</v>
      </c>
      <c r="F463" s="14" t="s">
        <v>169</v>
      </c>
      <c r="G463" s="15" t="s">
        <v>23</v>
      </c>
      <c r="H463" s="15"/>
      <c r="I463" s="15">
        <v>201405</v>
      </c>
      <c r="J463" s="16">
        <v>-854.98</v>
      </c>
      <c r="K463" s="44">
        <f t="shared" si="39"/>
        <v>41944</v>
      </c>
      <c r="L463" s="45">
        <f t="shared" si="35"/>
        <v>7</v>
      </c>
      <c r="M463" s="17">
        <v>2.3833299999999999E-3</v>
      </c>
      <c r="N463" s="46">
        <f t="shared" si="36"/>
        <v>-14.263896383800001</v>
      </c>
      <c r="O463" s="16"/>
      <c r="P463" s="48">
        <f t="shared" si="37"/>
        <v>-411.45912500000009</v>
      </c>
      <c r="Q463" s="16"/>
      <c r="R463" s="48">
        <f t="shared" si="38"/>
        <v>-15.430251550000001</v>
      </c>
    </row>
    <row r="464" spans="1:18">
      <c r="A464" s="14" t="s">
        <v>17</v>
      </c>
      <c r="B464" s="15" t="s">
        <v>243</v>
      </c>
      <c r="C464" s="15" t="s">
        <v>244</v>
      </c>
      <c r="D464" s="14" t="s">
        <v>245</v>
      </c>
      <c r="E464" s="15" t="s">
        <v>246</v>
      </c>
      <c r="F464" s="14" t="s">
        <v>247</v>
      </c>
      <c r="G464" s="15" t="s">
        <v>23</v>
      </c>
      <c r="H464" s="15"/>
      <c r="I464" s="15">
        <v>201405</v>
      </c>
      <c r="J464" s="16">
        <v>7197.37</v>
      </c>
      <c r="K464" s="44">
        <f t="shared" si="39"/>
        <v>41944</v>
      </c>
      <c r="L464" s="45">
        <f t="shared" si="35"/>
        <v>7</v>
      </c>
      <c r="M464" s="17">
        <v>1.4833299999999999E-3</v>
      </c>
      <c r="N464" s="46">
        <f t="shared" si="36"/>
        <v>74.732523894699995</v>
      </c>
      <c r="O464" s="16"/>
      <c r="P464" s="48">
        <f t="shared" si="37"/>
        <v>3463.7343125000002</v>
      </c>
      <c r="Q464" s="16"/>
      <c r="R464" s="48">
        <f t="shared" si="38"/>
        <v>129.89453507499999</v>
      </c>
    </row>
    <row r="465" spans="1:18">
      <c r="A465" s="14" t="s">
        <v>242</v>
      </c>
      <c r="B465" s="15" t="s">
        <v>243</v>
      </c>
      <c r="C465" s="15" t="s">
        <v>244</v>
      </c>
      <c r="D465" s="14" t="s">
        <v>245</v>
      </c>
      <c r="E465" s="15" t="s">
        <v>246</v>
      </c>
      <c r="F465" s="14" t="s">
        <v>247</v>
      </c>
      <c r="G465" s="15" t="s">
        <v>23</v>
      </c>
      <c r="H465" s="15"/>
      <c r="I465" s="15">
        <v>201405</v>
      </c>
      <c r="J465" s="16">
        <v>15660.17</v>
      </c>
      <c r="K465" s="44">
        <f t="shared" si="39"/>
        <v>41944</v>
      </c>
      <c r="L465" s="45">
        <f t="shared" si="35"/>
        <v>7</v>
      </c>
      <c r="M465" s="17">
        <v>1.4833299999999999E-3</v>
      </c>
      <c r="N465" s="46">
        <f t="shared" si="36"/>
        <v>162.60439976269998</v>
      </c>
      <c r="O465" s="16"/>
      <c r="P465" s="48">
        <f t="shared" si="37"/>
        <v>7536.4568125000014</v>
      </c>
      <c r="Q465" s="16"/>
      <c r="R465" s="48">
        <f t="shared" si="38"/>
        <v>282.62691807499999</v>
      </c>
    </row>
    <row r="466" spans="1:18">
      <c r="A466" s="14" t="s">
        <v>17</v>
      </c>
      <c r="B466" s="15" t="s">
        <v>251</v>
      </c>
      <c r="C466" s="15" t="s">
        <v>249</v>
      </c>
      <c r="D466" s="14" t="s">
        <v>250</v>
      </c>
      <c r="E466" s="15" t="s">
        <v>62</v>
      </c>
      <c r="F466" s="14" t="s">
        <v>22</v>
      </c>
      <c r="G466" s="15" t="s">
        <v>23</v>
      </c>
      <c r="H466" s="15"/>
      <c r="I466" s="15">
        <v>201405</v>
      </c>
      <c r="J466" s="16">
        <v>-4120.3900000000003</v>
      </c>
      <c r="K466" s="44">
        <f t="shared" si="39"/>
        <v>41944</v>
      </c>
      <c r="L466" s="45">
        <f t="shared" si="35"/>
        <v>7</v>
      </c>
      <c r="M466" s="17">
        <v>1.4833299999999999E-3</v>
      </c>
      <c r="N466" s="46">
        <f t="shared" si="36"/>
        <v>-42.783286690899999</v>
      </c>
      <c r="O466" s="16"/>
      <c r="P466" s="48">
        <f t="shared" si="37"/>
        <v>-1982.9376875000005</v>
      </c>
      <c r="Q466" s="16"/>
      <c r="R466" s="48">
        <f t="shared" si="38"/>
        <v>-74.362738525000012</v>
      </c>
    </row>
    <row r="467" spans="1:18">
      <c r="A467" s="14" t="s">
        <v>17</v>
      </c>
      <c r="B467" s="15" t="s">
        <v>248</v>
      </c>
      <c r="C467" s="15" t="s">
        <v>249</v>
      </c>
      <c r="D467" s="14" t="s">
        <v>250</v>
      </c>
      <c r="E467" s="15" t="s">
        <v>62</v>
      </c>
      <c r="F467" s="14" t="s">
        <v>22</v>
      </c>
      <c r="G467" s="15" t="s">
        <v>23</v>
      </c>
      <c r="H467" s="15"/>
      <c r="I467" s="15">
        <v>201405</v>
      </c>
      <c r="J467" s="16">
        <v>-4.59</v>
      </c>
      <c r="K467" s="44">
        <f t="shared" si="39"/>
        <v>41944</v>
      </c>
      <c r="L467" s="45">
        <f t="shared" si="35"/>
        <v>7</v>
      </c>
      <c r="M467" s="17">
        <v>1.4833299999999999E-3</v>
      </c>
      <c r="N467" s="46">
        <f t="shared" si="36"/>
        <v>-4.76593929E-2</v>
      </c>
      <c r="O467" s="16"/>
      <c r="P467" s="48">
        <f t="shared" si="37"/>
        <v>-2.2089375000000002</v>
      </c>
      <c r="Q467" s="16"/>
      <c r="R467" s="48">
        <f t="shared" si="38"/>
        <v>-8.2838024999999996E-2</v>
      </c>
    </row>
    <row r="468" spans="1:18">
      <c r="A468" s="14" t="s">
        <v>17</v>
      </c>
      <c r="B468" s="15" t="s">
        <v>252</v>
      </c>
      <c r="C468" s="15" t="s">
        <v>253</v>
      </c>
      <c r="D468" s="14" t="s">
        <v>254</v>
      </c>
      <c r="E468" s="15" t="s">
        <v>141</v>
      </c>
      <c r="F468" s="14" t="s">
        <v>142</v>
      </c>
      <c r="G468" s="15" t="s">
        <v>23</v>
      </c>
      <c r="H468" s="15"/>
      <c r="I468" s="15">
        <v>201405</v>
      </c>
      <c r="J468" s="16">
        <v>-1836.58</v>
      </c>
      <c r="K468" s="44">
        <f t="shared" si="39"/>
        <v>41944</v>
      </c>
      <c r="L468" s="45">
        <f t="shared" si="35"/>
        <v>7</v>
      </c>
      <c r="M468" s="17">
        <v>1.4833299999999999E-3</v>
      </c>
      <c r="N468" s="46">
        <f t="shared" si="36"/>
        <v>-19.069779479799998</v>
      </c>
      <c r="O468" s="16"/>
      <c r="P468" s="48">
        <f t="shared" si="37"/>
        <v>-883.85412500000007</v>
      </c>
      <c r="Q468" s="16"/>
      <c r="R468" s="48">
        <f t="shared" si="38"/>
        <v>-33.145677550000002</v>
      </c>
    </row>
    <row r="469" spans="1:18">
      <c r="A469" s="14" t="s">
        <v>17</v>
      </c>
      <c r="B469" s="15" t="s">
        <v>255</v>
      </c>
      <c r="C469" s="15" t="s">
        <v>256</v>
      </c>
      <c r="D469" s="14" t="s">
        <v>257</v>
      </c>
      <c r="E469" s="15" t="s">
        <v>258</v>
      </c>
      <c r="F469" s="14" t="s">
        <v>259</v>
      </c>
      <c r="G469" s="15" t="s">
        <v>23</v>
      </c>
      <c r="H469" s="15"/>
      <c r="I469" s="15">
        <v>201405</v>
      </c>
      <c r="J469" s="16">
        <v>-1762.35</v>
      </c>
      <c r="K469" s="44">
        <f t="shared" si="39"/>
        <v>41944</v>
      </c>
      <c r="L469" s="45">
        <f t="shared" si="35"/>
        <v>7</v>
      </c>
      <c r="M469" s="17">
        <v>1.4833299999999999E-3</v>
      </c>
      <c r="N469" s="46">
        <f t="shared" si="36"/>
        <v>-18.299026378499999</v>
      </c>
      <c r="O469" s="16"/>
      <c r="P469" s="48">
        <f t="shared" si="37"/>
        <v>-848.13093750000007</v>
      </c>
      <c r="Q469" s="16"/>
      <c r="R469" s="48">
        <f t="shared" si="38"/>
        <v>-31.806011625</v>
      </c>
    </row>
    <row r="470" spans="1:18">
      <c r="A470" s="14" t="s">
        <v>17</v>
      </c>
      <c r="B470" s="15" t="s">
        <v>260</v>
      </c>
      <c r="C470" s="15" t="s">
        <v>261</v>
      </c>
      <c r="D470" s="14" t="s">
        <v>262</v>
      </c>
      <c r="E470" s="15" t="s">
        <v>258</v>
      </c>
      <c r="F470" s="14" t="s">
        <v>259</v>
      </c>
      <c r="G470" s="15" t="s">
        <v>23</v>
      </c>
      <c r="H470" s="15"/>
      <c r="I470" s="15">
        <v>201405</v>
      </c>
      <c r="J470" s="16">
        <v>-3195.74</v>
      </c>
      <c r="K470" s="44">
        <f t="shared" si="39"/>
        <v>41944</v>
      </c>
      <c r="L470" s="45">
        <f t="shared" si="35"/>
        <v>7</v>
      </c>
      <c r="M470" s="17">
        <v>1.4833299999999999E-3</v>
      </c>
      <c r="N470" s="46">
        <f t="shared" si="36"/>
        <v>-33.182359099399996</v>
      </c>
      <c r="O470" s="16"/>
      <c r="P470" s="48">
        <f t="shared" si="37"/>
        <v>-1537.949875</v>
      </c>
      <c r="Q470" s="16"/>
      <c r="R470" s="48">
        <f t="shared" si="38"/>
        <v>-57.675117649999997</v>
      </c>
    </row>
    <row r="471" spans="1:18">
      <c r="A471" s="14" t="s">
        <v>17</v>
      </c>
      <c r="B471" s="15" t="s">
        <v>263</v>
      </c>
      <c r="C471" s="15" t="s">
        <v>264</v>
      </c>
      <c r="D471" s="14" t="s">
        <v>265</v>
      </c>
      <c r="E471" s="15" t="s">
        <v>62</v>
      </c>
      <c r="F471" s="14" t="s">
        <v>22</v>
      </c>
      <c r="G471" s="15" t="s">
        <v>23</v>
      </c>
      <c r="H471" s="15"/>
      <c r="I471" s="15">
        <v>201405</v>
      </c>
      <c r="J471" s="16">
        <v>-2546.66</v>
      </c>
      <c r="K471" s="44">
        <f t="shared" si="39"/>
        <v>41944</v>
      </c>
      <c r="L471" s="45">
        <f t="shared" si="35"/>
        <v>7</v>
      </c>
      <c r="M471" s="17">
        <v>1.4833299999999999E-3</v>
      </c>
      <c r="N471" s="46">
        <f t="shared" si="36"/>
        <v>-26.442760244599999</v>
      </c>
      <c r="O471" s="16"/>
      <c r="P471" s="48">
        <f t="shared" si="37"/>
        <v>-1225.5801250000002</v>
      </c>
      <c r="Q471" s="16"/>
      <c r="R471" s="48">
        <f t="shared" si="38"/>
        <v>-45.960846349999997</v>
      </c>
    </row>
    <row r="472" spans="1:18">
      <c r="A472" s="14" t="s">
        <v>17</v>
      </c>
      <c r="B472" s="15" t="s">
        <v>266</v>
      </c>
      <c r="C472" s="15" t="s">
        <v>267</v>
      </c>
      <c r="D472" s="14" t="s">
        <v>268</v>
      </c>
      <c r="E472" s="15" t="s">
        <v>104</v>
      </c>
      <c r="F472" s="14" t="s">
        <v>41</v>
      </c>
      <c r="G472" s="15" t="s">
        <v>23</v>
      </c>
      <c r="H472" s="15"/>
      <c r="I472" s="15">
        <v>201405</v>
      </c>
      <c r="J472" s="16">
        <v>-388.06</v>
      </c>
      <c r="K472" s="44">
        <f t="shared" si="39"/>
        <v>41944</v>
      </c>
      <c r="L472" s="45">
        <f t="shared" si="35"/>
        <v>7</v>
      </c>
      <c r="M472" s="17">
        <v>1.4833299999999999E-3</v>
      </c>
      <c r="N472" s="46">
        <f t="shared" si="36"/>
        <v>-4.0293472785999995</v>
      </c>
      <c r="O472" s="16"/>
      <c r="P472" s="48">
        <f t="shared" si="37"/>
        <v>-186.75387500000002</v>
      </c>
      <c r="Q472" s="16"/>
      <c r="R472" s="48">
        <f t="shared" si="38"/>
        <v>-7.0035128500000008</v>
      </c>
    </row>
    <row r="473" spans="1:18">
      <c r="A473" s="14" t="s">
        <v>17</v>
      </c>
      <c r="B473" s="15" t="s">
        <v>269</v>
      </c>
      <c r="C473" s="15" t="s">
        <v>270</v>
      </c>
      <c r="D473" s="14" t="s">
        <v>271</v>
      </c>
      <c r="E473" s="15" t="s">
        <v>62</v>
      </c>
      <c r="F473" s="14" t="s">
        <v>22</v>
      </c>
      <c r="G473" s="15" t="s">
        <v>23</v>
      </c>
      <c r="H473" s="15"/>
      <c r="I473" s="15">
        <v>201405</v>
      </c>
      <c r="J473" s="16">
        <v>-2188.84</v>
      </c>
      <c r="K473" s="44">
        <f t="shared" si="39"/>
        <v>41944</v>
      </c>
      <c r="L473" s="45">
        <f t="shared" si="35"/>
        <v>7</v>
      </c>
      <c r="M473" s="17">
        <v>1.4833299999999999E-3</v>
      </c>
      <c r="N473" s="46">
        <f t="shared" si="36"/>
        <v>-22.7274042604</v>
      </c>
      <c r="O473" s="16"/>
      <c r="P473" s="48">
        <f t="shared" si="37"/>
        <v>-1053.3792500000002</v>
      </c>
      <c r="Q473" s="16"/>
      <c r="R473" s="48">
        <f t="shared" si="38"/>
        <v>-39.503089900000006</v>
      </c>
    </row>
    <row r="474" spans="1:18">
      <c r="A474" s="14" t="s">
        <v>17</v>
      </c>
      <c r="B474" s="15" t="s">
        <v>272</v>
      </c>
      <c r="C474" s="15" t="s">
        <v>273</v>
      </c>
      <c r="D474" s="14" t="s">
        <v>274</v>
      </c>
      <c r="E474" s="15" t="s">
        <v>36</v>
      </c>
      <c r="F474" s="14" t="s">
        <v>22</v>
      </c>
      <c r="G474" s="15" t="s">
        <v>23</v>
      </c>
      <c r="H474" s="15"/>
      <c r="I474" s="15">
        <v>201405</v>
      </c>
      <c r="J474" s="16">
        <v>-6287.61</v>
      </c>
      <c r="K474" s="44">
        <f t="shared" si="39"/>
        <v>41944</v>
      </c>
      <c r="L474" s="45">
        <f t="shared" si="35"/>
        <v>7</v>
      </c>
      <c r="M474" s="17">
        <v>1.4833299999999999E-3</v>
      </c>
      <c r="N474" s="46">
        <f t="shared" si="36"/>
        <v>-65.2862037891</v>
      </c>
      <c r="O474" s="16"/>
      <c r="P474" s="48">
        <f t="shared" si="37"/>
        <v>-3025.9123125000001</v>
      </c>
      <c r="Q474" s="16"/>
      <c r="R474" s="48">
        <f t="shared" si="38"/>
        <v>-113.475641475</v>
      </c>
    </row>
    <row r="475" spans="1:18">
      <c r="A475" s="14" t="s">
        <v>17</v>
      </c>
      <c r="B475" s="15" t="s">
        <v>275</v>
      </c>
      <c r="C475" s="15" t="s">
        <v>276</v>
      </c>
      <c r="D475" s="14" t="s">
        <v>277</v>
      </c>
      <c r="E475" s="15" t="s">
        <v>40</v>
      </c>
      <c r="F475" s="14" t="s">
        <v>41</v>
      </c>
      <c r="G475" s="15" t="s">
        <v>23</v>
      </c>
      <c r="H475" s="15"/>
      <c r="I475" s="15">
        <v>201405</v>
      </c>
      <c r="J475" s="16">
        <v>31047.45</v>
      </c>
      <c r="K475" s="44">
        <f t="shared" si="39"/>
        <v>41944</v>
      </c>
      <c r="L475" s="45">
        <f t="shared" si="35"/>
        <v>7</v>
      </c>
      <c r="M475" s="17">
        <v>1.4833299999999999E-3</v>
      </c>
      <c r="N475" s="46">
        <f t="shared" si="36"/>
        <v>322.37529805949998</v>
      </c>
      <c r="O475" s="16"/>
      <c r="P475" s="48">
        <f t="shared" si="37"/>
        <v>14941.585312500003</v>
      </c>
      <c r="Q475" s="16"/>
      <c r="R475" s="48">
        <f t="shared" si="38"/>
        <v>560.32885387500005</v>
      </c>
    </row>
    <row r="476" spans="1:18">
      <c r="A476" s="14" t="s">
        <v>17</v>
      </c>
      <c r="B476" s="15" t="s">
        <v>287</v>
      </c>
      <c r="C476" s="15" t="s">
        <v>288</v>
      </c>
      <c r="D476" s="14" t="s">
        <v>289</v>
      </c>
      <c r="E476" s="15" t="s">
        <v>21</v>
      </c>
      <c r="F476" s="14" t="s">
        <v>22</v>
      </c>
      <c r="G476" s="15" t="s">
        <v>23</v>
      </c>
      <c r="H476" s="15"/>
      <c r="I476" s="15">
        <v>201405</v>
      </c>
      <c r="J476" s="16">
        <v>-1810</v>
      </c>
      <c r="K476" s="44">
        <f t="shared" si="39"/>
        <v>41944</v>
      </c>
      <c r="L476" s="45">
        <f t="shared" si="35"/>
        <v>7</v>
      </c>
      <c r="M476" s="17">
        <v>1.4833299999999999E-3</v>
      </c>
      <c r="N476" s="46">
        <f t="shared" si="36"/>
        <v>-18.7937911</v>
      </c>
      <c r="O476" s="16"/>
      <c r="P476" s="48">
        <f t="shared" si="37"/>
        <v>-871.06250000000011</v>
      </c>
      <c r="Q476" s="16"/>
      <c r="R476" s="48">
        <f t="shared" si="38"/>
        <v>-32.665975000000003</v>
      </c>
    </row>
    <row r="477" spans="1:18">
      <c r="A477" s="14" t="s">
        <v>17</v>
      </c>
      <c r="B477" s="15" t="s">
        <v>290</v>
      </c>
      <c r="C477" s="15" t="s">
        <v>291</v>
      </c>
      <c r="D477" s="14" t="s">
        <v>292</v>
      </c>
      <c r="E477" s="15" t="s">
        <v>62</v>
      </c>
      <c r="F477" s="14" t="s">
        <v>22</v>
      </c>
      <c r="G477" s="15" t="s">
        <v>23</v>
      </c>
      <c r="H477" s="15"/>
      <c r="I477" s="15">
        <v>201405</v>
      </c>
      <c r="J477" s="16">
        <v>-1321.73</v>
      </c>
      <c r="K477" s="44">
        <f t="shared" si="39"/>
        <v>41944</v>
      </c>
      <c r="L477" s="45">
        <f t="shared" si="35"/>
        <v>7</v>
      </c>
      <c r="M477" s="17">
        <v>1.4833299999999999E-3</v>
      </c>
      <c r="N477" s="46">
        <f t="shared" si="36"/>
        <v>-13.7239323263</v>
      </c>
      <c r="O477" s="16"/>
      <c r="P477" s="48">
        <f t="shared" si="37"/>
        <v>-636.08256250000011</v>
      </c>
      <c r="Q477" s="16"/>
      <c r="R477" s="48">
        <f t="shared" si="38"/>
        <v>-23.853922175000001</v>
      </c>
    </row>
    <row r="478" spans="1:18">
      <c r="A478" s="14" t="s">
        <v>17</v>
      </c>
      <c r="B478" s="15" t="s">
        <v>293</v>
      </c>
      <c r="C478" s="15" t="s">
        <v>294</v>
      </c>
      <c r="D478" s="14" t="s">
        <v>295</v>
      </c>
      <c r="E478" s="15" t="s">
        <v>296</v>
      </c>
      <c r="F478" s="14" t="s">
        <v>28</v>
      </c>
      <c r="G478" s="15" t="s">
        <v>23</v>
      </c>
      <c r="H478" s="15"/>
      <c r="I478" s="15">
        <v>201405</v>
      </c>
      <c r="J478" s="16">
        <v>-774.52</v>
      </c>
      <c r="K478" s="44">
        <f t="shared" si="39"/>
        <v>41944</v>
      </c>
      <c r="L478" s="45">
        <f t="shared" si="35"/>
        <v>7</v>
      </c>
      <c r="M478" s="17">
        <v>1.4833299999999999E-3</v>
      </c>
      <c r="N478" s="46">
        <f t="shared" si="36"/>
        <v>-8.0420812611999999</v>
      </c>
      <c r="O478" s="16"/>
      <c r="P478" s="48">
        <f t="shared" si="37"/>
        <v>-372.73775000000006</v>
      </c>
      <c r="Q478" s="16"/>
      <c r="R478" s="48">
        <f t="shared" si="38"/>
        <v>-13.978149700000001</v>
      </c>
    </row>
    <row r="479" spans="1:18">
      <c r="A479" s="14" t="s">
        <v>17</v>
      </c>
      <c r="B479" s="15" t="s">
        <v>297</v>
      </c>
      <c r="C479" s="15" t="s">
        <v>298</v>
      </c>
      <c r="D479" s="14" t="s">
        <v>299</v>
      </c>
      <c r="E479" s="15" t="s">
        <v>21</v>
      </c>
      <c r="F479" s="14" t="s">
        <v>22</v>
      </c>
      <c r="G479" s="15" t="s">
        <v>23</v>
      </c>
      <c r="H479" s="15"/>
      <c r="I479" s="15">
        <v>201405</v>
      </c>
      <c r="J479" s="16">
        <v>-7749.74</v>
      </c>
      <c r="K479" s="44">
        <f t="shared" si="39"/>
        <v>41944</v>
      </c>
      <c r="L479" s="45">
        <f t="shared" si="35"/>
        <v>7</v>
      </c>
      <c r="M479" s="17">
        <v>1.4833299999999999E-3</v>
      </c>
      <c r="N479" s="46">
        <f t="shared" si="36"/>
        <v>-80.467952839399999</v>
      </c>
      <c r="O479" s="16"/>
      <c r="P479" s="48">
        <f t="shared" si="37"/>
        <v>-3729.5623750000004</v>
      </c>
      <c r="Q479" s="16"/>
      <c r="R479" s="48">
        <f t="shared" si="38"/>
        <v>-139.86343264999999</v>
      </c>
    </row>
    <row r="480" spans="1:18">
      <c r="A480" s="14" t="s">
        <v>17</v>
      </c>
      <c r="B480" s="15" t="s">
        <v>300</v>
      </c>
      <c r="C480" s="15" t="s">
        <v>301</v>
      </c>
      <c r="D480" s="14" t="s">
        <v>302</v>
      </c>
      <c r="E480" s="15" t="s">
        <v>141</v>
      </c>
      <c r="F480" s="14" t="s">
        <v>142</v>
      </c>
      <c r="G480" s="15" t="s">
        <v>23</v>
      </c>
      <c r="H480" s="15"/>
      <c r="I480" s="15">
        <v>201405</v>
      </c>
      <c r="J480" s="16">
        <v>-3382.84</v>
      </c>
      <c r="K480" s="44">
        <f t="shared" si="39"/>
        <v>41944</v>
      </c>
      <c r="L480" s="45">
        <f t="shared" si="35"/>
        <v>7</v>
      </c>
      <c r="M480" s="17">
        <v>1.4833299999999999E-3</v>
      </c>
      <c r="N480" s="46">
        <f t="shared" si="36"/>
        <v>-35.125076400399998</v>
      </c>
      <c r="O480" s="16"/>
      <c r="P480" s="48">
        <f t="shared" si="37"/>
        <v>-1627.9917500000004</v>
      </c>
      <c r="Q480" s="16"/>
      <c r="R480" s="48">
        <f t="shared" si="38"/>
        <v>-61.051804900000008</v>
      </c>
    </row>
    <row r="481" spans="1:18">
      <c r="A481" s="14" t="s">
        <v>54</v>
      </c>
      <c r="B481" s="15" t="s">
        <v>306</v>
      </c>
      <c r="C481" s="15" t="s">
        <v>307</v>
      </c>
      <c r="D481" s="14" t="s">
        <v>308</v>
      </c>
      <c r="E481" s="15" t="s">
        <v>36</v>
      </c>
      <c r="F481" s="14" t="s">
        <v>22</v>
      </c>
      <c r="G481" s="15" t="s">
        <v>23</v>
      </c>
      <c r="H481" s="15"/>
      <c r="I481" s="15">
        <v>201405</v>
      </c>
      <c r="J481" s="16">
        <v>7719.27</v>
      </c>
      <c r="K481" s="44">
        <f t="shared" si="39"/>
        <v>41944</v>
      </c>
      <c r="L481" s="45">
        <f t="shared" si="35"/>
        <v>7</v>
      </c>
      <c r="M481" s="17">
        <v>1.4833299999999999E-3</v>
      </c>
      <c r="N481" s="46">
        <f t="shared" si="36"/>
        <v>80.151573383699997</v>
      </c>
      <c r="O481" s="16"/>
      <c r="P481" s="48">
        <f t="shared" si="37"/>
        <v>3714.8986875000005</v>
      </c>
      <c r="Q481" s="16"/>
      <c r="R481" s="48">
        <f t="shared" si="38"/>
        <v>139.31352532500003</v>
      </c>
    </row>
    <row r="482" spans="1:18">
      <c r="A482" s="14" t="s">
        <v>17</v>
      </c>
      <c r="B482" s="15" t="s">
        <v>312</v>
      </c>
      <c r="C482" s="15" t="s">
        <v>313</v>
      </c>
      <c r="D482" s="14" t="s">
        <v>314</v>
      </c>
      <c r="E482" s="15" t="s">
        <v>176</v>
      </c>
      <c r="F482" s="14" t="s">
        <v>28</v>
      </c>
      <c r="G482" s="15" t="s">
        <v>23</v>
      </c>
      <c r="H482" s="15"/>
      <c r="I482" s="15">
        <v>201405</v>
      </c>
      <c r="J482" s="16">
        <v>-817.09</v>
      </c>
      <c r="K482" s="44">
        <f t="shared" si="39"/>
        <v>41944</v>
      </c>
      <c r="L482" s="45">
        <f t="shared" si="35"/>
        <v>7</v>
      </c>
      <c r="M482" s="17">
        <v>1.4833299999999999E-3</v>
      </c>
      <c r="N482" s="46">
        <f t="shared" si="36"/>
        <v>-8.4840987679000008</v>
      </c>
      <c r="O482" s="16"/>
      <c r="P482" s="48">
        <f t="shared" si="37"/>
        <v>-393.22456250000005</v>
      </c>
      <c r="Q482" s="16"/>
      <c r="R482" s="48">
        <f t="shared" si="38"/>
        <v>-14.746431775000001</v>
      </c>
    </row>
    <row r="483" spans="1:18">
      <c r="A483" s="14" t="s">
        <v>17</v>
      </c>
      <c r="B483" s="15" t="s">
        <v>315</v>
      </c>
      <c r="C483" s="15" t="s">
        <v>316</v>
      </c>
      <c r="D483" s="14" t="s">
        <v>317</v>
      </c>
      <c r="E483" s="15" t="s">
        <v>141</v>
      </c>
      <c r="F483" s="14" t="s">
        <v>142</v>
      </c>
      <c r="G483" s="15" t="s">
        <v>23</v>
      </c>
      <c r="H483" s="15"/>
      <c r="I483" s="15">
        <v>201405</v>
      </c>
      <c r="J483" s="16">
        <v>-1114.78</v>
      </c>
      <c r="K483" s="44">
        <f t="shared" si="39"/>
        <v>41944</v>
      </c>
      <c r="L483" s="45">
        <f t="shared" si="35"/>
        <v>7</v>
      </c>
      <c r="M483" s="17">
        <v>1.4833299999999999E-3</v>
      </c>
      <c r="N483" s="46">
        <f t="shared" si="36"/>
        <v>-11.5751063218</v>
      </c>
      <c r="O483" s="16"/>
      <c r="P483" s="48">
        <f t="shared" si="37"/>
        <v>-536.48787500000003</v>
      </c>
      <c r="Q483" s="16"/>
      <c r="R483" s="48">
        <f t="shared" si="38"/>
        <v>-20.118992049999999</v>
      </c>
    </row>
    <row r="484" spans="1:18">
      <c r="A484" s="14" t="s">
        <v>17</v>
      </c>
      <c r="B484" s="15" t="s">
        <v>318</v>
      </c>
      <c r="C484" s="15" t="s">
        <v>319</v>
      </c>
      <c r="D484" s="14" t="s">
        <v>320</v>
      </c>
      <c r="E484" s="15" t="s">
        <v>141</v>
      </c>
      <c r="F484" s="14" t="s">
        <v>142</v>
      </c>
      <c r="G484" s="15" t="s">
        <v>23</v>
      </c>
      <c r="H484" s="15"/>
      <c r="I484" s="15">
        <v>201405</v>
      </c>
      <c r="J484" s="16">
        <v>-3322.39</v>
      </c>
      <c r="K484" s="44">
        <f t="shared" si="39"/>
        <v>41944</v>
      </c>
      <c r="L484" s="45">
        <f t="shared" si="35"/>
        <v>7</v>
      </c>
      <c r="M484" s="17">
        <v>1.4833299999999999E-3</v>
      </c>
      <c r="N484" s="46">
        <f t="shared" si="36"/>
        <v>-34.4974053109</v>
      </c>
      <c r="O484" s="16"/>
      <c r="P484" s="48">
        <f t="shared" si="37"/>
        <v>-1598.9001875000001</v>
      </c>
      <c r="Q484" s="16"/>
      <c r="R484" s="48">
        <f t="shared" si="38"/>
        <v>-59.960833524999998</v>
      </c>
    </row>
    <row r="485" spans="1:18">
      <c r="A485" s="14" t="s">
        <v>17</v>
      </c>
      <c r="B485" s="15" t="s">
        <v>321</v>
      </c>
      <c r="C485" s="15" t="s">
        <v>322</v>
      </c>
      <c r="D485" s="14" t="s">
        <v>323</v>
      </c>
      <c r="E485" s="15" t="s">
        <v>324</v>
      </c>
      <c r="F485" s="14" t="s">
        <v>325</v>
      </c>
      <c r="G485" s="15" t="s">
        <v>23</v>
      </c>
      <c r="H485" s="15"/>
      <c r="I485" s="15">
        <v>201405</v>
      </c>
      <c r="J485" s="16">
        <v>-3790.49</v>
      </c>
      <c r="K485" s="44">
        <f t="shared" si="39"/>
        <v>41944</v>
      </c>
      <c r="L485" s="45">
        <f t="shared" si="35"/>
        <v>7</v>
      </c>
      <c r="M485" s="17">
        <v>1.4833299999999999E-3</v>
      </c>
      <c r="N485" s="46">
        <f t="shared" si="36"/>
        <v>-39.357832721899996</v>
      </c>
      <c r="O485" s="16"/>
      <c r="P485" s="48">
        <f t="shared" si="37"/>
        <v>-1824.1733125000001</v>
      </c>
      <c r="Q485" s="16"/>
      <c r="R485" s="48">
        <f t="shared" si="38"/>
        <v>-68.408868275000003</v>
      </c>
    </row>
    <row r="486" spans="1:18">
      <c r="A486" s="14" t="s">
        <v>17</v>
      </c>
      <c r="B486" s="15" t="s">
        <v>326</v>
      </c>
      <c r="C486" s="15" t="s">
        <v>327</v>
      </c>
      <c r="D486" s="14" t="s">
        <v>328</v>
      </c>
      <c r="E486" s="15" t="s">
        <v>32</v>
      </c>
      <c r="F486" s="14" t="s">
        <v>22</v>
      </c>
      <c r="G486" s="15" t="s">
        <v>23</v>
      </c>
      <c r="H486" s="15"/>
      <c r="I486" s="15">
        <v>201405</v>
      </c>
      <c r="J486" s="16">
        <v>-4834.6099999999997</v>
      </c>
      <c r="K486" s="44">
        <f t="shared" si="39"/>
        <v>41944</v>
      </c>
      <c r="L486" s="45">
        <f t="shared" si="35"/>
        <v>7</v>
      </c>
      <c r="M486" s="17">
        <v>1.4833299999999999E-3</v>
      </c>
      <c r="N486" s="46">
        <f t="shared" si="36"/>
        <v>-50.199254359099996</v>
      </c>
      <c r="O486" s="16"/>
      <c r="P486" s="48">
        <f t="shared" si="37"/>
        <v>-2326.6560625000002</v>
      </c>
      <c r="Q486" s="16"/>
      <c r="R486" s="48">
        <f t="shared" si="38"/>
        <v>-87.252623975000006</v>
      </c>
    </row>
    <row r="487" spans="1:18">
      <c r="A487" s="14" t="s">
        <v>17</v>
      </c>
      <c r="B487" s="15" t="s">
        <v>329</v>
      </c>
      <c r="C487" s="15" t="s">
        <v>330</v>
      </c>
      <c r="D487" s="14" t="s">
        <v>331</v>
      </c>
      <c r="E487" s="15" t="s">
        <v>108</v>
      </c>
      <c r="F487" s="14" t="s">
        <v>28</v>
      </c>
      <c r="G487" s="15" t="s">
        <v>23</v>
      </c>
      <c r="H487" s="15"/>
      <c r="I487" s="15">
        <v>201405</v>
      </c>
      <c r="J487" s="16">
        <v>-3969.83</v>
      </c>
      <c r="K487" s="44">
        <f t="shared" si="39"/>
        <v>41944</v>
      </c>
      <c r="L487" s="45">
        <f t="shared" si="35"/>
        <v>7</v>
      </c>
      <c r="M487" s="17">
        <v>1.4833299999999999E-3</v>
      </c>
      <c r="N487" s="46">
        <f t="shared" si="36"/>
        <v>-41.219975537300002</v>
      </c>
      <c r="O487" s="16"/>
      <c r="P487" s="48">
        <f t="shared" si="37"/>
        <v>-1910.4806875000002</v>
      </c>
      <c r="Q487" s="16"/>
      <c r="R487" s="48">
        <f t="shared" si="38"/>
        <v>-71.645506925000007</v>
      </c>
    </row>
    <row r="488" spans="1:18">
      <c r="A488" s="14" t="s">
        <v>17</v>
      </c>
      <c r="B488" s="15" t="s">
        <v>332</v>
      </c>
      <c r="C488" s="15" t="s">
        <v>333</v>
      </c>
      <c r="D488" s="14" t="s">
        <v>334</v>
      </c>
      <c r="E488" s="15" t="s">
        <v>36</v>
      </c>
      <c r="F488" s="14" t="s">
        <v>22</v>
      </c>
      <c r="G488" s="15" t="s">
        <v>23</v>
      </c>
      <c r="H488" s="15"/>
      <c r="I488" s="15">
        <v>201405</v>
      </c>
      <c r="J488" s="16">
        <v>-4653.4799999999996</v>
      </c>
      <c r="K488" s="44">
        <f t="shared" si="39"/>
        <v>41944</v>
      </c>
      <c r="L488" s="45">
        <f t="shared" si="35"/>
        <v>7</v>
      </c>
      <c r="M488" s="17">
        <v>1.4833299999999999E-3</v>
      </c>
      <c r="N488" s="46">
        <f t="shared" si="36"/>
        <v>-48.318525418799993</v>
      </c>
      <c r="O488" s="16"/>
      <c r="P488" s="48">
        <f t="shared" si="37"/>
        <v>-2239.4872500000001</v>
      </c>
      <c r="Q488" s="16"/>
      <c r="R488" s="48">
        <f t="shared" si="38"/>
        <v>-83.983680300000003</v>
      </c>
    </row>
    <row r="489" spans="1:18">
      <c r="A489" s="14" t="s">
        <v>17</v>
      </c>
      <c r="B489" s="15" t="s">
        <v>335</v>
      </c>
      <c r="C489" s="15" t="s">
        <v>336</v>
      </c>
      <c r="D489" s="14" t="s">
        <v>337</v>
      </c>
      <c r="E489" s="15" t="s">
        <v>62</v>
      </c>
      <c r="F489" s="14" t="s">
        <v>22</v>
      </c>
      <c r="G489" s="15" t="s">
        <v>23</v>
      </c>
      <c r="H489" s="15"/>
      <c r="I489" s="15">
        <v>201405</v>
      </c>
      <c r="J489" s="16">
        <v>-10436.39</v>
      </c>
      <c r="K489" s="44">
        <f t="shared" si="39"/>
        <v>41944</v>
      </c>
      <c r="L489" s="45">
        <f t="shared" si="35"/>
        <v>7</v>
      </c>
      <c r="M489" s="17">
        <v>1.4833299999999999E-3</v>
      </c>
      <c r="N489" s="46">
        <f t="shared" si="36"/>
        <v>-108.36427265089999</v>
      </c>
      <c r="O489" s="16"/>
      <c r="P489" s="48">
        <f t="shared" si="37"/>
        <v>-5022.5126875000005</v>
      </c>
      <c r="Q489" s="16"/>
      <c r="R489" s="48">
        <f t="shared" si="38"/>
        <v>-188.350748525</v>
      </c>
    </row>
    <row r="490" spans="1:18">
      <c r="A490" s="14" t="s">
        <v>17</v>
      </c>
      <c r="B490" s="15" t="s">
        <v>338</v>
      </c>
      <c r="C490" s="15" t="s">
        <v>339</v>
      </c>
      <c r="D490" s="14" t="s">
        <v>340</v>
      </c>
      <c r="E490" s="15" t="s">
        <v>62</v>
      </c>
      <c r="F490" s="14" t="s">
        <v>22</v>
      </c>
      <c r="G490" s="15" t="s">
        <v>23</v>
      </c>
      <c r="H490" s="15"/>
      <c r="I490" s="15">
        <v>201405</v>
      </c>
      <c r="J490" s="16">
        <v>5247.49</v>
      </c>
      <c r="K490" s="44">
        <f t="shared" si="39"/>
        <v>41944</v>
      </c>
      <c r="L490" s="45">
        <f t="shared" si="35"/>
        <v>7</v>
      </c>
      <c r="M490" s="17">
        <v>1.4833299999999999E-3</v>
      </c>
      <c r="N490" s="46">
        <f t="shared" si="36"/>
        <v>54.4863153919</v>
      </c>
      <c r="O490" s="16"/>
      <c r="P490" s="48">
        <f t="shared" si="37"/>
        <v>2525.3545625000002</v>
      </c>
      <c r="Q490" s="16"/>
      <c r="R490" s="48">
        <f t="shared" si="38"/>
        <v>94.704075775000007</v>
      </c>
    </row>
    <row r="491" spans="1:18">
      <c r="A491" s="14" t="s">
        <v>17</v>
      </c>
      <c r="B491" s="15" t="s">
        <v>344</v>
      </c>
      <c r="C491" s="15" t="s">
        <v>345</v>
      </c>
      <c r="D491" s="14" t="s">
        <v>346</v>
      </c>
      <c r="E491" s="15" t="s">
        <v>53</v>
      </c>
      <c r="F491" s="14" t="s">
        <v>41</v>
      </c>
      <c r="G491" s="15" t="s">
        <v>23</v>
      </c>
      <c r="H491" s="15"/>
      <c r="I491" s="15">
        <v>201405</v>
      </c>
      <c r="J491" s="16">
        <v>-10039.82</v>
      </c>
      <c r="K491" s="44">
        <f t="shared" si="39"/>
        <v>41944</v>
      </c>
      <c r="L491" s="45">
        <f t="shared" si="35"/>
        <v>7</v>
      </c>
      <c r="M491" s="17">
        <v>1.4833299999999999E-3</v>
      </c>
      <c r="N491" s="46">
        <f t="shared" si="36"/>
        <v>-104.24656340419999</v>
      </c>
      <c r="O491" s="16"/>
      <c r="P491" s="48">
        <f t="shared" si="37"/>
        <v>-4831.6633750000001</v>
      </c>
      <c r="Q491" s="16"/>
      <c r="R491" s="48">
        <f t="shared" si="38"/>
        <v>-181.19365145</v>
      </c>
    </row>
    <row r="492" spans="1:18">
      <c r="A492" s="14" t="s">
        <v>17</v>
      </c>
      <c r="B492" s="15" t="s">
        <v>347</v>
      </c>
      <c r="C492" s="15" t="s">
        <v>348</v>
      </c>
      <c r="D492" s="14" t="s">
        <v>349</v>
      </c>
      <c r="E492" s="15" t="s">
        <v>324</v>
      </c>
      <c r="F492" s="14" t="s">
        <v>325</v>
      </c>
      <c r="G492" s="15" t="s">
        <v>23</v>
      </c>
      <c r="H492" s="15"/>
      <c r="I492" s="15">
        <v>201405</v>
      </c>
      <c r="J492" s="16">
        <v>-1116.79</v>
      </c>
      <c r="K492" s="44">
        <f t="shared" si="39"/>
        <v>41944</v>
      </c>
      <c r="L492" s="45">
        <f t="shared" si="35"/>
        <v>7</v>
      </c>
      <c r="M492" s="17">
        <v>1.4833299999999999E-3</v>
      </c>
      <c r="N492" s="46">
        <f t="shared" si="36"/>
        <v>-11.595976774899999</v>
      </c>
      <c r="O492" s="16"/>
      <c r="P492" s="48">
        <f t="shared" si="37"/>
        <v>-537.45518750000008</v>
      </c>
      <c r="Q492" s="16"/>
      <c r="R492" s="48">
        <f t="shared" si="38"/>
        <v>-20.155267524999999</v>
      </c>
    </row>
    <row r="493" spans="1:18">
      <c r="A493" s="14" t="s">
        <v>17</v>
      </c>
      <c r="B493" s="15" t="s">
        <v>350</v>
      </c>
      <c r="C493" s="15" t="s">
        <v>351</v>
      </c>
      <c r="D493" s="14" t="s">
        <v>352</v>
      </c>
      <c r="E493" s="15" t="s">
        <v>108</v>
      </c>
      <c r="F493" s="14" t="s">
        <v>28</v>
      </c>
      <c r="G493" s="15" t="s">
        <v>23</v>
      </c>
      <c r="H493" s="15"/>
      <c r="I493" s="15">
        <v>201405</v>
      </c>
      <c r="J493" s="16">
        <v>-2144.5500000000002</v>
      </c>
      <c r="K493" s="44">
        <f t="shared" si="39"/>
        <v>41944</v>
      </c>
      <c r="L493" s="45">
        <f t="shared" si="35"/>
        <v>7</v>
      </c>
      <c r="M493" s="17">
        <v>1.4833299999999999E-3</v>
      </c>
      <c r="N493" s="46">
        <f t="shared" si="36"/>
        <v>-22.267527460500002</v>
      </c>
      <c r="O493" s="16"/>
      <c r="P493" s="48">
        <f t="shared" si="37"/>
        <v>-1032.0646875000002</v>
      </c>
      <c r="Q493" s="16"/>
      <c r="R493" s="48">
        <f t="shared" si="38"/>
        <v>-38.703766125000008</v>
      </c>
    </row>
    <row r="494" spans="1:18">
      <c r="A494" s="14" t="s">
        <v>17</v>
      </c>
      <c r="B494" s="15" t="s">
        <v>353</v>
      </c>
      <c r="C494" s="15" t="s">
        <v>354</v>
      </c>
      <c r="D494" s="14" t="s">
        <v>355</v>
      </c>
      <c r="E494" s="15" t="s">
        <v>62</v>
      </c>
      <c r="F494" s="14" t="s">
        <v>22</v>
      </c>
      <c r="G494" s="15" t="s">
        <v>23</v>
      </c>
      <c r="H494" s="15"/>
      <c r="I494" s="15">
        <v>201405</v>
      </c>
      <c r="J494" s="16">
        <v>-7223.94</v>
      </c>
      <c r="K494" s="44">
        <f t="shared" si="39"/>
        <v>41944</v>
      </c>
      <c r="L494" s="45">
        <f t="shared" si="35"/>
        <v>7</v>
      </c>
      <c r="M494" s="17">
        <v>1.4833299999999999E-3</v>
      </c>
      <c r="N494" s="46">
        <f t="shared" si="36"/>
        <v>-75.008408441399993</v>
      </c>
      <c r="O494" s="16"/>
      <c r="P494" s="48">
        <f t="shared" si="37"/>
        <v>-3476.5211250000002</v>
      </c>
      <c r="Q494" s="16"/>
      <c r="R494" s="48">
        <f t="shared" si="38"/>
        <v>-130.37405715</v>
      </c>
    </row>
    <row r="495" spans="1:18">
      <c r="A495" s="14" t="s">
        <v>238</v>
      </c>
      <c r="B495" s="15" t="s">
        <v>356</v>
      </c>
      <c r="C495" s="15" t="s">
        <v>357</v>
      </c>
      <c r="D495" s="14" t="s">
        <v>358</v>
      </c>
      <c r="E495" s="15" t="s">
        <v>168</v>
      </c>
      <c r="F495" s="14" t="s">
        <v>169</v>
      </c>
      <c r="G495" s="15" t="s">
        <v>23</v>
      </c>
      <c r="H495" s="15"/>
      <c r="I495" s="15">
        <v>201405</v>
      </c>
      <c r="J495" s="16">
        <v>-12571.01</v>
      </c>
      <c r="K495" s="44">
        <f t="shared" si="39"/>
        <v>41944</v>
      </c>
      <c r="L495" s="45">
        <f t="shared" si="35"/>
        <v>7</v>
      </c>
      <c r="M495" s="17">
        <v>2.3833299999999999E-3</v>
      </c>
      <c r="N495" s="46">
        <f t="shared" si="36"/>
        <v>-209.7260568431</v>
      </c>
      <c r="O495" s="16"/>
      <c r="P495" s="48">
        <f t="shared" si="37"/>
        <v>-6049.798562500001</v>
      </c>
      <c r="Q495" s="16"/>
      <c r="R495" s="48">
        <f t="shared" si="38"/>
        <v>-226.87530297500001</v>
      </c>
    </row>
    <row r="496" spans="1:18">
      <c r="A496" s="14" t="s">
        <v>17</v>
      </c>
      <c r="B496" s="15" t="s">
        <v>363</v>
      </c>
      <c r="C496" s="15" t="s">
        <v>364</v>
      </c>
      <c r="D496" s="14" t="s">
        <v>365</v>
      </c>
      <c r="E496" s="15" t="s">
        <v>21</v>
      </c>
      <c r="F496" s="14" t="s">
        <v>22</v>
      </c>
      <c r="G496" s="15" t="s">
        <v>23</v>
      </c>
      <c r="H496" s="15"/>
      <c r="I496" s="15">
        <v>201405</v>
      </c>
      <c r="J496" s="16">
        <v>-3231.12</v>
      </c>
      <c r="K496" s="44">
        <f t="shared" si="39"/>
        <v>41944</v>
      </c>
      <c r="L496" s="45">
        <f t="shared" si="35"/>
        <v>7</v>
      </c>
      <c r="M496" s="17">
        <v>1.4833299999999999E-3</v>
      </c>
      <c r="N496" s="46">
        <f t="shared" si="36"/>
        <v>-33.549720607200001</v>
      </c>
      <c r="O496" s="16"/>
      <c r="P496" s="48">
        <f t="shared" si="37"/>
        <v>-1554.9765000000002</v>
      </c>
      <c r="Q496" s="16"/>
      <c r="R496" s="48">
        <f t="shared" si="38"/>
        <v>-58.3136382</v>
      </c>
    </row>
    <row r="497" spans="1:18">
      <c r="A497" s="18" t="s">
        <v>66</v>
      </c>
      <c r="B497" s="15" t="s">
        <v>371</v>
      </c>
      <c r="C497" s="15" t="s">
        <v>372</v>
      </c>
      <c r="D497" s="14" t="s">
        <v>88</v>
      </c>
      <c r="E497" s="15" t="s">
        <v>373</v>
      </c>
      <c r="F497" s="14" t="s">
        <v>85</v>
      </c>
      <c r="G497" s="15" t="s">
        <v>23</v>
      </c>
      <c r="H497" s="15"/>
      <c r="I497" s="15">
        <v>201405</v>
      </c>
      <c r="J497" s="16">
        <v>88820.54</v>
      </c>
      <c r="K497" s="44">
        <f t="shared" si="39"/>
        <v>41944</v>
      </c>
      <c r="L497" s="45">
        <f t="shared" si="35"/>
        <v>7</v>
      </c>
      <c r="M497" s="17">
        <v>2.23333E-3</v>
      </c>
      <c r="N497" s="46">
        <f t="shared" si="36"/>
        <v>1388.5590361873999</v>
      </c>
      <c r="O497" s="16"/>
      <c r="P497" s="48">
        <f t="shared" si="37"/>
        <v>42744.884875000003</v>
      </c>
      <c r="Q497" s="16"/>
      <c r="R497" s="48">
        <f t="shared" si="38"/>
        <v>1602.98869565</v>
      </c>
    </row>
    <row r="498" spans="1:18">
      <c r="A498" s="18" t="s">
        <v>66</v>
      </c>
      <c r="B498" s="15" t="s">
        <v>374</v>
      </c>
      <c r="C498" s="15" t="s">
        <v>375</v>
      </c>
      <c r="D498" s="14" t="s">
        <v>376</v>
      </c>
      <c r="E498" s="15" t="s">
        <v>377</v>
      </c>
      <c r="F498" s="14" t="s">
        <v>378</v>
      </c>
      <c r="G498" s="15" t="s">
        <v>23</v>
      </c>
      <c r="H498" s="15"/>
      <c r="I498" s="15">
        <v>201405</v>
      </c>
      <c r="J498" s="16">
        <v>-2476.87</v>
      </c>
      <c r="K498" s="44">
        <f t="shared" si="39"/>
        <v>41944</v>
      </c>
      <c r="L498" s="45">
        <f t="shared" si="35"/>
        <v>7</v>
      </c>
      <c r="M498" s="17">
        <v>2.23333E-3</v>
      </c>
      <c r="N498" s="46">
        <f t="shared" si="36"/>
        <v>-38.721676539699999</v>
      </c>
      <c r="O498" s="16"/>
      <c r="P498" s="48">
        <f t="shared" si="37"/>
        <v>-1191.9936875000001</v>
      </c>
      <c r="Q498" s="16"/>
      <c r="R498" s="48">
        <f t="shared" si="38"/>
        <v>-44.701311324999999</v>
      </c>
    </row>
    <row r="499" spans="1:18">
      <c r="A499" s="18" t="s">
        <v>66</v>
      </c>
      <c r="B499" s="15" t="s">
        <v>379</v>
      </c>
      <c r="C499" s="15" t="s">
        <v>380</v>
      </c>
      <c r="D499" s="14" t="s">
        <v>381</v>
      </c>
      <c r="E499" s="15" t="s">
        <v>382</v>
      </c>
      <c r="F499" s="14" t="s">
        <v>212</v>
      </c>
      <c r="G499" s="15" t="s">
        <v>23</v>
      </c>
      <c r="H499" s="15"/>
      <c r="I499" s="15">
        <v>201405</v>
      </c>
      <c r="J499" s="16">
        <v>71529.350000000006</v>
      </c>
      <c r="K499" s="44">
        <f t="shared" si="39"/>
        <v>41944</v>
      </c>
      <c r="L499" s="45">
        <f t="shared" si="35"/>
        <v>7</v>
      </c>
      <c r="M499" s="17">
        <v>2.23333E-3</v>
      </c>
      <c r="N499" s="46">
        <f t="shared" si="36"/>
        <v>1118.2405026485001</v>
      </c>
      <c r="O499" s="16"/>
      <c r="P499" s="48">
        <f t="shared" si="37"/>
        <v>34423.499687500007</v>
      </c>
      <c r="Q499" s="16"/>
      <c r="R499" s="48">
        <f t="shared" si="38"/>
        <v>1290.9259441250001</v>
      </c>
    </row>
    <row r="500" spans="1:18">
      <c r="A500" s="18" t="s">
        <v>66</v>
      </c>
      <c r="B500" s="15" t="s">
        <v>388</v>
      </c>
      <c r="C500" s="15" t="s">
        <v>389</v>
      </c>
      <c r="D500" s="14" t="s">
        <v>385</v>
      </c>
      <c r="E500" s="15" t="s">
        <v>390</v>
      </c>
      <c r="F500" s="14" t="s">
        <v>387</v>
      </c>
      <c r="G500" s="15" t="s">
        <v>23</v>
      </c>
      <c r="H500" s="15"/>
      <c r="I500" s="15">
        <v>201405</v>
      </c>
      <c r="J500" s="16">
        <v>-80070.48</v>
      </c>
      <c r="K500" s="44">
        <f t="shared" si="39"/>
        <v>41944</v>
      </c>
      <c r="L500" s="45">
        <f t="shared" si="35"/>
        <v>7</v>
      </c>
      <c r="M500" s="17">
        <v>2.23333E-3</v>
      </c>
      <c r="N500" s="46">
        <f t="shared" si="36"/>
        <v>-1251.7666356888001</v>
      </c>
      <c r="O500" s="16"/>
      <c r="P500" s="48">
        <f t="shared" si="37"/>
        <v>-38533.9185</v>
      </c>
      <c r="Q500" s="16"/>
      <c r="R500" s="48">
        <f t="shared" si="38"/>
        <v>-1445.0719878</v>
      </c>
    </row>
    <row r="501" spans="1:18">
      <c r="A501" s="14" t="s">
        <v>17</v>
      </c>
      <c r="B501" s="15" t="s">
        <v>391</v>
      </c>
      <c r="C501" s="15" t="s">
        <v>392</v>
      </c>
      <c r="D501" s="14" t="s">
        <v>393</v>
      </c>
      <c r="E501" s="15" t="s">
        <v>394</v>
      </c>
      <c r="F501" s="14" t="s">
        <v>137</v>
      </c>
      <c r="G501" s="15" t="s">
        <v>23</v>
      </c>
      <c r="H501" s="15"/>
      <c r="I501" s="15">
        <v>201405</v>
      </c>
      <c r="J501" s="16">
        <v>865.38</v>
      </c>
      <c r="K501" s="44">
        <f t="shared" si="39"/>
        <v>41944</v>
      </c>
      <c r="L501" s="45">
        <f t="shared" si="35"/>
        <v>7</v>
      </c>
      <c r="M501" s="17">
        <v>1.4833299999999999E-3</v>
      </c>
      <c r="N501" s="46">
        <f t="shared" si="36"/>
        <v>8.9855088078000005</v>
      </c>
      <c r="O501" s="16"/>
      <c r="P501" s="48">
        <f t="shared" si="37"/>
        <v>416.46412500000008</v>
      </c>
      <c r="Q501" s="16"/>
      <c r="R501" s="48">
        <f t="shared" si="38"/>
        <v>15.61794555</v>
      </c>
    </row>
    <row r="502" spans="1:18">
      <c r="A502" s="14" t="s">
        <v>17</v>
      </c>
      <c r="B502" s="15" t="s">
        <v>395</v>
      </c>
      <c r="C502" s="15" t="s">
        <v>396</v>
      </c>
      <c r="D502" s="14" t="s">
        <v>397</v>
      </c>
      <c r="E502" s="15" t="s">
        <v>49</v>
      </c>
      <c r="F502" s="14" t="s">
        <v>22</v>
      </c>
      <c r="G502" s="15" t="s">
        <v>23</v>
      </c>
      <c r="H502" s="15"/>
      <c r="I502" s="15">
        <v>201405</v>
      </c>
      <c r="J502" s="16">
        <v>-17.62</v>
      </c>
      <c r="K502" s="44">
        <f t="shared" si="39"/>
        <v>41944</v>
      </c>
      <c r="L502" s="45">
        <f t="shared" si="35"/>
        <v>7</v>
      </c>
      <c r="M502" s="17">
        <v>1.4833299999999999E-3</v>
      </c>
      <c r="N502" s="46">
        <f t="shared" si="36"/>
        <v>-0.18295392220000001</v>
      </c>
      <c r="O502" s="16"/>
      <c r="P502" s="48">
        <f t="shared" si="37"/>
        <v>-8.4796250000000022</v>
      </c>
      <c r="Q502" s="16"/>
      <c r="R502" s="48">
        <f t="shared" si="38"/>
        <v>-0.31799695000000006</v>
      </c>
    </row>
    <row r="503" spans="1:18">
      <c r="A503" s="14" t="s">
        <v>238</v>
      </c>
      <c r="B503" s="15" t="s">
        <v>401</v>
      </c>
      <c r="C503" s="15" t="s">
        <v>402</v>
      </c>
      <c r="D503" s="14" t="s">
        <v>403</v>
      </c>
      <c r="E503" s="15" t="s">
        <v>168</v>
      </c>
      <c r="F503" s="14" t="s">
        <v>169</v>
      </c>
      <c r="G503" s="15" t="s">
        <v>23</v>
      </c>
      <c r="H503" s="15"/>
      <c r="I503" s="15">
        <v>201405</v>
      </c>
      <c r="J503" s="16">
        <v>-2688.88</v>
      </c>
      <c r="K503" s="44">
        <f t="shared" si="39"/>
        <v>41944</v>
      </c>
      <c r="L503" s="45">
        <f t="shared" si="35"/>
        <v>7</v>
      </c>
      <c r="M503" s="17">
        <v>2.3833299999999999E-3</v>
      </c>
      <c r="N503" s="46">
        <f t="shared" si="36"/>
        <v>-44.859418592800004</v>
      </c>
      <c r="O503" s="16"/>
      <c r="P503" s="48">
        <f t="shared" si="37"/>
        <v>-1294.0235000000002</v>
      </c>
      <c r="Q503" s="16"/>
      <c r="R503" s="48">
        <f t="shared" si="38"/>
        <v>-48.527561800000008</v>
      </c>
    </row>
    <row r="504" spans="1:18">
      <c r="A504" s="14" t="s">
        <v>17</v>
      </c>
      <c r="B504" s="15" t="s">
        <v>404</v>
      </c>
      <c r="C504" s="15" t="s">
        <v>405</v>
      </c>
      <c r="D504" s="14" t="s">
        <v>406</v>
      </c>
      <c r="E504" s="15" t="s">
        <v>58</v>
      </c>
      <c r="F504" s="14" t="s">
        <v>22</v>
      </c>
      <c r="G504" s="15" t="s">
        <v>23</v>
      </c>
      <c r="H504" s="15"/>
      <c r="I504" s="15">
        <v>201405</v>
      </c>
      <c r="J504" s="16">
        <v>-2672.93</v>
      </c>
      <c r="K504" s="44">
        <f t="shared" si="39"/>
        <v>41944</v>
      </c>
      <c r="L504" s="45">
        <f t="shared" si="35"/>
        <v>7</v>
      </c>
      <c r="M504" s="17">
        <v>1.4833299999999999E-3</v>
      </c>
      <c r="N504" s="46">
        <f t="shared" si="36"/>
        <v>-27.753860798299996</v>
      </c>
      <c r="O504" s="16"/>
      <c r="P504" s="48">
        <f t="shared" si="37"/>
        <v>-1286.3475625000001</v>
      </c>
      <c r="Q504" s="16"/>
      <c r="R504" s="48">
        <f t="shared" si="38"/>
        <v>-48.239704175</v>
      </c>
    </row>
    <row r="505" spans="1:18">
      <c r="A505" s="14" t="s">
        <v>17</v>
      </c>
      <c r="B505" s="15" t="s">
        <v>407</v>
      </c>
      <c r="C505" s="15" t="s">
        <v>408</v>
      </c>
      <c r="D505" s="14" t="s">
        <v>409</v>
      </c>
      <c r="E505" s="15" t="s">
        <v>53</v>
      </c>
      <c r="F505" s="14" t="s">
        <v>41</v>
      </c>
      <c r="G505" s="15" t="s">
        <v>23</v>
      </c>
      <c r="H505" s="15"/>
      <c r="I505" s="15">
        <v>201405</v>
      </c>
      <c r="J505" s="16">
        <v>-816.81</v>
      </c>
      <c r="K505" s="44">
        <f t="shared" si="39"/>
        <v>41944</v>
      </c>
      <c r="L505" s="45">
        <f t="shared" si="35"/>
        <v>7</v>
      </c>
      <c r="M505" s="17">
        <v>1.4833299999999999E-3</v>
      </c>
      <c r="N505" s="46">
        <f t="shared" si="36"/>
        <v>-8.4811914411</v>
      </c>
      <c r="O505" s="16"/>
      <c r="P505" s="48">
        <f t="shared" si="37"/>
        <v>-393.08981250000005</v>
      </c>
      <c r="Q505" s="16"/>
      <c r="R505" s="48">
        <f t="shared" si="38"/>
        <v>-14.741378474999999</v>
      </c>
    </row>
    <row r="506" spans="1:18">
      <c r="A506" s="14" t="s">
        <v>17</v>
      </c>
      <c r="B506" s="15" t="s">
        <v>410</v>
      </c>
      <c r="C506" s="15" t="s">
        <v>411</v>
      </c>
      <c r="D506" s="14" t="s">
        <v>412</v>
      </c>
      <c r="E506" s="15" t="s">
        <v>62</v>
      </c>
      <c r="F506" s="14" t="s">
        <v>22</v>
      </c>
      <c r="G506" s="15" t="s">
        <v>23</v>
      </c>
      <c r="H506" s="15"/>
      <c r="I506" s="15">
        <v>201405</v>
      </c>
      <c r="J506" s="16">
        <v>-3758.66</v>
      </c>
      <c r="K506" s="44">
        <f t="shared" si="39"/>
        <v>41944</v>
      </c>
      <c r="L506" s="45">
        <f t="shared" si="35"/>
        <v>7</v>
      </c>
      <c r="M506" s="17">
        <v>1.4833299999999999E-3</v>
      </c>
      <c r="N506" s="46">
        <f t="shared" si="36"/>
        <v>-39.027331964599995</v>
      </c>
      <c r="O506" s="16"/>
      <c r="P506" s="48">
        <f t="shared" si="37"/>
        <v>-1808.8551250000003</v>
      </c>
      <c r="Q506" s="16"/>
      <c r="R506" s="48">
        <f t="shared" si="38"/>
        <v>-67.834416349999998</v>
      </c>
    </row>
    <row r="507" spans="1:18">
      <c r="A507" s="14" t="s">
        <v>17</v>
      </c>
      <c r="B507" s="15" t="s">
        <v>413</v>
      </c>
      <c r="C507" s="15" t="s">
        <v>414</v>
      </c>
      <c r="D507" s="14" t="s">
        <v>415</v>
      </c>
      <c r="E507" s="15" t="s">
        <v>104</v>
      </c>
      <c r="F507" s="14" t="s">
        <v>41</v>
      </c>
      <c r="G507" s="15" t="s">
        <v>23</v>
      </c>
      <c r="H507" s="15"/>
      <c r="I507" s="15">
        <v>201405</v>
      </c>
      <c r="J507" s="16">
        <v>-7576.39</v>
      </c>
      <c r="K507" s="44">
        <f t="shared" si="39"/>
        <v>41944</v>
      </c>
      <c r="L507" s="45">
        <f t="shared" si="35"/>
        <v>7</v>
      </c>
      <c r="M507" s="17">
        <v>1.4833299999999999E-3</v>
      </c>
      <c r="N507" s="46">
        <f t="shared" si="36"/>
        <v>-78.668006050900004</v>
      </c>
      <c r="O507" s="16"/>
      <c r="P507" s="48">
        <f t="shared" si="37"/>
        <v>-3646.1376875000005</v>
      </c>
      <c r="Q507" s="16"/>
      <c r="R507" s="48">
        <f t="shared" si="38"/>
        <v>-136.73489852500001</v>
      </c>
    </row>
    <row r="508" spans="1:18">
      <c r="A508" s="14" t="s">
        <v>17</v>
      </c>
      <c r="B508" s="15" t="s">
        <v>416</v>
      </c>
      <c r="C508" s="15" t="s">
        <v>417</v>
      </c>
      <c r="D508" s="14" t="s">
        <v>418</v>
      </c>
      <c r="E508" s="15" t="s">
        <v>141</v>
      </c>
      <c r="F508" s="14" t="s">
        <v>142</v>
      </c>
      <c r="G508" s="15" t="s">
        <v>23</v>
      </c>
      <c r="H508" s="15"/>
      <c r="I508" s="15">
        <v>201405</v>
      </c>
      <c r="J508" s="16">
        <v>-11312.75</v>
      </c>
      <c r="K508" s="44">
        <f t="shared" si="39"/>
        <v>41944</v>
      </c>
      <c r="L508" s="45">
        <f t="shared" si="35"/>
        <v>7</v>
      </c>
      <c r="M508" s="17">
        <v>1.4833299999999999E-3</v>
      </c>
      <c r="N508" s="46">
        <f t="shared" si="36"/>
        <v>-117.46379020249999</v>
      </c>
      <c r="O508" s="16"/>
      <c r="P508" s="48">
        <f t="shared" si="37"/>
        <v>-5444.2609375000011</v>
      </c>
      <c r="Q508" s="16"/>
      <c r="R508" s="48">
        <f t="shared" si="38"/>
        <v>-204.16685562500001</v>
      </c>
    </row>
    <row r="509" spans="1:18">
      <c r="A509" s="14" t="s">
        <v>54</v>
      </c>
      <c r="B509" s="15" t="s">
        <v>419</v>
      </c>
      <c r="C509" s="15" t="s">
        <v>420</v>
      </c>
      <c r="D509" s="14" t="s">
        <v>421</v>
      </c>
      <c r="E509" s="15" t="s">
        <v>32</v>
      </c>
      <c r="F509" s="14" t="s">
        <v>22</v>
      </c>
      <c r="G509" s="15" t="s">
        <v>23</v>
      </c>
      <c r="H509" s="15"/>
      <c r="I509" s="15">
        <v>201405</v>
      </c>
      <c r="J509" s="16">
        <v>75664.539999999994</v>
      </c>
      <c r="K509" s="44">
        <f t="shared" si="39"/>
        <v>41944</v>
      </c>
      <c r="L509" s="45">
        <f t="shared" si="35"/>
        <v>7</v>
      </c>
      <c r="M509" s="17">
        <v>1.4833299999999999E-3</v>
      </c>
      <c r="N509" s="46">
        <f t="shared" si="36"/>
        <v>785.64837482739995</v>
      </c>
      <c r="O509" s="16"/>
      <c r="P509" s="48">
        <f t="shared" si="37"/>
        <v>36413.559874999999</v>
      </c>
      <c r="Q509" s="16"/>
      <c r="R509" s="48">
        <f t="shared" si="38"/>
        <v>1365.55578565</v>
      </c>
    </row>
    <row r="510" spans="1:18">
      <c r="A510" s="14" t="s">
        <v>17</v>
      </c>
      <c r="B510" s="15" t="s">
        <v>422</v>
      </c>
      <c r="C510" s="15" t="s">
        <v>423</v>
      </c>
      <c r="D510" s="14" t="s">
        <v>424</v>
      </c>
      <c r="E510" s="15" t="s">
        <v>246</v>
      </c>
      <c r="F510" s="14" t="s">
        <v>247</v>
      </c>
      <c r="G510" s="15" t="s">
        <v>23</v>
      </c>
      <c r="H510" s="15"/>
      <c r="I510" s="15">
        <v>201405</v>
      </c>
      <c r="J510" s="16">
        <v>-1787.48</v>
      </c>
      <c r="K510" s="44">
        <f t="shared" si="39"/>
        <v>41944</v>
      </c>
      <c r="L510" s="45">
        <f t="shared" si="35"/>
        <v>7</v>
      </c>
      <c r="M510" s="17">
        <v>1.4833299999999999E-3</v>
      </c>
      <c r="N510" s="46">
        <f t="shared" si="36"/>
        <v>-18.559958958799999</v>
      </c>
      <c r="O510" s="16"/>
      <c r="P510" s="48">
        <f t="shared" si="37"/>
        <v>-860.22475000000009</v>
      </c>
      <c r="Q510" s="16"/>
      <c r="R510" s="48">
        <f t="shared" si="38"/>
        <v>-32.259545299999999</v>
      </c>
    </row>
    <row r="511" spans="1:18">
      <c r="A511" s="14" t="s">
        <v>17</v>
      </c>
      <c r="B511" s="15" t="s">
        <v>425</v>
      </c>
      <c r="C511" s="15" t="s">
        <v>426</v>
      </c>
      <c r="D511" s="14" t="s">
        <v>427</v>
      </c>
      <c r="E511" s="15" t="s">
        <v>104</v>
      </c>
      <c r="F511" s="14" t="s">
        <v>41</v>
      </c>
      <c r="G511" s="15" t="s">
        <v>23</v>
      </c>
      <c r="H511" s="15"/>
      <c r="I511" s="15">
        <v>201405</v>
      </c>
      <c r="J511" s="16">
        <v>-831.02</v>
      </c>
      <c r="K511" s="44">
        <f t="shared" si="39"/>
        <v>41944</v>
      </c>
      <c r="L511" s="45">
        <f t="shared" si="35"/>
        <v>7</v>
      </c>
      <c r="M511" s="17">
        <v>1.4833299999999999E-3</v>
      </c>
      <c r="N511" s="46">
        <f t="shared" si="36"/>
        <v>-8.6287382762</v>
      </c>
      <c r="O511" s="16"/>
      <c r="P511" s="48">
        <f t="shared" si="37"/>
        <v>-399.92837500000007</v>
      </c>
      <c r="Q511" s="16"/>
      <c r="R511" s="48">
        <f t="shared" si="38"/>
        <v>-14.99783345</v>
      </c>
    </row>
    <row r="512" spans="1:18">
      <c r="A512" s="14" t="s">
        <v>17</v>
      </c>
      <c r="B512" s="15" t="s">
        <v>428</v>
      </c>
      <c r="C512" s="15" t="s">
        <v>429</v>
      </c>
      <c r="D512" s="14" t="s">
        <v>430</v>
      </c>
      <c r="E512" s="15" t="s">
        <v>32</v>
      </c>
      <c r="F512" s="14" t="s">
        <v>22</v>
      </c>
      <c r="G512" s="15" t="s">
        <v>23</v>
      </c>
      <c r="H512" s="15"/>
      <c r="I512" s="15">
        <v>201405</v>
      </c>
      <c r="J512" s="16">
        <v>-4334.6899999999996</v>
      </c>
      <c r="K512" s="44">
        <f t="shared" si="39"/>
        <v>41944</v>
      </c>
      <c r="L512" s="45">
        <f t="shared" si="35"/>
        <v>7</v>
      </c>
      <c r="M512" s="17">
        <v>1.4833299999999999E-3</v>
      </c>
      <c r="N512" s="46">
        <f t="shared" si="36"/>
        <v>-45.008430023899997</v>
      </c>
      <c r="O512" s="16"/>
      <c r="P512" s="48">
        <f t="shared" si="37"/>
        <v>-2086.0695625000003</v>
      </c>
      <c r="Q512" s="16"/>
      <c r="R512" s="48">
        <f t="shared" si="38"/>
        <v>-78.230317775000003</v>
      </c>
    </row>
    <row r="513" spans="1:18">
      <c r="A513" s="14" t="s">
        <v>17</v>
      </c>
      <c r="B513" s="15" t="s">
        <v>431</v>
      </c>
      <c r="C513" s="15" t="s">
        <v>432</v>
      </c>
      <c r="D513" s="14" t="s">
        <v>433</v>
      </c>
      <c r="E513" s="15" t="s">
        <v>258</v>
      </c>
      <c r="F513" s="14" t="s">
        <v>259</v>
      </c>
      <c r="G513" s="15" t="s">
        <v>23</v>
      </c>
      <c r="H513" s="15"/>
      <c r="I513" s="15">
        <v>201405</v>
      </c>
      <c r="J513" s="16">
        <v>-1105.58</v>
      </c>
      <c r="K513" s="44">
        <f t="shared" si="39"/>
        <v>41944</v>
      </c>
      <c r="L513" s="45">
        <f t="shared" si="35"/>
        <v>7</v>
      </c>
      <c r="M513" s="17">
        <v>1.4833299999999999E-3</v>
      </c>
      <c r="N513" s="46">
        <f t="shared" si="36"/>
        <v>-11.479579869799998</v>
      </c>
      <c r="O513" s="16"/>
      <c r="P513" s="48">
        <f t="shared" si="37"/>
        <v>-532.06037500000002</v>
      </c>
      <c r="Q513" s="16"/>
      <c r="R513" s="48">
        <f t="shared" si="38"/>
        <v>-19.95295505</v>
      </c>
    </row>
    <row r="514" spans="1:18">
      <c r="A514" s="14" t="s">
        <v>17</v>
      </c>
      <c r="B514" s="15" t="s">
        <v>437</v>
      </c>
      <c r="C514" s="15" t="s">
        <v>438</v>
      </c>
      <c r="D514" s="14" t="s">
        <v>439</v>
      </c>
      <c r="E514" s="15" t="s">
        <v>440</v>
      </c>
      <c r="F514" s="14" t="s">
        <v>28</v>
      </c>
      <c r="G514" s="15" t="s">
        <v>23</v>
      </c>
      <c r="H514" s="15"/>
      <c r="I514" s="15">
        <v>201405</v>
      </c>
      <c r="J514" s="16">
        <v>-1525.21</v>
      </c>
      <c r="K514" s="44">
        <f t="shared" si="39"/>
        <v>41944</v>
      </c>
      <c r="L514" s="45">
        <f t="shared" si="35"/>
        <v>7</v>
      </c>
      <c r="M514" s="17">
        <v>1.4833299999999999E-3</v>
      </c>
      <c r="N514" s="46">
        <f t="shared" si="36"/>
        <v>-15.8367282451</v>
      </c>
      <c r="O514" s="16"/>
      <c r="P514" s="48">
        <f t="shared" si="37"/>
        <v>-734.00731250000013</v>
      </c>
      <c r="Q514" s="16"/>
      <c r="R514" s="48">
        <f t="shared" si="38"/>
        <v>-27.526227475000002</v>
      </c>
    </row>
    <row r="515" spans="1:18">
      <c r="A515" s="14" t="s">
        <v>17</v>
      </c>
      <c r="B515" s="15" t="s">
        <v>444</v>
      </c>
      <c r="C515" s="15" t="s">
        <v>445</v>
      </c>
      <c r="D515" s="14" t="s">
        <v>446</v>
      </c>
      <c r="E515" s="15" t="s">
        <v>62</v>
      </c>
      <c r="F515" s="14" t="s">
        <v>22</v>
      </c>
      <c r="G515" s="15" t="s">
        <v>23</v>
      </c>
      <c r="H515" s="15"/>
      <c r="I515" s="15">
        <v>201405</v>
      </c>
      <c r="J515" s="16">
        <v>-13149.36</v>
      </c>
      <c r="K515" s="44">
        <f t="shared" si="39"/>
        <v>41944</v>
      </c>
      <c r="L515" s="45">
        <f t="shared" si="35"/>
        <v>7</v>
      </c>
      <c r="M515" s="17">
        <v>1.4833299999999999E-3</v>
      </c>
      <c r="N515" s="46">
        <f t="shared" si="36"/>
        <v>-136.53388118160001</v>
      </c>
      <c r="O515" s="16"/>
      <c r="P515" s="48">
        <f t="shared" si="37"/>
        <v>-6328.1295000000009</v>
      </c>
      <c r="Q515" s="16"/>
      <c r="R515" s="48">
        <f t="shared" si="38"/>
        <v>-237.31307460000002</v>
      </c>
    </row>
    <row r="516" spans="1:18">
      <c r="A516" s="14" t="s">
        <v>17</v>
      </c>
      <c r="B516" s="15" t="s">
        <v>447</v>
      </c>
      <c r="C516" s="15" t="s">
        <v>448</v>
      </c>
      <c r="D516" s="14" t="s">
        <v>449</v>
      </c>
      <c r="E516" s="15" t="s">
        <v>296</v>
      </c>
      <c r="F516" s="14" t="s">
        <v>28</v>
      </c>
      <c r="G516" s="15" t="s">
        <v>23</v>
      </c>
      <c r="H516" s="15"/>
      <c r="I516" s="15">
        <v>201405</v>
      </c>
      <c r="J516" s="16">
        <v>-4353.18</v>
      </c>
      <c r="K516" s="44">
        <f t="shared" si="39"/>
        <v>41944</v>
      </c>
      <c r="L516" s="45">
        <f t="shared" si="35"/>
        <v>7</v>
      </c>
      <c r="M516" s="17">
        <v>1.4833299999999999E-3</v>
      </c>
      <c r="N516" s="46">
        <f t="shared" si="36"/>
        <v>-45.200417425800005</v>
      </c>
      <c r="O516" s="16"/>
      <c r="P516" s="48">
        <f t="shared" si="37"/>
        <v>-2094.9678750000003</v>
      </c>
      <c r="Q516" s="16"/>
      <c r="R516" s="48">
        <f t="shared" si="38"/>
        <v>-78.564016050000006</v>
      </c>
    </row>
    <row r="517" spans="1:18">
      <c r="A517" s="14" t="s">
        <v>17</v>
      </c>
      <c r="B517" s="15" t="s">
        <v>450</v>
      </c>
      <c r="C517" s="15" t="s">
        <v>451</v>
      </c>
      <c r="D517" s="14" t="s">
        <v>452</v>
      </c>
      <c r="E517" s="15" t="s">
        <v>45</v>
      </c>
      <c r="F517" s="14" t="s">
        <v>22</v>
      </c>
      <c r="G517" s="15" t="s">
        <v>23</v>
      </c>
      <c r="H517" s="15"/>
      <c r="I517" s="15">
        <v>201405</v>
      </c>
      <c r="J517" s="16">
        <v>-6118.99</v>
      </c>
      <c r="K517" s="44">
        <f t="shared" si="39"/>
        <v>41944</v>
      </c>
      <c r="L517" s="45">
        <f t="shared" si="35"/>
        <v>7</v>
      </c>
      <c r="M517" s="17">
        <v>1.4833299999999999E-3</v>
      </c>
      <c r="N517" s="46">
        <f t="shared" si="36"/>
        <v>-63.5353700569</v>
      </c>
      <c r="O517" s="16"/>
      <c r="P517" s="48">
        <f t="shared" si="37"/>
        <v>-2944.7639375000003</v>
      </c>
      <c r="Q517" s="16"/>
      <c r="R517" s="48">
        <f t="shared" si="38"/>
        <v>-110.432472025</v>
      </c>
    </row>
    <row r="518" spans="1:18">
      <c r="A518" s="14" t="s">
        <v>17</v>
      </c>
      <c r="B518" s="15" t="s">
        <v>453</v>
      </c>
      <c r="C518" s="15" t="s">
        <v>454</v>
      </c>
      <c r="D518" s="14" t="s">
        <v>455</v>
      </c>
      <c r="E518" s="15" t="s">
        <v>62</v>
      </c>
      <c r="F518" s="14" t="s">
        <v>22</v>
      </c>
      <c r="G518" s="15" t="s">
        <v>23</v>
      </c>
      <c r="H518" s="15"/>
      <c r="I518" s="15">
        <v>201405</v>
      </c>
      <c r="J518" s="16">
        <v>-399.33</v>
      </c>
      <c r="K518" s="44">
        <f t="shared" si="39"/>
        <v>41944</v>
      </c>
      <c r="L518" s="45">
        <f t="shared" ref="L518:L581" si="40">((YEAR($L$1)-YEAR(K518))*12+MONTH($L$1)-MONTH(K518))</f>
        <v>7</v>
      </c>
      <c r="M518" s="17">
        <v>1.4833299999999999E-3</v>
      </c>
      <c r="N518" s="46">
        <f t="shared" ref="N518:N581" si="41">M518*L518*J518</f>
        <v>-4.1463671822999997</v>
      </c>
      <c r="O518" s="16"/>
      <c r="P518" s="48">
        <f t="shared" ref="P518:P581" si="42">$P$4*J518</f>
        <v>-192.17756250000002</v>
      </c>
      <c r="Q518" s="16"/>
      <c r="R518" s="48">
        <f t="shared" ref="R518:R581" si="43">$R$4*(J518*0.5)*$T$9</f>
        <v>-7.2069081749999997</v>
      </c>
    </row>
    <row r="519" spans="1:18">
      <c r="A519" s="14" t="s">
        <v>17</v>
      </c>
      <c r="B519" s="15" t="s">
        <v>456</v>
      </c>
      <c r="C519" s="15" t="s">
        <v>457</v>
      </c>
      <c r="D519" s="14" t="s">
        <v>458</v>
      </c>
      <c r="E519" s="15" t="s">
        <v>21</v>
      </c>
      <c r="F519" s="14" t="s">
        <v>22</v>
      </c>
      <c r="G519" s="15" t="s">
        <v>23</v>
      </c>
      <c r="H519" s="15"/>
      <c r="I519" s="15">
        <v>201405</v>
      </c>
      <c r="J519" s="16">
        <v>-2886.98</v>
      </c>
      <c r="K519" s="44">
        <f t="shared" ref="K519:K582" si="44">+K518</f>
        <v>41944</v>
      </c>
      <c r="L519" s="45">
        <f t="shared" si="40"/>
        <v>7</v>
      </c>
      <c r="M519" s="17">
        <v>1.4833299999999999E-3</v>
      </c>
      <c r="N519" s="46">
        <f t="shared" si="41"/>
        <v>-29.9764083038</v>
      </c>
      <c r="O519" s="16"/>
      <c r="P519" s="48">
        <f t="shared" si="42"/>
        <v>-1389.3591250000002</v>
      </c>
      <c r="Q519" s="16"/>
      <c r="R519" s="48">
        <f t="shared" si="43"/>
        <v>-52.10277155</v>
      </c>
    </row>
    <row r="520" spans="1:18">
      <c r="A520" s="14" t="s">
        <v>17</v>
      </c>
      <c r="B520" s="15" t="s">
        <v>459</v>
      </c>
      <c r="C520" s="15" t="s">
        <v>460</v>
      </c>
      <c r="D520" s="14" t="s">
        <v>461</v>
      </c>
      <c r="E520" s="15" t="s">
        <v>462</v>
      </c>
      <c r="F520" s="14" t="s">
        <v>142</v>
      </c>
      <c r="G520" s="15" t="s">
        <v>23</v>
      </c>
      <c r="H520" s="15"/>
      <c r="I520" s="15">
        <v>201405</v>
      </c>
      <c r="J520" s="16">
        <v>685.5</v>
      </c>
      <c r="K520" s="44">
        <f t="shared" si="44"/>
        <v>41944</v>
      </c>
      <c r="L520" s="45">
        <f t="shared" si="40"/>
        <v>7</v>
      </c>
      <c r="M520" s="17">
        <v>1.4833299999999999E-3</v>
      </c>
      <c r="N520" s="46">
        <f t="shared" si="41"/>
        <v>7.1177590049999999</v>
      </c>
      <c r="O520" s="16"/>
      <c r="P520" s="48">
        <f t="shared" si="42"/>
        <v>329.89687500000002</v>
      </c>
      <c r="Q520" s="16"/>
      <c r="R520" s="48">
        <f t="shared" si="43"/>
        <v>12.371561250000001</v>
      </c>
    </row>
    <row r="521" spans="1:18">
      <c r="A521" s="14" t="s">
        <v>17</v>
      </c>
      <c r="B521" s="15" t="s">
        <v>468</v>
      </c>
      <c r="C521" s="15" t="s">
        <v>469</v>
      </c>
      <c r="D521" s="14" t="s">
        <v>470</v>
      </c>
      <c r="E521" s="15" t="s">
        <v>136</v>
      </c>
      <c r="F521" s="14" t="s">
        <v>137</v>
      </c>
      <c r="G521" s="15" t="s">
        <v>23</v>
      </c>
      <c r="H521" s="15"/>
      <c r="I521" s="15">
        <v>201405</v>
      </c>
      <c r="J521" s="16">
        <v>-5751.79</v>
      </c>
      <c r="K521" s="44">
        <f t="shared" si="44"/>
        <v>41944</v>
      </c>
      <c r="L521" s="45">
        <f t="shared" si="40"/>
        <v>7</v>
      </c>
      <c r="M521" s="17">
        <v>1.4833299999999999E-3</v>
      </c>
      <c r="N521" s="46">
        <f t="shared" si="41"/>
        <v>-59.722618624900001</v>
      </c>
      <c r="O521" s="16"/>
      <c r="P521" s="48">
        <f t="shared" si="42"/>
        <v>-2768.0489375000002</v>
      </c>
      <c r="Q521" s="16"/>
      <c r="R521" s="48">
        <f t="shared" si="43"/>
        <v>-103.80543002500001</v>
      </c>
    </row>
    <row r="522" spans="1:18">
      <c r="A522" s="14" t="s">
        <v>17</v>
      </c>
      <c r="B522" s="15" t="s">
        <v>471</v>
      </c>
      <c r="C522" s="15" t="s">
        <v>472</v>
      </c>
      <c r="D522" s="14" t="s">
        <v>473</v>
      </c>
      <c r="E522" s="15" t="s">
        <v>27</v>
      </c>
      <c r="F522" s="14" t="s">
        <v>28</v>
      </c>
      <c r="G522" s="15" t="s">
        <v>23</v>
      </c>
      <c r="H522" s="15"/>
      <c r="I522" s="15">
        <v>201405</v>
      </c>
      <c r="J522" s="16">
        <v>-1491.56</v>
      </c>
      <c r="K522" s="44">
        <f t="shared" si="44"/>
        <v>41944</v>
      </c>
      <c r="L522" s="45">
        <f t="shared" si="40"/>
        <v>7</v>
      </c>
      <c r="M522" s="17">
        <v>1.4833299999999999E-3</v>
      </c>
      <c r="N522" s="46">
        <f t="shared" si="41"/>
        <v>-15.487329863599999</v>
      </c>
      <c r="O522" s="16"/>
      <c r="P522" s="48">
        <f t="shared" si="42"/>
        <v>-717.81325000000004</v>
      </c>
      <c r="Q522" s="16"/>
      <c r="R522" s="48">
        <f t="shared" si="43"/>
        <v>-26.9189291</v>
      </c>
    </row>
    <row r="523" spans="1:18">
      <c r="A523" s="14" t="s">
        <v>17</v>
      </c>
      <c r="B523" s="15" t="s">
        <v>474</v>
      </c>
      <c r="C523" s="15" t="s">
        <v>475</v>
      </c>
      <c r="D523" s="14" t="s">
        <v>476</v>
      </c>
      <c r="E523" s="15" t="s">
        <v>40</v>
      </c>
      <c r="F523" s="14" t="s">
        <v>41</v>
      </c>
      <c r="G523" s="15" t="s">
        <v>23</v>
      </c>
      <c r="H523" s="15"/>
      <c r="I523" s="15">
        <v>201405</v>
      </c>
      <c r="J523" s="16">
        <v>-5315.1</v>
      </c>
      <c r="K523" s="44">
        <f t="shared" si="44"/>
        <v>41944</v>
      </c>
      <c r="L523" s="45">
        <f t="shared" si="40"/>
        <v>7</v>
      </c>
      <c r="M523" s="17">
        <v>1.4833299999999999E-3</v>
      </c>
      <c r="N523" s="46">
        <f t="shared" si="41"/>
        <v>-55.188330981</v>
      </c>
      <c r="O523" s="16"/>
      <c r="P523" s="48">
        <f t="shared" si="42"/>
        <v>-2557.8918750000007</v>
      </c>
      <c r="Q523" s="16"/>
      <c r="R523" s="48">
        <f t="shared" si="43"/>
        <v>-95.924267250000014</v>
      </c>
    </row>
    <row r="524" spans="1:18">
      <c r="A524" s="14" t="s">
        <v>17</v>
      </c>
      <c r="B524" s="15" t="s">
        <v>477</v>
      </c>
      <c r="C524" s="15" t="s">
        <v>478</v>
      </c>
      <c r="D524" s="14" t="s">
        <v>479</v>
      </c>
      <c r="E524" s="15" t="s">
        <v>440</v>
      </c>
      <c r="F524" s="14" t="s">
        <v>28</v>
      </c>
      <c r="G524" s="15" t="s">
        <v>23</v>
      </c>
      <c r="H524" s="15"/>
      <c r="I524" s="15">
        <v>201405</v>
      </c>
      <c r="J524" s="16">
        <v>-1231.3800000000001</v>
      </c>
      <c r="K524" s="44">
        <f t="shared" si="44"/>
        <v>41944</v>
      </c>
      <c r="L524" s="45">
        <f t="shared" si="40"/>
        <v>7</v>
      </c>
      <c r="M524" s="17">
        <v>1.4833299999999999E-3</v>
      </c>
      <c r="N524" s="46">
        <f t="shared" si="41"/>
        <v>-12.785800267800001</v>
      </c>
      <c r="O524" s="16"/>
      <c r="P524" s="48">
        <f t="shared" si="42"/>
        <v>-592.60162500000013</v>
      </c>
      <c r="Q524" s="16"/>
      <c r="R524" s="48">
        <f t="shared" si="43"/>
        <v>-22.223330550000004</v>
      </c>
    </row>
    <row r="525" spans="1:18">
      <c r="A525" s="14" t="s">
        <v>17</v>
      </c>
      <c r="B525" s="15" t="s">
        <v>480</v>
      </c>
      <c r="C525" s="15" t="s">
        <v>481</v>
      </c>
      <c r="D525" s="14" t="s">
        <v>482</v>
      </c>
      <c r="E525" s="15" t="s">
        <v>141</v>
      </c>
      <c r="F525" s="14" t="s">
        <v>142</v>
      </c>
      <c r="G525" s="15" t="s">
        <v>23</v>
      </c>
      <c r="H525" s="15"/>
      <c r="I525" s="15">
        <v>201405</v>
      </c>
      <c r="J525" s="16">
        <v>-3074.27</v>
      </c>
      <c r="K525" s="44">
        <f t="shared" si="44"/>
        <v>41944</v>
      </c>
      <c r="L525" s="45">
        <f t="shared" si="40"/>
        <v>7</v>
      </c>
      <c r="M525" s="17">
        <v>1.4833299999999999E-3</v>
      </c>
      <c r="N525" s="46">
        <f t="shared" si="41"/>
        <v>-31.921098433699999</v>
      </c>
      <c r="O525" s="16"/>
      <c r="P525" s="48">
        <f t="shared" si="42"/>
        <v>-1479.4924375000003</v>
      </c>
      <c r="Q525" s="16"/>
      <c r="R525" s="48">
        <f t="shared" si="43"/>
        <v>-55.482887825000006</v>
      </c>
    </row>
    <row r="526" spans="1:18">
      <c r="A526" s="14" t="s">
        <v>17</v>
      </c>
      <c r="B526" s="15" t="s">
        <v>483</v>
      </c>
      <c r="C526" s="15" t="s">
        <v>484</v>
      </c>
      <c r="D526" s="14" t="s">
        <v>485</v>
      </c>
      <c r="E526" s="15" t="s">
        <v>324</v>
      </c>
      <c r="F526" s="14" t="s">
        <v>325</v>
      </c>
      <c r="G526" s="15" t="s">
        <v>23</v>
      </c>
      <c r="H526" s="15"/>
      <c r="I526" s="15">
        <v>201405</v>
      </c>
      <c r="J526" s="16">
        <v>-3786.95</v>
      </c>
      <c r="K526" s="44">
        <f t="shared" si="44"/>
        <v>41944</v>
      </c>
      <c r="L526" s="45">
        <f t="shared" si="40"/>
        <v>7</v>
      </c>
      <c r="M526" s="17">
        <v>1.4833299999999999E-3</v>
      </c>
      <c r="N526" s="46">
        <f t="shared" si="41"/>
        <v>-39.321075804499998</v>
      </c>
      <c r="O526" s="16"/>
      <c r="P526" s="48">
        <f t="shared" si="42"/>
        <v>-1822.4696875000002</v>
      </c>
      <c r="Q526" s="16"/>
      <c r="R526" s="48">
        <f t="shared" si="43"/>
        <v>-68.344980125000006</v>
      </c>
    </row>
    <row r="527" spans="1:18">
      <c r="A527" s="14" t="s">
        <v>17</v>
      </c>
      <c r="B527" s="15" t="s">
        <v>486</v>
      </c>
      <c r="C527" s="15" t="s">
        <v>487</v>
      </c>
      <c r="D527" s="14" t="s">
        <v>488</v>
      </c>
      <c r="E527" s="15" t="s">
        <v>141</v>
      </c>
      <c r="F527" s="14" t="s">
        <v>142</v>
      </c>
      <c r="G527" s="15" t="s">
        <v>23</v>
      </c>
      <c r="H527" s="15"/>
      <c r="I527" s="15">
        <v>201405</v>
      </c>
      <c r="J527" s="16">
        <v>-5235.7700000000004</v>
      </c>
      <c r="K527" s="44">
        <f t="shared" si="44"/>
        <v>41944</v>
      </c>
      <c r="L527" s="45">
        <f t="shared" si="40"/>
        <v>7</v>
      </c>
      <c r="M527" s="17">
        <v>1.4833299999999999E-3</v>
      </c>
      <c r="N527" s="46">
        <f t="shared" si="41"/>
        <v>-54.3646229987</v>
      </c>
      <c r="O527" s="16"/>
      <c r="P527" s="48">
        <f t="shared" si="42"/>
        <v>-2519.7143125000007</v>
      </c>
      <c r="Q527" s="16"/>
      <c r="R527" s="48">
        <f t="shared" si="43"/>
        <v>-94.492559075000017</v>
      </c>
    </row>
    <row r="528" spans="1:18">
      <c r="A528" s="18" t="s">
        <v>66</v>
      </c>
      <c r="B528" s="15" t="s">
        <v>489</v>
      </c>
      <c r="C528" s="15" t="s">
        <v>490</v>
      </c>
      <c r="D528" s="14" t="s">
        <v>491</v>
      </c>
      <c r="E528" s="15" t="s">
        <v>492</v>
      </c>
      <c r="F528" s="14" t="s">
        <v>378</v>
      </c>
      <c r="G528" s="15" t="s">
        <v>23</v>
      </c>
      <c r="H528" s="15"/>
      <c r="I528" s="15">
        <v>201405</v>
      </c>
      <c r="J528" s="16">
        <v>-10313.9</v>
      </c>
      <c r="K528" s="44">
        <f t="shared" si="44"/>
        <v>41944</v>
      </c>
      <c r="L528" s="45">
        <f t="shared" si="40"/>
        <v>7</v>
      </c>
      <c r="M528" s="17">
        <v>2.23333E-3</v>
      </c>
      <c r="N528" s="46">
        <f t="shared" si="41"/>
        <v>-161.24039600899999</v>
      </c>
      <c r="O528" s="16"/>
      <c r="P528" s="48">
        <f t="shared" si="42"/>
        <v>-4963.5643750000008</v>
      </c>
      <c r="Q528" s="16"/>
      <c r="R528" s="48">
        <f t="shared" si="43"/>
        <v>-186.14011024999999</v>
      </c>
    </row>
    <row r="529" spans="1:18">
      <c r="A529" s="14" t="s">
        <v>17</v>
      </c>
      <c r="B529" s="15" t="s">
        <v>493</v>
      </c>
      <c r="C529" s="15" t="s">
        <v>494</v>
      </c>
      <c r="D529" s="14" t="s">
        <v>495</v>
      </c>
      <c r="E529" s="15" t="s">
        <v>62</v>
      </c>
      <c r="F529" s="14" t="s">
        <v>22</v>
      </c>
      <c r="G529" s="15" t="s">
        <v>23</v>
      </c>
      <c r="H529" s="15"/>
      <c r="I529" s="15">
        <v>201405</v>
      </c>
      <c r="J529" s="16">
        <v>-102.96</v>
      </c>
      <c r="K529" s="44">
        <f t="shared" si="44"/>
        <v>41944</v>
      </c>
      <c r="L529" s="45">
        <f t="shared" si="40"/>
        <v>7</v>
      </c>
      <c r="M529" s="17">
        <v>1.4833299999999999E-3</v>
      </c>
      <c r="N529" s="46">
        <f t="shared" si="41"/>
        <v>-1.0690655975999999</v>
      </c>
      <c r="O529" s="16"/>
      <c r="P529" s="48">
        <f t="shared" si="42"/>
        <v>-49.549500000000002</v>
      </c>
      <c r="Q529" s="16"/>
      <c r="R529" s="48">
        <f t="shared" si="43"/>
        <v>-1.8581706</v>
      </c>
    </row>
    <row r="530" spans="1:18">
      <c r="A530" s="18" t="s">
        <v>66</v>
      </c>
      <c r="B530" s="15" t="s">
        <v>496</v>
      </c>
      <c r="C530" s="15" t="s">
        <v>497</v>
      </c>
      <c r="D530" s="14" t="s">
        <v>376</v>
      </c>
      <c r="E530" s="15" t="s">
        <v>498</v>
      </c>
      <c r="F530" s="14" t="s">
        <v>378</v>
      </c>
      <c r="G530" s="15" t="s">
        <v>23</v>
      </c>
      <c r="H530" s="15"/>
      <c r="I530" s="15">
        <v>201405</v>
      </c>
      <c r="J530" s="16">
        <v>79365.39</v>
      </c>
      <c r="K530" s="44">
        <f t="shared" si="44"/>
        <v>41944</v>
      </c>
      <c r="L530" s="45">
        <f t="shared" si="40"/>
        <v>7</v>
      </c>
      <c r="M530" s="17">
        <v>2.23333E-3</v>
      </c>
      <c r="N530" s="46">
        <f t="shared" si="41"/>
        <v>1240.7437451409</v>
      </c>
      <c r="O530" s="16"/>
      <c r="P530" s="48">
        <f t="shared" si="42"/>
        <v>38194.593937500002</v>
      </c>
      <c r="Q530" s="16"/>
      <c r="R530" s="48">
        <f t="shared" si="43"/>
        <v>1432.346876025</v>
      </c>
    </row>
    <row r="531" spans="1:18">
      <c r="A531" s="18" t="s">
        <v>66</v>
      </c>
      <c r="B531" s="15" t="s">
        <v>499</v>
      </c>
      <c r="C531" s="15" t="s">
        <v>500</v>
      </c>
      <c r="D531" s="14" t="s">
        <v>385</v>
      </c>
      <c r="E531" s="15" t="s">
        <v>501</v>
      </c>
      <c r="F531" s="14" t="s">
        <v>387</v>
      </c>
      <c r="G531" s="15" t="s">
        <v>23</v>
      </c>
      <c r="H531" s="15"/>
      <c r="I531" s="15">
        <v>201405</v>
      </c>
      <c r="J531" s="16">
        <v>-33002.85</v>
      </c>
      <c r="K531" s="44">
        <f t="shared" si="44"/>
        <v>41944</v>
      </c>
      <c r="L531" s="45">
        <f t="shared" si="40"/>
        <v>7</v>
      </c>
      <c r="M531" s="17">
        <v>2.23333E-3</v>
      </c>
      <c r="N531" s="46">
        <f t="shared" si="41"/>
        <v>-515.94378493349996</v>
      </c>
      <c r="O531" s="16"/>
      <c r="P531" s="48">
        <f t="shared" si="42"/>
        <v>-15882.621562500002</v>
      </c>
      <c r="Q531" s="16"/>
      <c r="R531" s="48">
        <f t="shared" si="43"/>
        <v>-595.61893537499998</v>
      </c>
    </row>
    <row r="532" spans="1:18">
      <c r="A532" s="14" t="s">
        <v>17</v>
      </c>
      <c r="B532" s="15" t="s">
        <v>502</v>
      </c>
      <c r="C532" s="15" t="s">
        <v>503</v>
      </c>
      <c r="D532" s="14" t="s">
        <v>504</v>
      </c>
      <c r="E532" s="15" t="s">
        <v>40</v>
      </c>
      <c r="F532" s="14" t="s">
        <v>41</v>
      </c>
      <c r="G532" s="15" t="s">
        <v>23</v>
      </c>
      <c r="H532" s="15"/>
      <c r="I532" s="15">
        <v>201405</v>
      </c>
      <c r="J532" s="16">
        <v>-122.14</v>
      </c>
      <c r="K532" s="44">
        <f t="shared" si="44"/>
        <v>41944</v>
      </c>
      <c r="L532" s="45">
        <f t="shared" si="40"/>
        <v>7</v>
      </c>
      <c r="M532" s="17">
        <v>1.4833299999999999E-3</v>
      </c>
      <c r="N532" s="46">
        <f t="shared" si="41"/>
        <v>-1.2682174834</v>
      </c>
      <c r="O532" s="16"/>
      <c r="P532" s="48">
        <f t="shared" si="42"/>
        <v>-58.779875000000011</v>
      </c>
      <c r="Q532" s="16"/>
      <c r="R532" s="48">
        <f t="shared" si="43"/>
        <v>-2.2043216500000002</v>
      </c>
    </row>
    <row r="533" spans="1:18">
      <c r="A533" s="14" t="s">
        <v>17</v>
      </c>
      <c r="B533" s="15" t="s">
        <v>505</v>
      </c>
      <c r="C533" s="15" t="s">
        <v>506</v>
      </c>
      <c r="D533" s="14" t="s">
        <v>507</v>
      </c>
      <c r="E533" s="15" t="s">
        <v>104</v>
      </c>
      <c r="F533" s="14" t="s">
        <v>41</v>
      </c>
      <c r="G533" s="15" t="s">
        <v>23</v>
      </c>
      <c r="H533" s="15"/>
      <c r="I533" s="15">
        <v>201405</v>
      </c>
      <c r="J533" s="16">
        <v>-115.94</v>
      </c>
      <c r="K533" s="44">
        <f t="shared" si="44"/>
        <v>41944</v>
      </c>
      <c r="L533" s="45">
        <f t="shared" si="40"/>
        <v>7</v>
      </c>
      <c r="M533" s="17">
        <v>1.4833299999999999E-3</v>
      </c>
      <c r="N533" s="46">
        <f t="shared" si="41"/>
        <v>-1.2038409613999999</v>
      </c>
      <c r="O533" s="16"/>
      <c r="P533" s="48">
        <f t="shared" si="42"/>
        <v>-55.796125000000004</v>
      </c>
      <c r="Q533" s="16"/>
      <c r="R533" s="48">
        <f t="shared" si="43"/>
        <v>-2.0924271500000002</v>
      </c>
    </row>
    <row r="534" spans="1:18">
      <c r="A534" s="14" t="s">
        <v>17</v>
      </c>
      <c r="B534" s="15" t="s">
        <v>508</v>
      </c>
      <c r="C534" s="15" t="s">
        <v>509</v>
      </c>
      <c r="D534" s="14" t="s">
        <v>510</v>
      </c>
      <c r="E534" s="15" t="s">
        <v>27</v>
      </c>
      <c r="F534" s="14" t="s">
        <v>28</v>
      </c>
      <c r="G534" s="15" t="s">
        <v>23</v>
      </c>
      <c r="H534" s="15"/>
      <c r="I534" s="15">
        <v>201405</v>
      </c>
      <c r="J534" s="16">
        <v>-2947.98</v>
      </c>
      <c r="K534" s="44">
        <f t="shared" si="44"/>
        <v>41944</v>
      </c>
      <c r="L534" s="45">
        <f t="shared" si="40"/>
        <v>7</v>
      </c>
      <c r="M534" s="17">
        <v>1.4833299999999999E-3</v>
      </c>
      <c r="N534" s="46">
        <f t="shared" si="41"/>
        <v>-30.6097902138</v>
      </c>
      <c r="O534" s="16"/>
      <c r="P534" s="48">
        <f t="shared" si="42"/>
        <v>-1418.7153750000002</v>
      </c>
      <c r="Q534" s="16"/>
      <c r="R534" s="48">
        <f t="shared" si="43"/>
        <v>-53.203669050000002</v>
      </c>
    </row>
    <row r="535" spans="1:18">
      <c r="A535" s="14" t="s">
        <v>17</v>
      </c>
      <c r="B535" s="15" t="s">
        <v>514</v>
      </c>
      <c r="C535" s="15" t="s">
        <v>515</v>
      </c>
      <c r="D535" s="14" t="s">
        <v>516</v>
      </c>
      <c r="E535" s="15" t="s">
        <v>49</v>
      </c>
      <c r="F535" s="14" t="s">
        <v>22</v>
      </c>
      <c r="G535" s="15" t="s">
        <v>23</v>
      </c>
      <c r="H535" s="15"/>
      <c r="I535" s="15">
        <v>201405</v>
      </c>
      <c r="J535" s="16">
        <v>-196.32</v>
      </c>
      <c r="K535" s="44">
        <f t="shared" si="44"/>
        <v>41944</v>
      </c>
      <c r="L535" s="45">
        <f t="shared" si="40"/>
        <v>7</v>
      </c>
      <c r="M535" s="17">
        <v>1.4833299999999999E-3</v>
      </c>
      <c r="N535" s="46">
        <f t="shared" si="41"/>
        <v>-2.0384514191999998</v>
      </c>
      <c r="O535" s="16"/>
      <c r="P535" s="48">
        <f t="shared" si="42"/>
        <v>-94.479000000000013</v>
      </c>
      <c r="Q535" s="16"/>
      <c r="R535" s="48">
        <f t="shared" si="43"/>
        <v>-3.5430852000000002</v>
      </c>
    </row>
    <row r="536" spans="1:18">
      <c r="A536" s="14" t="s">
        <v>17</v>
      </c>
      <c r="B536" s="15" t="s">
        <v>517</v>
      </c>
      <c r="C536" s="15" t="s">
        <v>518</v>
      </c>
      <c r="D536" s="14" t="s">
        <v>519</v>
      </c>
      <c r="E536" s="15" t="s">
        <v>125</v>
      </c>
      <c r="F536" s="14" t="s">
        <v>126</v>
      </c>
      <c r="G536" s="15" t="s">
        <v>23</v>
      </c>
      <c r="H536" s="15"/>
      <c r="I536" s="15">
        <v>201405</v>
      </c>
      <c r="J536" s="16">
        <v>-3283.71</v>
      </c>
      <c r="K536" s="44">
        <f t="shared" si="44"/>
        <v>41944</v>
      </c>
      <c r="L536" s="45">
        <f t="shared" si="40"/>
        <v>7</v>
      </c>
      <c r="M536" s="17">
        <v>1.4833299999999999E-3</v>
      </c>
      <c r="N536" s="46">
        <f t="shared" si="41"/>
        <v>-34.095778880099999</v>
      </c>
      <c r="O536" s="16"/>
      <c r="P536" s="48">
        <f t="shared" si="42"/>
        <v>-1580.2854375000002</v>
      </c>
      <c r="Q536" s="16"/>
      <c r="R536" s="48">
        <f t="shared" si="43"/>
        <v>-59.262756225000004</v>
      </c>
    </row>
    <row r="537" spans="1:18">
      <c r="A537" s="14" t="s">
        <v>17</v>
      </c>
      <c r="B537" s="15" t="s">
        <v>520</v>
      </c>
      <c r="C537" s="15" t="s">
        <v>521</v>
      </c>
      <c r="D537" s="14" t="s">
        <v>522</v>
      </c>
      <c r="E537" s="15" t="s">
        <v>125</v>
      </c>
      <c r="F537" s="14" t="s">
        <v>126</v>
      </c>
      <c r="G537" s="15" t="s">
        <v>23</v>
      </c>
      <c r="H537" s="15"/>
      <c r="I537" s="15">
        <v>201405</v>
      </c>
      <c r="J537" s="16">
        <v>-5736.62</v>
      </c>
      <c r="K537" s="44">
        <f t="shared" si="44"/>
        <v>41944</v>
      </c>
      <c r="L537" s="45">
        <f t="shared" si="40"/>
        <v>7</v>
      </c>
      <c r="M537" s="17">
        <v>1.4833299999999999E-3</v>
      </c>
      <c r="N537" s="46">
        <f t="shared" si="41"/>
        <v>-59.5651038122</v>
      </c>
      <c r="O537" s="16"/>
      <c r="P537" s="48">
        <f t="shared" si="42"/>
        <v>-2760.7483750000001</v>
      </c>
      <c r="Q537" s="16"/>
      <c r="R537" s="48">
        <f t="shared" si="43"/>
        <v>-103.53164945</v>
      </c>
    </row>
    <row r="538" spans="1:18">
      <c r="A538" s="14" t="s">
        <v>17</v>
      </c>
      <c r="B538" s="15" t="s">
        <v>523</v>
      </c>
      <c r="C538" s="15" t="s">
        <v>524</v>
      </c>
      <c r="D538" s="14" t="s">
        <v>525</v>
      </c>
      <c r="E538" s="15" t="s">
        <v>141</v>
      </c>
      <c r="F538" s="14" t="s">
        <v>142</v>
      </c>
      <c r="G538" s="15" t="s">
        <v>23</v>
      </c>
      <c r="H538" s="15"/>
      <c r="I538" s="15">
        <v>201405</v>
      </c>
      <c r="J538" s="16">
        <v>-1380.21</v>
      </c>
      <c r="K538" s="44">
        <f t="shared" si="44"/>
        <v>41944</v>
      </c>
      <c r="L538" s="45">
        <f t="shared" si="40"/>
        <v>7</v>
      </c>
      <c r="M538" s="17">
        <v>1.4833299999999999E-3</v>
      </c>
      <c r="N538" s="46">
        <f t="shared" si="41"/>
        <v>-14.3311482951</v>
      </c>
      <c r="O538" s="16"/>
      <c r="P538" s="48">
        <f t="shared" si="42"/>
        <v>-664.22606250000013</v>
      </c>
      <c r="Q538" s="16"/>
      <c r="R538" s="48">
        <f t="shared" si="43"/>
        <v>-24.909339975000002</v>
      </c>
    </row>
    <row r="539" spans="1:18">
      <c r="A539" s="14" t="s">
        <v>17</v>
      </c>
      <c r="B539" s="15" t="s">
        <v>529</v>
      </c>
      <c r="C539" s="15" t="s">
        <v>530</v>
      </c>
      <c r="D539" s="14" t="s">
        <v>531</v>
      </c>
      <c r="E539" s="15" t="s">
        <v>141</v>
      </c>
      <c r="F539" s="14" t="s">
        <v>142</v>
      </c>
      <c r="G539" s="15" t="s">
        <v>23</v>
      </c>
      <c r="H539" s="15"/>
      <c r="I539" s="15">
        <v>201405</v>
      </c>
      <c r="J539" s="16">
        <v>-2901.55</v>
      </c>
      <c r="K539" s="44">
        <f t="shared" si="44"/>
        <v>41944</v>
      </c>
      <c r="L539" s="45">
        <f t="shared" si="40"/>
        <v>7</v>
      </c>
      <c r="M539" s="17">
        <v>1.4833299999999999E-3</v>
      </c>
      <c r="N539" s="46">
        <f t="shared" si="41"/>
        <v>-30.127693130500003</v>
      </c>
      <c r="O539" s="16"/>
      <c r="P539" s="48">
        <f t="shared" si="42"/>
        <v>-1396.3709375000003</v>
      </c>
      <c r="Q539" s="16"/>
      <c r="R539" s="48">
        <f t="shared" si="43"/>
        <v>-52.365723625000008</v>
      </c>
    </row>
    <row r="540" spans="1:18">
      <c r="A540" s="14" t="s">
        <v>17</v>
      </c>
      <c r="B540" s="15" t="s">
        <v>537</v>
      </c>
      <c r="C540" s="15" t="s">
        <v>538</v>
      </c>
      <c r="D540" s="14" t="s">
        <v>539</v>
      </c>
      <c r="E540" s="15" t="s">
        <v>53</v>
      </c>
      <c r="F540" s="14" t="s">
        <v>41</v>
      </c>
      <c r="G540" s="15" t="s">
        <v>23</v>
      </c>
      <c r="H540" s="15"/>
      <c r="I540" s="15">
        <v>201405</v>
      </c>
      <c r="J540" s="16">
        <v>-4630.25</v>
      </c>
      <c r="K540" s="44">
        <f t="shared" si="44"/>
        <v>41944</v>
      </c>
      <c r="L540" s="45">
        <f t="shared" si="40"/>
        <v>7</v>
      </c>
      <c r="M540" s="17">
        <v>1.4833299999999999E-3</v>
      </c>
      <c r="N540" s="46">
        <f t="shared" si="41"/>
        <v>-48.077321127499999</v>
      </c>
      <c r="O540" s="16"/>
      <c r="P540" s="48">
        <f t="shared" si="42"/>
        <v>-2228.3078125000002</v>
      </c>
      <c r="Q540" s="16"/>
      <c r="R540" s="48">
        <f t="shared" si="43"/>
        <v>-83.564436874999998</v>
      </c>
    </row>
    <row r="541" spans="1:18">
      <c r="A541" s="14" t="s">
        <v>17</v>
      </c>
      <c r="B541" s="15" t="s">
        <v>540</v>
      </c>
      <c r="C541" s="15" t="s">
        <v>541</v>
      </c>
      <c r="D541" s="14" t="s">
        <v>542</v>
      </c>
      <c r="E541" s="15" t="s">
        <v>216</v>
      </c>
      <c r="F541" s="14" t="s">
        <v>22</v>
      </c>
      <c r="G541" s="15" t="s">
        <v>23</v>
      </c>
      <c r="H541" s="15"/>
      <c r="I541" s="15">
        <v>201405</v>
      </c>
      <c r="J541" s="16">
        <v>-870.16</v>
      </c>
      <c r="K541" s="44">
        <f t="shared" si="44"/>
        <v>41944</v>
      </c>
      <c r="L541" s="45">
        <f t="shared" si="40"/>
        <v>7</v>
      </c>
      <c r="M541" s="17">
        <v>1.4833299999999999E-3</v>
      </c>
      <c r="N541" s="46">
        <f t="shared" si="41"/>
        <v>-9.0351410296000001</v>
      </c>
      <c r="O541" s="16"/>
      <c r="P541" s="48">
        <f t="shared" si="42"/>
        <v>-418.76450000000006</v>
      </c>
      <c r="Q541" s="16"/>
      <c r="R541" s="48">
        <f t="shared" si="43"/>
        <v>-15.7042126</v>
      </c>
    </row>
    <row r="542" spans="1:18">
      <c r="A542" s="14" t="s">
        <v>17</v>
      </c>
      <c r="B542" s="15" t="s">
        <v>552</v>
      </c>
      <c r="C542" s="15" t="s">
        <v>553</v>
      </c>
      <c r="D542" s="14" t="s">
        <v>554</v>
      </c>
      <c r="E542" s="15" t="s">
        <v>62</v>
      </c>
      <c r="F542" s="14" t="s">
        <v>22</v>
      </c>
      <c r="G542" s="15" t="s">
        <v>23</v>
      </c>
      <c r="H542" s="15"/>
      <c r="I542" s="15">
        <v>201405</v>
      </c>
      <c r="J542" s="16">
        <v>-6616.76</v>
      </c>
      <c r="K542" s="44">
        <f t="shared" si="44"/>
        <v>41944</v>
      </c>
      <c r="L542" s="45">
        <f t="shared" si="40"/>
        <v>7</v>
      </c>
      <c r="M542" s="17">
        <v>1.4833299999999999E-3</v>
      </c>
      <c r="N542" s="46">
        <f t="shared" si="41"/>
        <v>-68.703870275599996</v>
      </c>
      <c r="O542" s="16"/>
      <c r="P542" s="48">
        <f t="shared" si="42"/>
        <v>-3184.3157500000007</v>
      </c>
      <c r="Q542" s="16"/>
      <c r="R542" s="48">
        <f t="shared" si="43"/>
        <v>-119.41597610000001</v>
      </c>
    </row>
    <row r="543" spans="1:18">
      <c r="A543" s="14" t="s">
        <v>17</v>
      </c>
      <c r="B543" s="15" t="s">
        <v>555</v>
      </c>
      <c r="C543" s="15" t="s">
        <v>556</v>
      </c>
      <c r="D543" s="14" t="s">
        <v>557</v>
      </c>
      <c r="E543" s="15" t="s">
        <v>141</v>
      </c>
      <c r="F543" s="14" t="s">
        <v>142</v>
      </c>
      <c r="G543" s="15" t="s">
        <v>23</v>
      </c>
      <c r="H543" s="15"/>
      <c r="I543" s="15">
        <v>201405</v>
      </c>
      <c r="J543" s="16">
        <v>32222.799999999999</v>
      </c>
      <c r="K543" s="44">
        <f t="shared" si="44"/>
        <v>41944</v>
      </c>
      <c r="L543" s="45">
        <f t="shared" si="40"/>
        <v>7</v>
      </c>
      <c r="M543" s="17">
        <v>1.4833299999999999E-3</v>
      </c>
      <c r="N543" s="46">
        <f t="shared" si="41"/>
        <v>334.57932146799999</v>
      </c>
      <c r="O543" s="16"/>
      <c r="P543" s="48">
        <f t="shared" si="42"/>
        <v>15507.222500000002</v>
      </c>
      <c r="Q543" s="16"/>
      <c r="R543" s="48">
        <f t="shared" si="43"/>
        <v>581.54098299999998</v>
      </c>
    </row>
    <row r="544" spans="1:18">
      <c r="A544" s="14" t="s">
        <v>54</v>
      </c>
      <c r="B544" s="15" t="s">
        <v>558</v>
      </c>
      <c r="C544" s="15" t="s">
        <v>559</v>
      </c>
      <c r="D544" s="14" t="s">
        <v>560</v>
      </c>
      <c r="E544" s="15" t="s">
        <v>36</v>
      </c>
      <c r="F544" s="14" t="s">
        <v>22</v>
      </c>
      <c r="G544" s="15" t="s">
        <v>23</v>
      </c>
      <c r="H544" s="15"/>
      <c r="I544" s="15">
        <v>201405</v>
      </c>
      <c r="J544" s="16">
        <v>-6442.27</v>
      </c>
      <c r="K544" s="44">
        <f t="shared" si="44"/>
        <v>41944</v>
      </c>
      <c r="L544" s="45">
        <f t="shared" si="40"/>
        <v>7</v>
      </c>
      <c r="M544" s="17">
        <v>1.4833299999999999E-3</v>
      </c>
      <c r="N544" s="46">
        <f t="shared" si="41"/>
        <v>-66.892086513700008</v>
      </c>
      <c r="O544" s="16"/>
      <c r="P544" s="48">
        <f t="shared" si="42"/>
        <v>-3100.3424375000004</v>
      </c>
      <c r="Q544" s="16"/>
      <c r="R544" s="48">
        <f t="shared" si="43"/>
        <v>-116.26686782500002</v>
      </c>
    </row>
    <row r="545" spans="1:18">
      <c r="A545" s="14" t="s">
        <v>17</v>
      </c>
      <c r="B545" s="15" t="s">
        <v>564</v>
      </c>
      <c r="C545" s="15" t="s">
        <v>565</v>
      </c>
      <c r="D545" s="14" t="s">
        <v>566</v>
      </c>
      <c r="E545" s="15" t="s">
        <v>567</v>
      </c>
      <c r="F545" s="14" t="s">
        <v>137</v>
      </c>
      <c r="G545" s="15" t="s">
        <v>23</v>
      </c>
      <c r="H545" s="15"/>
      <c r="I545" s="15">
        <v>201405</v>
      </c>
      <c r="J545" s="16">
        <v>-5080.2</v>
      </c>
      <c r="K545" s="44">
        <f t="shared" si="44"/>
        <v>41944</v>
      </c>
      <c r="L545" s="45">
        <f t="shared" si="40"/>
        <v>7</v>
      </c>
      <c r="M545" s="17">
        <v>1.4833299999999999E-3</v>
      </c>
      <c r="N545" s="46">
        <f t="shared" si="41"/>
        <v>-52.749291461999995</v>
      </c>
      <c r="O545" s="16"/>
      <c r="P545" s="48">
        <f t="shared" si="42"/>
        <v>-2444.8462500000001</v>
      </c>
      <c r="Q545" s="16"/>
      <c r="R545" s="48">
        <f t="shared" si="43"/>
        <v>-91.684909500000003</v>
      </c>
    </row>
    <row r="546" spans="1:18">
      <c r="A546" s="14" t="s">
        <v>17</v>
      </c>
      <c r="B546" s="15" t="s">
        <v>568</v>
      </c>
      <c r="C546" s="15" t="s">
        <v>569</v>
      </c>
      <c r="D546" s="14" t="s">
        <v>570</v>
      </c>
      <c r="E546" s="15" t="s">
        <v>324</v>
      </c>
      <c r="F546" s="14" t="s">
        <v>325</v>
      </c>
      <c r="G546" s="15" t="s">
        <v>23</v>
      </c>
      <c r="H546" s="15"/>
      <c r="I546" s="15">
        <v>201405</v>
      </c>
      <c r="J546" s="16">
        <v>-1370.26</v>
      </c>
      <c r="K546" s="44">
        <f t="shared" si="44"/>
        <v>41944</v>
      </c>
      <c r="L546" s="45">
        <f t="shared" si="40"/>
        <v>7</v>
      </c>
      <c r="M546" s="17">
        <v>1.4833299999999999E-3</v>
      </c>
      <c r="N546" s="46">
        <f t="shared" si="41"/>
        <v>-14.227834360599999</v>
      </c>
      <c r="O546" s="16"/>
      <c r="P546" s="48">
        <f t="shared" si="42"/>
        <v>-659.43762500000014</v>
      </c>
      <c r="Q546" s="16"/>
      <c r="R546" s="48">
        <f t="shared" si="43"/>
        <v>-24.729767350000003</v>
      </c>
    </row>
    <row r="547" spans="1:18">
      <c r="A547" s="14" t="s">
        <v>17</v>
      </c>
      <c r="B547" s="15" t="s">
        <v>571</v>
      </c>
      <c r="C547" s="15" t="s">
        <v>572</v>
      </c>
      <c r="D547" s="14" t="s">
        <v>573</v>
      </c>
      <c r="E547" s="15" t="s">
        <v>574</v>
      </c>
      <c r="F547" s="14" t="s">
        <v>28</v>
      </c>
      <c r="G547" s="15" t="s">
        <v>23</v>
      </c>
      <c r="H547" s="15"/>
      <c r="I547" s="15">
        <v>201405</v>
      </c>
      <c r="J547" s="16">
        <v>-325.58</v>
      </c>
      <c r="K547" s="44">
        <f t="shared" si="44"/>
        <v>41944</v>
      </c>
      <c r="L547" s="45">
        <f t="shared" si="40"/>
        <v>7</v>
      </c>
      <c r="M547" s="17">
        <v>1.4833299999999999E-3</v>
      </c>
      <c r="N547" s="46">
        <f t="shared" si="41"/>
        <v>-3.3805980697999995</v>
      </c>
      <c r="O547" s="16"/>
      <c r="P547" s="48">
        <f t="shared" si="42"/>
        <v>-156.68537500000002</v>
      </c>
      <c r="Q547" s="16"/>
      <c r="R547" s="48">
        <f t="shared" si="43"/>
        <v>-5.8759050500000001</v>
      </c>
    </row>
    <row r="548" spans="1:18">
      <c r="A548" s="14" t="s">
        <v>17</v>
      </c>
      <c r="B548" s="15" t="s">
        <v>578</v>
      </c>
      <c r="C548" s="15" t="s">
        <v>579</v>
      </c>
      <c r="D548" s="14" t="s">
        <v>580</v>
      </c>
      <c r="E548" s="15" t="s">
        <v>136</v>
      </c>
      <c r="F548" s="14" t="s">
        <v>137</v>
      </c>
      <c r="G548" s="15" t="s">
        <v>23</v>
      </c>
      <c r="H548" s="15"/>
      <c r="I548" s="15">
        <v>201405</v>
      </c>
      <c r="J548" s="16">
        <v>-5385.02</v>
      </c>
      <c r="K548" s="44">
        <f t="shared" si="44"/>
        <v>41944</v>
      </c>
      <c r="L548" s="45">
        <f t="shared" si="40"/>
        <v>7</v>
      </c>
      <c r="M548" s="17">
        <v>1.4833299999999999E-3</v>
      </c>
      <c r="N548" s="46">
        <f t="shared" si="41"/>
        <v>-55.914332016200007</v>
      </c>
      <c r="O548" s="16"/>
      <c r="P548" s="48">
        <f t="shared" si="42"/>
        <v>-2591.5408750000006</v>
      </c>
      <c r="Q548" s="16"/>
      <c r="R548" s="48">
        <f t="shared" si="43"/>
        <v>-97.186148450000019</v>
      </c>
    </row>
    <row r="549" spans="1:18">
      <c r="A549" s="14" t="s">
        <v>17</v>
      </c>
      <c r="B549" s="15" t="s">
        <v>584</v>
      </c>
      <c r="C549" s="15" t="s">
        <v>585</v>
      </c>
      <c r="D549" s="14" t="s">
        <v>586</v>
      </c>
      <c r="E549" s="15" t="s">
        <v>62</v>
      </c>
      <c r="F549" s="14" t="s">
        <v>22</v>
      </c>
      <c r="G549" s="15" t="s">
        <v>23</v>
      </c>
      <c r="H549" s="15"/>
      <c r="I549" s="15">
        <v>201405</v>
      </c>
      <c r="J549" s="16">
        <v>-5934.38</v>
      </c>
      <c r="K549" s="44">
        <f t="shared" si="44"/>
        <v>41944</v>
      </c>
      <c r="L549" s="45">
        <f t="shared" si="40"/>
        <v>7</v>
      </c>
      <c r="M549" s="17">
        <v>1.4833299999999999E-3</v>
      </c>
      <c r="N549" s="46">
        <f t="shared" si="41"/>
        <v>-61.6185071978</v>
      </c>
      <c r="O549" s="16"/>
      <c r="P549" s="48">
        <f t="shared" si="42"/>
        <v>-2855.9203750000006</v>
      </c>
      <c r="Q549" s="16"/>
      <c r="R549" s="48">
        <f t="shared" si="43"/>
        <v>-107.10072305000001</v>
      </c>
    </row>
    <row r="550" spans="1:18">
      <c r="A550" s="18" t="s">
        <v>66</v>
      </c>
      <c r="B550" s="15" t="s">
        <v>587</v>
      </c>
      <c r="C550" s="15" t="s">
        <v>588</v>
      </c>
      <c r="D550" s="14" t="s">
        <v>589</v>
      </c>
      <c r="E550" s="15" t="s">
        <v>590</v>
      </c>
      <c r="F550" s="14" t="s">
        <v>591</v>
      </c>
      <c r="G550" s="15" t="s">
        <v>23</v>
      </c>
      <c r="H550" s="15"/>
      <c r="I550" s="15">
        <v>201405</v>
      </c>
      <c r="J550" s="16">
        <v>174.18</v>
      </c>
      <c r="K550" s="44">
        <f t="shared" si="44"/>
        <v>41944</v>
      </c>
      <c r="L550" s="45">
        <f t="shared" si="40"/>
        <v>7</v>
      </c>
      <c r="M550" s="17">
        <v>2.23333E-3</v>
      </c>
      <c r="N550" s="46">
        <f t="shared" si="41"/>
        <v>2.7230099358000004</v>
      </c>
      <c r="O550" s="16"/>
      <c r="P550" s="48">
        <f t="shared" si="42"/>
        <v>83.824125000000009</v>
      </c>
      <c r="Q550" s="16"/>
      <c r="R550" s="48">
        <f t="shared" si="43"/>
        <v>3.1435135500000002</v>
      </c>
    </row>
    <row r="551" spans="1:18">
      <c r="A551" s="18" t="s">
        <v>66</v>
      </c>
      <c r="B551" s="15" t="s">
        <v>592</v>
      </c>
      <c r="C551" s="15" t="s">
        <v>593</v>
      </c>
      <c r="D551" s="14" t="s">
        <v>381</v>
      </c>
      <c r="E551" s="15" t="s">
        <v>594</v>
      </c>
      <c r="F551" s="14" t="s">
        <v>212</v>
      </c>
      <c r="G551" s="15" t="s">
        <v>23</v>
      </c>
      <c r="H551" s="15"/>
      <c r="I551" s="15">
        <v>201405</v>
      </c>
      <c r="J551" s="16">
        <v>-4826.12</v>
      </c>
      <c r="K551" s="44">
        <f t="shared" si="44"/>
        <v>41944</v>
      </c>
      <c r="L551" s="45">
        <f t="shared" si="40"/>
        <v>7</v>
      </c>
      <c r="M551" s="17">
        <v>2.23333E-3</v>
      </c>
      <c r="N551" s="46">
        <f t="shared" si="41"/>
        <v>-75.448230057200007</v>
      </c>
      <c r="O551" s="16"/>
      <c r="P551" s="48">
        <f t="shared" si="42"/>
        <v>-2322.5702500000002</v>
      </c>
      <c r="Q551" s="16"/>
      <c r="R551" s="48">
        <f t="shared" si="43"/>
        <v>-87.099400700000004</v>
      </c>
    </row>
    <row r="552" spans="1:18">
      <c r="A552" s="18" t="s">
        <v>66</v>
      </c>
      <c r="B552" s="15" t="s">
        <v>595</v>
      </c>
      <c r="C552" s="15" t="s">
        <v>596</v>
      </c>
      <c r="D552" s="14" t="s">
        <v>597</v>
      </c>
      <c r="E552" s="15" t="s">
        <v>598</v>
      </c>
      <c r="F552" s="14" t="s">
        <v>212</v>
      </c>
      <c r="G552" s="15" t="s">
        <v>23</v>
      </c>
      <c r="H552" s="15"/>
      <c r="I552" s="15">
        <v>201405</v>
      </c>
      <c r="J552" s="16">
        <v>87099.62</v>
      </c>
      <c r="K552" s="44">
        <f t="shared" si="44"/>
        <v>41944</v>
      </c>
      <c r="L552" s="45">
        <f t="shared" si="40"/>
        <v>7</v>
      </c>
      <c r="M552" s="17">
        <v>2.23333E-3</v>
      </c>
      <c r="N552" s="46">
        <f t="shared" si="41"/>
        <v>1361.6553603422001</v>
      </c>
      <c r="O552" s="16"/>
      <c r="P552" s="48">
        <f t="shared" si="42"/>
        <v>41916.692125000001</v>
      </c>
      <c r="Q552" s="16"/>
      <c r="R552" s="48">
        <f t="shared" si="43"/>
        <v>1571.9303919500001</v>
      </c>
    </row>
    <row r="553" spans="1:18">
      <c r="A553" s="18" t="s">
        <v>66</v>
      </c>
      <c r="B553" s="15" t="s">
        <v>599</v>
      </c>
      <c r="C553" s="15" t="s">
        <v>600</v>
      </c>
      <c r="D553" s="14" t="s">
        <v>385</v>
      </c>
      <c r="E553" s="15" t="s">
        <v>601</v>
      </c>
      <c r="F553" s="14" t="s">
        <v>387</v>
      </c>
      <c r="G553" s="15" t="s">
        <v>23</v>
      </c>
      <c r="H553" s="15"/>
      <c r="I553" s="15">
        <v>201405</v>
      </c>
      <c r="J553" s="16">
        <v>-13058.84</v>
      </c>
      <c r="K553" s="44">
        <f t="shared" si="44"/>
        <v>41944</v>
      </c>
      <c r="L553" s="45">
        <f t="shared" si="40"/>
        <v>7</v>
      </c>
      <c r="M553" s="17">
        <v>2.23333E-3</v>
      </c>
      <c r="N553" s="46">
        <f t="shared" si="41"/>
        <v>-204.15289396040001</v>
      </c>
      <c r="O553" s="16"/>
      <c r="P553" s="48">
        <f t="shared" si="42"/>
        <v>-6284.5667500000009</v>
      </c>
      <c r="Q553" s="16"/>
      <c r="R553" s="48">
        <f t="shared" si="43"/>
        <v>-235.67941490000001</v>
      </c>
    </row>
    <row r="554" spans="1:18">
      <c r="A554" s="14" t="s">
        <v>17</v>
      </c>
      <c r="B554" s="15" t="s">
        <v>602</v>
      </c>
      <c r="C554" s="15" t="s">
        <v>603</v>
      </c>
      <c r="D554" s="14" t="s">
        <v>604</v>
      </c>
      <c r="E554" s="15" t="s">
        <v>58</v>
      </c>
      <c r="F554" s="14" t="s">
        <v>22</v>
      </c>
      <c r="G554" s="15" t="s">
        <v>23</v>
      </c>
      <c r="H554" s="15"/>
      <c r="I554" s="15">
        <v>201405</v>
      </c>
      <c r="J554" s="16">
        <v>217.22</v>
      </c>
      <c r="K554" s="44">
        <f t="shared" si="44"/>
        <v>41944</v>
      </c>
      <c r="L554" s="45">
        <f t="shared" si="40"/>
        <v>7</v>
      </c>
      <c r="M554" s="17">
        <v>1.4833299999999999E-3</v>
      </c>
      <c r="N554" s="46">
        <f t="shared" si="41"/>
        <v>2.2554625981999998</v>
      </c>
      <c r="O554" s="16"/>
      <c r="P554" s="48">
        <f t="shared" si="42"/>
        <v>104.53712500000002</v>
      </c>
      <c r="Q554" s="16"/>
      <c r="R554" s="48">
        <f t="shared" si="43"/>
        <v>3.92027795</v>
      </c>
    </row>
    <row r="555" spans="1:18">
      <c r="A555" s="14" t="s">
        <v>17</v>
      </c>
      <c r="B555" s="15" t="s">
        <v>605</v>
      </c>
      <c r="C555" s="15" t="s">
        <v>606</v>
      </c>
      <c r="D555" s="14" t="s">
        <v>607</v>
      </c>
      <c r="E555" s="15" t="s">
        <v>62</v>
      </c>
      <c r="F555" s="14" t="s">
        <v>22</v>
      </c>
      <c r="G555" s="15" t="s">
        <v>23</v>
      </c>
      <c r="H555" s="15"/>
      <c r="I555" s="15">
        <v>201405</v>
      </c>
      <c r="J555" s="16">
        <v>-9226.06</v>
      </c>
      <c r="K555" s="44">
        <f t="shared" si="44"/>
        <v>41944</v>
      </c>
      <c r="L555" s="45">
        <f t="shared" si="40"/>
        <v>7</v>
      </c>
      <c r="M555" s="17">
        <v>1.4833299999999999E-3</v>
      </c>
      <c r="N555" s="46">
        <f t="shared" si="41"/>
        <v>-95.797041058599987</v>
      </c>
      <c r="O555" s="16"/>
      <c r="P555" s="48">
        <f t="shared" si="42"/>
        <v>-4440.0413750000007</v>
      </c>
      <c r="Q555" s="16"/>
      <c r="R555" s="48">
        <f t="shared" si="43"/>
        <v>-166.50731784999999</v>
      </c>
    </row>
    <row r="556" spans="1:18">
      <c r="A556" s="14" t="s">
        <v>17</v>
      </c>
      <c r="B556" s="15" t="s">
        <v>608</v>
      </c>
      <c r="C556" s="15" t="s">
        <v>609</v>
      </c>
      <c r="D556" s="14" t="s">
        <v>610</v>
      </c>
      <c r="E556" s="15" t="s">
        <v>45</v>
      </c>
      <c r="F556" s="14" t="s">
        <v>22</v>
      </c>
      <c r="G556" s="15" t="s">
        <v>23</v>
      </c>
      <c r="H556" s="15"/>
      <c r="I556" s="15">
        <v>201405</v>
      </c>
      <c r="J556" s="16">
        <v>-9188.74</v>
      </c>
      <c r="K556" s="44">
        <f t="shared" si="44"/>
        <v>41944</v>
      </c>
      <c r="L556" s="45">
        <f t="shared" si="40"/>
        <v>7</v>
      </c>
      <c r="M556" s="17">
        <v>1.4833299999999999E-3</v>
      </c>
      <c r="N556" s="46">
        <f t="shared" si="41"/>
        <v>-95.409535929399993</v>
      </c>
      <c r="O556" s="16"/>
      <c r="P556" s="48">
        <f t="shared" si="42"/>
        <v>-4422.0811250000006</v>
      </c>
      <c r="Q556" s="16"/>
      <c r="R556" s="48">
        <f t="shared" si="43"/>
        <v>-165.83378515000001</v>
      </c>
    </row>
    <row r="557" spans="1:18">
      <c r="A557" s="14" t="s">
        <v>17</v>
      </c>
      <c r="B557" s="15" t="s">
        <v>614</v>
      </c>
      <c r="C557" s="15" t="s">
        <v>615</v>
      </c>
      <c r="D557" s="14" t="s">
        <v>616</v>
      </c>
      <c r="E557" s="15" t="s">
        <v>40</v>
      </c>
      <c r="F557" s="14" t="s">
        <v>41</v>
      </c>
      <c r="G557" s="15" t="s">
        <v>23</v>
      </c>
      <c r="H557" s="15"/>
      <c r="I557" s="15">
        <v>201405</v>
      </c>
      <c r="J557" s="16">
        <v>-2572.87</v>
      </c>
      <c r="K557" s="44">
        <f t="shared" si="44"/>
        <v>41944</v>
      </c>
      <c r="L557" s="45">
        <f t="shared" si="40"/>
        <v>7</v>
      </c>
      <c r="M557" s="17">
        <v>1.4833299999999999E-3</v>
      </c>
      <c r="N557" s="46">
        <f t="shared" si="41"/>
        <v>-26.7149067997</v>
      </c>
      <c r="O557" s="16"/>
      <c r="P557" s="48">
        <f t="shared" si="42"/>
        <v>-1238.1936875000001</v>
      </c>
      <c r="Q557" s="16"/>
      <c r="R557" s="48">
        <f t="shared" si="43"/>
        <v>-46.433871324999998</v>
      </c>
    </row>
    <row r="558" spans="1:18">
      <c r="A558" s="14" t="s">
        <v>17</v>
      </c>
      <c r="B558" s="15" t="s">
        <v>617</v>
      </c>
      <c r="C558" s="15" t="s">
        <v>618</v>
      </c>
      <c r="D558" s="14" t="s">
        <v>619</v>
      </c>
      <c r="E558" s="15" t="s">
        <v>141</v>
      </c>
      <c r="F558" s="14" t="s">
        <v>142</v>
      </c>
      <c r="G558" s="15" t="s">
        <v>23</v>
      </c>
      <c r="H558" s="15"/>
      <c r="I558" s="15">
        <v>201405</v>
      </c>
      <c r="J558" s="16">
        <v>-4304.91</v>
      </c>
      <c r="K558" s="44">
        <f t="shared" si="44"/>
        <v>41944</v>
      </c>
      <c r="L558" s="45">
        <f t="shared" si="40"/>
        <v>7</v>
      </c>
      <c r="M558" s="17">
        <v>1.4833299999999999E-3</v>
      </c>
      <c r="N558" s="46">
        <f t="shared" si="41"/>
        <v>-44.699215052099994</v>
      </c>
      <c r="O558" s="16"/>
      <c r="P558" s="48">
        <f t="shared" si="42"/>
        <v>-2071.7379375</v>
      </c>
      <c r="Q558" s="16"/>
      <c r="R558" s="48">
        <f t="shared" si="43"/>
        <v>-77.692863224999996</v>
      </c>
    </row>
    <row r="559" spans="1:18">
      <c r="A559" s="18" t="s">
        <v>66</v>
      </c>
      <c r="B559" s="15" t="s">
        <v>620</v>
      </c>
      <c r="C559" s="15" t="s">
        <v>621</v>
      </c>
      <c r="D559" s="14" t="s">
        <v>622</v>
      </c>
      <c r="E559" s="15" t="s">
        <v>623</v>
      </c>
      <c r="F559" s="14" t="s">
        <v>624</v>
      </c>
      <c r="G559" s="15" t="s">
        <v>23</v>
      </c>
      <c r="H559" s="15"/>
      <c r="I559" s="15">
        <v>201405</v>
      </c>
      <c r="J559" s="16">
        <v>-1339.83</v>
      </c>
      <c r="K559" s="44">
        <f t="shared" si="44"/>
        <v>41944</v>
      </c>
      <c r="L559" s="45">
        <f t="shared" si="40"/>
        <v>7</v>
      </c>
      <c r="M559" s="17">
        <v>2.23333E-3</v>
      </c>
      <c r="N559" s="46">
        <f t="shared" si="41"/>
        <v>-20.945977737300002</v>
      </c>
      <c r="O559" s="16"/>
      <c r="P559" s="48">
        <f t="shared" si="42"/>
        <v>-644.79318750000004</v>
      </c>
      <c r="Q559" s="16"/>
      <c r="R559" s="48">
        <f t="shared" si="43"/>
        <v>-24.180581924999998</v>
      </c>
    </row>
    <row r="560" spans="1:18">
      <c r="A560" s="14" t="s">
        <v>17</v>
      </c>
      <c r="B560" s="15" t="s">
        <v>625</v>
      </c>
      <c r="C560" s="15" t="s">
        <v>626</v>
      </c>
      <c r="D560" s="14" t="s">
        <v>627</v>
      </c>
      <c r="E560" s="15" t="s">
        <v>62</v>
      </c>
      <c r="F560" s="14" t="s">
        <v>22</v>
      </c>
      <c r="G560" s="15" t="s">
        <v>23</v>
      </c>
      <c r="H560" s="15"/>
      <c r="I560" s="15">
        <v>201405</v>
      </c>
      <c r="J560" s="16">
        <v>-6336.99</v>
      </c>
      <c r="K560" s="44">
        <f t="shared" si="44"/>
        <v>41944</v>
      </c>
      <c r="L560" s="45">
        <f t="shared" si="40"/>
        <v>7</v>
      </c>
      <c r="M560" s="17">
        <v>1.4833299999999999E-3</v>
      </c>
      <c r="N560" s="46">
        <f t="shared" si="41"/>
        <v>-65.798931636899994</v>
      </c>
      <c r="O560" s="16"/>
      <c r="P560" s="48">
        <f t="shared" si="42"/>
        <v>-3049.6764375000002</v>
      </c>
      <c r="Q560" s="16"/>
      <c r="R560" s="48">
        <f t="shared" si="43"/>
        <v>-114.36682702500001</v>
      </c>
    </row>
    <row r="561" spans="1:18">
      <c r="A561" s="14" t="s">
        <v>17</v>
      </c>
      <c r="B561" s="15" t="s">
        <v>628</v>
      </c>
      <c r="C561" s="15" t="s">
        <v>629</v>
      </c>
      <c r="D561" s="14" t="s">
        <v>630</v>
      </c>
      <c r="E561" s="15" t="s">
        <v>440</v>
      </c>
      <c r="F561" s="14" t="s">
        <v>28</v>
      </c>
      <c r="G561" s="15" t="s">
        <v>23</v>
      </c>
      <c r="H561" s="15"/>
      <c r="I561" s="15">
        <v>201405</v>
      </c>
      <c r="J561" s="16">
        <v>-4278.0200000000004</v>
      </c>
      <c r="K561" s="44">
        <f t="shared" si="44"/>
        <v>41944</v>
      </c>
      <c r="L561" s="45">
        <f t="shared" si="40"/>
        <v>7</v>
      </c>
      <c r="M561" s="17">
        <v>1.4833299999999999E-3</v>
      </c>
      <c r="N561" s="46">
        <f t="shared" si="41"/>
        <v>-44.420007846200001</v>
      </c>
      <c r="O561" s="16"/>
      <c r="P561" s="48">
        <f t="shared" si="42"/>
        <v>-2058.7971250000005</v>
      </c>
      <c r="Q561" s="16"/>
      <c r="R561" s="48">
        <f t="shared" si="43"/>
        <v>-77.207565950000017</v>
      </c>
    </row>
    <row r="562" spans="1:18">
      <c r="A562" s="14" t="s">
        <v>17</v>
      </c>
      <c r="B562" s="15" t="s">
        <v>631</v>
      </c>
      <c r="C562" s="15" t="s">
        <v>632</v>
      </c>
      <c r="D562" s="14" t="s">
        <v>633</v>
      </c>
      <c r="E562" s="15" t="s">
        <v>32</v>
      </c>
      <c r="F562" s="14" t="s">
        <v>22</v>
      </c>
      <c r="G562" s="15" t="s">
        <v>23</v>
      </c>
      <c r="H562" s="15"/>
      <c r="I562" s="15">
        <v>201405</v>
      </c>
      <c r="J562" s="16">
        <v>-4698.75</v>
      </c>
      <c r="K562" s="44">
        <f t="shared" si="44"/>
        <v>41944</v>
      </c>
      <c r="L562" s="45">
        <f t="shared" si="40"/>
        <v>7</v>
      </c>
      <c r="M562" s="17">
        <v>1.4833299999999999E-3</v>
      </c>
      <c r="N562" s="46">
        <f t="shared" si="41"/>
        <v>-48.788577862499999</v>
      </c>
      <c r="O562" s="16"/>
      <c r="P562" s="48">
        <f t="shared" si="42"/>
        <v>-2261.2734375000005</v>
      </c>
      <c r="Q562" s="16"/>
      <c r="R562" s="48">
        <f t="shared" si="43"/>
        <v>-84.800690625000001</v>
      </c>
    </row>
    <row r="563" spans="1:18">
      <c r="A563" s="14" t="s">
        <v>17</v>
      </c>
      <c r="B563" s="15" t="s">
        <v>634</v>
      </c>
      <c r="C563" s="15" t="s">
        <v>635</v>
      </c>
      <c r="D563" s="14" t="s">
        <v>636</v>
      </c>
      <c r="E563" s="15" t="s">
        <v>567</v>
      </c>
      <c r="F563" s="14" t="s">
        <v>137</v>
      </c>
      <c r="G563" s="15" t="s">
        <v>23</v>
      </c>
      <c r="H563" s="15"/>
      <c r="I563" s="15">
        <v>201405</v>
      </c>
      <c r="J563" s="16">
        <v>-33438.19</v>
      </c>
      <c r="K563" s="44">
        <f t="shared" si="44"/>
        <v>41944</v>
      </c>
      <c r="L563" s="45">
        <f t="shared" si="40"/>
        <v>7</v>
      </c>
      <c r="M563" s="17">
        <v>1.4833299999999999E-3</v>
      </c>
      <c r="N563" s="46">
        <f t="shared" si="41"/>
        <v>-347.1990926089</v>
      </c>
      <c r="O563" s="16"/>
      <c r="P563" s="48">
        <f t="shared" si="42"/>
        <v>-16092.128937500003</v>
      </c>
      <c r="Q563" s="16"/>
      <c r="R563" s="48">
        <f t="shared" si="43"/>
        <v>-603.47573402500007</v>
      </c>
    </row>
    <row r="564" spans="1:18">
      <c r="A564" s="14" t="s">
        <v>17</v>
      </c>
      <c r="B564" s="15" t="s">
        <v>637</v>
      </c>
      <c r="C564" s="15" t="s">
        <v>638</v>
      </c>
      <c r="D564" s="14" t="s">
        <v>639</v>
      </c>
      <c r="E564" s="15" t="s">
        <v>136</v>
      </c>
      <c r="F564" s="14" t="s">
        <v>137</v>
      </c>
      <c r="G564" s="15" t="s">
        <v>23</v>
      </c>
      <c r="H564" s="15"/>
      <c r="I564" s="15">
        <v>201405</v>
      </c>
      <c r="J564" s="16">
        <v>9401.41</v>
      </c>
      <c r="K564" s="44">
        <f t="shared" si="44"/>
        <v>41944</v>
      </c>
      <c r="L564" s="45">
        <f t="shared" si="40"/>
        <v>7</v>
      </c>
      <c r="M564" s="17">
        <v>1.4833299999999999E-3</v>
      </c>
      <c r="N564" s="46">
        <f t="shared" si="41"/>
        <v>97.617754467099999</v>
      </c>
      <c r="O564" s="16"/>
      <c r="P564" s="48">
        <f t="shared" si="42"/>
        <v>4524.4285625000002</v>
      </c>
      <c r="Q564" s="16"/>
      <c r="R564" s="48">
        <f t="shared" si="43"/>
        <v>169.671946975</v>
      </c>
    </row>
    <row r="565" spans="1:18">
      <c r="A565" s="14" t="s">
        <v>17</v>
      </c>
      <c r="B565" s="15" t="s">
        <v>640</v>
      </c>
      <c r="C565" s="15" t="s">
        <v>641</v>
      </c>
      <c r="D565" s="14" t="s">
        <v>642</v>
      </c>
      <c r="E565" s="15" t="s">
        <v>362</v>
      </c>
      <c r="F565" s="14" t="s">
        <v>41</v>
      </c>
      <c r="G565" s="15" t="s">
        <v>23</v>
      </c>
      <c r="H565" s="15"/>
      <c r="I565" s="15">
        <v>201405</v>
      </c>
      <c r="J565" s="16">
        <v>-491.97</v>
      </c>
      <c r="K565" s="44">
        <f t="shared" si="44"/>
        <v>41944</v>
      </c>
      <c r="L565" s="45">
        <f t="shared" si="40"/>
        <v>7</v>
      </c>
      <c r="M565" s="17">
        <v>1.4833299999999999E-3</v>
      </c>
      <c r="N565" s="46">
        <f t="shared" si="41"/>
        <v>-5.1082770207000001</v>
      </c>
      <c r="O565" s="16"/>
      <c r="P565" s="48">
        <f t="shared" si="42"/>
        <v>-236.76056250000005</v>
      </c>
      <c r="Q565" s="16"/>
      <c r="R565" s="48">
        <f t="shared" si="43"/>
        <v>-8.8788285750000018</v>
      </c>
    </row>
    <row r="566" spans="1:18">
      <c r="A566" s="14" t="s">
        <v>17</v>
      </c>
      <c r="B566" s="15" t="s">
        <v>643</v>
      </c>
      <c r="C566" s="15" t="s">
        <v>644</v>
      </c>
      <c r="D566" s="14" t="s">
        <v>645</v>
      </c>
      <c r="E566" s="15" t="s">
        <v>141</v>
      </c>
      <c r="F566" s="14" t="s">
        <v>142</v>
      </c>
      <c r="G566" s="15" t="s">
        <v>23</v>
      </c>
      <c r="H566" s="15"/>
      <c r="I566" s="15">
        <v>201405</v>
      </c>
      <c r="J566" s="16">
        <v>-4928.5</v>
      </c>
      <c r="K566" s="44">
        <f t="shared" si="44"/>
        <v>41944</v>
      </c>
      <c r="L566" s="45">
        <f t="shared" si="40"/>
        <v>7</v>
      </c>
      <c r="M566" s="17">
        <v>1.4833299999999999E-3</v>
      </c>
      <c r="N566" s="46">
        <f t="shared" si="41"/>
        <v>-51.174143334999997</v>
      </c>
      <c r="O566" s="16"/>
      <c r="P566" s="48">
        <f t="shared" si="42"/>
        <v>-2371.8406250000003</v>
      </c>
      <c r="Q566" s="16"/>
      <c r="R566" s="48">
        <f t="shared" si="43"/>
        <v>-88.947103750000011</v>
      </c>
    </row>
    <row r="567" spans="1:18">
      <c r="A567" s="14" t="s">
        <v>17</v>
      </c>
      <c r="B567" s="15" t="s">
        <v>652</v>
      </c>
      <c r="C567" s="15" t="s">
        <v>653</v>
      </c>
      <c r="D567" s="14" t="s">
        <v>654</v>
      </c>
      <c r="E567" s="15" t="s">
        <v>40</v>
      </c>
      <c r="F567" s="14" t="s">
        <v>41</v>
      </c>
      <c r="G567" s="15" t="s">
        <v>23</v>
      </c>
      <c r="H567" s="15"/>
      <c r="I567" s="15">
        <v>201405</v>
      </c>
      <c r="J567" s="16">
        <v>7007.41</v>
      </c>
      <c r="K567" s="44">
        <f t="shared" si="44"/>
        <v>41944</v>
      </c>
      <c r="L567" s="45">
        <f t="shared" si="40"/>
        <v>7</v>
      </c>
      <c r="M567" s="17">
        <v>1.4833299999999999E-3</v>
      </c>
      <c r="N567" s="46">
        <f t="shared" si="41"/>
        <v>72.760110327099994</v>
      </c>
      <c r="O567" s="16"/>
      <c r="P567" s="48">
        <f t="shared" si="42"/>
        <v>3372.3160625000005</v>
      </c>
      <c r="Q567" s="16"/>
      <c r="R567" s="48">
        <f t="shared" si="43"/>
        <v>126.466231975</v>
      </c>
    </row>
    <row r="568" spans="1:18">
      <c r="A568" s="14" t="s">
        <v>17</v>
      </c>
      <c r="B568" s="15" t="s">
        <v>655</v>
      </c>
      <c r="C568" s="15" t="s">
        <v>656</v>
      </c>
      <c r="D568" s="14" t="s">
        <v>657</v>
      </c>
      <c r="E568" s="15" t="s">
        <v>36</v>
      </c>
      <c r="F568" s="14" t="s">
        <v>22</v>
      </c>
      <c r="G568" s="15" t="s">
        <v>23</v>
      </c>
      <c r="H568" s="15"/>
      <c r="I568" s="15">
        <v>201405</v>
      </c>
      <c r="J568" s="16">
        <v>-4017.57</v>
      </c>
      <c r="K568" s="44">
        <f t="shared" si="44"/>
        <v>41944</v>
      </c>
      <c r="L568" s="45">
        <f t="shared" si="40"/>
        <v>7</v>
      </c>
      <c r="M568" s="17">
        <v>1.4833299999999999E-3</v>
      </c>
      <c r="N568" s="46">
        <f t="shared" si="41"/>
        <v>-41.715674756700004</v>
      </c>
      <c r="O568" s="16"/>
      <c r="P568" s="48">
        <f t="shared" si="42"/>
        <v>-1933.4555625000003</v>
      </c>
      <c r="Q568" s="16"/>
      <c r="R568" s="48">
        <f t="shared" si="43"/>
        <v>-72.507094575000011</v>
      </c>
    </row>
    <row r="569" spans="1:18">
      <c r="A569" s="14" t="s">
        <v>17</v>
      </c>
      <c r="B569" s="15" t="s">
        <v>658</v>
      </c>
      <c r="C569" s="15" t="s">
        <v>659</v>
      </c>
      <c r="D569" s="14" t="s">
        <v>660</v>
      </c>
      <c r="E569" s="15" t="s">
        <v>440</v>
      </c>
      <c r="F569" s="14" t="s">
        <v>28</v>
      </c>
      <c r="G569" s="15" t="s">
        <v>23</v>
      </c>
      <c r="H569" s="15"/>
      <c r="I569" s="15">
        <v>201405</v>
      </c>
      <c r="J569" s="16">
        <v>-1996.81</v>
      </c>
      <c r="K569" s="44">
        <f t="shared" si="44"/>
        <v>41944</v>
      </c>
      <c r="L569" s="45">
        <f t="shared" si="40"/>
        <v>7</v>
      </c>
      <c r="M569" s="17">
        <v>1.4833299999999999E-3</v>
      </c>
      <c r="N569" s="46">
        <f t="shared" si="41"/>
        <v>-20.7334972411</v>
      </c>
      <c r="O569" s="16"/>
      <c r="P569" s="48">
        <f t="shared" si="42"/>
        <v>-960.96481250000011</v>
      </c>
      <c r="Q569" s="16"/>
      <c r="R569" s="48">
        <f t="shared" si="43"/>
        <v>-36.037428474999999</v>
      </c>
    </row>
    <row r="570" spans="1:18">
      <c r="A570" s="14" t="s">
        <v>17</v>
      </c>
      <c r="B570" s="15" t="s">
        <v>661</v>
      </c>
      <c r="C570" s="15" t="s">
        <v>662</v>
      </c>
      <c r="D570" s="14" t="s">
        <v>663</v>
      </c>
      <c r="E570" s="15" t="s">
        <v>40</v>
      </c>
      <c r="F570" s="14" t="s">
        <v>41</v>
      </c>
      <c r="G570" s="15" t="s">
        <v>23</v>
      </c>
      <c r="H570" s="15"/>
      <c r="I570" s="15">
        <v>201405</v>
      </c>
      <c r="J570" s="16">
        <v>-3028.73</v>
      </c>
      <c r="K570" s="44">
        <f t="shared" si="44"/>
        <v>41944</v>
      </c>
      <c r="L570" s="45">
        <f t="shared" si="40"/>
        <v>7</v>
      </c>
      <c r="M570" s="17">
        <v>1.4833299999999999E-3</v>
      </c>
      <c r="N570" s="46">
        <f t="shared" si="41"/>
        <v>-31.448242496300001</v>
      </c>
      <c r="O570" s="16"/>
      <c r="P570" s="48">
        <f t="shared" si="42"/>
        <v>-1457.5763125000003</v>
      </c>
      <c r="Q570" s="16"/>
      <c r="R570" s="48">
        <f t="shared" si="43"/>
        <v>-54.661004675000001</v>
      </c>
    </row>
    <row r="571" spans="1:18">
      <c r="A571" s="14" t="s">
        <v>17</v>
      </c>
      <c r="B571" s="15" t="s">
        <v>664</v>
      </c>
      <c r="C571" s="15" t="s">
        <v>665</v>
      </c>
      <c r="D571" s="14" t="s">
        <v>666</v>
      </c>
      <c r="E571" s="15" t="s">
        <v>667</v>
      </c>
      <c r="F571" s="14" t="s">
        <v>28</v>
      </c>
      <c r="G571" s="15" t="s">
        <v>23</v>
      </c>
      <c r="H571" s="15"/>
      <c r="I571" s="15">
        <v>201405</v>
      </c>
      <c r="J571" s="16">
        <v>-773.62</v>
      </c>
      <c r="K571" s="44">
        <f t="shared" si="44"/>
        <v>41944</v>
      </c>
      <c r="L571" s="45">
        <f t="shared" si="40"/>
        <v>7</v>
      </c>
      <c r="M571" s="17">
        <v>1.4833299999999999E-3</v>
      </c>
      <c r="N571" s="46">
        <f t="shared" si="41"/>
        <v>-8.0327362822000001</v>
      </c>
      <c r="O571" s="16"/>
      <c r="P571" s="48">
        <f t="shared" si="42"/>
        <v>-372.30462500000004</v>
      </c>
      <c r="Q571" s="16"/>
      <c r="R571" s="48">
        <f t="shared" si="43"/>
        <v>-13.961906950000001</v>
      </c>
    </row>
    <row r="572" spans="1:18">
      <c r="A572" s="14" t="s">
        <v>17</v>
      </c>
      <c r="B572" s="15" t="s">
        <v>668</v>
      </c>
      <c r="C572" s="15" t="s">
        <v>669</v>
      </c>
      <c r="D572" s="14" t="s">
        <v>670</v>
      </c>
      <c r="E572" s="15" t="s">
        <v>45</v>
      </c>
      <c r="F572" s="14" t="s">
        <v>22</v>
      </c>
      <c r="G572" s="15" t="s">
        <v>23</v>
      </c>
      <c r="H572" s="15"/>
      <c r="I572" s="15">
        <v>201405</v>
      </c>
      <c r="J572" s="16">
        <v>-824.58</v>
      </c>
      <c r="K572" s="44">
        <f t="shared" si="44"/>
        <v>41944</v>
      </c>
      <c r="L572" s="45">
        <f t="shared" si="40"/>
        <v>7</v>
      </c>
      <c r="M572" s="17">
        <v>1.4833299999999999E-3</v>
      </c>
      <c r="N572" s="46">
        <f t="shared" si="41"/>
        <v>-8.5618697598000004</v>
      </c>
      <c r="O572" s="16"/>
      <c r="P572" s="48">
        <f t="shared" si="42"/>
        <v>-396.82912500000009</v>
      </c>
      <c r="Q572" s="16"/>
      <c r="R572" s="48">
        <f t="shared" si="43"/>
        <v>-14.881607550000002</v>
      </c>
    </row>
    <row r="573" spans="1:18">
      <c r="A573" s="18" t="s">
        <v>66</v>
      </c>
      <c r="B573" s="15" t="s">
        <v>674</v>
      </c>
      <c r="C573" s="15" t="s">
        <v>675</v>
      </c>
      <c r="D573" s="14" t="s">
        <v>385</v>
      </c>
      <c r="E573" s="15" t="s">
        <v>676</v>
      </c>
      <c r="F573" s="14" t="s">
        <v>387</v>
      </c>
      <c r="G573" s="15" t="s">
        <v>23</v>
      </c>
      <c r="H573" s="15"/>
      <c r="I573" s="15">
        <v>201405</v>
      </c>
      <c r="J573" s="16">
        <v>6634.77</v>
      </c>
      <c r="K573" s="44">
        <f t="shared" si="44"/>
        <v>41944</v>
      </c>
      <c r="L573" s="45">
        <f t="shared" si="40"/>
        <v>7</v>
      </c>
      <c r="M573" s="17">
        <v>2.23333E-3</v>
      </c>
      <c r="N573" s="46">
        <f t="shared" si="41"/>
        <v>103.72341618870001</v>
      </c>
      <c r="O573" s="16"/>
      <c r="P573" s="48">
        <f t="shared" si="42"/>
        <v>3192.9830625000009</v>
      </c>
      <c r="Q573" s="16"/>
      <c r="R573" s="48">
        <f t="shared" si="43"/>
        <v>119.74101157500002</v>
      </c>
    </row>
    <row r="574" spans="1:18">
      <c r="A574" s="14" t="s">
        <v>17</v>
      </c>
      <c r="B574" s="15" t="s">
        <v>677</v>
      </c>
      <c r="C574" s="15" t="s">
        <v>678</v>
      </c>
      <c r="D574" s="14" t="s">
        <v>679</v>
      </c>
      <c r="E574" s="15" t="s">
        <v>216</v>
      </c>
      <c r="F574" s="14" t="s">
        <v>22</v>
      </c>
      <c r="G574" s="15" t="s">
        <v>23</v>
      </c>
      <c r="H574" s="15"/>
      <c r="I574" s="15">
        <v>201405</v>
      </c>
      <c r="J574" s="16">
        <v>27.18</v>
      </c>
      <c r="K574" s="44">
        <f t="shared" si="44"/>
        <v>41944</v>
      </c>
      <c r="L574" s="45">
        <f t="shared" si="40"/>
        <v>7</v>
      </c>
      <c r="M574" s="17">
        <v>1.4833299999999999E-3</v>
      </c>
      <c r="N574" s="46">
        <f t="shared" si="41"/>
        <v>0.28221836579999998</v>
      </c>
      <c r="O574" s="16"/>
      <c r="P574" s="48">
        <f t="shared" si="42"/>
        <v>13.080375000000002</v>
      </c>
      <c r="Q574" s="16"/>
      <c r="R574" s="48">
        <f t="shared" si="43"/>
        <v>0.49053105000000002</v>
      </c>
    </row>
    <row r="575" spans="1:18">
      <c r="A575" s="14" t="s">
        <v>238</v>
      </c>
      <c r="B575" s="15" t="s">
        <v>680</v>
      </c>
      <c r="C575" s="15" t="s">
        <v>681</v>
      </c>
      <c r="D575" s="14" t="s">
        <v>682</v>
      </c>
      <c r="E575" s="15" t="s">
        <v>683</v>
      </c>
      <c r="F575" s="14" t="s">
        <v>684</v>
      </c>
      <c r="G575" s="15" t="s">
        <v>23</v>
      </c>
      <c r="H575" s="15"/>
      <c r="I575" s="15">
        <v>201405</v>
      </c>
      <c r="J575" s="16">
        <v>-921.31</v>
      </c>
      <c r="K575" s="44">
        <f t="shared" si="44"/>
        <v>41944</v>
      </c>
      <c r="L575" s="45">
        <f t="shared" si="40"/>
        <v>7</v>
      </c>
      <c r="M575" s="17">
        <v>2.3833299999999999E-3</v>
      </c>
      <c r="N575" s="46">
        <f t="shared" si="41"/>
        <v>-15.370500336099999</v>
      </c>
      <c r="O575" s="16"/>
      <c r="P575" s="48">
        <f t="shared" si="42"/>
        <v>-443.38043750000003</v>
      </c>
      <c r="Q575" s="16"/>
      <c r="R575" s="48">
        <f t="shared" si="43"/>
        <v>-16.627342225</v>
      </c>
    </row>
    <row r="576" spans="1:18">
      <c r="A576" s="14" t="s">
        <v>17</v>
      </c>
      <c r="B576" s="15" t="s">
        <v>685</v>
      </c>
      <c r="C576" s="15" t="s">
        <v>686</v>
      </c>
      <c r="D576" s="14" t="s">
        <v>687</v>
      </c>
      <c r="E576" s="15" t="s">
        <v>40</v>
      </c>
      <c r="F576" s="14" t="s">
        <v>41</v>
      </c>
      <c r="G576" s="15" t="s">
        <v>23</v>
      </c>
      <c r="H576" s="15"/>
      <c r="I576" s="15">
        <v>201405</v>
      </c>
      <c r="J576" s="16">
        <v>-10100.98</v>
      </c>
      <c r="K576" s="44">
        <f t="shared" si="44"/>
        <v>41944</v>
      </c>
      <c r="L576" s="45">
        <f t="shared" si="40"/>
        <v>7</v>
      </c>
      <c r="M576" s="17">
        <v>1.4833299999999999E-3</v>
      </c>
      <c r="N576" s="46">
        <f t="shared" si="41"/>
        <v>-104.8816066438</v>
      </c>
      <c r="O576" s="16"/>
      <c r="P576" s="48">
        <f t="shared" si="42"/>
        <v>-4861.0966250000001</v>
      </c>
      <c r="Q576" s="16"/>
      <c r="R576" s="48">
        <f t="shared" si="43"/>
        <v>-182.29743655000001</v>
      </c>
    </row>
    <row r="577" spans="1:18">
      <c r="A577" s="14" t="s">
        <v>17</v>
      </c>
      <c r="B577" s="15" t="s">
        <v>688</v>
      </c>
      <c r="C577" s="15" t="s">
        <v>689</v>
      </c>
      <c r="D577" s="14" t="s">
        <v>690</v>
      </c>
      <c r="E577" s="15" t="s">
        <v>141</v>
      </c>
      <c r="F577" s="14" t="s">
        <v>142</v>
      </c>
      <c r="G577" s="15" t="s">
        <v>23</v>
      </c>
      <c r="H577" s="15"/>
      <c r="I577" s="15">
        <v>201405</v>
      </c>
      <c r="J577" s="16">
        <v>-8202.33</v>
      </c>
      <c r="K577" s="44">
        <f t="shared" si="44"/>
        <v>41944</v>
      </c>
      <c r="L577" s="45">
        <f t="shared" si="40"/>
        <v>7</v>
      </c>
      <c r="M577" s="17">
        <v>1.4833299999999999E-3</v>
      </c>
      <c r="N577" s="46">
        <f t="shared" si="41"/>
        <v>-85.167335112299995</v>
      </c>
      <c r="O577" s="16"/>
      <c r="P577" s="48">
        <f t="shared" si="42"/>
        <v>-3947.3713125000004</v>
      </c>
      <c r="Q577" s="16"/>
      <c r="R577" s="48">
        <f t="shared" si="43"/>
        <v>-148.03155067500001</v>
      </c>
    </row>
    <row r="578" spans="1:18">
      <c r="A578" s="14" t="s">
        <v>17</v>
      </c>
      <c r="B578" s="15" t="s">
        <v>691</v>
      </c>
      <c r="C578" s="15" t="s">
        <v>692</v>
      </c>
      <c r="D578" s="14" t="s">
        <v>693</v>
      </c>
      <c r="E578" s="15" t="s">
        <v>58</v>
      </c>
      <c r="F578" s="14" t="s">
        <v>22</v>
      </c>
      <c r="G578" s="15" t="s">
        <v>23</v>
      </c>
      <c r="H578" s="15"/>
      <c r="I578" s="15">
        <v>201405</v>
      </c>
      <c r="J578" s="16">
        <v>-493.89</v>
      </c>
      <c r="K578" s="44">
        <f t="shared" si="44"/>
        <v>41944</v>
      </c>
      <c r="L578" s="45">
        <f t="shared" si="40"/>
        <v>7</v>
      </c>
      <c r="M578" s="17">
        <v>1.4833299999999999E-3</v>
      </c>
      <c r="N578" s="46">
        <f t="shared" si="41"/>
        <v>-5.1282129758999995</v>
      </c>
      <c r="O578" s="16"/>
      <c r="P578" s="48">
        <f t="shared" si="42"/>
        <v>-237.68456250000003</v>
      </c>
      <c r="Q578" s="16"/>
      <c r="R578" s="48">
        <f t="shared" si="43"/>
        <v>-8.9134797750000008</v>
      </c>
    </row>
    <row r="579" spans="1:18">
      <c r="A579" s="14" t="s">
        <v>17</v>
      </c>
      <c r="B579" s="15" t="s">
        <v>694</v>
      </c>
      <c r="C579" s="15" t="s">
        <v>695</v>
      </c>
      <c r="D579" s="14" t="s">
        <v>696</v>
      </c>
      <c r="E579" s="15" t="s">
        <v>141</v>
      </c>
      <c r="F579" s="14" t="s">
        <v>142</v>
      </c>
      <c r="G579" s="15" t="s">
        <v>23</v>
      </c>
      <c r="H579" s="15"/>
      <c r="I579" s="15">
        <v>201405</v>
      </c>
      <c r="J579" s="16">
        <v>-384.19</v>
      </c>
      <c r="K579" s="44">
        <f t="shared" si="44"/>
        <v>41944</v>
      </c>
      <c r="L579" s="45">
        <f t="shared" si="40"/>
        <v>7</v>
      </c>
      <c r="M579" s="17">
        <v>1.4833299999999999E-3</v>
      </c>
      <c r="N579" s="46">
        <f t="shared" si="41"/>
        <v>-3.9891638689</v>
      </c>
      <c r="O579" s="16"/>
      <c r="P579" s="48">
        <f t="shared" si="42"/>
        <v>-184.89143750000002</v>
      </c>
      <c r="Q579" s="16"/>
      <c r="R579" s="48">
        <f t="shared" si="43"/>
        <v>-6.9336690250000004</v>
      </c>
    </row>
    <row r="580" spans="1:18">
      <c r="A580" s="14" t="s">
        <v>17</v>
      </c>
      <c r="B580" s="15" t="s">
        <v>697</v>
      </c>
      <c r="C580" s="15" t="s">
        <v>698</v>
      </c>
      <c r="D580" s="14" t="s">
        <v>699</v>
      </c>
      <c r="E580" s="15" t="s">
        <v>108</v>
      </c>
      <c r="F580" s="14" t="s">
        <v>28</v>
      </c>
      <c r="G580" s="15" t="s">
        <v>23</v>
      </c>
      <c r="H580" s="15"/>
      <c r="I580" s="15">
        <v>201405</v>
      </c>
      <c r="J580" s="16">
        <v>-261.58999999999997</v>
      </c>
      <c r="K580" s="44">
        <f t="shared" si="44"/>
        <v>41944</v>
      </c>
      <c r="L580" s="45">
        <f t="shared" si="40"/>
        <v>7</v>
      </c>
      <c r="M580" s="17">
        <v>1.4833299999999999E-3</v>
      </c>
      <c r="N580" s="46">
        <f t="shared" si="41"/>
        <v>-2.7161700628999998</v>
      </c>
      <c r="O580" s="16"/>
      <c r="P580" s="48">
        <f t="shared" si="42"/>
        <v>-125.89018750000001</v>
      </c>
      <c r="Q580" s="16"/>
      <c r="R580" s="48">
        <f t="shared" si="43"/>
        <v>-4.7210455250000001</v>
      </c>
    </row>
    <row r="581" spans="1:18">
      <c r="A581" s="14" t="s">
        <v>17</v>
      </c>
      <c r="B581" s="15" t="s">
        <v>700</v>
      </c>
      <c r="C581" s="15" t="s">
        <v>701</v>
      </c>
      <c r="D581" s="14" t="s">
        <v>702</v>
      </c>
      <c r="E581" s="15" t="s">
        <v>703</v>
      </c>
      <c r="F581" s="14" t="s">
        <v>142</v>
      </c>
      <c r="G581" s="15" t="s">
        <v>23</v>
      </c>
      <c r="H581" s="15"/>
      <c r="I581" s="15">
        <v>201405</v>
      </c>
      <c r="J581" s="16">
        <v>-10315.26</v>
      </c>
      <c r="K581" s="44">
        <f t="shared" si="44"/>
        <v>41944</v>
      </c>
      <c r="L581" s="45">
        <f t="shared" si="40"/>
        <v>7</v>
      </c>
      <c r="M581" s="17">
        <v>1.4833299999999999E-3</v>
      </c>
      <c r="N581" s="46">
        <f t="shared" si="41"/>
        <v>-107.10654231060001</v>
      </c>
      <c r="O581" s="16"/>
      <c r="P581" s="48">
        <f t="shared" si="42"/>
        <v>-4964.2188750000005</v>
      </c>
      <c r="Q581" s="16"/>
      <c r="R581" s="48">
        <f t="shared" si="43"/>
        <v>-186.16465485000001</v>
      </c>
    </row>
    <row r="582" spans="1:18">
      <c r="A582" s="14" t="s">
        <v>17</v>
      </c>
      <c r="B582" s="15" t="s">
        <v>704</v>
      </c>
      <c r="C582" s="15" t="s">
        <v>705</v>
      </c>
      <c r="D582" s="14" t="s">
        <v>706</v>
      </c>
      <c r="E582" s="15" t="s">
        <v>58</v>
      </c>
      <c r="F582" s="14" t="s">
        <v>22</v>
      </c>
      <c r="G582" s="15" t="s">
        <v>23</v>
      </c>
      <c r="H582" s="15"/>
      <c r="I582" s="15">
        <v>201405</v>
      </c>
      <c r="J582" s="16">
        <v>-29608.23</v>
      </c>
      <c r="K582" s="44">
        <f t="shared" si="44"/>
        <v>41944</v>
      </c>
      <c r="L582" s="45">
        <f t="shared" ref="L582:L645" si="45">((YEAR($L$1)-YEAR(K582))*12+MONTH($L$1)-MONTH(K582))</f>
        <v>7</v>
      </c>
      <c r="M582" s="17">
        <v>1.4833299999999999E-3</v>
      </c>
      <c r="N582" s="46">
        <f t="shared" ref="N582:N645" si="46">M582*L582*J582</f>
        <v>-307.43143064129998</v>
      </c>
      <c r="O582" s="16"/>
      <c r="P582" s="48">
        <f t="shared" ref="P582:P645" si="47">$P$4*J582</f>
        <v>-14248.960687500001</v>
      </c>
      <c r="Q582" s="16"/>
      <c r="R582" s="48">
        <f t="shared" ref="R582:R645" si="48">$R$4*(J582*0.5)*$T$9</f>
        <v>-534.35453092500006</v>
      </c>
    </row>
    <row r="583" spans="1:18">
      <c r="A583" s="14" t="s">
        <v>17</v>
      </c>
      <c r="B583" s="15" t="s">
        <v>707</v>
      </c>
      <c r="C583" s="15" t="s">
        <v>708</v>
      </c>
      <c r="D583" s="14" t="s">
        <v>709</v>
      </c>
      <c r="E583" s="15" t="s">
        <v>62</v>
      </c>
      <c r="F583" s="14" t="s">
        <v>22</v>
      </c>
      <c r="G583" s="15" t="s">
        <v>23</v>
      </c>
      <c r="H583" s="15"/>
      <c r="I583" s="15">
        <v>201405</v>
      </c>
      <c r="J583" s="16">
        <v>-7779.49</v>
      </c>
      <c r="K583" s="44">
        <f t="shared" ref="K583:K646" si="49">+K582</f>
        <v>41944</v>
      </c>
      <c r="L583" s="45">
        <f t="shared" si="45"/>
        <v>7</v>
      </c>
      <c r="M583" s="17">
        <v>1.4833299999999999E-3</v>
      </c>
      <c r="N583" s="46">
        <f t="shared" si="46"/>
        <v>-80.776856311899991</v>
      </c>
      <c r="O583" s="16"/>
      <c r="P583" s="48">
        <f t="shared" si="47"/>
        <v>-3743.8795625000002</v>
      </c>
      <c r="Q583" s="16"/>
      <c r="R583" s="48">
        <f t="shared" si="48"/>
        <v>-140.40034577500001</v>
      </c>
    </row>
    <row r="584" spans="1:18">
      <c r="A584" s="14" t="s">
        <v>17</v>
      </c>
      <c r="B584" s="15" t="s">
        <v>710</v>
      </c>
      <c r="C584" s="15" t="s">
        <v>711</v>
      </c>
      <c r="D584" s="14" t="s">
        <v>712</v>
      </c>
      <c r="E584" s="15" t="s">
        <v>45</v>
      </c>
      <c r="F584" s="14" t="s">
        <v>22</v>
      </c>
      <c r="G584" s="15" t="s">
        <v>23</v>
      </c>
      <c r="H584" s="15"/>
      <c r="I584" s="15">
        <v>201405</v>
      </c>
      <c r="J584" s="16">
        <v>20793.13</v>
      </c>
      <c r="K584" s="44">
        <f t="shared" si="49"/>
        <v>41944</v>
      </c>
      <c r="L584" s="45">
        <f t="shared" si="45"/>
        <v>7</v>
      </c>
      <c r="M584" s="17">
        <v>1.4833299999999999E-3</v>
      </c>
      <c r="N584" s="46">
        <f t="shared" si="46"/>
        <v>215.90151466029999</v>
      </c>
      <c r="O584" s="16"/>
      <c r="P584" s="48">
        <f t="shared" si="47"/>
        <v>10006.693812500002</v>
      </c>
      <c r="Q584" s="16"/>
      <c r="R584" s="48">
        <f t="shared" si="48"/>
        <v>375.26401367500006</v>
      </c>
    </row>
    <row r="585" spans="1:18">
      <c r="A585" s="14" t="s">
        <v>17</v>
      </c>
      <c r="B585" s="15" t="s">
        <v>713</v>
      </c>
      <c r="C585" s="15" t="s">
        <v>714</v>
      </c>
      <c r="D585" s="14" t="s">
        <v>715</v>
      </c>
      <c r="E585" s="15" t="s">
        <v>258</v>
      </c>
      <c r="F585" s="14" t="s">
        <v>259</v>
      </c>
      <c r="G585" s="15" t="s">
        <v>23</v>
      </c>
      <c r="H585" s="15"/>
      <c r="I585" s="15">
        <v>201405</v>
      </c>
      <c r="J585" s="16">
        <v>-1907.62</v>
      </c>
      <c r="K585" s="44">
        <f t="shared" si="49"/>
        <v>41944</v>
      </c>
      <c r="L585" s="45">
        <f t="shared" si="45"/>
        <v>7</v>
      </c>
      <c r="M585" s="17">
        <v>1.4833299999999999E-3</v>
      </c>
      <c r="N585" s="46">
        <f t="shared" si="46"/>
        <v>-19.807409822199997</v>
      </c>
      <c r="O585" s="16"/>
      <c r="P585" s="48">
        <f t="shared" si="47"/>
        <v>-918.04212500000006</v>
      </c>
      <c r="Q585" s="16"/>
      <c r="R585" s="48">
        <f t="shared" si="48"/>
        <v>-34.42777195</v>
      </c>
    </row>
    <row r="586" spans="1:18">
      <c r="A586" s="14" t="s">
        <v>17</v>
      </c>
      <c r="B586" s="15" t="s">
        <v>716</v>
      </c>
      <c r="C586" s="15" t="s">
        <v>717</v>
      </c>
      <c r="D586" s="14" t="s">
        <v>718</v>
      </c>
      <c r="E586" s="15" t="s">
        <v>104</v>
      </c>
      <c r="F586" s="14" t="s">
        <v>41</v>
      </c>
      <c r="G586" s="15" t="s">
        <v>23</v>
      </c>
      <c r="H586" s="15"/>
      <c r="I586" s="15">
        <v>201405</v>
      </c>
      <c r="J586" s="16">
        <v>-2746.26</v>
      </c>
      <c r="K586" s="44">
        <f t="shared" si="49"/>
        <v>41944</v>
      </c>
      <c r="L586" s="45">
        <f t="shared" si="45"/>
        <v>7</v>
      </c>
      <c r="M586" s="17">
        <v>1.4833299999999999E-3</v>
      </c>
      <c r="N586" s="46">
        <f t="shared" si="46"/>
        <v>-28.515268920600001</v>
      </c>
      <c r="O586" s="16"/>
      <c r="P586" s="48">
        <f t="shared" si="47"/>
        <v>-1321.6376250000003</v>
      </c>
      <c r="Q586" s="16"/>
      <c r="R586" s="48">
        <f t="shared" si="48"/>
        <v>-49.563127350000009</v>
      </c>
    </row>
    <row r="587" spans="1:18">
      <c r="A587" s="14" t="s">
        <v>17</v>
      </c>
      <c r="B587" s="15" t="s">
        <v>725</v>
      </c>
      <c r="C587" s="15" t="s">
        <v>726</v>
      </c>
      <c r="D587" s="14" t="s">
        <v>727</v>
      </c>
      <c r="E587" s="15" t="s">
        <v>141</v>
      </c>
      <c r="F587" s="14" t="s">
        <v>142</v>
      </c>
      <c r="G587" s="15" t="s">
        <v>23</v>
      </c>
      <c r="H587" s="15"/>
      <c r="I587" s="15">
        <v>201405</v>
      </c>
      <c r="J587" s="16">
        <v>-9748.9599999999991</v>
      </c>
      <c r="K587" s="44">
        <f t="shared" si="49"/>
        <v>41944</v>
      </c>
      <c r="L587" s="45">
        <f t="shared" si="45"/>
        <v>7</v>
      </c>
      <c r="M587" s="17">
        <v>1.4833299999999999E-3</v>
      </c>
      <c r="N587" s="46">
        <f t="shared" si="46"/>
        <v>-101.22647385759998</v>
      </c>
      <c r="O587" s="16"/>
      <c r="P587" s="48">
        <f t="shared" si="47"/>
        <v>-4691.6869999999999</v>
      </c>
      <c r="Q587" s="16"/>
      <c r="R587" s="48">
        <f t="shared" si="48"/>
        <v>-175.94435559999999</v>
      </c>
    </row>
    <row r="588" spans="1:18">
      <c r="A588" s="14" t="s">
        <v>17</v>
      </c>
      <c r="B588" s="15" t="s">
        <v>728</v>
      </c>
      <c r="C588" s="15" t="s">
        <v>729</v>
      </c>
      <c r="D588" s="14" t="s">
        <v>730</v>
      </c>
      <c r="E588" s="15" t="s">
        <v>141</v>
      </c>
      <c r="F588" s="14" t="s">
        <v>142</v>
      </c>
      <c r="G588" s="15" t="s">
        <v>23</v>
      </c>
      <c r="H588" s="15"/>
      <c r="I588" s="15">
        <v>201405</v>
      </c>
      <c r="J588" s="16">
        <v>5942.49</v>
      </c>
      <c r="K588" s="44">
        <f t="shared" si="49"/>
        <v>41944</v>
      </c>
      <c r="L588" s="45">
        <f t="shared" si="45"/>
        <v>7</v>
      </c>
      <c r="M588" s="17">
        <v>1.4833299999999999E-3</v>
      </c>
      <c r="N588" s="46">
        <f t="shared" si="46"/>
        <v>61.702715841899995</v>
      </c>
      <c r="O588" s="16"/>
      <c r="P588" s="48">
        <f t="shared" si="47"/>
        <v>2859.8233125000002</v>
      </c>
      <c r="Q588" s="16"/>
      <c r="R588" s="48">
        <f t="shared" si="48"/>
        <v>107.247088275</v>
      </c>
    </row>
    <row r="589" spans="1:18">
      <c r="A589" s="18" t="s">
        <v>66</v>
      </c>
      <c r="B589" s="15" t="s">
        <v>734</v>
      </c>
      <c r="C589" s="15" t="s">
        <v>735</v>
      </c>
      <c r="D589" s="14" t="s">
        <v>736</v>
      </c>
      <c r="E589" s="15" t="s">
        <v>737</v>
      </c>
      <c r="F589" s="14" t="s">
        <v>624</v>
      </c>
      <c r="G589" s="15" t="s">
        <v>23</v>
      </c>
      <c r="H589" s="15"/>
      <c r="I589" s="15">
        <v>201405</v>
      </c>
      <c r="J589" s="16">
        <v>-2968.39</v>
      </c>
      <c r="K589" s="44">
        <f t="shared" si="49"/>
        <v>41944</v>
      </c>
      <c r="L589" s="45">
        <f t="shared" si="45"/>
        <v>7</v>
      </c>
      <c r="M589" s="17">
        <v>2.23333E-3</v>
      </c>
      <c r="N589" s="46">
        <f t="shared" si="46"/>
        <v>-46.405761070899999</v>
      </c>
      <c r="O589" s="16"/>
      <c r="P589" s="48">
        <f t="shared" si="47"/>
        <v>-1428.5376875000002</v>
      </c>
      <c r="Q589" s="16"/>
      <c r="R589" s="48">
        <f t="shared" si="48"/>
        <v>-53.572018525000004</v>
      </c>
    </row>
    <row r="590" spans="1:18">
      <c r="A590" s="18" t="s">
        <v>66</v>
      </c>
      <c r="B590" s="15" t="s">
        <v>741</v>
      </c>
      <c r="C590" s="15" t="s">
        <v>742</v>
      </c>
      <c r="D590" s="14" t="s">
        <v>69</v>
      </c>
      <c r="E590" s="15" t="s">
        <v>70</v>
      </c>
      <c r="F590" s="14" t="s">
        <v>71</v>
      </c>
      <c r="G590" s="15" t="s">
        <v>23</v>
      </c>
      <c r="H590" s="15"/>
      <c r="I590" s="15">
        <v>201405</v>
      </c>
      <c r="J590" s="16">
        <v>-8324.92</v>
      </c>
      <c r="K590" s="44">
        <f t="shared" si="49"/>
        <v>41944</v>
      </c>
      <c r="L590" s="45">
        <f t="shared" si="45"/>
        <v>7</v>
      </c>
      <c r="M590" s="17">
        <v>2.23333E-3</v>
      </c>
      <c r="N590" s="46">
        <f t="shared" si="46"/>
        <v>-130.1460550852</v>
      </c>
      <c r="O590" s="16"/>
      <c r="P590" s="48">
        <f t="shared" si="47"/>
        <v>-4006.3677500000008</v>
      </c>
      <c r="Q590" s="16"/>
      <c r="R590" s="48">
        <f t="shared" si="48"/>
        <v>-150.2439937</v>
      </c>
    </row>
    <row r="591" spans="1:18">
      <c r="A591" s="18" t="s">
        <v>66</v>
      </c>
      <c r="B591" s="15" t="s">
        <v>743</v>
      </c>
      <c r="C591" s="15" t="s">
        <v>744</v>
      </c>
      <c r="D591" s="14" t="s">
        <v>745</v>
      </c>
      <c r="E591" s="15" t="s">
        <v>746</v>
      </c>
      <c r="F591" s="14" t="s">
        <v>80</v>
      </c>
      <c r="G591" s="15" t="s">
        <v>23</v>
      </c>
      <c r="H591" s="15"/>
      <c r="I591" s="15">
        <v>201405</v>
      </c>
      <c r="J591" s="16">
        <v>36178.14</v>
      </c>
      <c r="K591" s="44">
        <f t="shared" si="49"/>
        <v>41944</v>
      </c>
      <c r="L591" s="45">
        <f t="shared" si="45"/>
        <v>7</v>
      </c>
      <c r="M591" s="17">
        <v>2.23333E-3</v>
      </c>
      <c r="N591" s="46">
        <f t="shared" si="46"/>
        <v>565.5840778434</v>
      </c>
      <c r="O591" s="16"/>
      <c r="P591" s="48">
        <f t="shared" si="47"/>
        <v>17410.729875000001</v>
      </c>
      <c r="Q591" s="16"/>
      <c r="R591" s="48">
        <f t="shared" si="48"/>
        <v>652.92498165000006</v>
      </c>
    </row>
    <row r="592" spans="1:18">
      <c r="A592" s="18" t="s">
        <v>66</v>
      </c>
      <c r="B592" s="15" t="s">
        <v>747</v>
      </c>
      <c r="C592" s="15" t="s">
        <v>748</v>
      </c>
      <c r="D592" s="14" t="s">
        <v>78</v>
      </c>
      <c r="E592" s="15" t="s">
        <v>749</v>
      </c>
      <c r="F592" s="14" t="s">
        <v>80</v>
      </c>
      <c r="G592" s="15" t="s">
        <v>23</v>
      </c>
      <c r="H592" s="15"/>
      <c r="I592" s="15">
        <v>201405</v>
      </c>
      <c r="J592" s="16">
        <v>-2041.67</v>
      </c>
      <c r="K592" s="44">
        <f t="shared" si="49"/>
        <v>41944</v>
      </c>
      <c r="L592" s="45">
        <f t="shared" si="45"/>
        <v>7</v>
      </c>
      <c r="M592" s="17">
        <v>2.23333E-3</v>
      </c>
      <c r="N592" s="46">
        <f t="shared" si="46"/>
        <v>-31.918060027700005</v>
      </c>
      <c r="O592" s="16"/>
      <c r="P592" s="48">
        <f t="shared" si="47"/>
        <v>-982.55368750000014</v>
      </c>
      <c r="Q592" s="16"/>
      <c r="R592" s="48">
        <f t="shared" si="48"/>
        <v>-36.847039325000004</v>
      </c>
    </row>
    <row r="593" spans="1:18">
      <c r="A593" s="18" t="s">
        <v>66</v>
      </c>
      <c r="B593" s="15" t="s">
        <v>753</v>
      </c>
      <c r="C593" s="15" t="s">
        <v>754</v>
      </c>
      <c r="D593" s="14" t="s">
        <v>206</v>
      </c>
      <c r="E593" s="15" t="s">
        <v>755</v>
      </c>
      <c r="F593" s="14" t="s">
        <v>97</v>
      </c>
      <c r="G593" s="15" t="s">
        <v>23</v>
      </c>
      <c r="H593" s="15"/>
      <c r="I593" s="15">
        <v>201405</v>
      </c>
      <c r="J593" s="16">
        <v>48178.15</v>
      </c>
      <c r="K593" s="44">
        <f t="shared" si="49"/>
        <v>41944</v>
      </c>
      <c r="L593" s="45">
        <f t="shared" si="45"/>
        <v>7</v>
      </c>
      <c r="M593" s="17">
        <v>2.23333E-3</v>
      </c>
      <c r="N593" s="46">
        <f t="shared" si="46"/>
        <v>753.18395417650004</v>
      </c>
      <c r="O593" s="16"/>
      <c r="P593" s="48">
        <f t="shared" si="47"/>
        <v>23185.734687500004</v>
      </c>
      <c r="Q593" s="16"/>
      <c r="R593" s="48">
        <f t="shared" si="48"/>
        <v>869.49516212500009</v>
      </c>
    </row>
    <row r="594" spans="1:18">
      <c r="A594" s="14" t="s">
        <v>17</v>
      </c>
      <c r="B594" s="15" t="s">
        <v>756</v>
      </c>
      <c r="C594" s="15" t="s">
        <v>757</v>
      </c>
      <c r="D594" s="14" t="s">
        <v>758</v>
      </c>
      <c r="E594" s="15" t="s">
        <v>141</v>
      </c>
      <c r="F594" s="14" t="s">
        <v>142</v>
      </c>
      <c r="G594" s="15" t="s">
        <v>23</v>
      </c>
      <c r="H594" s="15"/>
      <c r="I594" s="15">
        <v>201405</v>
      </c>
      <c r="J594" s="16">
        <v>-32298.95</v>
      </c>
      <c r="K594" s="44">
        <f t="shared" si="49"/>
        <v>41944</v>
      </c>
      <c r="L594" s="45">
        <f t="shared" si="45"/>
        <v>7</v>
      </c>
      <c r="M594" s="17">
        <v>1.4833299999999999E-3</v>
      </c>
      <c r="N594" s="46">
        <f t="shared" si="46"/>
        <v>-335.3700105245</v>
      </c>
      <c r="O594" s="16"/>
      <c r="P594" s="48">
        <f t="shared" si="47"/>
        <v>-15543.869687500002</v>
      </c>
      <c r="Q594" s="16"/>
      <c r="R594" s="48">
        <f t="shared" si="48"/>
        <v>-582.91530012500004</v>
      </c>
    </row>
    <row r="595" spans="1:18">
      <c r="A595" s="14" t="s">
        <v>17</v>
      </c>
      <c r="B595" s="15" t="s">
        <v>759</v>
      </c>
      <c r="C595" s="15" t="s">
        <v>760</v>
      </c>
      <c r="D595" s="14" t="s">
        <v>761</v>
      </c>
      <c r="E595" s="15" t="s">
        <v>62</v>
      </c>
      <c r="F595" s="14" t="s">
        <v>22</v>
      </c>
      <c r="G595" s="15" t="s">
        <v>23</v>
      </c>
      <c r="H595" s="15"/>
      <c r="I595" s="15">
        <v>201405</v>
      </c>
      <c r="J595" s="16">
        <v>-359.09</v>
      </c>
      <c r="K595" s="44">
        <f t="shared" si="49"/>
        <v>41944</v>
      </c>
      <c r="L595" s="45">
        <f t="shared" si="45"/>
        <v>7</v>
      </c>
      <c r="M595" s="17">
        <v>1.4833299999999999E-3</v>
      </c>
      <c r="N595" s="46">
        <f t="shared" si="46"/>
        <v>-3.7285427878999995</v>
      </c>
      <c r="O595" s="16"/>
      <c r="P595" s="48">
        <f t="shared" si="47"/>
        <v>-172.81206250000002</v>
      </c>
      <c r="Q595" s="16"/>
      <c r="R595" s="48">
        <f t="shared" si="48"/>
        <v>-6.4806767750000001</v>
      </c>
    </row>
    <row r="596" spans="1:18">
      <c r="A596" s="14" t="s">
        <v>238</v>
      </c>
      <c r="B596" s="15" t="s">
        <v>762</v>
      </c>
      <c r="C596" s="15" t="s">
        <v>763</v>
      </c>
      <c r="D596" s="14" t="s">
        <v>764</v>
      </c>
      <c r="E596" s="15" t="s">
        <v>168</v>
      </c>
      <c r="F596" s="14" t="s">
        <v>169</v>
      </c>
      <c r="G596" s="15" t="s">
        <v>23</v>
      </c>
      <c r="H596" s="15"/>
      <c r="I596" s="15">
        <v>201405</v>
      </c>
      <c r="J596" s="16">
        <v>-4425.8100000000004</v>
      </c>
      <c r="K596" s="44">
        <f t="shared" si="49"/>
        <v>41944</v>
      </c>
      <c r="L596" s="45">
        <f t="shared" si="45"/>
        <v>7</v>
      </c>
      <c r="M596" s="17">
        <v>2.3833299999999999E-3</v>
      </c>
      <c r="N596" s="46">
        <f t="shared" si="46"/>
        <v>-73.8371602311</v>
      </c>
      <c r="O596" s="16"/>
      <c r="P596" s="48">
        <f t="shared" si="47"/>
        <v>-2129.9210625000005</v>
      </c>
      <c r="Q596" s="16"/>
      <c r="R596" s="48">
        <f t="shared" si="48"/>
        <v>-79.874805975000015</v>
      </c>
    </row>
    <row r="597" spans="1:18">
      <c r="A597" s="14" t="s">
        <v>17</v>
      </c>
      <c r="B597" s="15" t="s">
        <v>765</v>
      </c>
      <c r="C597" s="15" t="s">
        <v>766</v>
      </c>
      <c r="D597" s="14" t="s">
        <v>767</v>
      </c>
      <c r="E597" s="15" t="s">
        <v>216</v>
      </c>
      <c r="F597" s="14" t="s">
        <v>22</v>
      </c>
      <c r="G597" s="15" t="s">
        <v>23</v>
      </c>
      <c r="H597" s="15"/>
      <c r="I597" s="15">
        <v>201405</v>
      </c>
      <c r="J597" s="16">
        <v>-8304.6299999999992</v>
      </c>
      <c r="K597" s="44">
        <f t="shared" si="49"/>
        <v>41944</v>
      </c>
      <c r="L597" s="45">
        <f t="shared" si="45"/>
        <v>7</v>
      </c>
      <c r="M597" s="17">
        <v>1.4833299999999999E-3</v>
      </c>
      <c r="N597" s="46">
        <f t="shared" si="46"/>
        <v>-86.229547725299994</v>
      </c>
      <c r="O597" s="16"/>
      <c r="P597" s="48">
        <f t="shared" si="47"/>
        <v>-3996.6031875000003</v>
      </c>
      <c r="Q597" s="16"/>
      <c r="R597" s="48">
        <f t="shared" si="48"/>
        <v>-149.87780992500001</v>
      </c>
    </row>
    <row r="598" spans="1:18">
      <c r="A598" s="14" t="s">
        <v>17</v>
      </c>
      <c r="B598" s="15" t="s">
        <v>768</v>
      </c>
      <c r="C598" s="15" t="s">
        <v>769</v>
      </c>
      <c r="D598" s="14" t="s">
        <v>770</v>
      </c>
      <c r="E598" s="15" t="s">
        <v>104</v>
      </c>
      <c r="F598" s="14" t="s">
        <v>41</v>
      </c>
      <c r="G598" s="15" t="s">
        <v>23</v>
      </c>
      <c r="H598" s="15"/>
      <c r="I598" s="15">
        <v>201405</v>
      </c>
      <c r="J598" s="16">
        <v>-3972.23</v>
      </c>
      <c r="K598" s="44">
        <f t="shared" si="49"/>
        <v>41944</v>
      </c>
      <c r="L598" s="45">
        <f t="shared" si="45"/>
        <v>7</v>
      </c>
      <c r="M598" s="17">
        <v>1.4833299999999999E-3</v>
      </c>
      <c r="N598" s="46">
        <f t="shared" si="46"/>
        <v>-41.244895481299999</v>
      </c>
      <c r="O598" s="16"/>
      <c r="P598" s="48">
        <f t="shared" si="47"/>
        <v>-1911.6356875000004</v>
      </c>
      <c r="Q598" s="16"/>
      <c r="R598" s="48">
        <f t="shared" si="48"/>
        <v>-71.688820925000002</v>
      </c>
    </row>
    <row r="599" spans="1:18">
      <c r="A599" s="14" t="s">
        <v>238</v>
      </c>
      <c r="B599" s="15" t="s">
        <v>771</v>
      </c>
      <c r="C599" s="15" t="s">
        <v>772</v>
      </c>
      <c r="D599" s="14" t="s">
        <v>773</v>
      </c>
      <c r="E599" s="15" t="s">
        <v>168</v>
      </c>
      <c r="F599" s="14" t="s">
        <v>169</v>
      </c>
      <c r="G599" s="15" t="s">
        <v>23</v>
      </c>
      <c r="H599" s="15"/>
      <c r="I599" s="15">
        <v>201405</v>
      </c>
      <c r="J599" s="16">
        <v>-5558.3</v>
      </c>
      <c r="K599" s="44">
        <f t="shared" si="49"/>
        <v>41944</v>
      </c>
      <c r="L599" s="45">
        <f t="shared" si="45"/>
        <v>7</v>
      </c>
      <c r="M599" s="17">
        <v>2.3833299999999999E-3</v>
      </c>
      <c r="N599" s="46">
        <f t="shared" si="46"/>
        <v>-92.730841972999997</v>
      </c>
      <c r="O599" s="16"/>
      <c r="P599" s="48">
        <f t="shared" si="47"/>
        <v>-2674.9318750000007</v>
      </c>
      <c r="Q599" s="16"/>
      <c r="R599" s="48">
        <f t="shared" si="48"/>
        <v>-100.31341925000001</v>
      </c>
    </row>
    <row r="600" spans="1:18">
      <c r="A600" s="14" t="s">
        <v>238</v>
      </c>
      <c r="B600" s="15" t="s">
        <v>774</v>
      </c>
      <c r="C600" s="15" t="s">
        <v>775</v>
      </c>
      <c r="D600" s="14" t="s">
        <v>776</v>
      </c>
      <c r="E600" s="15" t="s">
        <v>168</v>
      </c>
      <c r="F600" s="14" t="s">
        <v>169</v>
      </c>
      <c r="G600" s="15" t="s">
        <v>23</v>
      </c>
      <c r="H600" s="15"/>
      <c r="I600" s="15">
        <v>201405</v>
      </c>
      <c r="J600" s="16">
        <v>-822.71</v>
      </c>
      <c r="K600" s="44">
        <f t="shared" si="49"/>
        <v>41944</v>
      </c>
      <c r="L600" s="45">
        <f t="shared" si="45"/>
        <v>7</v>
      </c>
      <c r="M600" s="17">
        <v>2.3833299999999999E-3</v>
      </c>
      <c r="N600" s="46">
        <f t="shared" si="46"/>
        <v>-13.7255259701</v>
      </c>
      <c r="O600" s="16"/>
      <c r="P600" s="48">
        <f t="shared" si="47"/>
        <v>-395.92918750000007</v>
      </c>
      <c r="Q600" s="16"/>
      <c r="R600" s="48">
        <f t="shared" si="48"/>
        <v>-14.847858725000002</v>
      </c>
    </row>
    <row r="601" spans="1:18">
      <c r="A601" s="14" t="s">
        <v>17</v>
      </c>
      <c r="B601" s="15" t="s">
        <v>777</v>
      </c>
      <c r="C601" s="15" t="s">
        <v>778</v>
      </c>
      <c r="D601" s="14" t="s">
        <v>779</v>
      </c>
      <c r="E601" s="15" t="s">
        <v>62</v>
      </c>
      <c r="F601" s="14" t="s">
        <v>22</v>
      </c>
      <c r="G601" s="15" t="s">
        <v>23</v>
      </c>
      <c r="H601" s="15"/>
      <c r="I601" s="15">
        <v>201405</v>
      </c>
      <c r="J601" s="16">
        <v>-282.32</v>
      </c>
      <c r="K601" s="44">
        <f t="shared" si="49"/>
        <v>41944</v>
      </c>
      <c r="L601" s="45">
        <f t="shared" si="45"/>
        <v>7</v>
      </c>
      <c r="M601" s="17">
        <v>1.4833299999999999E-3</v>
      </c>
      <c r="N601" s="46">
        <f t="shared" si="46"/>
        <v>-2.9314160791999999</v>
      </c>
      <c r="O601" s="16"/>
      <c r="P601" s="48">
        <f t="shared" si="47"/>
        <v>-135.8665</v>
      </c>
      <c r="Q601" s="16"/>
      <c r="R601" s="48">
        <f t="shared" si="48"/>
        <v>-5.0951702000000001</v>
      </c>
    </row>
    <row r="602" spans="1:18">
      <c r="A602" s="14" t="s">
        <v>17</v>
      </c>
      <c r="B602" s="15" t="s">
        <v>780</v>
      </c>
      <c r="C602" s="15" t="s">
        <v>781</v>
      </c>
      <c r="D602" s="14" t="s">
        <v>782</v>
      </c>
      <c r="E602" s="15" t="s">
        <v>141</v>
      </c>
      <c r="F602" s="14" t="s">
        <v>142</v>
      </c>
      <c r="G602" s="15" t="s">
        <v>23</v>
      </c>
      <c r="H602" s="15"/>
      <c r="I602" s="15">
        <v>201405</v>
      </c>
      <c r="J602" s="16">
        <v>-11508.41</v>
      </c>
      <c r="K602" s="44">
        <f t="shared" si="49"/>
        <v>41944</v>
      </c>
      <c r="L602" s="45">
        <f t="shared" si="45"/>
        <v>7</v>
      </c>
      <c r="M602" s="17">
        <v>1.4833299999999999E-3</v>
      </c>
      <c r="N602" s="46">
        <f t="shared" si="46"/>
        <v>-119.49538863709999</v>
      </c>
      <c r="O602" s="16"/>
      <c r="P602" s="48">
        <f t="shared" si="47"/>
        <v>-5538.4223125000008</v>
      </c>
      <c r="Q602" s="16"/>
      <c r="R602" s="48">
        <f t="shared" si="48"/>
        <v>-207.698029475</v>
      </c>
    </row>
    <row r="603" spans="1:18">
      <c r="A603" s="14" t="s">
        <v>17</v>
      </c>
      <c r="B603" s="15" t="s">
        <v>783</v>
      </c>
      <c r="C603" s="15" t="s">
        <v>784</v>
      </c>
      <c r="D603" s="14" t="s">
        <v>785</v>
      </c>
      <c r="E603" s="15" t="s">
        <v>141</v>
      </c>
      <c r="F603" s="14" t="s">
        <v>142</v>
      </c>
      <c r="G603" s="15" t="s">
        <v>23</v>
      </c>
      <c r="H603" s="15"/>
      <c r="I603" s="15">
        <v>201405</v>
      </c>
      <c r="J603" s="16">
        <v>-7692.19</v>
      </c>
      <c r="K603" s="44">
        <f t="shared" si="49"/>
        <v>41944</v>
      </c>
      <c r="L603" s="45">
        <f t="shared" si="45"/>
        <v>7</v>
      </c>
      <c r="M603" s="17">
        <v>1.4833299999999999E-3</v>
      </c>
      <c r="N603" s="46">
        <f t="shared" si="46"/>
        <v>-79.870393348899995</v>
      </c>
      <c r="O603" s="16"/>
      <c r="P603" s="48">
        <f t="shared" si="47"/>
        <v>-3701.8664375000003</v>
      </c>
      <c r="Q603" s="16"/>
      <c r="R603" s="48">
        <f t="shared" si="48"/>
        <v>-138.824799025</v>
      </c>
    </row>
    <row r="604" spans="1:18">
      <c r="A604" s="14" t="s">
        <v>17</v>
      </c>
      <c r="B604" s="15" t="s">
        <v>786</v>
      </c>
      <c r="C604" s="15" t="s">
        <v>787</v>
      </c>
      <c r="D604" s="14" t="s">
        <v>788</v>
      </c>
      <c r="E604" s="15" t="s">
        <v>246</v>
      </c>
      <c r="F604" s="14" t="s">
        <v>247</v>
      </c>
      <c r="G604" s="15" t="s">
        <v>23</v>
      </c>
      <c r="H604" s="15"/>
      <c r="I604" s="15">
        <v>201405</v>
      </c>
      <c r="J604" s="16">
        <v>42338.36</v>
      </c>
      <c r="K604" s="44">
        <f t="shared" si="49"/>
        <v>41944</v>
      </c>
      <c r="L604" s="45">
        <f t="shared" si="45"/>
        <v>7</v>
      </c>
      <c r="M604" s="17">
        <v>1.4833299999999999E-3</v>
      </c>
      <c r="N604" s="46">
        <f t="shared" si="46"/>
        <v>439.61231677159998</v>
      </c>
      <c r="O604" s="16"/>
      <c r="P604" s="48">
        <f t="shared" si="47"/>
        <v>20375.335750000002</v>
      </c>
      <c r="Q604" s="16"/>
      <c r="R604" s="48">
        <f t="shared" si="48"/>
        <v>764.10155210000005</v>
      </c>
    </row>
    <row r="605" spans="1:18">
      <c r="A605" s="14" t="s">
        <v>242</v>
      </c>
      <c r="B605" s="15" t="s">
        <v>786</v>
      </c>
      <c r="C605" s="15" t="s">
        <v>787</v>
      </c>
      <c r="D605" s="14" t="s">
        <v>788</v>
      </c>
      <c r="E605" s="15" t="s">
        <v>246</v>
      </c>
      <c r="F605" s="14" t="s">
        <v>247</v>
      </c>
      <c r="G605" s="15" t="s">
        <v>23</v>
      </c>
      <c r="H605" s="15"/>
      <c r="I605" s="15">
        <v>201405</v>
      </c>
      <c r="J605" s="16">
        <v>16966.32</v>
      </c>
      <c r="K605" s="44">
        <f t="shared" si="49"/>
        <v>41944</v>
      </c>
      <c r="L605" s="45">
        <f t="shared" si="45"/>
        <v>7</v>
      </c>
      <c r="M605" s="17">
        <v>1.4833299999999999E-3</v>
      </c>
      <c r="N605" s="46">
        <f t="shared" si="46"/>
        <v>176.1665601192</v>
      </c>
      <c r="O605" s="16"/>
      <c r="P605" s="48">
        <f t="shared" si="47"/>
        <v>8165.0415000000012</v>
      </c>
      <c r="Q605" s="16"/>
      <c r="R605" s="48">
        <f t="shared" si="48"/>
        <v>306.19966020000004</v>
      </c>
    </row>
    <row r="606" spans="1:18">
      <c r="A606" s="14" t="s">
        <v>54</v>
      </c>
      <c r="B606" s="15" t="s">
        <v>786</v>
      </c>
      <c r="C606" s="15" t="s">
        <v>787</v>
      </c>
      <c r="D606" s="14" t="s">
        <v>788</v>
      </c>
      <c r="E606" s="15" t="s">
        <v>246</v>
      </c>
      <c r="F606" s="14" t="s">
        <v>247</v>
      </c>
      <c r="G606" s="15" t="s">
        <v>23</v>
      </c>
      <c r="H606" s="15"/>
      <c r="I606" s="15">
        <v>201405</v>
      </c>
      <c r="J606" s="16">
        <v>3795.27</v>
      </c>
      <c r="K606" s="44">
        <f t="shared" si="49"/>
        <v>41944</v>
      </c>
      <c r="L606" s="45">
        <f t="shared" si="45"/>
        <v>7</v>
      </c>
      <c r="M606" s="17">
        <v>1.4833299999999999E-3</v>
      </c>
      <c r="N606" s="46">
        <f t="shared" si="46"/>
        <v>39.407464943699999</v>
      </c>
      <c r="O606" s="16"/>
      <c r="P606" s="48">
        <f t="shared" si="47"/>
        <v>1826.4736875000003</v>
      </c>
      <c r="Q606" s="16"/>
      <c r="R606" s="48">
        <f t="shared" si="48"/>
        <v>68.495135325000007</v>
      </c>
    </row>
    <row r="607" spans="1:18">
      <c r="A607" s="14" t="s">
        <v>17</v>
      </c>
      <c r="B607" s="15" t="s">
        <v>789</v>
      </c>
      <c r="C607" s="15" t="s">
        <v>790</v>
      </c>
      <c r="D607" s="14" t="s">
        <v>791</v>
      </c>
      <c r="E607" s="15" t="s">
        <v>246</v>
      </c>
      <c r="F607" s="14" t="s">
        <v>247</v>
      </c>
      <c r="G607" s="15" t="s">
        <v>23</v>
      </c>
      <c r="H607" s="15"/>
      <c r="I607" s="15">
        <v>201405</v>
      </c>
      <c r="J607" s="16">
        <v>-8092.65</v>
      </c>
      <c r="K607" s="44">
        <f t="shared" si="49"/>
        <v>41944</v>
      </c>
      <c r="L607" s="45">
        <f t="shared" si="45"/>
        <v>7</v>
      </c>
      <c r="M607" s="17">
        <v>1.4833299999999999E-3</v>
      </c>
      <c r="N607" s="46">
        <f t="shared" si="46"/>
        <v>-84.028493671499987</v>
      </c>
      <c r="O607" s="16"/>
      <c r="P607" s="48">
        <f t="shared" si="47"/>
        <v>-3894.5878125000004</v>
      </c>
      <c r="Q607" s="16"/>
      <c r="R607" s="48">
        <f t="shared" si="48"/>
        <v>-146.05210087500001</v>
      </c>
    </row>
    <row r="608" spans="1:18">
      <c r="A608" s="14" t="s">
        <v>17</v>
      </c>
      <c r="B608" s="15" t="s">
        <v>792</v>
      </c>
      <c r="C608" s="15" t="s">
        <v>793</v>
      </c>
      <c r="D608" s="14" t="s">
        <v>794</v>
      </c>
      <c r="E608" s="15" t="s">
        <v>58</v>
      </c>
      <c r="F608" s="14" t="s">
        <v>22</v>
      </c>
      <c r="G608" s="15" t="s">
        <v>23</v>
      </c>
      <c r="H608" s="15"/>
      <c r="I608" s="15">
        <v>201405</v>
      </c>
      <c r="J608" s="16">
        <v>199.66</v>
      </c>
      <c r="K608" s="44">
        <f t="shared" si="49"/>
        <v>41944</v>
      </c>
      <c r="L608" s="45">
        <f t="shared" si="45"/>
        <v>7</v>
      </c>
      <c r="M608" s="17">
        <v>1.4833299999999999E-3</v>
      </c>
      <c r="N608" s="46">
        <f t="shared" si="46"/>
        <v>2.0731316745999999</v>
      </c>
      <c r="O608" s="16"/>
      <c r="P608" s="48">
        <f t="shared" si="47"/>
        <v>96.086375000000018</v>
      </c>
      <c r="Q608" s="16"/>
      <c r="R608" s="48">
        <f t="shared" si="48"/>
        <v>3.60336385</v>
      </c>
    </row>
    <row r="609" spans="1:18">
      <c r="A609" s="14" t="s">
        <v>17</v>
      </c>
      <c r="B609" s="15" t="s">
        <v>795</v>
      </c>
      <c r="C609" s="15" t="s">
        <v>796</v>
      </c>
      <c r="D609" s="14" t="s">
        <v>797</v>
      </c>
      <c r="E609" s="15" t="s">
        <v>176</v>
      </c>
      <c r="F609" s="14" t="s">
        <v>28</v>
      </c>
      <c r="G609" s="15" t="s">
        <v>23</v>
      </c>
      <c r="H609" s="15"/>
      <c r="I609" s="15">
        <v>201405</v>
      </c>
      <c r="J609" s="16">
        <v>-2128.1</v>
      </c>
      <c r="K609" s="44">
        <f t="shared" si="49"/>
        <v>41944</v>
      </c>
      <c r="L609" s="45">
        <f t="shared" si="45"/>
        <v>7</v>
      </c>
      <c r="M609" s="17">
        <v>1.4833299999999999E-3</v>
      </c>
      <c r="N609" s="46">
        <f t="shared" si="46"/>
        <v>-22.096722010999997</v>
      </c>
      <c r="O609" s="16"/>
      <c r="P609" s="48">
        <f t="shared" si="47"/>
        <v>-1024.1481250000002</v>
      </c>
      <c r="Q609" s="16"/>
      <c r="R609" s="48">
        <f t="shared" si="48"/>
        <v>-38.406884750000003</v>
      </c>
    </row>
    <row r="610" spans="1:18">
      <c r="A610" s="14" t="s">
        <v>17</v>
      </c>
      <c r="B610" s="15" t="s">
        <v>798</v>
      </c>
      <c r="C610" s="15" t="s">
        <v>799</v>
      </c>
      <c r="D610" s="14" t="s">
        <v>800</v>
      </c>
      <c r="E610" s="15" t="s">
        <v>62</v>
      </c>
      <c r="F610" s="14" t="s">
        <v>22</v>
      </c>
      <c r="G610" s="15" t="s">
        <v>23</v>
      </c>
      <c r="H610" s="15"/>
      <c r="I610" s="15">
        <v>201405</v>
      </c>
      <c r="J610" s="16">
        <v>-815.73</v>
      </c>
      <c r="K610" s="44">
        <f t="shared" si="49"/>
        <v>41944</v>
      </c>
      <c r="L610" s="45">
        <f t="shared" si="45"/>
        <v>7</v>
      </c>
      <c r="M610" s="17">
        <v>1.4833299999999999E-3</v>
      </c>
      <c r="N610" s="46">
        <f t="shared" si="46"/>
        <v>-8.4699774662999996</v>
      </c>
      <c r="O610" s="16"/>
      <c r="P610" s="48">
        <f t="shared" si="47"/>
        <v>-392.57006250000006</v>
      </c>
      <c r="Q610" s="16"/>
      <c r="R610" s="48">
        <f t="shared" si="48"/>
        <v>-14.721887175000001</v>
      </c>
    </row>
    <row r="611" spans="1:18">
      <c r="A611" s="14" t="s">
        <v>17</v>
      </c>
      <c r="B611" s="15" t="s">
        <v>1435</v>
      </c>
      <c r="C611" s="15" t="s">
        <v>1436</v>
      </c>
      <c r="D611" s="14" t="s">
        <v>1437</v>
      </c>
      <c r="E611" s="15" t="s">
        <v>667</v>
      </c>
      <c r="F611" s="14" t="s">
        <v>28</v>
      </c>
      <c r="G611" s="15" t="s">
        <v>23</v>
      </c>
      <c r="H611" s="15"/>
      <c r="I611" s="15">
        <v>201405</v>
      </c>
      <c r="J611" s="16">
        <v>-1245.69</v>
      </c>
      <c r="K611" s="44">
        <f t="shared" si="49"/>
        <v>41944</v>
      </c>
      <c r="L611" s="45">
        <f t="shared" si="45"/>
        <v>7</v>
      </c>
      <c r="M611" s="17">
        <v>1.4833299999999999E-3</v>
      </c>
      <c r="N611" s="46">
        <f t="shared" si="46"/>
        <v>-12.934385433900001</v>
      </c>
      <c r="O611" s="16"/>
      <c r="P611" s="48">
        <f t="shared" si="47"/>
        <v>-599.48831250000012</v>
      </c>
      <c r="Q611" s="16"/>
      <c r="R611" s="48">
        <f t="shared" si="48"/>
        <v>-22.481590275000002</v>
      </c>
    </row>
    <row r="612" spans="1:18">
      <c r="A612" s="14" t="s">
        <v>17</v>
      </c>
      <c r="B612" s="15" t="s">
        <v>801</v>
      </c>
      <c r="C612" s="15" t="s">
        <v>802</v>
      </c>
      <c r="D612" s="14" t="s">
        <v>803</v>
      </c>
      <c r="E612" s="15" t="s">
        <v>440</v>
      </c>
      <c r="F612" s="14" t="s">
        <v>28</v>
      </c>
      <c r="G612" s="15" t="s">
        <v>23</v>
      </c>
      <c r="H612" s="15"/>
      <c r="I612" s="15">
        <v>201405</v>
      </c>
      <c r="J612" s="16">
        <v>-3342.52</v>
      </c>
      <c r="K612" s="44">
        <f t="shared" si="49"/>
        <v>41944</v>
      </c>
      <c r="L612" s="45">
        <f t="shared" si="45"/>
        <v>7</v>
      </c>
      <c r="M612" s="17">
        <v>1.4833299999999999E-3</v>
      </c>
      <c r="N612" s="46">
        <f t="shared" si="46"/>
        <v>-34.706421341199999</v>
      </c>
      <c r="O612" s="16"/>
      <c r="P612" s="48">
        <f t="shared" si="47"/>
        <v>-1608.5877500000001</v>
      </c>
      <c r="Q612" s="16"/>
      <c r="R612" s="48">
        <f t="shared" si="48"/>
        <v>-60.3241297</v>
      </c>
    </row>
    <row r="613" spans="1:18">
      <c r="A613" s="14" t="s">
        <v>17</v>
      </c>
      <c r="B613" s="15" t="s">
        <v>804</v>
      </c>
      <c r="C613" s="15" t="s">
        <v>805</v>
      </c>
      <c r="D613" s="14" t="s">
        <v>806</v>
      </c>
      <c r="E613" s="15" t="s">
        <v>141</v>
      </c>
      <c r="F613" s="14" t="s">
        <v>142</v>
      </c>
      <c r="G613" s="15" t="s">
        <v>23</v>
      </c>
      <c r="H613" s="15"/>
      <c r="I613" s="15">
        <v>201405</v>
      </c>
      <c r="J613" s="16">
        <v>-6327.18</v>
      </c>
      <c r="K613" s="44">
        <f t="shared" si="49"/>
        <v>41944</v>
      </c>
      <c r="L613" s="45">
        <f t="shared" si="45"/>
        <v>7</v>
      </c>
      <c r="M613" s="17">
        <v>1.4833299999999999E-3</v>
      </c>
      <c r="N613" s="46">
        <f t="shared" si="46"/>
        <v>-65.697071365799999</v>
      </c>
      <c r="O613" s="16"/>
      <c r="P613" s="48">
        <f t="shared" si="47"/>
        <v>-3044.9553750000005</v>
      </c>
      <c r="Q613" s="16"/>
      <c r="R613" s="48">
        <f t="shared" si="48"/>
        <v>-114.18978105000001</v>
      </c>
    </row>
    <row r="614" spans="1:18">
      <c r="A614" s="14" t="s">
        <v>17</v>
      </c>
      <c r="B614" s="15" t="s">
        <v>807</v>
      </c>
      <c r="C614" s="15" t="s">
        <v>808</v>
      </c>
      <c r="D614" s="14" t="s">
        <v>809</v>
      </c>
      <c r="E614" s="15" t="s">
        <v>108</v>
      </c>
      <c r="F614" s="14" t="s">
        <v>28</v>
      </c>
      <c r="G614" s="15" t="s">
        <v>23</v>
      </c>
      <c r="H614" s="15"/>
      <c r="I614" s="15">
        <v>201405</v>
      </c>
      <c r="J614" s="16">
        <v>-3928.62</v>
      </c>
      <c r="K614" s="44">
        <f t="shared" si="49"/>
        <v>41944</v>
      </c>
      <c r="L614" s="45">
        <f t="shared" si="45"/>
        <v>7</v>
      </c>
      <c r="M614" s="17">
        <v>1.4833299999999999E-3</v>
      </c>
      <c r="N614" s="46">
        <f t="shared" si="46"/>
        <v>-40.792079332199997</v>
      </c>
      <c r="O614" s="16"/>
      <c r="P614" s="48">
        <f t="shared" si="47"/>
        <v>-1890.6483750000002</v>
      </c>
      <c r="Q614" s="16"/>
      <c r="R614" s="48">
        <f t="shared" si="48"/>
        <v>-70.901769450000003</v>
      </c>
    </row>
    <row r="615" spans="1:18">
      <c r="A615" s="14" t="s">
        <v>17</v>
      </c>
      <c r="B615" s="15" t="s">
        <v>810</v>
      </c>
      <c r="C615" s="15" t="s">
        <v>811</v>
      </c>
      <c r="D615" s="14" t="s">
        <v>812</v>
      </c>
      <c r="E615" s="15" t="s">
        <v>104</v>
      </c>
      <c r="F615" s="14" t="s">
        <v>41</v>
      </c>
      <c r="G615" s="15" t="s">
        <v>23</v>
      </c>
      <c r="H615" s="15"/>
      <c r="I615" s="15">
        <v>201405</v>
      </c>
      <c r="J615" s="16">
        <v>-3940.89</v>
      </c>
      <c r="K615" s="44">
        <f t="shared" si="49"/>
        <v>41944</v>
      </c>
      <c r="L615" s="45">
        <f t="shared" si="45"/>
        <v>7</v>
      </c>
      <c r="M615" s="17">
        <v>1.4833299999999999E-3</v>
      </c>
      <c r="N615" s="46">
        <f t="shared" si="46"/>
        <v>-40.919482545899996</v>
      </c>
      <c r="O615" s="16"/>
      <c r="P615" s="48">
        <f t="shared" si="47"/>
        <v>-1896.5533125000002</v>
      </c>
      <c r="Q615" s="16"/>
      <c r="R615" s="48">
        <f t="shared" si="48"/>
        <v>-71.123212275</v>
      </c>
    </row>
    <row r="616" spans="1:18">
      <c r="A616" s="14" t="s">
        <v>54</v>
      </c>
      <c r="B616" s="15" t="s">
        <v>816</v>
      </c>
      <c r="C616" s="15" t="s">
        <v>817</v>
      </c>
      <c r="D616" s="14" t="s">
        <v>818</v>
      </c>
      <c r="E616" s="15" t="s">
        <v>62</v>
      </c>
      <c r="F616" s="14" t="s">
        <v>22</v>
      </c>
      <c r="G616" s="15" t="s">
        <v>23</v>
      </c>
      <c r="H616" s="15"/>
      <c r="I616" s="15">
        <v>201405</v>
      </c>
      <c r="J616" s="16">
        <v>54202.720000000001</v>
      </c>
      <c r="K616" s="44">
        <f t="shared" si="49"/>
        <v>41944</v>
      </c>
      <c r="L616" s="45">
        <f t="shared" si="45"/>
        <v>7</v>
      </c>
      <c r="M616" s="17">
        <v>1.4833299999999999E-3</v>
      </c>
      <c r="N616" s="46">
        <f t="shared" si="46"/>
        <v>562.80364460320004</v>
      </c>
      <c r="O616" s="16"/>
      <c r="P616" s="48">
        <f t="shared" si="47"/>
        <v>26085.059000000005</v>
      </c>
      <c r="Q616" s="16"/>
      <c r="R616" s="48">
        <f t="shared" si="48"/>
        <v>978.22358920000011</v>
      </c>
    </row>
    <row r="617" spans="1:18">
      <c r="A617" s="18" t="s">
        <v>66</v>
      </c>
      <c r="B617" s="15" t="s">
        <v>833</v>
      </c>
      <c r="C617" s="15" t="s">
        <v>834</v>
      </c>
      <c r="D617" s="14" t="s">
        <v>835</v>
      </c>
      <c r="E617" s="15" t="s">
        <v>40</v>
      </c>
      <c r="F617" s="14" t="s">
        <v>41</v>
      </c>
      <c r="G617" s="15" t="s">
        <v>23</v>
      </c>
      <c r="H617" s="15"/>
      <c r="I617" s="15">
        <v>201405</v>
      </c>
      <c r="J617" s="16">
        <v>17909.71</v>
      </c>
      <c r="K617" s="44">
        <f t="shared" si="49"/>
        <v>41944</v>
      </c>
      <c r="L617" s="45">
        <f t="shared" si="45"/>
        <v>7</v>
      </c>
      <c r="M617" s="17">
        <v>2.23333E-3</v>
      </c>
      <c r="N617" s="46">
        <f t="shared" si="46"/>
        <v>279.98804844009999</v>
      </c>
      <c r="O617" s="16"/>
      <c r="P617" s="48">
        <f t="shared" si="47"/>
        <v>8619.0479375000014</v>
      </c>
      <c r="Q617" s="16"/>
      <c r="R617" s="48">
        <f t="shared" si="48"/>
        <v>323.22549122499998</v>
      </c>
    </row>
    <row r="618" spans="1:18">
      <c r="A618" s="18" t="s">
        <v>66</v>
      </c>
      <c r="B618" s="15" t="s">
        <v>839</v>
      </c>
      <c r="C618" s="15" t="s">
        <v>840</v>
      </c>
      <c r="D618" s="14" t="s">
        <v>841</v>
      </c>
      <c r="E618" s="15" t="s">
        <v>842</v>
      </c>
      <c r="F618" s="14" t="s">
        <v>624</v>
      </c>
      <c r="G618" s="15" t="s">
        <v>23</v>
      </c>
      <c r="H618" s="15"/>
      <c r="I618" s="15">
        <v>201405</v>
      </c>
      <c r="J618" s="16">
        <v>5438</v>
      </c>
      <c r="K618" s="44">
        <f t="shared" si="49"/>
        <v>41944</v>
      </c>
      <c r="L618" s="45">
        <f t="shared" si="45"/>
        <v>7</v>
      </c>
      <c r="M618" s="17">
        <v>2.23333E-3</v>
      </c>
      <c r="N618" s="46">
        <f t="shared" si="46"/>
        <v>85.013939780000001</v>
      </c>
      <c r="O618" s="16"/>
      <c r="P618" s="48">
        <f t="shared" si="47"/>
        <v>2617.0375000000004</v>
      </c>
      <c r="Q618" s="16"/>
      <c r="R618" s="48">
        <f t="shared" si="48"/>
        <v>98.142305000000007</v>
      </c>
    </row>
    <row r="619" spans="1:18">
      <c r="A619" s="14" t="s">
        <v>54</v>
      </c>
      <c r="B619" s="15" t="s">
        <v>861</v>
      </c>
      <c r="C619" s="15" t="s">
        <v>862</v>
      </c>
      <c r="D619" s="14" t="s">
        <v>863</v>
      </c>
      <c r="E619" s="15" t="s">
        <v>45</v>
      </c>
      <c r="F619" s="14" t="s">
        <v>22</v>
      </c>
      <c r="G619" s="15" t="s">
        <v>23</v>
      </c>
      <c r="H619" s="15"/>
      <c r="I619" s="15">
        <v>201405</v>
      </c>
      <c r="J619" s="16">
        <v>13015.54</v>
      </c>
      <c r="K619" s="44">
        <f t="shared" si="49"/>
        <v>41944</v>
      </c>
      <c r="L619" s="45">
        <f t="shared" si="45"/>
        <v>7</v>
      </c>
      <c r="M619" s="17">
        <v>1.4833299999999999E-3</v>
      </c>
      <c r="N619" s="46">
        <f t="shared" si="46"/>
        <v>135.1443866374</v>
      </c>
      <c r="O619" s="16"/>
      <c r="P619" s="48">
        <f t="shared" si="47"/>
        <v>6263.7286250000016</v>
      </c>
      <c r="Q619" s="16"/>
      <c r="R619" s="48">
        <f t="shared" si="48"/>
        <v>234.89795815000002</v>
      </c>
    </row>
    <row r="620" spans="1:18">
      <c r="A620" s="14" t="s">
        <v>54</v>
      </c>
      <c r="B620" s="15" t="s">
        <v>867</v>
      </c>
      <c r="C620" s="15" t="s">
        <v>868</v>
      </c>
      <c r="D620" s="14" t="s">
        <v>869</v>
      </c>
      <c r="E620" s="15" t="s">
        <v>36</v>
      </c>
      <c r="F620" s="14" t="s">
        <v>22</v>
      </c>
      <c r="G620" s="15" t="s">
        <v>23</v>
      </c>
      <c r="H620" s="15"/>
      <c r="I620" s="15">
        <v>201405</v>
      </c>
      <c r="J620" s="16">
        <v>3339.51</v>
      </c>
      <c r="K620" s="44">
        <f t="shared" si="49"/>
        <v>41944</v>
      </c>
      <c r="L620" s="45">
        <f t="shared" si="45"/>
        <v>7</v>
      </c>
      <c r="M620" s="17">
        <v>1.4833299999999999E-3</v>
      </c>
      <c r="N620" s="46">
        <f t="shared" si="46"/>
        <v>34.675167578100002</v>
      </c>
      <c r="O620" s="16"/>
      <c r="P620" s="48">
        <f t="shared" si="47"/>
        <v>1607.1391875000004</v>
      </c>
      <c r="Q620" s="16"/>
      <c r="R620" s="48">
        <f t="shared" si="48"/>
        <v>60.269806725000009</v>
      </c>
    </row>
    <row r="621" spans="1:18">
      <c r="A621" s="14" t="s">
        <v>17</v>
      </c>
      <c r="B621" s="15" t="s">
        <v>18</v>
      </c>
      <c r="C621" s="15" t="s">
        <v>19</v>
      </c>
      <c r="D621" s="14" t="s">
        <v>20</v>
      </c>
      <c r="E621" s="15" t="s">
        <v>21</v>
      </c>
      <c r="F621" s="14" t="s">
        <v>22</v>
      </c>
      <c r="G621" s="15" t="s">
        <v>23</v>
      </c>
      <c r="H621" s="15"/>
      <c r="I621" s="15">
        <v>201406</v>
      </c>
      <c r="J621" s="16">
        <v>-289.08</v>
      </c>
      <c r="K621" s="44">
        <f t="shared" si="49"/>
        <v>41944</v>
      </c>
      <c r="L621" s="45">
        <f t="shared" si="45"/>
        <v>7</v>
      </c>
      <c r="M621" s="17">
        <v>1.4833299999999999E-3</v>
      </c>
      <c r="N621" s="46">
        <f t="shared" si="46"/>
        <v>-3.0016072547999997</v>
      </c>
      <c r="O621" s="16"/>
      <c r="P621" s="48">
        <f t="shared" si="47"/>
        <v>-139.11975000000001</v>
      </c>
      <c r="Q621" s="16"/>
      <c r="R621" s="48">
        <f t="shared" si="48"/>
        <v>-5.2171713000000004</v>
      </c>
    </row>
    <row r="622" spans="1:18">
      <c r="A622" s="14" t="s">
        <v>17</v>
      </c>
      <c r="B622" s="15" t="s">
        <v>24</v>
      </c>
      <c r="C622" s="15" t="s">
        <v>25</v>
      </c>
      <c r="D622" s="14" t="s">
        <v>26</v>
      </c>
      <c r="E622" s="15" t="s">
        <v>27</v>
      </c>
      <c r="F622" s="14" t="s">
        <v>28</v>
      </c>
      <c r="G622" s="15" t="s">
        <v>23</v>
      </c>
      <c r="H622" s="15"/>
      <c r="I622" s="15">
        <v>201406</v>
      </c>
      <c r="J622" s="16">
        <v>-295.86</v>
      </c>
      <c r="K622" s="44">
        <f t="shared" si="49"/>
        <v>41944</v>
      </c>
      <c r="L622" s="45">
        <f t="shared" si="45"/>
        <v>7</v>
      </c>
      <c r="M622" s="17">
        <v>1.4833299999999999E-3</v>
      </c>
      <c r="N622" s="46">
        <f t="shared" si="46"/>
        <v>-3.0720060966</v>
      </c>
      <c r="O622" s="16"/>
      <c r="P622" s="48">
        <f t="shared" si="47"/>
        <v>-142.38262500000002</v>
      </c>
      <c r="Q622" s="16"/>
      <c r="R622" s="48">
        <f t="shared" si="48"/>
        <v>-5.3395333500000008</v>
      </c>
    </row>
    <row r="623" spans="1:18">
      <c r="A623" s="14" t="s">
        <v>17</v>
      </c>
      <c r="B623" s="15" t="s">
        <v>29</v>
      </c>
      <c r="C623" s="15" t="s">
        <v>30</v>
      </c>
      <c r="D623" s="14" t="s">
        <v>31</v>
      </c>
      <c r="E623" s="15" t="s">
        <v>32</v>
      </c>
      <c r="F623" s="14" t="s">
        <v>22</v>
      </c>
      <c r="G623" s="15" t="s">
        <v>23</v>
      </c>
      <c r="H623" s="15"/>
      <c r="I623" s="15">
        <v>201406</v>
      </c>
      <c r="J623" s="16">
        <v>-649.65</v>
      </c>
      <c r="K623" s="44">
        <f t="shared" si="49"/>
        <v>41944</v>
      </c>
      <c r="L623" s="45">
        <f t="shared" si="45"/>
        <v>7</v>
      </c>
      <c r="M623" s="17">
        <v>1.4833299999999999E-3</v>
      </c>
      <c r="N623" s="46">
        <f t="shared" si="46"/>
        <v>-6.7455173414999994</v>
      </c>
      <c r="O623" s="16"/>
      <c r="P623" s="48">
        <f t="shared" si="47"/>
        <v>-312.64406250000002</v>
      </c>
      <c r="Q623" s="16"/>
      <c r="R623" s="48">
        <f t="shared" si="48"/>
        <v>-11.724558375000001</v>
      </c>
    </row>
    <row r="624" spans="1:18">
      <c r="A624" s="14" t="s">
        <v>17</v>
      </c>
      <c r="B624" s="15" t="s">
        <v>33</v>
      </c>
      <c r="C624" s="15" t="s">
        <v>34</v>
      </c>
      <c r="D624" s="14" t="s">
        <v>35</v>
      </c>
      <c r="E624" s="15" t="s">
        <v>36</v>
      </c>
      <c r="F624" s="14" t="s">
        <v>22</v>
      </c>
      <c r="G624" s="15" t="s">
        <v>23</v>
      </c>
      <c r="H624" s="15"/>
      <c r="I624" s="15">
        <v>201406</v>
      </c>
      <c r="J624" s="16">
        <v>963.2</v>
      </c>
      <c r="K624" s="44">
        <f t="shared" si="49"/>
        <v>41944</v>
      </c>
      <c r="L624" s="45">
        <f t="shared" si="45"/>
        <v>7</v>
      </c>
      <c r="M624" s="17">
        <v>1.4833299999999999E-3</v>
      </c>
      <c r="N624" s="46">
        <f t="shared" si="46"/>
        <v>10.001204191999999</v>
      </c>
      <c r="O624" s="16"/>
      <c r="P624" s="48">
        <f t="shared" si="47"/>
        <v>463.54000000000008</v>
      </c>
      <c r="Q624" s="16"/>
      <c r="R624" s="48">
        <f t="shared" si="48"/>
        <v>17.383352000000002</v>
      </c>
    </row>
    <row r="625" spans="1:18">
      <c r="A625" s="14" t="s">
        <v>17</v>
      </c>
      <c r="B625" s="15" t="s">
        <v>37</v>
      </c>
      <c r="C625" s="15" t="s">
        <v>38</v>
      </c>
      <c r="D625" s="14" t="s">
        <v>39</v>
      </c>
      <c r="E625" s="15" t="s">
        <v>40</v>
      </c>
      <c r="F625" s="14" t="s">
        <v>41</v>
      </c>
      <c r="G625" s="15" t="s">
        <v>23</v>
      </c>
      <c r="H625" s="15"/>
      <c r="I625" s="15">
        <v>201406</v>
      </c>
      <c r="J625" s="16">
        <v>-331.46</v>
      </c>
      <c r="K625" s="44">
        <f t="shared" si="49"/>
        <v>41944</v>
      </c>
      <c r="L625" s="45">
        <f t="shared" si="45"/>
        <v>7</v>
      </c>
      <c r="M625" s="17">
        <v>1.4833299999999999E-3</v>
      </c>
      <c r="N625" s="46">
        <f t="shared" si="46"/>
        <v>-3.4416519325999997</v>
      </c>
      <c r="O625" s="16"/>
      <c r="P625" s="48">
        <f t="shared" si="47"/>
        <v>-159.51512500000001</v>
      </c>
      <c r="Q625" s="16"/>
      <c r="R625" s="48">
        <f t="shared" si="48"/>
        <v>-5.9820243499999997</v>
      </c>
    </row>
    <row r="626" spans="1:18">
      <c r="A626" s="14" t="s">
        <v>17</v>
      </c>
      <c r="B626" s="15" t="s">
        <v>42</v>
      </c>
      <c r="C626" s="15" t="s">
        <v>43</v>
      </c>
      <c r="D626" s="14" t="s">
        <v>44</v>
      </c>
      <c r="E626" s="15" t="s">
        <v>45</v>
      </c>
      <c r="F626" s="14" t="s">
        <v>22</v>
      </c>
      <c r="G626" s="15" t="s">
        <v>23</v>
      </c>
      <c r="H626" s="15"/>
      <c r="I626" s="15">
        <v>201406</v>
      </c>
      <c r="J626" s="16">
        <v>-497.98</v>
      </c>
      <c r="K626" s="44">
        <f t="shared" si="49"/>
        <v>41944</v>
      </c>
      <c r="L626" s="45">
        <f t="shared" si="45"/>
        <v>7</v>
      </c>
      <c r="M626" s="17">
        <v>1.4833299999999999E-3</v>
      </c>
      <c r="N626" s="46">
        <f t="shared" si="46"/>
        <v>-5.1706807138000004</v>
      </c>
      <c r="O626" s="16"/>
      <c r="P626" s="48">
        <f t="shared" si="47"/>
        <v>-239.65287500000005</v>
      </c>
      <c r="Q626" s="16"/>
      <c r="R626" s="48">
        <f t="shared" si="48"/>
        <v>-8.9872940500000009</v>
      </c>
    </row>
    <row r="627" spans="1:18">
      <c r="A627" s="14" t="s">
        <v>17</v>
      </c>
      <c r="B627" s="15" t="s">
        <v>46</v>
      </c>
      <c r="C627" s="15" t="s">
        <v>47</v>
      </c>
      <c r="D627" s="14" t="s">
        <v>48</v>
      </c>
      <c r="E627" s="15" t="s">
        <v>49</v>
      </c>
      <c r="F627" s="14" t="s">
        <v>22</v>
      </c>
      <c r="G627" s="15" t="s">
        <v>23</v>
      </c>
      <c r="H627" s="15"/>
      <c r="I627" s="15">
        <v>201406</v>
      </c>
      <c r="J627" s="16">
        <v>-483.69</v>
      </c>
      <c r="K627" s="44">
        <f t="shared" si="49"/>
        <v>41944</v>
      </c>
      <c r="L627" s="45">
        <f t="shared" si="45"/>
        <v>7</v>
      </c>
      <c r="M627" s="17">
        <v>1.4833299999999999E-3</v>
      </c>
      <c r="N627" s="46">
        <f t="shared" si="46"/>
        <v>-5.0223032138999999</v>
      </c>
      <c r="O627" s="16"/>
      <c r="P627" s="48">
        <f t="shared" si="47"/>
        <v>-232.77581250000003</v>
      </c>
      <c r="Q627" s="16"/>
      <c r="R627" s="48">
        <f t="shared" si="48"/>
        <v>-8.7293952749999999</v>
      </c>
    </row>
    <row r="628" spans="1:18">
      <c r="A628" s="14" t="s">
        <v>54</v>
      </c>
      <c r="B628" s="15" t="s">
        <v>59</v>
      </c>
      <c r="C628" s="15" t="s">
        <v>60</v>
      </c>
      <c r="D628" s="14" t="s">
        <v>61</v>
      </c>
      <c r="E628" s="15" t="s">
        <v>62</v>
      </c>
      <c r="F628" s="14" t="s">
        <v>22</v>
      </c>
      <c r="G628" s="15" t="s">
        <v>23</v>
      </c>
      <c r="H628" s="15"/>
      <c r="I628" s="15">
        <v>201406</v>
      </c>
      <c r="J628" s="16">
        <v>300730.89</v>
      </c>
      <c r="K628" s="44">
        <f t="shared" si="49"/>
        <v>41944</v>
      </c>
      <c r="L628" s="45">
        <f t="shared" si="45"/>
        <v>7</v>
      </c>
      <c r="M628" s="17">
        <v>1.4833299999999999E-3</v>
      </c>
      <c r="N628" s="46">
        <f t="shared" si="46"/>
        <v>3122.5820574458999</v>
      </c>
      <c r="O628" s="16"/>
      <c r="P628" s="48">
        <f t="shared" si="47"/>
        <v>144726.74081250004</v>
      </c>
      <c r="Q628" s="16"/>
      <c r="R628" s="48">
        <f t="shared" si="48"/>
        <v>5427.4407372750002</v>
      </c>
    </row>
    <row r="629" spans="1:18">
      <c r="A629" s="14" t="s">
        <v>17</v>
      </c>
      <c r="B629" s="15" t="s">
        <v>63</v>
      </c>
      <c r="C629" s="15" t="s">
        <v>64</v>
      </c>
      <c r="D629" s="14" t="s">
        <v>65</v>
      </c>
      <c r="E629" s="15" t="s">
        <v>32</v>
      </c>
      <c r="F629" s="14" t="s">
        <v>22</v>
      </c>
      <c r="G629" s="15" t="s">
        <v>23</v>
      </c>
      <c r="H629" s="15"/>
      <c r="I629" s="15">
        <v>201406</v>
      </c>
      <c r="J629" s="16">
        <v>-915.2</v>
      </c>
      <c r="K629" s="44">
        <f t="shared" si="49"/>
        <v>41944</v>
      </c>
      <c r="L629" s="45">
        <f t="shared" si="45"/>
        <v>7</v>
      </c>
      <c r="M629" s="17">
        <v>1.4833299999999999E-3</v>
      </c>
      <c r="N629" s="46">
        <f t="shared" si="46"/>
        <v>-9.5028053119999996</v>
      </c>
      <c r="O629" s="16"/>
      <c r="P629" s="48">
        <f t="shared" si="47"/>
        <v>-440.44000000000005</v>
      </c>
      <c r="Q629" s="16"/>
      <c r="R629" s="48">
        <f t="shared" si="48"/>
        <v>-16.517072000000002</v>
      </c>
    </row>
    <row r="630" spans="1:18">
      <c r="A630" s="18" t="s">
        <v>66</v>
      </c>
      <c r="B630" s="15" t="s">
        <v>67</v>
      </c>
      <c r="C630" s="15" t="s">
        <v>68</v>
      </c>
      <c r="D630" s="14" t="s">
        <v>69</v>
      </c>
      <c r="E630" s="15" t="s">
        <v>70</v>
      </c>
      <c r="F630" s="14" t="s">
        <v>71</v>
      </c>
      <c r="G630" s="15" t="s">
        <v>23</v>
      </c>
      <c r="H630" s="15"/>
      <c r="I630" s="15">
        <v>201406</v>
      </c>
      <c r="J630" s="16">
        <v>727.62</v>
      </c>
      <c r="K630" s="44">
        <f t="shared" si="49"/>
        <v>41944</v>
      </c>
      <c r="L630" s="45">
        <f t="shared" si="45"/>
        <v>7</v>
      </c>
      <c r="M630" s="17">
        <v>2.23333E-3</v>
      </c>
      <c r="N630" s="46">
        <f t="shared" si="46"/>
        <v>11.3751090222</v>
      </c>
      <c r="O630" s="16"/>
      <c r="P630" s="48">
        <f t="shared" si="47"/>
        <v>350.16712500000006</v>
      </c>
      <c r="Q630" s="16"/>
      <c r="R630" s="48">
        <f t="shared" si="48"/>
        <v>13.131721950000001</v>
      </c>
    </row>
    <row r="631" spans="1:18">
      <c r="A631" s="18" t="s">
        <v>66</v>
      </c>
      <c r="B631" s="15" t="s">
        <v>72</v>
      </c>
      <c r="C631" s="15" t="s">
        <v>73</v>
      </c>
      <c r="D631" s="14" t="s">
        <v>74</v>
      </c>
      <c r="E631" s="15" t="s">
        <v>75</v>
      </c>
      <c r="F631" s="14" t="s">
        <v>71</v>
      </c>
      <c r="G631" s="15" t="s">
        <v>23</v>
      </c>
      <c r="H631" s="15"/>
      <c r="I631" s="15">
        <v>201406</v>
      </c>
      <c r="J631" s="16">
        <v>863.14</v>
      </c>
      <c r="K631" s="44">
        <f t="shared" si="49"/>
        <v>41944</v>
      </c>
      <c r="L631" s="45">
        <f t="shared" si="45"/>
        <v>7</v>
      </c>
      <c r="M631" s="17">
        <v>2.23333E-3</v>
      </c>
      <c r="N631" s="46">
        <f t="shared" si="46"/>
        <v>13.493735193400001</v>
      </c>
      <c r="O631" s="16"/>
      <c r="P631" s="48">
        <f t="shared" si="47"/>
        <v>415.38612500000005</v>
      </c>
      <c r="Q631" s="16"/>
      <c r="R631" s="48">
        <f t="shared" si="48"/>
        <v>15.577519150000001</v>
      </c>
    </row>
    <row r="632" spans="1:18">
      <c r="A632" s="18" t="s">
        <v>66</v>
      </c>
      <c r="B632" s="15" t="s">
        <v>76</v>
      </c>
      <c r="C632" s="15" t="s">
        <v>77</v>
      </c>
      <c r="D632" s="14" t="s">
        <v>78</v>
      </c>
      <c r="E632" s="15" t="s">
        <v>79</v>
      </c>
      <c r="F632" s="14" t="s">
        <v>80</v>
      </c>
      <c r="G632" s="15" t="s">
        <v>23</v>
      </c>
      <c r="H632" s="15"/>
      <c r="I632" s="15">
        <v>201406</v>
      </c>
      <c r="J632" s="16">
        <v>515.91999999999996</v>
      </c>
      <c r="K632" s="44">
        <f t="shared" si="49"/>
        <v>41944</v>
      </c>
      <c r="L632" s="45">
        <f t="shared" si="45"/>
        <v>7</v>
      </c>
      <c r="M632" s="17">
        <v>2.23333E-3</v>
      </c>
      <c r="N632" s="46">
        <f t="shared" si="46"/>
        <v>8.0655372952000004</v>
      </c>
      <c r="O632" s="16"/>
      <c r="P632" s="48">
        <f t="shared" si="47"/>
        <v>248.28650000000002</v>
      </c>
      <c r="Q632" s="16"/>
      <c r="R632" s="48">
        <f t="shared" si="48"/>
        <v>9.3110661999999991</v>
      </c>
    </row>
    <row r="633" spans="1:18">
      <c r="A633" s="18" t="s">
        <v>66</v>
      </c>
      <c r="B633" s="15" t="s">
        <v>81</v>
      </c>
      <c r="C633" s="15" t="s">
        <v>82</v>
      </c>
      <c r="D633" s="14" t="s">
        <v>83</v>
      </c>
      <c r="E633" s="15" t="s">
        <v>84</v>
      </c>
      <c r="F633" s="14" t="s">
        <v>85</v>
      </c>
      <c r="G633" s="15" t="s">
        <v>23</v>
      </c>
      <c r="H633" s="15"/>
      <c r="I633" s="15">
        <v>201406</v>
      </c>
      <c r="J633" s="16">
        <v>36286.519999999997</v>
      </c>
      <c r="K633" s="44">
        <f t="shared" si="49"/>
        <v>41944</v>
      </c>
      <c r="L633" s="45">
        <f t="shared" si="45"/>
        <v>7</v>
      </c>
      <c r="M633" s="17">
        <v>2.23333E-3</v>
      </c>
      <c r="N633" s="46">
        <f t="shared" si="46"/>
        <v>567.27841598119994</v>
      </c>
      <c r="O633" s="16"/>
      <c r="P633" s="48">
        <f t="shared" si="47"/>
        <v>17462.887750000002</v>
      </c>
      <c r="Q633" s="16"/>
      <c r="R633" s="48">
        <f t="shared" si="48"/>
        <v>654.88096969999992</v>
      </c>
    </row>
    <row r="634" spans="1:18">
      <c r="A634" s="18" t="s">
        <v>66</v>
      </c>
      <c r="B634" s="15" t="s">
        <v>86</v>
      </c>
      <c r="C634" s="15" t="s">
        <v>87</v>
      </c>
      <c r="D634" s="14" t="s">
        <v>88</v>
      </c>
      <c r="E634" s="15" t="s">
        <v>89</v>
      </c>
      <c r="F634" s="14" t="s">
        <v>85</v>
      </c>
      <c r="G634" s="15" t="s">
        <v>23</v>
      </c>
      <c r="H634" s="15"/>
      <c r="I634" s="15">
        <v>201406</v>
      </c>
      <c r="J634" s="16">
        <v>-0.68</v>
      </c>
      <c r="K634" s="44">
        <f t="shared" si="49"/>
        <v>41944</v>
      </c>
      <c r="L634" s="45">
        <f t="shared" si="45"/>
        <v>7</v>
      </c>
      <c r="M634" s="17">
        <v>2.23333E-3</v>
      </c>
      <c r="N634" s="46">
        <f t="shared" si="46"/>
        <v>-1.0630650800000002E-2</v>
      </c>
      <c r="O634" s="16"/>
      <c r="P634" s="48">
        <f t="shared" si="47"/>
        <v>-0.3272500000000001</v>
      </c>
      <c r="Q634" s="16"/>
      <c r="R634" s="48">
        <f t="shared" si="48"/>
        <v>-1.2272300000000002E-2</v>
      </c>
    </row>
    <row r="635" spans="1:18">
      <c r="A635" s="18" t="s">
        <v>66</v>
      </c>
      <c r="B635" s="15" t="s">
        <v>90</v>
      </c>
      <c r="C635" s="15" t="s">
        <v>91</v>
      </c>
      <c r="D635" s="14" t="s">
        <v>78</v>
      </c>
      <c r="E635" s="15" t="s">
        <v>92</v>
      </c>
      <c r="F635" s="14" t="s">
        <v>80</v>
      </c>
      <c r="G635" s="15" t="s">
        <v>23</v>
      </c>
      <c r="H635" s="15"/>
      <c r="I635" s="15">
        <v>201406</v>
      </c>
      <c r="J635" s="16">
        <v>868.23</v>
      </c>
      <c r="K635" s="44">
        <f t="shared" si="49"/>
        <v>41944</v>
      </c>
      <c r="L635" s="45">
        <f t="shared" si="45"/>
        <v>7</v>
      </c>
      <c r="M635" s="17">
        <v>2.23333E-3</v>
      </c>
      <c r="N635" s="46">
        <f t="shared" si="46"/>
        <v>13.573308741300002</v>
      </c>
      <c r="O635" s="16"/>
      <c r="P635" s="48">
        <f t="shared" si="47"/>
        <v>417.83568750000006</v>
      </c>
      <c r="Q635" s="16"/>
      <c r="R635" s="48">
        <f t="shared" si="48"/>
        <v>15.669380925</v>
      </c>
    </row>
    <row r="636" spans="1:18">
      <c r="A636" s="18" t="s">
        <v>66</v>
      </c>
      <c r="B636" s="15" t="s">
        <v>93</v>
      </c>
      <c r="C636" s="15" t="s">
        <v>94</v>
      </c>
      <c r="D636" s="14" t="s">
        <v>95</v>
      </c>
      <c r="E636" s="15" t="s">
        <v>96</v>
      </c>
      <c r="F636" s="14" t="s">
        <v>97</v>
      </c>
      <c r="G636" s="15" t="s">
        <v>23</v>
      </c>
      <c r="H636" s="15"/>
      <c r="I636" s="15">
        <v>201406</v>
      </c>
      <c r="J636" s="16">
        <v>-239.33</v>
      </c>
      <c r="K636" s="44">
        <f t="shared" si="49"/>
        <v>41944</v>
      </c>
      <c r="L636" s="45">
        <f t="shared" si="45"/>
        <v>7</v>
      </c>
      <c r="M636" s="17">
        <v>2.23333E-3</v>
      </c>
      <c r="N636" s="46">
        <f t="shared" si="46"/>
        <v>-3.7415200823000005</v>
      </c>
      <c r="O636" s="16"/>
      <c r="P636" s="48">
        <f t="shared" si="47"/>
        <v>-115.17756250000002</v>
      </c>
      <c r="Q636" s="16"/>
      <c r="R636" s="48">
        <f t="shared" si="48"/>
        <v>-4.3193081750000006</v>
      </c>
    </row>
    <row r="637" spans="1:18">
      <c r="A637" s="14" t="s">
        <v>17</v>
      </c>
      <c r="B637" s="15" t="s">
        <v>98</v>
      </c>
      <c r="C637" s="15" t="s">
        <v>99</v>
      </c>
      <c r="D637" s="14" t="s">
        <v>100</v>
      </c>
      <c r="E637" s="15" t="s">
        <v>62</v>
      </c>
      <c r="F637" s="14" t="s">
        <v>22</v>
      </c>
      <c r="G637" s="15" t="s">
        <v>23</v>
      </c>
      <c r="H637" s="15"/>
      <c r="I637" s="15">
        <v>201406</v>
      </c>
      <c r="J637" s="16">
        <v>-698.81</v>
      </c>
      <c r="K637" s="44">
        <f t="shared" si="49"/>
        <v>41944</v>
      </c>
      <c r="L637" s="45">
        <f t="shared" si="45"/>
        <v>7</v>
      </c>
      <c r="M637" s="17">
        <v>1.4833299999999999E-3</v>
      </c>
      <c r="N637" s="46">
        <f t="shared" si="46"/>
        <v>-7.2559608610999993</v>
      </c>
      <c r="O637" s="16"/>
      <c r="P637" s="48">
        <f t="shared" si="47"/>
        <v>-336.30231250000003</v>
      </c>
      <c r="Q637" s="16"/>
      <c r="R637" s="48">
        <f t="shared" si="48"/>
        <v>-12.611773475</v>
      </c>
    </row>
    <row r="638" spans="1:18">
      <c r="A638" s="14" t="s">
        <v>17</v>
      </c>
      <c r="B638" s="15" t="s">
        <v>101</v>
      </c>
      <c r="C638" s="15" t="s">
        <v>102</v>
      </c>
      <c r="D638" s="14" t="s">
        <v>103</v>
      </c>
      <c r="E638" s="15" t="s">
        <v>104</v>
      </c>
      <c r="F638" s="14" t="s">
        <v>41</v>
      </c>
      <c r="G638" s="15" t="s">
        <v>23</v>
      </c>
      <c r="H638" s="15"/>
      <c r="I638" s="15">
        <v>201406</v>
      </c>
      <c r="J638" s="16">
        <v>218.68</v>
      </c>
      <c r="K638" s="44">
        <f t="shared" si="49"/>
        <v>41944</v>
      </c>
      <c r="L638" s="45">
        <f t="shared" si="45"/>
        <v>7</v>
      </c>
      <c r="M638" s="17">
        <v>1.4833299999999999E-3</v>
      </c>
      <c r="N638" s="46">
        <f t="shared" si="46"/>
        <v>2.2706222307999999</v>
      </c>
      <c r="O638" s="16"/>
      <c r="P638" s="48">
        <f t="shared" si="47"/>
        <v>105.23975000000002</v>
      </c>
      <c r="Q638" s="16"/>
      <c r="R638" s="48">
        <f t="shared" si="48"/>
        <v>3.9466273000000003</v>
      </c>
    </row>
    <row r="639" spans="1:18">
      <c r="A639" s="14" t="s">
        <v>17</v>
      </c>
      <c r="B639" s="15" t="s">
        <v>105</v>
      </c>
      <c r="C639" s="15" t="s">
        <v>106</v>
      </c>
      <c r="D639" s="14" t="s">
        <v>107</v>
      </c>
      <c r="E639" s="15" t="s">
        <v>108</v>
      </c>
      <c r="F639" s="14" t="s">
        <v>28</v>
      </c>
      <c r="G639" s="15" t="s">
        <v>23</v>
      </c>
      <c r="H639" s="15"/>
      <c r="I639" s="15">
        <v>201406</v>
      </c>
      <c r="J639" s="16">
        <v>-2248.4</v>
      </c>
      <c r="K639" s="44">
        <f t="shared" si="49"/>
        <v>41944</v>
      </c>
      <c r="L639" s="45">
        <f t="shared" si="45"/>
        <v>7</v>
      </c>
      <c r="M639" s="17">
        <v>1.4833299999999999E-3</v>
      </c>
      <c r="N639" s="46">
        <f t="shared" si="46"/>
        <v>-23.345834203999999</v>
      </c>
      <c r="O639" s="16"/>
      <c r="P639" s="48">
        <f t="shared" si="47"/>
        <v>-1082.0425000000002</v>
      </c>
      <c r="Q639" s="16"/>
      <c r="R639" s="48">
        <f t="shared" si="48"/>
        <v>-40.577999000000005</v>
      </c>
    </row>
    <row r="640" spans="1:18">
      <c r="A640" s="14" t="s">
        <v>17</v>
      </c>
      <c r="B640" s="15" t="s">
        <v>109</v>
      </c>
      <c r="C640" s="15" t="s">
        <v>110</v>
      </c>
      <c r="D640" s="14" t="s">
        <v>111</v>
      </c>
      <c r="E640" s="15" t="s">
        <v>112</v>
      </c>
      <c r="F640" s="14" t="s">
        <v>22</v>
      </c>
      <c r="G640" s="15" t="s">
        <v>23</v>
      </c>
      <c r="H640" s="15"/>
      <c r="I640" s="15">
        <v>201406</v>
      </c>
      <c r="J640" s="16">
        <v>163.91</v>
      </c>
      <c r="K640" s="44">
        <f t="shared" si="49"/>
        <v>41944</v>
      </c>
      <c r="L640" s="45">
        <f t="shared" si="45"/>
        <v>7</v>
      </c>
      <c r="M640" s="17">
        <v>1.4833299999999999E-3</v>
      </c>
      <c r="N640" s="46">
        <f t="shared" si="46"/>
        <v>1.7019283421</v>
      </c>
      <c r="O640" s="16"/>
      <c r="P640" s="48">
        <f t="shared" si="47"/>
        <v>78.881687500000012</v>
      </c>
      <c r="Q640" s="16"/>
      <c r="R640" s="48">
        <f t="shared" si="48"/>
        <v>2.9581657250000002</v>
      </c>
    </row>
    <row r="641" spans="1:18">
      <c r="A641" s="14" t="s">
        <v>17</v>
      </c>
      <c r="B641" s="15" t="s">
        <v>113</v>
      </c>
      <c r="C641" s="15" t="s">
        <v>114</v>
      </c>
      <c r="D641" s="14" t="s">
        <v>115</v>
      </c>
      <c r="E641" s="15" t="s">
        <v>58</v>
      </c>
      <c r="F641" s="14" t="s">
        <v>22</v>
      </c>
      <c r="G641" s="15" t="s">
        <v>23</v>
      </c>
      <c r="H641" s="15"/>
      <c r="I641" s="15">
        <v>201406</v>
      </c>
      <c r="J641" s="16">
        <v>-68.53</v>
      </c>
      <c r="K641" s="44">
        <f t="shared" si="49"/>
        <v>41944</v>
      </c>
      <c r="L641" s="45">
        <f t="shared" si="45"/>
        <v>7</v>
      </c>
      <c r="M641" s="17">
        <v>1.4833299999999999E-3</v>
      </c>
      <c r="N641" s="46">
        <f t="shared" si="46"/>
        <v>-0.71156823430000005</v>
      </c>
      <c r="O641" s="16"/>
      <c r="P641" s="48">
        <f t="shared" si="47"/>
        <v>-32.980062500000003</v>
      </c>
      <c r="Q641" s="16"/>
      <c r="R641" s="48">
        <f t="shared" si="48"/>
        <v>-1.2367951750000001</v>
      </c>
    </row>
    <row r="642" spans="1:18">
      <c r="A642" s="14" t="s">
        <v>17</v>
      </c>
      <c r="B642" s="15" t="s">
        <v>119</v>
      </c>
      <c r="C642" s="15" t="s">
        <v>120</v>
      </c>
      <c r="D642" s="14" t="s">
        <v>121</v>
      </c>
      <c r="E642" s="15" t="s">
        <v>32</v>
      </c>
      <c r="F642" s="14" t="s">
        <v>22</v>
      </c>
      <c r="G642" s="15" t="s">
        <v>23</v>
      </c>
      <c r="H642" s="15"/>
      <c r="I642" s="15">
        <v>201406</v>
      </c>
      <c r="J642" s="16">
        <v>-1325.43</v>
      </c>
      <c r="K642" s="44">
        <f t="shared" si="49"/>
        <v>41944</v>
      </c>
      <c r="L642" s="45">
        <f t="shared" si="45"/>
        <v>7</v>
      </c>
      <c r="M642" s="17">
        <v>1.4833299999999999E-3</v>
      </c>
      <c r="N642" s="46">
        <f t="shared" si="46"/>
        <v>-13.762350573300001</v>
      </c>
      <c r="O642" s="16"/>
      <c r="P642" s="48">
        <f t="shared" si="47"/>
        <v>-637.86318750000009</v>
      </c>
      <c r="Q642" s="16"/>
      <c r="R642" s="48">
        <f t="shared" si="48"/>
        <v>-23.920697925000002</v>
      </c>
    </row>
    <row r="643" spans="1:18">
      <c r="A643" s="14" t="s">
        <v>17</v>
      </c>
      <c r="B643" s="15" t="s">
        <v>122</v>
      </c>
      <c r="C643" s="15" t="s">
        <v>123</v>
      </c>
      <c r="D643" s="14" t="s">
        <v>124</v>
      </c>
      <c r="E643" s="15" t="s">
        <v>125</v>
      </c>
      <c r="F643" s="14" t="s">
        <v>126</v>
      </c>
      <c r="G643" s="15" t="s">
        <v>23</v>
      </c>
      <c r="H643" s="15"/>
      <c r="I643" s="15">
        <v>201406</v>
      </c>
      <c r="J643" s="16">
        <v>-770.03</v>
      </c>
      <c r="K643" s="44">
        <f t="shared" si="49"/>
        <v>41944</v>
      </c>
      <c r="L643" s="45">
        <f t="shared" si="45"/>
        <v>7</v>
      </c>
      <c r="M643" s="17">
        <v>1.4833299999999999E-3</v>
      </c>
      <c r="N643" s="46">
        <f t="shared" si="46"/>
        <v>-7.9954601992999992</v>
      </c>
      <c r="O643" s="16"/>
      <c r="P643" s="48">
        <f t="shared" si="47"/>
        <v>-370.57693750000004</v>
      </c>
      <c r="Q643" s="16"/>
      <c r="R643" s="48">
        <f t="shared" si="48"/>
        <v>-13.897116425</v>
      </c>
    </row>
    <row r="644" spans="1:18">
      <c r="A644" s="14" t="s">
        <v>17</v>
      </c>
      <c r="B644" s="15" t="s">
        <v>127</v>
      </c>
      <c r="C644" s="15" t="s">
        <v>128</v>
      </c>
      <c r="D644" s="14" t="s">
        <v>129</v>
      </c>
      <c r="E644" s="15" t="s">
        <v>62</v>
      </c>
      <c r="F644" s="14" t="s">
        <v>22</v>
      </c>
      <c r="G644" s="15" t="s">
        <v>23</v>
      </c>
      <c r="H644" s="15"/>
      <c r="I644" s="15">
        <v>201406</v>
      </c>
      <c r="J644" s="16">
        <v>-1994.48</v>
      </c>
      <c r="K644" s="44">
        <f t="shared" si="49"/>
        <v>41944</v>
      </c>
      <c r="L644" s="45">
        <f t="shared" si="45"/>
        <v>7</v>
      </c>
      <c r="M644" s="17">
        <v>1.4833299999999999E-3</v>
      </c>
      <c r="N644" s="46">
        <f t="shared" si="46"/>
        <v>-20.709304128799999</v>
      </c>
      <c r="O644" s="16"/>
      <c r="P644" s="48">
        <f t="shared" si="47"/>
        <v>-959.84350000000018</v>
      </c>
      <c r="Q644" s="16"/>
      <c r="R644" s="48">
        <f t="shared" si="48"/>
        <v>-35.9953778</v>
      </c>
    </row>
    <row r="645" spans="1:18">
      <c r="A645" s="14" t="s">
        <v>17</v>
      </c>
      <c r="B645" s="15" t="s">
        <v>130</v>
      </c>
      <c r="C645" s="15" t="s">
        <v>131</v>
      </c>
      <c r="D645" s="14" t="s">
        <v>132</v>
      </c>
      <c r="E645" s="15" t="s">
        <v>36</v>
      </c>
      <c r="F645" s="14" t="s">
        <v>22</v>
      </c>
      <c r="G645" s="15" t="s">
        <v>23</v>
      </c>
      <c r="H645" s="15"/>
      <c r="I645" s="15">
        <v>201406</v>
      </c>
      <c r="J645" s="16">
        <v>-1059.18</v>
      </c>
      <c r="K645" s="44">
        <f t="shared" si="49"/>
        <v>41944</v>
      </c>
      <c r="L645" s="45">
        <f t="shared" si="45"/>
        <v>7</v>
      </c>
      <c r="M645" s="17">
        <v>1.4833299999999999E-3</v>
      </c>
      <c r="N645" s="46">
        <f t="shared" si="46"/>
        <v>-10.997794285800001</v>
      </c>
      <c r="O645" s="16"/>
      <c r="P645" s="48">
        <f t="shared" si="47"/>
        <v>-509.73037500000009</v>
      </c>
      <c r="Q645" s="16"/>
      <c r="R645" s="48">
        <f t="shared" si="48"/>
        <v>-19.115551050000001</v>
      </c>
    </row>
    <row r="646" spans="1:18">
      <c r="A646" s="14" t="s">
        <v>17</v>
      </c>
      <c r="B646" s="15" t="s">
        <v>138</v>
      </c>
      <c r="C646" s="15" t="s">
        <v>139</v>
      </c>
      <c r="D646" s="14" t="s">
        <v>140</v>
      </c>
      <c r="E646" s="15" t="s">
        <v>141</v>
      </c>
      <c r="F646" s="14" t="s">
        <v>142</v>
      </c>
      <c r="G646" s="15" t="s">
        <v>23</v>
      </c>
      <c r="H646" s="15"/>
      <c r="I646" s="15">
        <v>201406</v>
      </c>
      <c r="J646" s="16">
        <v>376.49</v>
      </c>
      <c r="K646" s="44">
        <f t="shared" si="49"/>
        <v>41944</v>
      </c>
      <c r="L646" s="45">
        <f t="shared" ref="L646:L709" si="50">((YEAR($L$1)-YEAR(K646))*12+MONTH($L$1)-MONTH(K646))</f>
        <v>7</v>
      </c>
      <c r="M646" s="17">
        <v>1.4833299999999999E-3</v>
      </c>
      <c r="N646" s="46">
        <f t="shared" ref="N646:N709" si="51">M646*L646*J646</f>
        <v>3.9092123819000002</v>
      </c>
      <c r="O646" s="16"/>
      <c r="P646" s="48">
        <f t="shared" ref="P646:P709" si="52">$P$4*J646</f>
        <v>181.18581250000003</v>
      </c>
      <c r="Q646" s="16"/>
      <c r="R646" s="48">
        <f t="shared" ref="R646:R709" si="53">$R$4*(J646*0.5)*$T$9</f>
        <v>6.7947032750000007</v>
      </c>
    </row>
    <row r="647" spans="1:18">
      <c r="A647" s="14" t="s">
        <v>17</v>
      </c>
      <c r="B647" s="15" t="s">
        <v>143</v>
      </c>
      <c r="C647" s="15" t="s">
        <v>144</v>
      </c>
      <c r="D647" s="14" t="s">
        <v>145</v>
      </c>
      <c r="E647" s="15" t="s">
        <v>62</v>
      </c>
      <c r="F647" s="14" t="s">
        <v>22</v>
      </c>
      <c r="G647" s="15" t="s">
        <v>23</v>
      </c>
      <c r="H647" s="15"/>
      <c r="I647" s="15">
        <v>201406</v>
      </c>
      <c r="J647" s="16">
        <v>-1675.45</v>
      </c>
      <c r="K647" s="44">
        <f t="shared" ref="K647:K710" si="54">+K646</f>
        <v>41944</v>
      </c>
      <c r="L647" s="45">
        <f t="shared" si="50"/>
        <v>7</v>
      </c>
      <c r="M647" s="17">
        <v>1.4833299999999999E-3</v>
      </c>
      <c r="N647" s="46">
        <f t="shared" si="51"/>
        <v>-17.3967167395</v>
      </c>
      <c r="O647" s="16"/>
      <c r="P647" s="48">
        <f t="shared" si="52"/>
        <v>-806.31031250000012</v>
      </c>
      <c r="Q647" s="16"/>
      <c r="R647" s="48">
        <f t="shared" si="53"/>
        <v>-30.237683875000002</v>
      </c>
    </row>
    <row r="648" spans="1:18">
      <c r="A648" s="14" t="s">
        <v>17</v>
      </c>
      <c r="B648" s="15" t="s">
        <v>149</v>
      </c>
      <c r="C648" s="15" t="s">
        <v>150</v>
      </c>
      <c r="D648" s="14" t="s">
        <v>151</v>
      </c>
      <c r="E648" s="15" t="s">
        <v>40</v>
      </c>
      <c r="F648" s="14" t="s">
        <v>41</v>
      </c>
      <c r="G648" s="15" t="s">
        <v>23</v>
      </c>
      <c r="H648" s="15"/>
      <c r="I648" s="15">
        <v>201406</v>
      </c>
      <c r="J648" s="16">
        <v>-495.75</v>
      </c>
      <c r="K648" s="44">
        <f t="shared" si="54"/>
        <v>41944</v>
      </c>
      <c r="L648" s="45">
        <f t="shared" si="50"/>
        <v>7</v>
      </c>
      <c r="M648" s="17">
        <v>1.4833299999999999E-3</v>
      </c>
      <c r="N648" s="46">
        <f t="shared" si="51"/>
        <v>-5.1475259324999998</v>
      </c>
      <c r="O648" s="16"/>
      <c r="P648" s="48">
        <f t="shared" si="52"/>
        <v>-238.57968750000003</v>
      </c>
      <c r="Q648" s="16"/>
      <c r="R648" s="48">
        <f t="shared" si="53"/>
        <v>-8.9470481250000002</v>
      </c>
    </row>
    <row r="649" spans="1:18">
      <c r="A649" s="14" t="s">
        <v>17</v>
      </c>
      <c r="B649" s="15" t="s">
        <v>152</v>
      </c>
      <c r="C649" s="15" t="s">
        <v>153</v>
      </c>
      <c r="D649" s="14" t="s">
        <v>154</v>
      </c>
      <c r="E649" s="15" t="s">
        <v>53</v>
      </c>
      <c r="F649" s="14" t="s">
        <v>41</v>
      </c>
      <c r="G649" s="15" t="s">
        <v>23</v>
      </c>
      <c r="H649" s="15"/>
      <c r="I649" s="15">
        <v>201406</v>
      </c>
      <c r="J649" s="16">
        <v>-212.9</v>
      </c>
      <c r="K649" s="44">
        <f t="shared" si="54"/>
        <v>41944</v>
      </c>
      <c r="L649" s="45">
        <f t="shared" si="50"/>
        <v>7</v>
      </c>
      <c r="M649" s="17">
        <v>1.4833299999999999E-3</v>
      </c>
      <c r="N649" s="46">
        <f t="shared" si="51"/>
        <v>-2.210606699</v>
      </c>
      <c r="O649" s="16"/>
      <c r="P649" s="48">
        <f t="shared" si="52"/>
        <v>-102.45812500000002</v>
      </c>
      <c r="Q649" s="16"/>
      <c r="R649" s="48">
        <f t="shared" si="53"/>
        <v>-3.8423127500000005</v>
      </c>
    </row>
    <row r="650" spans="1:18">
      <c r="A650" s="14" t="s">
        <v>17</v>
      </c>
      <c r="B650" s="15" t="s">
        <v>155</v>
      </c>
      <c r="C650" s="15" t="s">
        <v>156</v>
      </c>
      <c r="D650" s="14" t="s">
        <v>157</v>
      </c>
      <c r="E650" s="15" t="s">
        <v>32</v>
      </c>
      <c r="F650" s="14" t="s">
        <v>22</v>
      </c>
      <c r="G650" s="15" t="s">
        <v>23</v>
      </c>
      <c r="H650" s="15"/>
      <c r="I650" s="15">
        <v>201406</v>
      </c>
      <c r="J650" s="16">
        <v>-1068.01</v>
      </c>
      <c r="K650" s="44">
        <f t="shared" si="54"/>
        <v>41944</v>
      </c>
      <c r="L650" s="45">
        <f t="shared" si="50"/>
        <v>7</v>
      </c>
      <c r="M650" s="17">
        <v>1.4833299999999999E-3</v>
      </c>
      <c r="N650" s="46">
        <f t="shared" si="51"/>
        <v>-11.089478913099999</v>
      </c>
      <c r="O650" s="16"/>
      <c r="P650" s="48">
        <f t="shared" si="52"/>
        <v>-513.97981250000009</v>
      </c>
      <c r="Q650" s="16"/>
      <c r="R650" s="48">
        <f t="shared" si="53"/>
        <v>-19.274910475000002</v>
      </c>
    </row>
    <row r="651" spans="1:18">
      <c r="A651" s="14" t="s">
        <v>17</v>
      </c>
      <c r="B651" s="15" t="s">
        <v>158</v>
      </c>
      <c r="C651" s="15" t="s">
        <v>159</v>
      </c>
      <c r="D651" s="14" t="s">
        <v>160</v>
      </c>
      <c r="E651" s="15" t="s">
        <v>108</v>
      </c>
      <c r="F651" s="14" t="s">
        <v>28</v>
      </c>
      <c r="G651" s="15" t="s">
        <v>23</v>
      </c>
      <c r="H651" s="15"/>
      <c r="I651" s="15">
        <v>201406</v>
      </c>
      <c r="J651" s="16">
        <v>-87.39</v>
      </c>
      <c r="K651" s="44">
        <f t="shared" si="54"/>
        <v>41944</v>
      </c>
      <c r="L651" s="45">
        <f t="shared" si="50"/>
        <v>7</v>
      </c>
      <c r="M651" s="17">
        <v>1.4833299999999999E-3</v>
      </c>
      <c r="N651" s="46">
        <f t="shared" si="51"/>
        <v>-0.90739746089999995</v>
      </c>
      <c r="O651" s="16"/>
      <c r="P651" s="48">
        <f t="shared" si="52"/>
        <v>-42.056437500000008</v>
      </c>
      <c r="Q651" s="16"/>
      <c r="R651" s="48">
        <f t="shared" si="53"/>
        <v>-1.5771710250000002</v>
      </c>
    </row>
    <row r="652" spans="1:18">
      <c r="A652" s="14" t="s">
        <v>17</v>
      </c>
      <c r="B652" s="15" t="s">
        <v>161</v>
      </c>
      <c r="C652" s="15" t="s">
        <v>162</v>
      </c>
      <c r="D652" s="14" t="s">
        <v>163</v>
      </c>
      <c r="E652" s="15" t="s">
        <v>62</v>
      </c>
      <c r="F652" s="14" t="s">
        <v>22</v>
      </c>
      <c r="G652" s="15" t="s">
        <v>23</v>
      </c>
      <c r="H652" s="15"/>
      <c r="I652" s="15">
        <v>201406</v>
      </c>
      <c r="J652" s="16">
        <v>-737.28</v>
      </c>
      <c r="K652" s="44">
        <f t="shared" si="54"/>
        <v>41944</v>
      </c>
      <c r="L652" s="45">
        <f t="shared" si="50"/>
        <v>7</v>
      </c>
      <c r="M652" s="17">
        <v>1.4833299999999999E-3</v>
      </c>
      <c r="N652" s="46">
        <f t="shared" si="51"/>
        <v>-7.6554067967999995</v>
      </c>
      <c r="O652" s="16"/>
      <c r="P652" s="48">
        <f t="shared" si="52"/>
        <v>-354.81600000000003</v>
      </c>
      <c r="Q652" s="16"/>
      <c r="R652" s="48">
        <f t="shared" si="53"/>
        <v>-13.306060800000001</v>
      </c>
    </row>
    <row r="653" spans="1:18">
      <c r="A653" s="14" t="s">
        <v>164</v>
      </c>
      <c r="B653" s="15" t="s">
        <v>165</v>
      </c>
      <c r="C653" s="15" t="s">
        <v>166</v>
      </c>
      <c r="D653" s="14" t="s">
        <v>167</v>
      </c>
      <c r="E653" s="15" t="s">
        <v>168</v>
      </c>
      <c r="F653" s="14" t="s">
        <v>169</v>
      </c>
      <c r="G653" s="15" t="s">
        <v>23</v>
      </c>
      <c r="H653" s="15"/>
      <c r="I653" s="15">
        <v>201406</v>
      </c>
      <c r="J653" s="16">
        <v>-76.77</v>
      </c>
      <c r="K653" s="44">
        <f t="shared" si="54"/>
        <v>41944</v>
      </c>
      <c r="L653" s="45">
        <f t="shared" si="50"/>
        <v>7</v>
      </c>
      <c r="M653" s="17">
        <v>2.1916700000000002E-3</v>
      </c>
      <c r="N653" s="46">
        <f t="shared" si="51"/>
        <v>-1.1777815413000001</v>
      </c>
      <c r="O653" s="16"/>
      <c r="P653" s="48">
        <f t="shared" si="52"/>
        <v>-36.945562500000001</v>
      </c>
      <c r="Q653" s="16"/>
      <c r="R653" s="48">
        <f t="shared" si="53"/>
        <v>-1.385506575</v>
      </c>
    </row>
    <row r="654" spans="1:18">
      <c r="A654" s="14" t="s">
        <v>17</v>
      </c>
      <c r="B654" s="15" t="s">
        <v>170</v>
      </c>
      <c r="C654" s="15" t="s">
        <v>171</v>
      </c>
      <c r="D654" s="14" t="s">
        <v>172</v>
      </c>
      <c r="E654" s="15" t="s">
        <v>62</v>
      </c>
      <c r="F654" s="14" t="s">
        <v>22</v>
      </c>
      <c r="G654" s="15" t="s">
        <v>23</v>
      </c>
      <c r="H654" s="15"/>
      <c r="I654" s="15">
        <v>201406</v>
      </c>
      <c r="J654" s="16">
        <v>-4627.3900000000003</v>
      </c>
      <c r="K654" s="44">
        <f t="shared" si="54"/>
        <v>41944</v>
      </c>
      <c r="L654" s="45">
        <f t="shared" si="50"/>
        <v>7</v>
      </c>
      <c r="M654" s="17">
        <v>1.4833299999999999E-3</v>
      </c>
      <c r="N654" s="46">
        <f t="shared" si="51"/>
        <v>-48.047624860900001</v>
      </c>
      <c r="O654" s="16"/>
      <c r="P654" s="48">
        <f t="shared" si="52"/>
        <v>-2226.9314375000004</v>
      </c>
      <c r="Q654" s="16"/>
      <c r="R654" s="48">
        <f t="shared" si="53"/>
        <v>-83.512821025000008</v>
      </c>
    </row>
    <row r="655" spans="1:18">
      <c r="A655" s="14" t="s">
        <v>17</v>
      </c>
      <c r="B655" s="15" t="s">
        <v>177</v>
      </c>
      <c r="C655" s="15" t="s">
        <v>178</v>
      </c>
      <c r="D655" s="14" t="s">
        <v>179</v>
      </c>
      <c r="E655" s="15" t="s">
        <v>176</v>
      </c>
      <c r="F655" s="14" t="s">
        <v>28</v>
      </c>
      <c r="G655" s="15" t="s">
        <v>23</v>
      </c>
      <c r="H655" s="15"/>
      <c r="I655" s="15">
        <v>201406</v>
      </c>
      <c r="J655" s="16">
        <v>-1221.74</v>
      </c>
      <c r="K655" s="44">
        <f t="shared" si="54"/>
        <v>41944</v>
      </c>
      <c r="L655" s="45">
        <f t="shared" si="50"/>
        <v>7</v>
      </c>
      <c r="M655" s="17">
        <v>1.4833299999999999E-3</v>
      </c>
      <c r="N655" s="46">
        <f t="shared" si="51"/>
        <v>-12.685705159399999</v>
      </c>
      <c r="O655" s="16"/>
      <c r="P655" s="48">
        <f t="shared" si="52"/>
        <v>-587.96237500000007</v>
      </c>
      <c r="Q655" s="16"/>
      <c r="R655" s="48">
        <f t="shared" si="53"/>
        <v>-22.049352650000003</v>
      </c>
    </row>
    <row r="656" spans="1:18">
      <c r="A656" s="14" t="s">
        <v>17</v>
      </c>
      <c r="B656" s="15" t="s">
        <v>183</v>
      </c>
      <c r="C656" s="15" t="s">
        <v>184</v>
      </c>
      <c r="D656" s="14" t="s">
        <v>185</v>
      </c>
      <c r="E656" s="15" t="s">
        <v>53</v>
      </c>
      <c r="F656" s="14" t="s">
        <v>41</v>
      </c>
      <c r="G656" s="15" t="s">
        <v>23</v>
      </c>
      <c r="H656" s="15"/>
      <c r="I656" s="15">
        <v>201406</v>
      </c>
      <c r="J656" s="16">
        <v>997.34</v>
      </c>
      <c r="K656" s="44">
        <f t="shared" si="54"/>
        <v>41944</v>
      </c>
      <c r="L656" s="45">
        <f t="shared" si="50"/>
        <v>7</v>
      </c>
      <c r="M656" s="17">
        <v>1.4833299999999999E-3</v>
      </c>
      <c r="N656" s="46">
        <f t="shared" si="51"/>
        <v>10.3556903954</v>
      </c>
      <c r="O656" s="16"/>
      <c r="P656" s="48">
        <f t="shared" si="52"/>
        <v>479.96987500000006</v>
      </c>
      <c r="Q656" s="16"/>
      <c r="R656" s="48">
        <f t="shared" si="53"/>
        <v>17.999493650000002</v>
      </c>
    </row>
    <row r="657" spans="1:18">
      <c r="A657" s="14" t="s">
        <v>17</v>
      </c>
      <c r="B657" s="15" t="s">
        <v>186</v>
      </c>
      <c r="C657" s="15" t="s">
        <v>187</v>
      </c>
      <c r="D657" s="14" t="s">
        <v>188</v>
      </c>
      <c r="E657" s="15" t="s">
        <v>108</v>
      </c>
      <c r="F657" s="14" t="s">
        <v>28</v>
      </c>
      <c r="G657" s="15" t="s">
        <v>23</v>
      </c>
      <c r="H657" s="15"/>
      <c r="I657" s="15">
        <v>201406</v>
      </c>
      <c r="J657" s="16">
        <v>-1172.3399999999999</v>
      </c>
      <c r="K657" s="44">
        <f t="shared" si="54"/>
        <v>41944</v>
      </c>
      <c r="L657" s="45">
        <f t="shared" si="50"/>
        <v>7</v>
      </c>
      <c r="M657" s="17">
        <v>1.4833299999999999E-3</v>
      </c>
      <c r="N657" s="46">
        <f t="shared" si="51"/>
        <v>-12.172769645399999</v>
      </c>
      <c r="O657" s="16"/>
      <c r="P657" s="48">
        <f t="shared" si="52"/>
        <v>-564.188625</v>
      </c>
      <c r="Q657" s="16"/>
      <c r="R657" s="48">
        <f t="shared" si="53"/>
        <v>-21.157806149999999</v>
      </c>
    </row>
    <row r="658" spans="1:18">
      <c r="A658" s="14" t="s">
        <v>17</v>
      </c>
      <c r="B658" s="15" t="s">
        <v>189</v>
      </c>
      <c r="C658" s="15" t="s">
        <v>190</v>
      </c>
      <c r="D658" s="14" t="s">
        <v>191</v>
      </c>
      <c r="E658" s="15" t="s">
        <v>62</v>
      </c>
      <c r="F658" s="14" t="s">
        <v>22</v>
      </c>
      <c r="G658" s="15" t="s">
        <v>23</v>
      </c>
      <c r="H658" s="15"/>
      <c r="I658" s="15">
        <v>201406</v>
      </c>
      <c r="J658" s="16">
        <v>105561.13</v>
      </c>
      <c r="K658" s="44">
        <f t="shared" si="54"/>
        <v>41944</v>
      </c>
      <c r="L658" s="45">
        <f t="shared" si="50"/>
        <v>7</v>
      </c>
      <c r="M658" s="17">
        <v>1.4833299999999999E-3</v>
      </c>
      <c r="N658" s="46">
        <f t="shared" si="51"/>
        <v>1096.0739367403</v>
      </c>
      <c r="O658" s="16"/>
      <c r="P658" s="48">
        <f t="shared" si="52"/>
        <v>50801.293812500007</v>
      </c>
      <c r="Q658" s="16"/>
      <c r="R658" s="48">
        <f t="shared" si="53"/>
        <v>1905.1144936750002</v>
      </c>
    </row>
    <row r="659" spans="1:18">
      <c r="A659" s="18" t="s">
        <v>66</v>
      </c>
      <c r="B659" s="15" t="s">
        <v>197</v>
      </c>
      <c r="C659" s="15" t="s">
        <v>198</v>
      </c>
      <c r="D659" s="14" t="s">
        <v>69</v>
      </c>
      <c r="E659" s="15" t="s">
        <v>199</v>
      </c>
      <c r="F659" s="14" t="s">
        <v>71</v>
      </c>
      <c r="G659" s="15" t="s">
        <v>23</v>
      </c>
      <c r="H659" s="15"/>
      <c r="I659" s="15">
        <v>201406</v>
      </c>
      <c r="J659" s="16">
        <v>-861.22</v>
      </c>
      <c r="K659" s="44">
        <f t="shared" si="54"/>
        <v>41944</v>
      </c>
      <c r="L659" s="45">
        <f t="shared" si="50"/>
        <v>7</v>
      </c>
      <c r="M659" s="17">
        <v>2.23333E-3</v>
      </c>
      <c r="N659" s="46">
        <f t="shared" si="51"/>
        <v>-13.463719238200001</v>
      </c>
      <c r="O659" s="16"/>
      <c r="P659" s="48">
        <f t="shared" si="52"/>
        <v>-414.46212500000007</v>
      </c>
      <c r="Q659" s="16"/>
      <c r="R659" s="48">
        <f t="shared" si="53"/>
        <v>-15.542867950000002</v>
      </c>
    </row>
    <row r="660" spans="1:18">
      <c r="A660" s="18" t="s">
        <v>66</v>
      </c>
      <c r="B660" s="15" t="s">
        <v>200</v>
      </c>
      <c r="C660" s="15" t="s">
        <v>201</v>
      </c>
      <c r="D660" s="14" t="s">
        <v>202</v>
      </c>
      <c r="E660" s="15" t="s">
        <v>203</v>
      </c>
      <c r="F660" s="14" t="s">
        <v>80</v>
      </c>
      <c r="G660" s="15" t="s">
        <v>23</v>
      </c>
      <c r="H660" s="15"/>
      <c r="I660" s="15">
        <v>201406</v>
      </c>
      <c r="J660" s="16">
        <v>-5656.69</v>
      </c>
      <c r="K660" s="44">
        <f t="shared" si="54"/>
        <v>41944</v>
      </c>
      <c r="L660" s="45">
        <f t="shared" si="50"/>
        <v>7</v>
      </c>
      <c r="M660" s="17">
        <v>2.23333E-3</v>
      </c>
      <c r="N660" s="46">
        <f t="shared" si="51"/>
        <v>-88.4327883439</v>
      </c>
      <c r="O660" s="16"/>
      <c r="P660" s="48">
        <f t="shared" si="52"/>
        <v>-2722.2820625000004</v>
      </c>
      <c r="Q660" s="16"/>
      <c r="R660" s="48">
        <f t="shared" si="53"/>
        <v>-102.089112775</v>
      </c>
    </row>
    <row r="661" spans="1:18">
      <c r="A661" s="18" t="s">
        <v>66</v>
      </c>
      <c r="B661" s="15" t="s">
        <v>204</v>
      </c>
      <c r="C661" s="15" t="s">
        <v>205</v>
      </c>
      <c r="D661" s="14" t="s">
        <v>206</v>
      </c>
      <c r="E661" s="15" t="s">
        <v>207</v>
      </c>
      <c r="F661" s="14" t="s">
        <v>97</v>
      </c>
      <c r="G661" s="15" t="s">
        <v>23</v>
      </c>
      <c r="H661" s="15"/>
      <c r="I661" s="15">
        <v>201406</v>
      </c>
      <c r="J661" s="16">
        <v>-18.72</v>
      </c>
      <c r="K661" s="44">
        <f t="shared" si="54"/>
        <v>41944</v>
      </c>
      <c r="L661" s="45">
        <f t="shared" si="50"/>
        <v>7</v>
      </c>
      <c r="M661" s="17">
        <v>2.23333E-3</v>
      </c>
      <c r="N661" s="46">
        <f t="shared" si="51"/>
        <v>-0.29265556320000002</v>
      </c>
      <c r="O661" s="16"/>
      <c r="P661" s="48">
        <f t="shared" si="52"/>
        <v>-9.0090000000000003</v>
      </c>
      <c r="Q661" s="16"/>
      <c r="R661" s="48">
        <f t="shared" si="53"/>
        <v>-0.33784920000000002</v>
      </c>
    </row>
    <row r="662" spans="1:18">
      <c r="A662" s="18" t="s">
        <v>66</v>
      </c>
      <c r="B662" s="15" t="s">
        <v>208</v>
      </c>
      <c r="C662" s="15" t="s">
        <v>209</v>
      </c>
      <c r="D662" s="14" t="s">
        <v>210</v>
      </c>
      <c r="E662" s="15" t="s">
        <v>211</v>
      </c>
      <c r="F662" s="14" t="s">
        <v>212</v>
      </c>
      <c r="G662" s="15" t="s">
        <v>23</v>
      </c>
      <c r="H662" s="15"/>
      <c r="I662" s="15">
        <v>201406</v>
      </c>
      <c r="J662" s="16">
        <v>3752.74</v>
      </c>
      <c r="K662" s="44">
        <f t="shared" si="54"/>
        <v>41944</v>
      </c>
      <c r="L662" s="45">
        <f t="shared" si="50"/>
        <v>7</v>
      </c>
      <c r="M662" s="17">
        <v>2.23333E-3</v>
      </c>
      <c r="N662" s="46">
        <f t="shared" si="51"/>
        <v>58.667747769400002</v>
      </c>
      <c r="O662" s="16"/>
      <c r="P662" s="48">
        <f t="shared" si="52"/>
        <v>1806.0061250000001</v>
      </c>
      <c r="Q662" s="16"/>
      <c r="R662" s="48">
        <f t="shared" si="53"/>
        <v>67.727575150000007</v>
      </c>
    </row>
    <row r="663" spans="1:18">
      <c r="A663" s="14" t="s">
        <v>17</v>
      </c>
      <c r="B663" s="15" t="s">
        <v>213</v>
      </c>
      <c r="C663" s="15" t="s">
        <v>214</v>
      </c>
      <c r="D663" s="14" t="s">
        <v>215</v>
      </c>
      <c r="E663" s="15" t="s">
        <v>216</v>
      </c>
      <c r="F663" s="14" t="s">
        <v>22</v>
      </c>
      <c r="G663" s="15" t="s">
        <v>23</v>
      </c>
      <c r="H663" s="15"/>
      <c r="I663" s="15">
        <v>201406</v>
      </c>
      <c r="J663" s="16">
        <v>-36.909999999999997</v>
      </c>
      <c r="K663" s="44">
        <f t="shared" si="54"/>
        <v>41944</v>
      </c>
      <c r="L663" s="45">
        <f t="shared" si="50"/>
        <v>7</v>
      </c>
      <c r="M663" s="17">
        <v>1.4833299999999999E-3</v>
      </c>
      <c r="N663" s="46">
        <f t="shared" si="51"/>
        <v>-0.38324797209999995</v>
      </c>
      <c r="O663" s="16"/>
      <c r="P663" s="48">
        <f t="shared" si="52"/>
        <v>-17.7629375</v>
      </c>
      <c r="Q663" s="16"/>
      <c r="R663" s="48">
        <f t="shared" si="53"/>
        <v>-0.66613322499999994</v>
      </c>
    </row>
    <row r="664" spans="1:18">
      <c r="A664" s="14" t="s">
        <v>217</v>
      </c>
      <c r="B664" s="15" t="s">
        <v>218</v>
      </c>
      <c r="C664" s="15" t="s">
        <v>219</v>
      </c>
      <c r="D664" s="14" t="s">
        <v>220</v>
      </c>
      <c r="E664" s="15" t="s">
        <v>221</v>
      </c>
      <c r="F664" s="14" t="s">
        <v>222</v>
      </c>
      <c r="G664" s="15" t="s">
        <v>23</v>
      </c>
      <c r="H664" s="15"/>
      <c r="I664" s="15">
        <v>201406</v>
      </c>
      <c r="J664" s="16">
        <v>101825.39</v>
      </c>
      <c r="K664" s="44">
        <f t="shared" si="54"/>
        <v>41944</v>
      </c>
      <c r="L664" s="45">
        <f t="shared" si="50"/>
        <v>7</v>
      </c>
      <c r="M664" s="17">
        <v>1.4833299999999999E-3</v>
      </c>
      <c r="N664" s="46">
        <f t="shared" si="51"/>
        <v>1057.2845902408999</v>
      </c>
      <c r="O664" s="16"/>
      <c r="P664" s="48">
        <f t="shared" si="52"/>
        <v>49003.468937500009</v>
      </c>
      <c r="Q664" s="16"/>
      <c r="R664" s="48">
        <f t="shared" si="53"/>
        <v>1837.6937260250002</v>
      </c>
    </row>
    <row r="665" spans="1:18">
      <c r="A665" s="18" t="s">
        <v>66</v>
      </c>
      <c r="B665" s="15" t="s">
        <v>223</v>
      </c>
      <c r="C665" s="15" t="s">
        <v>224</v>
      </c>
      <c r="D665" s="14" t="s">
        <v>88</v>
      </c>
      <c r="E665" s="15" t="s">
        <v>225</v>
      </c>
      <c r="F665" s="14" t="s">
        <v>85</v>
      </c>
      <c r="G665" s="15" t="s">
        <v>23</v>
      </c>
      <c r="H665" s="15"/>
      <c r="I665" s="15">
        <v>201406</v>
      </c>
      <c r="J665" s="16">
        <v>-1836.89</v>
      </c>
      <c r="K665" s="44">
        <f t="shared" si="54"/>
        <v>41944</v>
      </c>
      <c r="L665" s="45">
        <f t="shared" si="50"/>
        <v>7</v>
      </c>
      <c r="M665" s="17">
        <v>2.23333E-3</v>
      </c>
      <c r="N665" s="46">
        <f t="shared" si="51"/>
        <v>-28.716670805900005</v>
      </c>
      <c r="O665" s="16"/>
      <c r="P665" s="48">
        <f t="shared" si="52"/>
        <v>-884.00331250000022</v>
      </c>
      <c r="Q665" s="16"/>
      <c r="R665" s="48">
        <f t="shared" si="53"/>
        <v>-33.151272275000004</v>
      </c>
    </row>
    <row r="666" spans="1:18">
      <c r="A666" s="18" t="s">
        <v>66</v>
      </c>
      <c r="B666" s="15" t="s">
        <v>226</v>
      </c>
      <c r="C666" s="15" t="s">
        <v>227</v>
      </c>
      <c r="D666" s="14" t="s">
        <v>78</v>
      </c>
      <c r="E666" s="15" t="s">
        <v>228</v>
      </c>
      <c r="F666" s="14" t="s">
        <v>80</v>
      </c>
      <c r="G666" s="15" t="s">
        <v>23</v>
      </c>
      <c r="H666" s="15"/>
      <c r="I666" s="15">
        <v>201406</v>
      </c>
      <c r="J666" s="16">
        <v>-250.43</v>
      </c>
      <c r="K666" s="44">
        <f t="shared" si="54"/>
        <v>41944</v>
      </c>
      <c r="L666" s="45">
        <f t="shared" si="50"/>
        <v>7</v>
      </c>
      <c r="M666" s="17">
        <v>2.23333E-3</v>
      </c>
      <c r="N666" s="46">
        <f t="shared" si="51"/>
        <v>-3.9150498233000004</v>
      </c>
      <c r="O666" s="16"/>
      <c r="P666" s="48">
        <f t="shared" si="52"/>
        <v>-120.51943750000002</v>
      </c>
      <c r="Q666" s="16"/>
      <c r="R666" s="48">
        <f t="shared" si="53"/>
        <v>-4.5196354250000006</v>
      </c>
    </row>
    <row r="667" spans="1:18">
      <c r="A667" s="18" t="s">
        <v>66</v>
      </c>
      <c r="B667" s="15" t="s">
        <v>229</v>
      </c>
      <c r="C667" s="15" t="s">
        <v>230</v>
      </c>
      <c r="D667" s="14" t="s">
        <v>78</v>
      </c>
      <c r="E667" s="15" t="s">
        <v>231</v>
      </c>
      <c r="F667" s="14" t="s">
        <v>80</v>
      </c>
      <c r="G667" s="15" t="s">
        <v>23</v>
      </c>
      <c r="H667" s="15"/>
      <c r="I667" s="15">
        <v>201406</v>
      </c>
      <c r="J667" s="16">
        <v>-2063.86</v>
      </c>
      <c r="K667" s="44">
        <f t="shared" si="54"/>
        <v>41944</v>
      </c>
      <c r="L667" s="45">
        <f t="shared" si="50"/>
        <v>7</v>
      </c>
      <c r="M667" s="17">
        <v>2.23333E-3</v>
      </c>
      <c r="N667" s="46">
        <f t="shared" si="51"/>
        <v>-32.264963176600006</v>
      </c>
      <c r="O667" s="16"/>
      <c r="P667" s="48">
        <f t="shared" si="52"/>
        <v>-993.23262500000021</v>
      </c>
      <c r="Q667" s="16"/>
      <c r="R667" s="48">
        <f t="shared" si="53"/>
        <v>-37.247513350000006</v>
      </c>
    </row>
    <row r="668" spans="1:18">
      <c r="A668" s="14" t="s">
        <v>17</v>
      </c>
      <c r="B668" s="15" t="s">
        <v>232</v>
      </c>
      <c r="C668" s="15" t="s">
        <v>233</v>
      </c>
      <c r="D668" s="14" t="s">
        <v>234</v>
      </c>
      <c r="E668" s="15" t="s">
        <v>40</v>
      </c>
      <c r="F668" s="14" t="s">
        <v>41</v>
      </c>
      <c r="G668" s="15" t="s">
        <v>23</v>
      </c>
      <c r="H668" s="15"/>
      <c r="I668" s="15">
        <v>201406</v>
      </c>
      <c r="J668" s="16">
        <v>-752.75</v>
      </c>
      <c r="K668" s="44">
        <f t="shared" si="54"/>
        <v>41944</v>
      </c>
      <c r="L668" s="45">
        <f t="shared" si="50"/>
        <v>7</v>
      </c>
      <c r="M668" s="17">
        <v>1.4833299999999999E-3</v>
      </c>
      <c r="N668" s="46">
        <f t="shared" si="51"/>
        <v>-7.8160366024999997</v>
      </c>
      <c r="O668" s="16"/>
      <c r="P668" s="48">
        <f t="shared" si="52"/>
        <v>-362.26093750000007</v>
      </c>
      <c r="Q668" s="16"/>
      <c r="R668" s="48">
        <f t="shared" si="53"/>
        <v>-13.585255625</v>
      </c>
    </row>
    <row r="669" spans="1:18">
      <c r="A669" s="14" t="s">
        <v>17</v>
      </c>
      <c r="B669" s="15" t="s">
        <v>235</v>
      </c>
      <c r="C669" s="15" t="s">
        <v>236</v>
      </c>
      <c r="D669" s="14" t="s">
        <v>237</v>
      </c>
      <c r="E669" s="15" t="s">
        <v>62</v>
      </c>
      <c r="F669" s="14" t="s">
        <v>22</v>
      </c>
      <c r="G669" s="15" t="s">
        <v>23</v>
      </c>
      <c r="H669" s="15"/>
      <c r="I669" s="15">
        <v>201406</v>
      </c>
      <c r="J669" s="16">
        <v>6.63</v>
      </c>
      <c r="K669" s="44">
        <f t="shared" si="54"/>
        <v>41944</v>
      </c>
      <c r="L669" s="45">
        <f t="shared" si="50"/>
        <v>7</v>
      </c>
      <c r="M669" s="17">
        <v>1.4833299999999999E-3</v>
      </c>
      <c r="N669" s="46">
        <f t="shared" si="51"/>
        <v>6.8841345299999995E-2</v>
      </c>
      <c r="O669" s="16"/>
      <c r="P669" s="48">
        <f t="shared" si="52"/>
        <v>3.1906875000000006</v>
      </c>
      <c r="Q669" s="16"/>
      <c r="R669" s="48">
        <f t="shared" si="53"/>
        <v>0.11965492500000001</v>
      </c>
    </row>
    <row r="670" spans="1:18">
      <c r="A670" s="14" t="s">
        <v>238</v>
      </c>
      <c r="B670" s="15" t="s">
        <v>239</v>
      </c>
      <c r="C670" s="15" t="s">
        <v>240</v>
      </c>
      <c r="D670" s="14" t="s">
        <v>241</v>
      </c>
      <c r="E670" s="15" t="s">
        <v>168</v>
      </c>
      <c r="F670" s="14" t="s">
        <v>169</v>
      </c>
      <c r="G670" s="15" t="s">
        <v>23</v>
      </c>
      <c r="H670" s="15"/>
      <c r="I670" s="15">
        <v>201406</v>
      </c>
      <c r="J670" s="16">
        <v>-213.78</v>
      </c>
      <c r="K670" s="44">
        <f t="shared" si="54"/>
        <v>41944</v>
      </c>
      <c r="L670" s="45">
        <f t="shared" si="50"/>
        <v>7</v>
      </c>
      <c r="M670" s="17">
        <v>2.3833299999999999E-3</v>
      </c>
      <c r="N670" s="46">
        <f t="shared" si="51"/>
        <v>-3.5665580117999998</v>
      </c>
      <c r="O670" s="16"/>
      <c r="P670" s="48">
        <f t="shared" si="52"/>
        <v>-102.88162500000001</v>
      </c>
      <c r="Q670" s="16"/>
      <c r="R670" s="48">
        <f t="shared" si="53"/>
        <v>-3.8581945500000003</v>
      </c>
    </row>
    <row r="671" spans="1:18">
      <c r="A671" s="14" t="s">
        <v>242</v>
      </c>
      <c r="B671" s="15" t="s">
        <v>243</v>
      </c>
      <c r="C671" s="15" t="s">
        <v>244</v>
      </c>
      <c r="D671" s="14" t="s">
        <v>245</v>
      </c>
      <c r="E671" s="15" t="s">
        <v>246</v>
      </c>
      <c r="F671" s="14" t="s">
        <v>247</v>
      </c>
      <c r="G671" s="15" t="s">
        <v>23</v>
      </c>
      <c r="H671" s="15"/>
      <c r="I671" s="15">
        <v>201406</v>
      </c>
      <c r="J671" s="16">
        <v>-6537.21</v>
      </c>
      <c r="K671" s="44">
        <f t="shared" si="54"/>
        <v>41944</v>
      </c>
      <c r="L671" s="45">
        <f t="shared" si="50"/>
        <v>7</v>
      </c>
      <c r="M671" s="17">
        <v>1.4833299999999999E-3</v>
      </c>
      <c r="N671" s="46">
        <f t="shared" si="51"/>
        <v>-67.877877965099998</v>
      </c>
      <c r="O671" s="16"/>
      <c r="P671" s="48">
        <f t="shared" si="52"/>
        <v>-3146.0323125000004</v>
      </c>
      <c r="Q671" s="16"/>
      <c r="R671" s="48">
        <f t="shared" si="53"/>
        <v>-117.980297475</v>
      </c>
    </row>
    <row r="672" spans="1:18">
      <c r="A672" s="14" t="s">
        <v>17</v>
      </c>
      <c r="B672" s="15" t="s">
        <v>251</v>
      </c>
      <c r="C672" s="15" t="s">
        <v>249</v>
      </c>
      <c r="D672" s="14" t="s">
        <v>250</v>
      </c>
      <c r="E672" s="15" t="s">
        <v>62</v>
      </c>
      <c r="F672" s="14" t="s">
        <v>22</v>
      </c>
      <c r="G672" s="15" t="s">
        <v>23</v>
      </c>
      <c r="H672" s="15"/>
      <c r="I672" s="15">
        <v>201406</v>
      </c>
      <c r="J672" s="16">
        <v>-536.41</v>
      </c>
      <c r="K672" s="44">
        <f t="shared" si="54"/>
        <v>41944</v>
      </c>
      <c r="L672" s="45">
        <f t="shared" si="50"/>
        <v>7</v>
      </c>
      <c r="M672" s="17">
        <v>1.4833299999999999E-3</v>
      </c>
      <c r="N672" s="46">
        <f t="shared" si="51"/>
        <v>-5.5697113170999994</v>
      </c>
      <c r="O672" s="16"/>
      <c r="P672" s="48">
        <f t="shared" si="52"/>
        <v>-258.1473125</v>
      </c>
      <c r="Q672" s="16"/>
      <c r="R672" s="48">
        <f t="shared" si="53"/>
        <v>-9.6808594750000001</v>
      </c>
    </row>
    <row r="673" spans="1:18">
      <c r="A673" s="14" t="s">
        <v>17</v>
      </c>
      <c r="B673" s="15" t="s">
        <v>248</v>
      </c>
      <c r="C673" s="15" t="s">
        <v>249</v>
      </c>
      <c r="D673" s="14" t="s">
        <v>250</v>
      </c>
      <c r="E673" s="15" t="s">
        <v>62</v>
      </c>
      <c r="F673" s="14" t="s">
        <v>22</v>
      </c>
      <c r="G673" s="15" t="s">
        <v>23</v>
      </c>
      <c r="H673" s="15"/>
      <c r="I673" s="15">
        <v>201406</v>
      </c>
      <c r="J673" s="16">
        <v>-0.6</v>
      </c>
      <c r="K673" s="44">
        <f t="shared" si="54"/>
        <v>41944</v>
      </c>
      <c r="L673" s="45">
        <f t="shared" si="50"/>
        <v>7</v>
      </c>
      <c r="M673" s="17">
        <v>1.4833299999999999E-3</v>
      </c>
      <c r="N673" s="46">
        <f t="shared" si="51"/>
        <v>-6.2299859999999999E-3</v>
      </c>
      <c r="O673" s="16"/>
      <c r="P673" s="48">
        <f t="shared" si="52"/>
        <v>-0.28875000000000001</v>
      </c>
      <c r="Q673" s="16"/>
      <c r="R673" s="48">
        <f t="shared" si="53"/>
        <v>-1.08285E-2</v>
      </c>
    </row>
    <row r="674" spans="1:18">
      <c r="A674" s="14" t="s">
        <v>17</v>
      </c>
      <c r="B674" s="15" t="s">
        <v>252</v>
      </c>
      <c r="C674" s="15" t="s">
        <v>253</v>
      </c>
      <c r="D674" s="14" t="s">
        <v>254</v>
      </c>
      <c r="E674" s="15" t="s">
        <v>141</v>
      </c>
      <c r="F674" s="14" t="s">
        <v>142</v>
      </c>
      <c r="G674" s="15" t="s">
        <v>23</v>
      </c>
      <c r="H674" s="15"/>
      <c r="I674" s="15">
        <v>201406</v>
      </c>
      <c r="J674" s="16">
        <v>-304.83</v>
      </c>
      <c r="K674" s="44">
        <f t="shared" si="54"/>
        <v>41944</v>
      </c>
      <c r="L674" s="45">
        <f t="shared" si="50"/>
        <v>7</v>
      </c>
      <c r="M674" s="17">
        <v>1.4833299999999999E-3</v>
      </c>
      <c r="N674" s="46">
        <f t="shared" si="51"/>
        <v>-3.1651443872999998</v>
      </c>
      <c r="O674" s="16"/>
      <c r="P674" s="48">
        <f t="shared" si="52"/>
        <v>-146.69943750000002</v>
      </c>
      <c r="Q674" s="16"/>
      <c r="R674" s="48">
        <f t="shared" si="53"/>
        <v>-5.5014194249999999</v>
      </c>
    </row>
    <row r="675" spans="1:18">
      <c r="A675" s="14" t="s">
        <v>17</v>
      </c>
      <c r="B675" s="15" t="s">
        <v>255</v>
      </c>
      <c r="C675" s="15" t="s">
        <v>256</v>
      </c>
      <c r="D675" s="14" t="s">
        <v>257</v>
      </c>
      <c r="E675" s="15" t="s">
        <v>258</v>
      </c>
      <c r="F675" s="14" t="s">
        <v>259</v>
      </c>
      <c r="G675" s="15" t="s">
        <v>23</v>
      </c>
      <c r="H675" s="15"/>
      <c r="I675" s="15">
        <v>201406</v>
      </c>
      <c r="J675" s="16">
        <v>-6.08</v>
      </c>
      <c r="K675" s="44">
        <f t="shared" si="54"/>
        <v>41944</v>
      </c>
      <c r="L675" s="45">
        <f t="shared" si="50"/>
        <v>7</v>
      </c>
      <c r="M675" s="17">
        <v>1.4833299999999999E-3</v>
      </c>
      <c r="N675" s="46">
        <f t="shared" si="51"/>
        <v>-6.3130524800000004E-2</v>
      </c>
      <c r="O675" s="16"/>
      <c r="P675" s="48">
        <f t="shared" si="52"/>
        <v>-2.9260000000000006</v>
      </c>
      <c r="Q675" s="16"/>
      <c r="R675" s="48">
        <f t="shared" si="53"/>
        <v>-0.1097288</v>
      </c>
    </row>
    <row r="676" spans="1:18">
      <c r="A676" s="14" t="s">
        <v>17</v>
      </c>
      <c r="B676" s="15" t="s">
        <v>260</v>
      </c>
      <c r="C676" s="15" t="s">
        <v>261</v>
      </c>
      <c r="D676" s="14" t="s">
        <v>262</v>
      </c>
      <c r="E676" s="15" t="s">
        <v>258</v>
      </c>
      <c r="F676" s="14" t="s">
        <v>259</v>
      </c>
      <c r="G676" s="15" t="s">
        <v>23</v>
      </c>
      <c r="H676" s="15"/>
      <c r="I676" s="15">
        <v>201406</v>
      </c>
      <c r="J676" s="16">
        <v>-613.86</v>
      </c>
      <c r="K676" s="44">
        <f t="shared" si="54"/>
        <v>41944</v>
      </c>
      <c r="L676" s="45">
        <f t="shared" si="50"/>
        <v>7</v>
      </c>
      <c r="M676" s="17">
        <v>1.4833299999999999E-3</v>
      </c>
      <c r="N676" s="46">
        <f t="shared" si="51"/>
        <v>-6.3738986765999996</v>
      </c>
      <c r="O676" s="16"/>
      <c r="P676" s="48">
        <f t="shared" si="52"/>
        <v>-295.42012500000004</v>
      </c>
      <c r="Q676" s="16"/>
      <c r="R676" s="48">
        <f t="shared" si="53"/>
        <v>-11.07863835</v>
      </c>
    </row>
    <row r="677" spans="1:18">
      <c r="A677" s="14" t="s">
        <v>17</v>
      </c>
      <c r="B677" s="15" t="s">
        <v>263</v>
      </c>
      <c r="C677" s="15" t="s">
        <v>264</v>
      </c>
      <c r="D677" s="14" t="s">
        <v>265</v>
      </c>
      <c r="E677" s="15" t="s">
        <v>62</v>
      </c>
      <c r="F677" s="14" t="s">
        <v>22</v>
      </c>
      <c r="G677" s="15" t="s">
        <v>23</v>
      </c>
      <c r="H677" s="15"/>
      <c r="I677" s="15">
        <v>201406</v>
      </c>
      <c r="J677" s="16">
        <v>-363.2</v>
      </c>
      <c r="K677" s="44">
        <f t="shared" si="54"/>
        <v>41944</v>
      </c>
      <c r="L677" s="45">
        <f t="shared" si="50"/>
        <v>7</v>
      </c>
      <c r="M677" s="17">
        <v>1.4833299999999999E-3</v>
      </c>
      <c r="N677" s="46">
        <f t="shared" si="51"/>
        <v>-3.7712181919999996</v>
      </c>
      <c r="O677" s="16"/>
      <c r="P677" s="48">
        <f t="shared" si="52"/>
        <v>-174.79000000000002</v>
      </c>
      <c r="Q677" s="16"/>
      <c r="R677" s="48">
        <f t="shared" si="53"/>
        <v>-6.5548520000000003</v>
      </c>
    </row>
    <row r="678" spans="1:18">
      <c r="A678" s="14" t="s">
        <v>17</v>
      </c>
      <c r="B678" s="15" t="s">
        <v>266</v>
      </c>
      <c r="C678" s="15" t="s">
        <v>267</v>
      </c>
      <c r="D678" s="14" t="s">
        <v>268</v>
      </c>
      <c r="E678" s="15" t="s">
        <v>104</v>
      </c>
      <c r="F678" s="14" t="s">
        <v>41</v>
      </c>
      <c r="G678" s="15" t="s">
        <v>23</v>
      </c>
      <c r="H678" s="15"/>
      <c r="I678" s="15">
        <v>201406</v>
      </c>
      <c r="J678" s="16">
        <v>-97.24</v>
      </c>
      <c r="K678" s="44">
        <f t="shared" si="54"/>
        <v>41944</v>
      </c>
      <c r="L678" s="45">
        <f t="shared" si="50"/>
        <v>7</v>
      </c>
      <c r="M678" s="17">
        <v>1.4833299999999999E-3</v>
      </c>
      <c r="N678" s="46">
        <f t="shared" si="51"/>
        <v>-1.0096730643999998</v>
      </c>
      <c r="O678" s="16"/>
      <c r="P678" s="48">
        <f t="shared" si="52"/>
        <v>-46.796750000000003</v>
      </c>
      <c r="Q678" s="16"/>
      <c r="R678" s="48">
        <f t="shared" si="53"/>
        <v>-1.7549389</v>
      </c>
    </row>
    <row r="679" spans="1:18">
      <c r="A679" s="14" t="s">
        <v>17</v>
      </c>
      <c r="B679" s="15" t="s">
        <v>269</v>
      </c>
      <c r="C679" s="15" t="s">
        <v>270</v>
      </c>
      <c r="D679" s="14" t="s">
        <v>271</v>
      </c>
      <c r="E679" s="15" t="s">
        <v>62</v>
      </c>
      <c r="F679" s="14" t="s">
        <v>22</v>
      </c>
      <c r="G679" s="15" t="s">
        <v>23</v>
      </c>
      <c r="H679" s="15"/>
      <c r="I679" s="15">
        <v>201406</v>
      </c>
      <c r="J679" s="16">
        <v>-538.22</v>
      </c>
      <c r="K679" s="44">
        <f t="shared" si="54"/>
        <v>41944</v>
      </c>
      <c r="L679" s="45">
        <f t="shared" si="50"/>
        <v>7</v>
      </c>
      <c r="M679" s="17">
        <v>1.4833299999999999E-3</v>
      </c>
      <c r="N679" s="46">
        <f t="shared" si="51"/>
        <v>-5.5885051082000006</v>
      </c>
      <c r="O679" s="16"/>
      <c r="P679" s="48">
        <f t="shared" si="52"/>
        <v>-259.01837500000005</v>
      </c>
      <c r="Q679" s="16"/>
      <c r="R679" s="48">
        <f t="shared" si="53"/>
        <v>-9.7135254500000006</v>
      </c>
    </row>
    <row r="680" spans="1:18">
      <c r="A680" s="14" t="s">
        <v>17</v>
      </c>
      <c r="B680" s="15" t="s">
        <v>272</v>
      </c>
      <c r="C680" s="15" t="s">
        <v>273</v>
      </c>
      <c r="D680" s="14" t="s">
        <v>274</v>
      </c>
      <c r="E680" s="15" t="s">
        <v>36</v>
      </c>
      <c r="F680" s="14" t="s">
        <v>22</v>
      </c>
      <c r="G680" s="15" t="s">
        <v>23</v>
      </c>
      <c r="H680" s="15"/>
      <c r="I680" s="15">
        <v>201406</v>
      </c>
      <c r="J680" s="16">
        <v>-1426.61</v>
      </c>
      <c r="K680" s="44">
        <f t="shared" si="54"/>
        <v>41944</v>
      </c>
      <c r="L680" s="45">
        <f t="shared" si="50"/>
        <v>7</v>
      </c>
      <c r="M680" s="17">
        <v>1.4833299999999999E-3</v>
      </c>
      <c r="N680" s="46">
        <f t="shared" si="51"/>
        <v>-14.812933879099999</v>
      </c>
      <c r="O680" s="16"/>
      <c r="P680" s="48">
        <f t="shared" si="52"/>
        <v>-686.55606250000005</v>
      </c>
      <c r="Q680" s="16"/>
      <c r="R680" s="48">
        <f t="shared" si="53"/>
        <v>-25.746743975000001</v>
      </c>
    </row>
    <row r="681" spans="1:18">
      <c r="A681" s="14" t="s">
        <v>17</v>
      </c>
      <c r="B681" s="15" t="s">
        <v>275</v>
      </c>
      <c r="C681" s="15" t="s">
        <v>276</v>
      </c>
      <c r="D681" s="14" t="s">
        <v>277</v>
      </c>
      <c r="E681" s="15" t="s">
        <v>40</v>
      </c>
      <c r="F681" s="14" t="s">
        <v>41</v>
      </c>
      <c r="G681" s="15" t="s">
        <v>23</v>
      </c>
      <c r="H681" s="15"/>
      <c r="I681" s="15">
        <v>201406</v>
      </c>
      <c r="J681" s="16">
        <v>-691.17</v>
      </c>
      <c r="K681" s="44">
        <f t="shared" si="54"/>
        <v>41944</v>
      </c>
      <c r="L681" s="45">
        <f t="shared" si="50"/>
        <v>7</v>
      </c>
      <c r="M681" s="17">
        <v>1.4833299999999999E-3</v>
      </c>
      <c r="N681" s="46">
        <f t="shared" si="51"/>
        <v>-7.1766323726999994</v>
      </c>
      <c r="O681" s="16"/>
      <c r="P681" s="48">
        <f t="shared" si="52"/>
        <v>-332.6255625</v>
      </c>
      <c r="Q681" s="16"/>
      <c r="R681" s="48">
        <f t="shared" si="53"/>
        <v>-12.473890575</v>
      </c>
    </row>
    <row r="682" spans="1:18">
      <c r="A682" s="14" t="s">
        <v>17</v>
      </c>
      <c r="B682" s="15" t="s">
        <v>287</v>
      </c>
      <c r="C682" s="15" t="s">
        <v>288</v>
      </c>
      <c r="D682" s="14" t="s">
        <v>289</v>
      </c>
      <c r="E682" s="15" t="s">
        <v>21</v>
      </c>
      <c r="F682" s="14" t="s">
        <v>22</v>
      </c>
      <c r="G682" s="15" t="s">
        <v>23</v>
      </c>
      <c r="H682" s="15"/>
      <c r="I682" s="15">
        <v>201406</v>
      </c>
      <c r="J682" s="16">
        <v>2988.12</v>
      </c>
      <c r="K682" s="44">
        <f t="shared" si="54"/>
        <v>41944</v>
      </c>
      <c r="L682" s="45">
        <f t="shared" si="50"/>
        <v>7</v>
      </c>
      <c r="M682" s="17">
        <v>1.4833299999999999E-3</v>
      </c>
      <c r="N682" s="46">
        <f t="shared" si="51"/>
        <v>31.026576277199997</v>
      </c>
      <c r="O682" s="16"/>
      <c r="P682" s="48">
        <f t="shared" si="52"/>
        <v>1438.0327500000001</v>
      </c>
      <c r="Q682" s="16"/>
      <c r="R682" s="48">
        <f t="shared" si="53"/>
        <v>53.9280957</v>
      </c>
    </row>
    <row r="683" spans="1:18">
      <c r="A683" s="14" t="s">
        <v>17</v>
      </c>
      <c r="B683" s="15" t="s">
        <v>290</v>
      </c>
      <c r="C683" s="15" t="s">
        <v>291</v>
      </c>
      <c r="D683" s="14" t="s">
        <v>292</v>
      </c>
      <c r="E683" s="15" t="s">
        <v>62</v>
      </c>
      <c r="F683" s="14" t="s">
        <v>22</v>
      </c>
      <c r="G683" s="15" t="s">
        <v>23</v>
      </c>
      <c r="H683" s="15"/>
      <c r="I683" s="15">
        <v>201406</v>
      </c>
      <c r="J683" s="16">
        <v>-124.33</v>
      </c>
      <c r="K683" s="44">
        <f t="shared" si="54"/>
        <v>41944</v>
      </c>
      <c r="L683" s="45">
        <f t="shared" si="50"/>
        <v>7</v>
      </c>
      <c r="M683" s="17">
        <v>1.4833299999999999E-3</v>
      </c>
      <c r="N683" s="46">
        <f t="shared" si="51"/>
        <v>-1.2909569322999999</v>
      </c>
      <c r="O683" s="16"/>
      <c r="P683" s="48">
        <f t="shared" si="52"/>
        <v>-59.833812500000008</v>
      </c>
      <c r="Q683" s="16"/>
      <c r="R683" s="48">
        <f t="shared" si="53"/>
        <v>-2.2438456750000002</v>
      </c>
    </row>
    <row r="684" spans="1:18">
      <c r="A684" s="14" t="s">
        <v>17</v>
      </c>
      <c r="B684" s="15" t="s">
        <v>293</v>
      </c>
      <c r="C684" s="15" t="s">
        <v>294</v>
      </c>
      <c r="D684" s="14" t="s">
        <v>295</v>
      </c>
      <c r="E684" s="15" t="s">
        <v>296</v>
      </c>
      <c r="F684" s="14" t="s">
        <v>28</v>
      </c>
      <c r="G684" s="15" t="s">
        <v>23</v>
      </c>
      <c r="H684" s="15"/>
      <c r="I684" s="15">
        <v>201406</v>
      </c>
      <c r="J684" s="16">
        <v>-139.03</v>
      </c>
      <c r="K684" s="44">
        <f t="shared" si="54"/>
        <v>41944</v>
      </c>
      <c r="L684" s="45">
        <f t="shared" si="50"/>
        <v>7</v>
      </c>
      <c r="M684" s="17">
        <v>1.4833299999999999E-3</v>
      </c>
      <c r="N684" s="46">
        <f t="shared" si="51"/>
        <v>-1.4435915893</v>
      </c>
      <c r="O684" s="16"/>
      <c r="P684" s="48">
        <f t="shared" si="52"/>
        <v>-66.908187500000011</v>
      </c>
      <c r="Q684" s="16"/>
      <c r="R684" s="48">
        <f t="shared" si="53"/>
        <v>-2.5091439250000001</v>
      </c>
    </row>
    <row r="685" spans="1:18">
      <c r="A685" s="14" t="s">
        <v>17</v>
      </c>
      <c r="B685" s="15" t="s">
        <v>297</v>
      </c>
      <c r="C685" s="15" t="s">
        <v>298</v>
      </c>
      <c r="D685" s="14" t="s">
        <v>299</v>
      </c>
      <c r="E685" s="15" t="s">
        <v>21</v>
      </c>
      <c r="F685" s="14" t="s">
        <v>22</v>
      </c>
      <c r="G685" s="15" t="s">
        <v>23</v>
      </c>
      <c r="H685" s="15"/>
      <c r="I685" s="15">
        <v>201406</v>
      </c>
      <c r="J685" s="16">
        <v>-1237.76</v>
      </c>
      <c r="K685" s="44">
        <f t="shared" si="54"/>
        <v>41944</v>
      </c>
      <c r="L685" s="45">
        <f t="shared" si="50"/>
        <v>7</v>
      </c>
      <c r="M685" s="17">
        <v>1.4833299999999999E-3</v>
      </c>
      <c r="N685" s="46">
        <f t="shared" si="51"/>
        <v>-12.8520457856</v>
      </c>
      <c r="O685" s="16"/>
      <c r="P685" s="48">
        <f t="shared" si="52"/>
        <v>-595.67200000000003</v>
      </c>
      <c r="Q685" s="16"/>
      <c r="R685" s="48">
        <f t="shared" si="53"/>
        <v>-22.3384736</v>
      </c>
    </row>
    <row r="686" spans="1:18">
      <c r="A686" s="14" t="s">
        <v>17</v>
      </c>
      <c r="B686" s="15" t="s">
        <v>300</v>
      </c>
      <c r="C686" s="15" t="s">
        <v>301</v>
      </c>
      <c r="D686" s="14" t="s">
        <v>302</v>
      </c>
      <c r="E686" s="15" t="s">
        <v>141</v>
      </c>
      <c r="F686" s="14" t="s">
        <v>142</v>
      </c>
      <c r="G686" s="15" t="s">
        <v>23</v>
      </c>
      <c r="H686" s="15"/>
      <c r="I686" s="15">
        <v>201406</v>
      </c>
      <c r="J686" s="16">
        <v>-511.96</v>
      </c>
      <c r="K686" s="44">
        <f t="shared" si="54"/>
        <v>41944</v>
      </c>
      <c r="L686" s="45">
        <f t="shared" si="50"/>
        <v>7</v>
      </c>
      <c r="M686" s="17">
        <v>1.4833299999999999E-3</v>
      </c>
      <c r="N686" s="46">
        <f t="shared" si="51"/>
        <v>-5.3158393875999996</v>
      </c>
      <c r="O686" s="16"/>
      <c r="P686" s="48">
        <f t="shared" si="52"/>
        <v>-246.38075000000003</v>
      </c>
      <c r="Q686" s="16"/>
      <c r="R686" s="48">
        <f t="shared" si="53"/>
        <v>-9.2395981000000003</v>
      </c>
    </row>
    <row r="687" spans="1:18">
      <c r="A687" s="14" t="s">
        <v>54</v>
      </c>
      <c r="B687" s="15" t="s">
        <v>303</v>
      </c>
      <c r="C687" s="15" t="s">
        <v>304</v>
      </c>
      <c r="D687" s="14" t="s">
        <v>305</v>
      </c>
      <c r="E687" s="15" t="s">
        <v>104</v>
      </c>
      <c r="F687" s="14" t="s">
        <v>41</v>
      </c>
      <c r="G687" s="15" t="s">
        <v>23</v>
      </c>
      <c r="H687" s="15"/>
      <c r="I687" s="15">
        <v>201406</v>
      </c>
      <c r="J687" s="16">
        <v>5477.29</v>
      </c>
      <c r="K687" s="44">
        <f t="shared" si="54"/>
        <v>41944</v>
      </c>
      <c r="L687" s="45">
        <f t="shared" si="50"/>
        <v>7</v>
      </c>
      <c r="M687" s="17">
        <v>1.4833299999999999E-3</v>
      </c>
      <c r="N687" s="46">
        <f t="shared" si="51"/>
        <v>56.8724000299</v>
      </c>
      <c r="O687" s="16"/>
      <c r="P687" s="48">
        <f t="shared" si="52"/>
        <v>2635.9458125000006</v>
      </c>
      <c r="Q687" s="16"/>
      <c r="R687" s="48">
        <f t="shared" si="53"/>
        <v>98.851391275000012</v>
      </c>
    </row>
    <row r="688" spans="1:18">
      <c r="A688" s="14" t="s">
        <v>54</v>
      </c>
      <c r="B688" s="15" t="s">
        <v>306</v>
      </c>
      <c r="C688" s="15" t="s">
        <v>307</v>
      </c>
      <c r="D688" s="14" t="s">
        <v>308</v>
      </c>
      <c r="E688" s="15" t="s">
        <v>36</v>
      </c>
      <c r="F688" s="14" t="s">
        <v>22</v>
      </c>
      <c r="G688" s="15" t="s">
        <v>23</v>
      </c>
      <c r="H688" s="15"/>
      <c r="I688" s="15">
        <v>201406</v>
      </c>
      <c r="J688" s="16">
        <v>409.9</v>
      </c>
      <c r="K688" s="44">
        <f t="shared" si="54"/>
        <v>41944</v>
      </c>
      <c r="L688" s="45">
        <f t="shared" si="50"/>
        <v>7</v>
      </c>
      <c r="M688" s="17">
        <v>1.4833299999999999E-3</v>
      </c>
      <c r="N688" s="46">
        <f t="shared" si="51"/>
        <v>4.2561187689999995</v>
      </c>
      <c r="O688" s="16"/>
      <c r="P688" s="48">
        <f t="shared" si="52"/>
        <v>197.26437500000003</v>
      </c>
      <c r="Q688" s="16"/>
      <c r="R688" s="48">
        <f t="shared" si="53"/>
        <v>7.39767025</v>
      </c>
    </row>
    <row r="689" spans="1:18">
      <c r="A689" s="14" t="s">
        <v>17</v>
      </c>
      <c r="B689" s="15" t="s">
        <v>312</v>
      </c>
      <c r="C689" s="15" t="s">
        <v>313</v>
      </c>
      <c r="D689" s="14" t="s">
        <v>314</v>
      </c>
      <c r="E689" s="15" t="s">
        <v>176</v>
      </c>
      <c r="F689" s="14" t="s">
        <v>28</v>
      </c>
      <c r="G689" s="15" t="s">
        <v>23</v>
      </c>
      <c r="H689" s="15"/>
      <c r="I689" s="15">
        <v>201406</v>
      </c>
      <c r="J689" s="16">
        <v>-203.96</v>
      </c>
      <c r="K689" s="44">
        <f t="shared" si="54"/>
        <v>41944</v>
      </c>
      <c r="L689" s="45">
        <f t="shared" si="50"/>
        <v>7</v>
      </c>
      <c r="M689" s="17">
        <v>1.4833299999999999E-3</v>
      </c>
      <c r="N689" s="46">
        <f t="shared" si="51"/>
        <v>-2.1177799076000001</v>
      </c>
      <c r="O689" s="16"/>
      <c r="P689" s="48">
        <f t="shared" si="52"/>
        <v>-98.155750000000012</v>
      </c>
      <c r="Q689" s="16"/>
      <c r="R689" s="48">
        <f t="shared" si="53"/>
        <v>-3.6809681000000003</v>
      </c>
    </row>
    <row r="690" spans="1:18">
      <c r="A690" s="14" t="s">
        <v>17</v>
      </c>
      <c r="B690" s="15" t="s">
        <v>315</v>
      </c>
      <c r="C690" s="15" t="s">
        <v>316</v>
      </c>
      <c r="D690" s="14" t="s">
        <v>317</v>
      </c>
      <c r="E690" s="15" t="s">
        <v>141</v>
      </c>
      <c r="F690" s="14" t="s">
        <v>142</v>
      </c>
      <c r="G690" s="15" t="s">
        <v>23</v>
      </c>
      <c r="H690" s="15"/>
      <c r="I690" s="15">
        <v>201406</v>
      </c>
      <c r="J690" s="16">
        <v>605.84</v>
      </c>
      <c r="K690" s="44">
        <f t="shared" si="54"/>
        <v>41944</v>
      </c>
      <c r="L690" s="45">
        <f t="shared" si="50"/>
        <v>7</v>
      </c>
      <c r="M690" s="17">
        <v>1.4833299999999999E-3</v>
      </c>
      <c r="N690" s="46">
        <f t="shared" si="51"/>
        <v>6.2906245304000006</v>
      </c>
      <c r="O690" s="16"/>
      <c r="P690" s="48">
        <f t="shared" si="52"/>
        <v>291.56050000000005</v>
      </c>
      <c r="Q690" s="16"/>
      <c r="R690" s="48">
        <f t="shared" si="53"/>
        <v>10.933897400000001</v>
      </c>
    </row>
    <row r="691" spans="1:18">
      <c r="A691" s="14" t="s">
        <v>17</v>
      </c>
      <c r="B691" s="15" t="s">
        <v>318</v>
      </c>
      <c r="C691" s="15" t="s">
        <v>319</v>
      </c>
      <c r="D691" s="14" t="s">
        <v>320</v>
      </c>
      <c r="E691" s="15" t="s">
        <v>141</v>
      </c>
      <c r="F691" s="14" t="s">
        <v>142</v>
      </c>
      <c r="G691" s="15" t="s">
        <v>23</v>
      </c>
      <c r="H691" s="15"/>
      <c r="I691" s="15">
        <v>201406</v>
      </c>
      <c r="J691" s="16">
        <v>-539.29999999999995</v>
      </c>
      <c r="K691" s="44">
        <f t="shared" si="54"/>
        <v>41944</v>
      </c>
      <c r="L691" s="45">
        <f t="shared" si="50"/>
        <v>7</v>
      </c>
      <c r="M691" s="17">
        <v>1.4833299999999999E-3</v>
      </c>
      <c r="N691" s="46">
        <f t="shared" si="51"/>
        <v>-5.5997190829999992</v>
      </c>
      <c r="O691" s="16"/>
      <c r="P691" s="48">
        <f t="shared" si="52"/>
        <v>-259.53812500000004</v>
      </c>
      <c r="Q691" s="16"/>
      <c r="R691" s="48">
        <f t="shared" si="53"/>
        <v>-9.7330167499999991</v>
      </c>
    </row>
    <row r="692" spans="1:18">
      <c r="A692" s="14" t="s">
        <v>17</v>
      </c>
      <c r="B692" s="15" t="s">
        <v>321</v>
      </c>
      <c r="C692" s="15" t="s">
        <v>322</v>
      </c>
      <c r="D692" s="14" t="s">
        <v>323</v>
      </c>
      <c r="E692" s="15" t="s">
        <v>324</v>
      </c>
      <c r="F692" s="14" t="s">
        <v>325</v>
      </c>
      <c r="G692" s="15" t="s">
        <v>23</v>
      </c>
      <c r="H692" s="15"/>
      <c r="I692" s="15">
        <v>201406</v>
      </c>
      <c r="J692" s="16">
        <v>-691.67</v>
      </c>
      <c r="K692" s="44">
        <f t="shared" si="54"/>
        <v>41944</v>
      </c>
      <c r="L692" s="45">
        <f t="shared" si="50"/>
        <v>7</v>
      </c>
      <c r="M692" s="17">
        <v>1.4833299999999999E-3</v>
      </c>
      <c r="N692" s="46">
        <f t="shared" si="51"/>
        <v>-7.1818240276999994</v>
      </c>
      <c r="O692" s="16"/>
      <c r="P692" s="48">
        <f t="shared" si="52"/>
        <v>-332.86618750000002</v>
      </c>
      <c r="Q692" s="16"/>
      <c r="R692" s="48">
        <f t="shared" si="53"/>
        <v>-12.482914324999999</v>
      </c>
    </row>
    <row r="693" spans="1:18">
      <c r="A693" s="14" t="s">
        <v>17</v>
      </c>
      <c r="B693" s="15" t="s">
        <v>326</v>
      </c>
      <c r="C693" s="15" t="s">
        <v>327</v>
      </c>
      <c r="D693" s="14" t="s">
        <v>328</v>
      </c>
      <c r="E693" s="15" t="s">
        <v>32</v>
      </c>
      <c r="F693" s="14" t="s">
        <v>22</v>
      </c>
      <c r="G693" s="15" t="s">
        <v>23</v>
      </c>
      <c r="H693" s="15"/>
      <c r="I693" s="15">
        <v>201406</v>
      </c>
      <c r="J693" s="16">
        <v>-1110.3499999999999</v>
      </c>
      <c r="K693" s="44">
        <f t="shared" si="54"/>
        <v>41944</v>
      </c>
      <c r="L693" s="45">
        <f t="shared" si="50"/>
        <v>7</v>
      </c>
      <c r="M693" s="17">
        <v>1.4833299999999999E-3</v>
      </c>
      <c r="N693" s="46">
        <f t="shared" si="51"/>
        <v>-11.529108258499999</v>
      </c>
      <c r="O693" s="16"/>
      <c r="P693" s="48">
        <f t="shared" si="52"/>
        <v>-534.35593749999998</v>
      </c>
      <c r="Q693" s="16"/>
      <c r="R693" s="48">
        <f t="shared" si="53"/>
        <v>-20.039041624999999</v>
      </c>
    </row>
    <row r="694" spans="1:18">
      <c r="A694" s="14" t="s">
        <v>17</v>
      </c>
      <c r="B694" s="15" t="s">
        <v>329</v>
      </c>
      <c r="C694" s="15" t="s">
        <v>330</v>
      </c>
      <c r="D694" s="14" t="s">
        <v>331</v>
      </c>
      <c r="E694" s="15" t="s">
        <v>108</v>
      </c>
      <c r="F694" s="14" t="s">
        <v>28</v>
      </c>
      <c r="G694" s="15" t="s">
        <v>23</v>
      </c>
      <c r="H694" s="15"/>
      <c r="I694" s="15">
        <v>201406</v>
      </c>
      <c r="J694" s="16">
        <v>-978.84</v>
      </c>
      <c r="K694" s="44">
        <f t="shared" si="54"/>
        <v>41944</v>
      </c>
      <c r="L694" s="45">
        <f t="shared" si="50"/>
        <v>7</v>
      </c>
      <c r="M694" s="17">
        <v>1.4833299999999999E-3</v>
      </c>
      <c r="N694" s="46">
        <f t="shared" si="51"/>
        <v>-10.1635991604</v>
      </c>
      <c r="O694" s="16"/>
      <c r="P694" s="48">
        <f t="shared" si="52"/>
        <v>-471.06675000000007</v>
      </c>
      <c r="Q694" s="16"/>
      <c r="R694" s="48">
        <f t="shared" si="53"/>
        <v>-17.665614900000001</v>
      </c>
    </row>
    <row r="695" spans="1:18">
      <c r="A695" s="14" t="s">
        <v>17</v>
      </c>
      <c r="B695" s="15" t="s">
        <v>332</v>
      </c>
      <c r="C695" s="15" t="s">
        <v>333</v>
      </c>
      <c r="D695" s="14" t="s">
        <v>334</v>
      </c>
      <c r="E695" s="15" t="s">
        <v>36</v>
      </c>
      <c r="F695" s="14" t="s">
        <v>22</v>
      </c>
      <c r="G695" s="15" t="s">
        <v>23</v>
      </c>
      <c r="H695" s="15"/>
      <c r="I695" s="15">
        <v>201406</v>
      </c>
      <c r="J695" s="16">
        <v>-1045.72</v>
      </c>
      <c r="K695" s="44">
        <f t="shared" si="54"/>
        <v>41944</v>
      </c>
      <c r="L695" s="45">
        <f t="shared" si="50"/>
        <v>7</v>
      </c>
      <c r="M695" s="17">
        <v>1.4833299999999999E-3</v>
      </c>
      <c r="N695" s="46">
        <f t="shared" si="51"/>
        <v>-10.858034933200001</v>
      </c>
      <c r="O695" s="16"/>
      <c r="P695" s="48">
        <f t="shared" si="52"/>
        <v>-503.25275000000011</v>
      </c>
      <c r="Q695" s="16"/>
      <c r="R695" s="48">
        <f t="shared" si="53"/>
        <v>-18.872631700000003</v>
      </c>
    </row>
    <row r="696" spans="1:18">
      <c r="A696" s="14" t="s">
        <v>17</v>
      </c>
      <c r="B696" s="15" t="s">
        <v>335</v>
      </c>
      <c r="C696" s="15" t="s">
        <v>336</v>
      </c>
      <c r="D696" s="14" t="s">
        <v>337</v>
      </c>
      <c r="E696" s="15" t="s">
        <v>62</v>
      </c>
      <c r="F696" s="14" t="s">
        <v>22</v>
      </c>
      <c r="G696" s="15" t="s">
        <v>23</v>
      </c>
      <c r="H696" s="15"/>
      <c r="I696" s="15">
        <v>201406</v>
      </c>
      <c r="J696" s="16">
        <v>-1163.1099999999999</v>
      </c>
      <c r="K696" s="44">
        <f t="shared" si="54"/>
        <v>41944</v>
      </c>
      <c r="L696" s="45">
        <f t="shared" si="50"/>
        <v>7</v>
      </c>
      <c r="M696" s="17">
        <v>1.4833299999999999E-3</v>
      </c>
      <c r="N696" s="46">
        <f t="shared" si="51"/>
        <v>-12.076931694099999</v>
      </c>
      <c r="O696" s="16"/>
      <c r="P696" s="48">
        <f t="shared" si="52"/>
        <v>-559.74668750000001</v>
      </c>
      <c r="Q696" s="16"/>
      <c r="R696" s="48">
        <f t="shared" si="53"/>
        <v>-20.991227724999998</v>
      </c>
    </row>
    <row r="697" spans="1:18">
      <c r="A697" s="14" t="s">
        <v>17</v>
      </c>
      <c r="B697" s="15" t="s">
        <v>338</v>
      </c>
      <c r="C697" s="15" t="s">
        <v>339</v>
      </c>
      <c r="D697" s="14" t="s">
        <v>340</v>
      </c>
      <c r="E697" s="15" t="s">
        <v>62</v>
      </c>
      <c r="F697" s="14" t="s">
        <v>22</v>
      </c>
      <c r="G697" s="15" t="s">
        <v>23</v>
      </c>
      <c r="H697" s="15"/>
      <c r="I697" s="15">
        <v>201406</v>
      </c>
      <c r="J697" s="16">
        <v>2034.63</v>
      </c>
      <c r="K697" s="44">
        <f t="shared" si="54"/>
        <v>41944</v>
      </c>
      <c r="L697" s="45">
        <f t="shared" si="50"/>
        <v>7</v>
      </c>
      <c r="M697" s="17">
        <v>1.4833299999999999E-3</v>
      </c>
      <c r="N697" s="46">
        <f t="shared" si="51"/>
        <v>21.126194025300002</v>
      </c>
      <c r="O697" s="16"/>
      <c r="P697" s="48">
        <f t="shared" si="52"/>
        <v>979.16568750000022</v>
      </c>
      <c r="Q697" s="16"/>
      <c r="R697" s="48">
        <f t="shared" si="53"/>
        <v>36.719984925000006</v>
      </c>
    </row>
    <row r="698" spans="1:18">
      <c r="A698" s="14" t="s">
        <v>17</v>
      </c>
      <c r="B698" s="15" t="s">
        <v>344</v>
      </c>
      <c r="C698" s="15" t="s">
        <v>345</v>
      </c>
      <c r="D698" s="14" t="s">
        <v>346</v>
      </c>
      <c r="E698" s="15" t="s">
        <v>53</v>
      </c>
      <c r="F698" s="14" t="s">
        <v>41</v>
      </c>
      <c r="G698" s="15" t="s">
        <v>23</v>
      </c>
      <c r="H698" s="15"/>
      <c r="I698" s="15">
        <v>201406</v>
      </c>
      <c r="J698" s="16">
        <v>-1299.97</v>
      </c>
      <c r="K698" s="44">
        <f t="shared" si="54"/>
        <v>41944</v>
      </c>
      <c r="L698" s="45">
        <f t="shared" si="50"/>
        <v>7</v>
      </c>
      <c r="M698" s="17">
        <v>1.4833299999999999E-3</v>
      </c>
      <c r="N698" s="46">
        <f t="shared" si="51"/>
        <v>-13.4979915007</v>
      </c>
      <c r="O698" s="16"/>
      <c r="P698" s="48">
        <f t="shared" si="52"/>
        <v>-625.61056250000013</v>
      </c>
      <c r="Q698" s="16"/>
      <c r="R698" s="48">
        <f t="shared" si="53"/>
        <v>-23.461208575000001</v>
      </c>
    </row>
    <row r="699" spans="1:18">
      <c r="A699" s="14" t="s">
        <v>17</v>
      </c>
      <c r="B699" s="15" t="s">
        <v>347</v>
      </c>
      <c r="C699" s="15" t="s">
        <v>348</v>
      </c>
      <c r="D699" s="14" t="s">
        <v>349</v>
      </c>
      <c r="E699" s="15" t="s">
        <v>324</v>
      </c>
      <c r="F699" s="14" t="s">
        <v>325</v>
      </c>
      <c r="G699" s="15" t="s">
        <v>23</v>
      </c>
      <c r="H699" s="15"/>
      <c r="I699" s="15">
        <v>201406</v>
      </c>
      <c r="J699" s="16">
        <v>-116.9</v>
      </c>
      <c r="K699" s="44">
        <f t="shared" si="54"/>
        <v>41944</v>
      </c>
      <c r="L699" s="45">
        <f t="shared" si="50"/>
        <v>7</v>
      </c>
      <c r="M699" s="17">
        <v>1.4833299999999999E-3</v>
      </c>
      <c r="N699" s="46">
        <f t="shared" si="51"/>
        <v>-1.213808939</v>
      </c>
      <c r="O699" s="16"/>
      <c r="P699" s="48">
        <f t="shared" si="52"/>
        <v>-56.258125000000014</v>
      </c>
      <c r="Q699" s="16"/>
      <c r="R699" s="48">
        <f t="shared" si="53"/>
        <v>-2.1097527500000002</v>
      </c>
    </row>
    <row r="700" spans="1:18">
      <c r="A700" s="14" t="s">
        <v>17</v>
      </c>
      <c r="B700" s="15" t="s">
        <v>350</v>
      </c>
      <c r="C700" s="15" t="s">
        <v>351</v>
      </c>
      <c r="D700" s="14" t="s">
        <v>352</v>
      </c>
      <c r="E700" s="15" t="s">
        <v>108</v>
      </c>
      <c r="F700" s="14" t="s">
        <v>28</v>
      </c>
      <c r="G700" s="15" t="s">
        <v>23</v>
      </c>
      <c r="H700" s="15"/>
      <c r="I700" s="15">
        <v>201406</v>
      </c>
      <c r="J700" s="16">
        <v>-532.37</v>
      </c>
      <c r="K700" s="44">
        <f t="shared" si="54"/>
        <v>41944</v>
      </c>
      <c r="L700" s="45">
        <f t="shared" si="50"/>
        <v>7</v>
      </c>
      <c r="M700" s="17">
        <v>1.4833299999999999E-3</v>
      </c>
      <c r="N700" s="46">
        <f t="shared" si="51"/>
        <v>-5.5277627446999995</v>
      </c>
      <c r="O700" s="16"/>
      <c r="P700" s="48">
        <f t="shared" si="52"/>
        <v>-256.20306250000004</v>
      </c>
      <c r="Q700" s="16"/>
      <c r="R700" s="48">
        <f t="shared" si="53"/>
        <v>-9.6079475750000007</v>
      </c>
    </row>
    <row r="701" spans="1:18">
      <c r="A701" s="14" t="s">
        <v>17</v>
      </c>
      <c r="B701" s="15" t="s">
        <v>353</v>
      </c>
      <c r="C701" s="15" t="s">
        <v>354</v>
      </c>
      <c r="D701" s="14" t="s">
        <v>355</v>
      </c>
      <c r="E701" s="15" t="s">
        <v>62</v>
      </c>
      <c r="F701" s="14" t="s">
        <v>22</v>
      </c>
      <c r="G701" s="15" t="s">
        <v>23</v>
      </c>
      <c r="H701" s="15"/>
      <c r="I701" s="15">
        <v>201406</v>
      </c>
      <c r="J701" s="16">
        <v>-901.82</v>
      </c>
      <c r="K701" s="44">
        <f t="shared" si="54"/>
        <v>41944</v>
      </c>
      <c r="L701" s="45">
        <f t="shared" si="50"/>
        <v>7</v>
      </c>
      <c r="M701" s="17">
        <v>1.4833299999999999E-3</v>
      </c>
      <c r="N701" s="46">
        <f t="shared" si="51"/>
        <v>-9.3638766241999996</v>
      </c>
      <c r="O701" s="16"/>
      <c r="P701" s="48">
        <f t="shared" si="52"/>
        <v>-434.00087500000006</v>
      </c>
      <c r="Q701" s="16"/>
      <c r="R701" s="48">
        <f t="shared" si="53"/>
        <v>-16.275596450000002</v>
      </c>
    </row>
    <row r="702" spans="1:18">
      <c r="A702" s="14" t="s">
        <v>238</v>
      </c>
      <c r="B702" s="15" t="s">
        <v>356</v>
      </c>
      <c r="C702" s="15" t="s">
        <v>357</v>
      </c>
      <c r="D702" s="14" t="s">
        <v>358</v>
      </c>
      <c r="E702" s="15" t="s">
        <v>168</v>
      </c>
      <c r="F702" s="14" t="s">
        <v>169</v>
      </c>
      <c r="G702" s="15" t="s">
        <v>23</v>
      </c>
      <c r="H702" s="15"/>
      <c r="I702" s="15">
        <v>201406</v>
      </c>
      <c r="J702" s="16">
        <v>2219.9899999999998</v>
      </c>
      <c r="K702" s="44">
        <f t="shared" si="54"/>
        <v>41944</v>
      </c>
      <c r="L702" s="45">
        <f t="shared" si="50"/>
        <v>7</v>
      </c>
      <c r="M702" s="17">
        <v>2.3833299999999999E-3</v>
      </c>
      <c r="N702" s="46">
        <f t="shared" si="51"/>
        <v>37.036781366899994</v>
      </c>
      <c r="O702" s="16"/>
      <c r="P702" s="48">
        <f t="shared" si="52"/>
        <v>1068.3701875000002</v>
      </c>
      <c r="Q702" s="16"/>
      <c r="R702" s="48">
        <f t="shared" si="53"/>
        <v>40.065269524999998</v>
      </c>
    </row>
    <row r="703" spans="1:18">
      <c r="A703" s="14" t="s">
        <v>54</v>
      </c>
      <c r="B703" s="15" t="s">
        <v>359</v>
      </c>
      <c r="C703" s="15" t="s">
        <v>360</v>
      </c>
      <c r="D703" s="14" t="s">
        <v>361</v>
      </c>
      <c r="E703" s="15" t="s">
        <v>362</v>
      </c>
      <c r="F703" s="14" t="s">
        <v>41</v>
      </c>
      <c r="G703" s="15" t="s">
        <v>23</v>
      </c>
      <c r="H703" s="15"/>
      <c r="I703" s="15">
        <v>201406</v>
      </c>
      <c r="J703" s="16">
        <v>126394.94</v>
      </c>
      <c r="K703" s="44">
        <f t="shared" si="54"/>
        <v>41944</v>
      </c>
      <c r="L703" s="45">
        <f t="shared" si="50"/>
        <v>7</v>
      </c>
      <c r="M703" s="17">
        <v>1.4833299999999999E-3</v>
      </c>
      <c r="N703" s="46">
        <f t="shared" si="51"/>
        <v>1312.3978444514</v>
      </c>
      <c r="O703" s="16"/>
      <c r="P703" s="48">
        <f t="shared" si="52"/>
        <v>60827.564875000011</v>
      </c>
      <c r="Q703" s="16"/>
      <c r="R703" s="48">
        <f t="shared" si="53"/>
        <v>2281.1126796500002</v>
      </c>
    </row>
    <row r="704" spans="1:18">
      <c r="A704" s="14" t="s">
        <v>17</v>
      </c>
      <c r="B704" s="15" t="s">
        <v>363</v>
      </c>
      <c r="C704" s="15" t="s">
        <v>364</v>
      </c>
      <c r="D704" s="14" t="s">
        <v>365</v>
      </c>
      <c r="E704" s="15" t="s">
        <v>21</v>
      </c>
      <c r="F704" s="14" t="s">
        <v>22</v>
      </c>
      <c r="G704" s="15" t="s">
        <v>23</v>
      </c>
      <c r="H704" s="15"/>
      <c r="I704" s="15">
        <v>201406</v>
      </c>
      <c r="J704" s="16">
        <v>-810.24</v>
      </c>
      <c r="K704" s="44">
        <f t="shared" si="54"/>
        <v>41944</v>
      </c>
      <c r="L704" s="45">
        <f t="shared" si="50"/>
        <v>7</v>
      </c>
      <c r="M704" s="17">
        <v>1.4833299999999999E-3</v>
      </c>
      <c r="N704" s="46">
        <f t="shared" si="51"/>
        <v>-8.4129730943999999</v>
      </c>
      <c r="O704" s="16"/>
      <c r="P704" s="48">
        <f t="shared" si="52"/>
        <v>-389.92800000000005</v>
      </c>
      <c r="Q704" s="16"/>
      <c r="R704" s="48">
        <f t="shared" si="53"/>
        <v>-14.622806400000002</v>
      </c>
    </row>
    <row r="705" spans="1:18">
      <c r="A705" s="18" t="s">
        <v>66</v>
      </c>
      <c r="B705" s="15" t="s">
        <v>371</v>
      </c>
      <c r="C705" s="15" t="s">
        <v>372</v>
      </c>
      <c r="D705" s="14" t="s">
        <v>88</v>
      </c>
      <c r="E705" s="15" t="s">
        <v>373</v>
      </c>
      <c r="F705" s="14" t="s">
        <v>85</v>
      </c>
      <c r="G705" s="15" t="s">
        <v>23</v>
      </c>
      <c r="H705" s="15"/>
      <c r="I705" s="15">
        <v>201406</v>
      </c>
      <c r="J705" s="16">
        <v>130855.69</v>
      </c>
      <c r="K705" s="44">
        <f t="shared" si="54"/>
        <v>41944</v>
      </c>
      <c r="L705" s="45">
        <f t="shared" si="50"/>
        <v>7</v>
      </c>
      <c r="M705" s="17">
        <v>2.23333E-3</v>
      </c>
      <c r="N705" s="46">
        <f t="shared" si="51"/>
        <v>2045.7075670339002</v>
      </c>
      <c r="O705" s="16"/>
      <c r="P705" s="48">
        <f t="shared" si="52"/>
        <v>62974.300812500012</v>
      </c>
      <c r="Q705" s="16"/>
      <c r="R705" s="48">
        <f t="shared" si="53"/>
        <v>2361.6180652750004</v>
      </c>
    </row>
    <row r="706" spans="1:18">
      <c r="A706" s="18" t="s">
        <v>66</v>
      </c>
      <c r="B706" s="15" t="s">
        <v>374</v>
      </c>
      <c r="C706" s="15" t="s">
        <v>375</v>
      </c>
      <c r="D706" s="14" t="s">
        <v>376</v>
      </c>
      <c r="E706" s="15" t="s">
        <v>377</v>
      </c>
      <c r="F706" s="14" t="s">
        <v>378</v>
      </c>
      <c r="G706" s="15" t="s">
        <v>23</v>
      </c>
      <c r="H706" s="15"/>
      <c r="I706" s="15">
        <v>201406</v>
      </c>
      <c r="J706" s="16">
        <v>55.14</v>
      </c>
      <c r="K706" s="44">
        <f t="shared" si="54"/>
        <v>41944</v>
      </c>
      <c r="L706" s="45">
        <f t="shared" si="50"/>
        <v>7</v>
      </c>
      <c r="M706" s="17">
        <v>2.23333E-3</v>
      </c>
      <c r="N706" s="46">
        <f t="shared" si="51"/>
        <v>0.86202071340000008</v>
      </c>
      <c r="O706" s="16"/>
      <c r="P706" s="48">
        <f t="shared" si="52"/>
        <v>26.536125000000006</v>
      </c>
      <c r="Q706" s="16"/>
      <c r="R706" s="48">
        <f t="shared" si="53"/>
        <v>0.99513915000000008</v>
      </c>
    </row>
    <row r="707" spans="1:18">
      <c r="A707" s="18" t="s">
        <v>66</v>
      </c>
      <c r="B707" s="15" t="s">
        <v>379</v>
      </c>
      <c r="C707" s="15" t="s">
        <v>380</v>
      </c>
      <c r="D707" s="14" t="s">
        <v>381</v>
      </c>
      <c r="E707" s="15" t="s">
        <v>382</v>
      </c>
      <c r="F707" s="14" t="s">
        <v>212</v>
      </c>
      <c r="G707" s="15" t="s">
        <v>23</v>
      </c>
      <c r="H707" s="15"/>
      <c r="I707" s="15">
        <v>201406</v>
      </c>
      <c r="J707" s="16">
        <v>41933.5</v>
      </c>
      <c r="K707" s="44">
        <f t="shared" si="54"/>
        <v>41944</v>
      </c>
      <c r="L707" s="45">
        <f t="shared" si="50"/>
        <v>7</v>
      </c>
      <c r="M707" s="17">
        <v>2.23333E-3</v>
      </c>
      <c r="N707" s="46">
        <f t="shared" si="51"/>
        <v>655.55940488500005</v>
      </c>
      <c r="O707" s="16"/>
      <c r="P707" s="48">
        <f t="shared" si="52"/>
        <v>20180.496875000004</v>
      </c>
      <c r="Q707" s="16"/>
      <c r="R707" s="48">
        <f t="shared" si="53"/>
        <v>756.79484124999999</v>
      </c>
    </row>
    <row r="708" spans="1:18">
      <c r="A708" s="18" t="s">
        <v>66</v>
      </c>
      <c r="B708" s="15" t="s">
        <v>383</v>
      </c>
      <c r="C708" s="15" t="s">
        <v>384</v>
      </c>
      <c r="D708" s="14" t="s">
        <v>385</v>
      </c>
      <c r="E708" s="15" t="s">
        <v>386</v>
      </c>
      <c r="F708" s="14" t="s">
        <v>387</v>
      </c>
      <c r="G708" s="15" t="s">
        <v>23</v>
      </c>
      <c r="H708" s="15"/>
      <c r="I708" s="15">
        <v>201406</v>
      </c>
      <c r="J708" s="16">
        <v>-153988.84</v>
      </c>
      <c r="K708" s="44">
        <f t="shared" si="54"/>
        <v>41944</v>
      </c>
      <c r="L708" s="45">
        <f t="shared" si="50"/>
        <v>7</v>
      </c>
      <c r="M708" s="17">
        <v>2.23333E-3</v>
      </c>
      <c r="N708" s="46">
        <f t="shared" si="51"/>
        <v>-2407.3552722603999</v>
      </c>
      <c r="O708" s="16"/>
      <c r="P708" s="48">
        <f t="shared" si="52"/>
        <v>-74107.129250000013</v>
      </c>
      <c r="Q708" s="16"/>
      <c r="R708" s="48">
        <f t="shared" si="53"/>
        <v>-2779.1135899000001</v>
      </c>
    </row>
    <row r="709" spans="1:18">
      <c r="A709" s="18" t="s">
        <v>66</v>
      </c>
      <c r="B709" s="15" t="s">
        <v>388</v>
      </c>
      <c r="C709" s="15" t="s">
        <v>389</v>
      </c>
      <c r="D709" s="14" t="s">
        <v>385</v>
      </c>
      <c r="E709" s="15" t="s">
        <v>390</v>
      </c>
      <c r="F709" s="14" t="s">
        <v>387</v>
      </c>
      <c r="G709" s="15" t="s">
        <v>23</v>
      </c>
      <c r="H709" s="15"/>
      <c r="I709" s="15">
        <v>201406</v>
      </c>
      <c r="J709" s="16">
        <v>-4473.3599999999997</v>
      </c>
      <c r="K709" s="44">
        <f t="shared" si="54"/>
        <v>41944</v>
      </c>
      <c r="L709" s="45">
        <f t="shared" si="50"/>
        <v>7</v>
      </c>
      <c r="M709" s="17">
        <v>2.23333E-3</v>
      </c>
      <c r="N709" s="46">
        <f t="shared" si="51"/>
        <v>-69.933423621599999</v>
      </c>
      <c r="O709" s="16"/>
      <c r="P709" s="48">
        <f t="shared" si="52"/>
        <v>-2152.8045000000002</v>
      </c>
      <c r="Q709" s="16"/>
      <c r="R709" s="48">
        <f t="shared" si="53"/>
        <v>-80.732964600000003</v>
      </c>
    </row>
    <row r="710" spans="1:18">
      <c r="A710" s="14" t="s">
        <v>17</v>
      </c>
      <c r="B710" s="15" t="s">
        <v>391</v>
      </c>
      <c r="C710" s="15" t="s">
        <v>392</v>
      </c>
      <c r="D710" s="14" t="s">
        <v>393</v>
      </c>
      <c r="E710" s="15" t="s">
        <v>394</v>
      </c>
      <c r="F710" s="14" t="s">
        <v>137</v>
      </c>
      <c r="G710" s="15" t="s">
        <v>23</v>
      </c>
      <c r="H710" s="15"/>
      <c r="I710" s="15">
        <v>201406</v>
      </c>
      <c r="J710" s="16">
        <v>3387.36</v>
      </c>
      <c r="K710" s="44">
        <f t="shared" si="54"/>
        <v>41944</v>
      </c>
      <c r="L710" s="45">
        <f t="shared" ref="L710:L773" si="55">((YEAR($L$1)-YEAR(K710))*12+MONTH($L$1)-MONTH(K710))</f>
        <v>7</v>
      </c>
      <c r="M710" s="17">
        <v>1.4833299999999999E-3</v>
      </c>
      <c r="N710" s="46">
        <f t="shared" ref="N710:N773" si="56">M710*L710*J710</f>
        <v>35.1720089616</v>
      </c>
      <c r="O710" s="16"/>
      <c r="P710" s="48">
        <f t="shared" ref="P710:P773" si="57">$P$4*J710</f>
        <v>1630.1670000000004</v>
      </c>
      <c r="Q710" s="16"/>
      <c r="R710" s="48">
        <f t="shared" ref="R710:R773" si="58">$R$4*(J710*0.5)*$T$9</f>
        <v>61.133379600000005</v>
      </c>
    </row>
    <row r="711" spans="1:18">
      <c r="A711" s="14" t="s">
        <v>17</v>
      </c>
      <c r="B711" s="15" t="s">
        <v>395</v>
      </c>
      <c r="C711" s="15" t="s">
        <v>396</v>
      </c>
      <c r="D711" s="14" t="s">
        <v>397</v>
      </c>
      <c r="E711" s="15" t="s">
        <v>49</v>
      </c>
      <c r="F711" s="14" t="s">
        <v>22</v>
      </c>
      <c r="G711" s="15" t="s">
        <v>23</v>
      </c>
      <c r="H711" s="15"/>
      <c r="I711" s="15">
        <v>201406</v>
      </c>
      <c r="J711" s="16">
        <v>-0.65</v>
      </c>
      <c r="K711" s="44">
        <f t="shared" ref="K711:K774" si="59">+K710</f>
        <v>41944</v>
      </c>
      <c r="L711" s="45">
        <f t="shared" si="55"/>
        <v>7</v>
      </c>
      <c r="M711" s="17">
        <v>1.4833299999999999E-3</v>
      </c>
      <c r="N711" s="46">
        <f t="shared" si="56"/>
        <v>-6.7491514999999998E-3</v>
      </c>
      <c r="O711" s="16"/>
      <c r="P711" s="48">
        <f t="shared" si="57"/>
        <v>-0.31281250000000005</v>
      </c>
      <c r="Q711" s="16"/>
      <c r="R711" s="48">
        <f t="shared" si="58"/>
        <v>-1.1730875000000002E-2</v>
      </c>
    </row>
    <row r="712" spans="1:18">
      <c r="A712" s="14" t="s">
        <v>17</v>
      </c>
      <c r="B712" s="15" t="s">
        <v>398</v>
      </c>
      <c r="C712" s="15" t="s">
        <v>399</v>
      </c>
      <c r="D712" s="14" t="s">
        <v>400</v>
      </c>
      <c r="E712" s="15" t="s">
        <v>104</v>
      </c>
      <c r="F712" s="14" t="s">
        <v>41</v>
      </c>
      <c r="G712" s="15" t="s">
        <v>23</v>
      </c>
      <c r="H712" s="15"/>
      <c r="I712" s="15">
        <v>201406</v>
      </c>
      <c r="J712" s="16">
        <v>665.8</v>
      </c>
      <c r="K712" s="44">
        <f t="shared" si="59"/>
        <v>41944</v>
      </c>
      <c r="L712" s="45">
        <f t="shared" si="55"/>
        <v>7</v>
      </c>
      <c r="M712" s="17">
        <v>1.4833299999999999E-3</v>
      </c>
      <c r="N712" s="46">
        <f t="shared" si="56"/>
        <v>6.9132077979999993</v>
      </c>
      <c r="O712" s="16"/>
      <c r="P712" s="48">
        <f t="shared" si="57"/>
        <v>320.41625000000005</v>
      </c>
      <c r="Q712" s="16"/>
      <c r="R712" s="48">
        <f t="shared" si="58"/>
        <v>12.0160255</v>
      </c>
    </row>
    <row r="713" spans="1:18">
      <c r="A713" s="14" t="s">
        <v>238</v>
      </c>
      <c r="B713" s="15" t="s">
        <v>401</v>
      </c>
      <c r="C713" s="15" t="s">
        <v>402</v>
      </c>
      <c r="D713" s="14" t="s">
        <v>403</v>
      </c>
      <c r="E713" s="15" t="s">
        <v>168</v>
      </c>
      <c r="F713" s="14" t="s">
        <v>169</v>
      </c>
      <c r="G713" s="15" t="s">
        <v>23</v>
      </c>
      <c r="H713" s="15"/>
      <c r="I713" s="15">
        <v>201406</v>
      </c>
      <c r="J713" s="16">
        <v>-463.49</v>
      </c>
      <c r="K713" s="44">
        <f t="shared" si="59"/>
        <v>41944</v>
      </c>
      <c r="L713" s="45">
        <f t="shared" si="55"/>
        <v>7</v>
      </c>
      <c r="M713" s="17">
        <v>2.3833299999999999E-3</v>
      </c>
      <c r="N713" s="46">
        <f t="shared" si="56"/>
        <v>-7.7325473519000001</v>
      </c>
      <c r="O713" s="16"/>
      <c r="P713" s="48">
        <f t="shared" si="57"/>
        <v>-223.05456250000003</v>
      </c>
      <c r="Q713" s="16"/>
      <c r="R713" s="48">
        <f t="shared" si="58"/>
        <v>-8.3648357750000013</v>
      </c>
    </row>
    <row r="714" spans="1:18">
      <c r="A714" s="14" t="s">
        <v>17</v>
      </c>
      <c r="B714" s="15" t="s">
        <v>404</v>
      </c>
      <c r="C714" s="15" t="s">
        <v>405</v>
      </c>
      <c r="D714" s="14" t="s">
        <v>406</v>
      </c>
      <c r="E714" s="15" t="s">
        <v>58</v>
      </c>
      <c r="F714" s="14" t="s">
        <v>22</v>
      </c>
      <c r="G714" s="15" t="s">
        <v>23</v>
      </c>
      <c r="H714" s="15"/>
      <c r="I714" s="15">
        <v>201406</v>
      </c>
      <c r="J714" s="16">
        <v>-432.54</v>
      </c>
      <c r="K714" s="44">
        <f t="shared" si="59"/>
        <v>41944</v>
      </c>
      <c r="L714" s="45">
        <f t="shared" si="55"/>
        <v>7</v>
      </c>
      <c r="M714" s="17">
        <v>1.4833299999999999E-3</v>
      </c>
      <c r="N714" s="46">
        <f t="shared" si="56"/>
        <v>-4.4911969074</v>
      </c>
      <c r="O714" s="16"/>
      <c r="P714" s="48">
        <f t="shared" si="57"/>
        <v>-208.15987500000003</v>
      </c>
      <c r="Q714" s="16"/>
      <c r="R714" s="48">
        <f t="shared" si="58"/>
        <v>-7.8062656500000012</v>
      </c>
    </row>
    <row r="715" spans="1:18">
      <c r="A715" s="14" t="s">
        <v>17</v>
      </c>
      <c r="B715" s="15" t="s">
        <v>407</v>
      </c>
      <c r="C715" s="15" t="s">
        <v>408</v>
      </c>
      <c r="D715" s="14" t="s">
        <v>409</v>
      </c>
      <c r="E715" s="15" t="s">
        <v>53</v>
      </c>
      <c r="F715" s="14" t="s">
        <v>41</v>
      </c>
      <c r="G715" s="15" t="s">
        <v>23</v>
      </c>
      <c r="H715" s="15"/>
      <c r="I715" s="15">
        <v>201406</v>
      </c>
      <c r="J715" s="16">
        <v>-76.83</v>
      </c>
      <c r="K715" s="44">
        <f t="shared" si="59"/>
        <v>41944</v>
      </c>
      <c r="L715" s="45">
        <f t="shared" si="55"/>
        <v>7</v>
      </c>
      <c r="M715" s="17">
        <v>1.4833299999999999E-3</v>
      </c>
      <c r="N715" s="46">
        <f t="shared" si="56"/>
        <v>-0.79774970729999994</v>
      </c>
      <c r="O715" s="16"/>
      <c r="P715" s="48">
        <f t="shared" si="57"/>
        <v>-36.974437500000008</v>
      </c>
      <c r="Q715" s="16"/>
      <c r="R715" s="48">
        <f t="shared" si="58"/>
        <v>-1.3865894250000002</v>
      </c>
    </row>
    <row r="716" spans="1:18">
      <c r="A716" s="14" t="s">
        <v>17</v>
      </c>
      <c r="B716" s="15" t="s">
        <v>410</v>
      </c>
      <c r="C716" s="15" t="s">
        <v>411</v>
      </c>
      <c r="D716" s="14" t="s">
        <v>412</v>
      </c>
      <c r="E716" s="15" t="s">
        <v>62</v>
      </c>
      <c r="F716" s="14" t="s">
        <v>22</v>
      </c>
      <c r="G716" s="15" t="s">
        <v>23</v>
      </c>
      <c r="H716" s="15"/>
      <c r="I716" s="15">
        <v>201406</v>
      </c>
      <c r="J716" s="16">
        <v>5744.17</v>
      </c>
      <c r="K716" s="44">
        <f t="shared" si="59"/>
        <v>41944</v>
      </c>
      <c r="L716" s="45">
        <f t="shared" si="55"/>
        <v>7</v>
      </c>
      <c r="M716" s="17">
        <v>1.4833299999999999E-3</v>
      </c>
      <c r="N716" s="46">
        <f t="shared" si="56"/>
        <v>59.643497802699997</v>
      </c>
      <c r="O716" s="16"/>
      <c r="P716" s="48">
        <f t="shared" si="57"/>
        <v>2764.3818125000003</v>
      </c>
      <c r="Q716" s="16"/>
      <c r="R716" s="48">
        <f t="shared" si="58"/>
        <v>103.66790807500001</v>
      </c>
    </row>
    <row r="717" spans="1:18">
      <c r="A717" s="14" t="s">
        <v>17</v>
      </c>
      <c r="B717" s="15" t="s">
        <v>413</v>
      </c>
      <c r="C717" s="15" t="s">
        <v>414</v>
      </c>
      <c r="D717" s="14" t="s">
        <v>415</v>
      </c>
      <c r="E717" s="15" t="s">
        <v>104</v>
      </c>
      <c r="F717" s="14" t="s">
        <v>41</v>
      </c>
      <c r="G717" s="15" t="s">
        <v>23</v>
      </c>
      <c r="H717" s="15"/>
      <c r="I717" s="15">
        <v>201406</v>
      </c>
      <c r="J717" s="16">
        <v>-1748.33</v>
      </c>
      <c r="K717" s="44">
        <f t="shared" si="59"/>
        <v>41944</v>
      </c>
      <c r="L717" s="45">
        <f t="shared" si="55"/>
        <v>7</v>
      </c>
      <c r="M717" s="17">
        <v>1.4833299999999999E-3</v>
      </c>
      <c r="N717" s="46">
        <f t="shared" si="56"/>
        <v>-18.153452372299999</v>
      </c>
      <c r="O717" s="16"/>
      <c r="P717" s="48">
        <f t="shared" si="57"/>
        <v>-841.38381250000009</v>
      </c>
      <c r="Q717" s="16"/>
      <c r="R717" s="48">
        <f t="shared" si="58"/>
        <v>-31.552985675000002</v>
      </c>
    </row>
    <row r="718" spans="1:18">
      <c r="A718" s="14" t="s">
        <v>17</v>
      </c>
      <c r="B718" s="15" t="s">
        <v>416</v>
      </c>
      <c r="C718" s="15" t="s">
        <v>417</v>
      </c>
      <c r="D718" s="14" t="s">
        <v>418</v>
      </c>
      <c r="E718" s="15" t="s">
        <v>141</v>
      </c>
      <c r="F718" s="14" t="s">
        <v>142</v>
      </c>
      <c r="G718" s="15" t="s">
        <v>23</v>
      </c>
      <c r="H718" s="15"/>
      <c r="I718" s="15">
        <v>201406</v>
      </c>
      <c r="J718" s="16">
        <v>-1815.01</v>
      </c>
      <c r="K718" s="44">
        <f t="shared" si="59"/>
        <v>41944</v>
      </c>
      <c r="L718" s="45">
        <f t="shared" si="55"/>
        <v>7</v>
      </c>
      <c r="M718" s="17">
        <v>1.4833299999999999E-3</v>
      </c>
      <c r="N718" s="46">
        <f t="shared" si="56"/>
        <v>-18.8458114831</v>
      </c>
      <c r="O718" s="16"/>
      <c r="P718" s="48">
        <f t="shared" si="57"/>
        <v>-873.47356250000007</v>
      </c>
      <c r="Q718" s="16"/>
      <c r="R718" s="48">
        <f t="shared" si="58"/>
        <v>-32.756392975000004</v>
      </c>
    </row>
    <row r="719" spans="1:18">
      <c r="A719" s="14" t="s">
        <v>54</v>
      </c>
      <c r="B719" s="15" t="s">
        <v>419</v>
      </c>
      <c r="C719" s="15" t="s">
        <v>420</v>
      </c>
      <c r="D719" s="14" t="s">
        <v>421</v>
      </c>
      <c r="E719" s="15" t="s">
        <v>32</v>
      </c>
      <c r="F719" s="14" t="s">
        <v>22</v>
      </c>
      <c r="G719" s="15" t="s">
        <v>23</v>
      </c>
      <c r="H719" s="15"/>
      <c r="I719" s="15">
        <v>201406</v>
      </c>
      <c r="J719" s="16">
        <v>-1133.31</v>
      </c>
      <c r="K719" s="44">
        <f t="shared" si="59"/>
        <v>41944</v>
      </c>
      <c r="L719" s="45">
        <f t="shared" si="55"/>
        <v>7</v>
      </c>
      <c r="M719" s="17">
        <v>1.4833299999999999E-3</v>
      </c>
      <c r="N719" s="46">
        <f t="shared" si="56"/>
        <v>-11.7675090561</v>
      </c>
      <c r="O719" s="16"/>
      <c r="P719" s="48">
        <f t="shared" si="57"/>
        <v>-545.40543750000006</v>
      </c>
      <c r="Q719" s="16"/>
      <c r="R719" s="48">
        <f t="shared" si="58"/>
        <v>-20.453412225000001</v>
      </c>
    </row>
    <row r="720" spans="1:18">
      <c r="A720" s="14" t="s">
        <v>17</v>
      </c>
      <c r="B720" s="15" t="s">
        <v>422</v>
      </c>
      <c r="C720" s="15" t="s">
        <v>423</v>
      </c>
      <c r="D720" s="14" t="s">
        <v>424</v>
      </c>
      <c r="E720" s="15" t="s">
        <v>246</v>
      </c>
      <c r="F720" s="14" t="s">
        <v>247</v>
      </c>
      <c r="G720" s="15" t="s">
        <v>23</v>
      </c>
      <c r="H720" s="15"/>
      <c r="I720" s="15">
        <v>201406</v>
      </c>
      <c r="J720" s="16">
        <v>-168.14</v>
      </c>
      <c r="K720" s="44">
        <f t="shared" si="59"/>
        <v>41944</v>
      </c>
      <c r="L720" s="45">
        <f t="shared" si="55"/>
        <v>7</v>
      </c>
      <c r="M720" s="17">
        <v>1.4833299999999999E-3</v>
      </c>
      <c r="N720" s="46">
        <f t="shared" si="56"/>
        <v>-1.7458497433999998</v>
      </c>
      <c r="O720" s="16"/>
      <c r="P720" s="48">
        <f t="shared" si="57"/>
        <v>-80.917375000000007</v>
      </c>
      <c r="Q720" s="16"/>
      <c r="R720" s="48">
        <f t="shared" si="58"/>
        <v>-3.03450665</v>
      </c>
    </row>
    <row r="721" spans="1:18">
      <c r="A721" s="14" t="s">
        <v>17</v>
      </c>
      <c r="B721" s="15" t="s">
        <v>425</v>
      </c>
      <c r="C721" s="15" t="s">
        <v>426</v>
      </c>
      <c r="D721" s="14" t="s">
        <v>427</v>
      </c>
      <c r="E721" s="15" t="s">
        <v>104</v>
      </c>
      <c r="F721" s="14" t="s">
        <v>41</v>
      </c>
      <c r="G721" s="15" t="s">
        <v>23</v>
      </c>
      <c r="H721" s="15"/>
      <c r="I721" s="15">
        <v>201406</v>
      </c>
      <c r="J721" s="16">
        <v>-205.45</v>
      </c>
      <c r="K721" s="44">
        <f t="shared" si="59"/>
        <v>41944</v>
      </c>
      <c r="L721" s="45">
        <f t="shared" si="55"/>
        <v>7</v>
      </c>
      <c r="M721" s="17">
        <v>1.4833299999999999E-3</v>
      </c>
      <c r="N721" s="46">
        <f t="shared" si="56"/>
        <v>-2.1332510394999997</v>
      </c>
      <c r="O721" s="16"/>
      <c r="P721" s="48">
        <f t="shared" si="57"/>
        <v>-98.872812500000009</v>
      </c>
      <c r="Q721" s="16"/>
      <c r="R721" s="48">
        <f t="shared" si="58"/>
        <v>-3.7078588749999999</v>
      </c>
    </row>
    <row r="722" spans="1:18">
      <c r="A722" s="14" t="s">
        <v>17</v>
      </c>
      <c r="B722" s="15" t="s">
        <v>428</v>
      </c>
      <c r="C722" s="15" t="s">
        <v>429</v>
      </c>
      <c r="D722" s="14" t="s">
        <v>430</v>
      </c>
      <c r="E722" s="15" t="s">
        <v>32</v>
      </c>
      <c r="F722" s="14" t="s">
        <v>22</v>
      </c>
      <c r="G722" s="15" t="s">
        <v>23</v>
      </c>
      <c r="H722" s="15"/>
      <c r="I722" s="15">
        <v>201406</v>
      </c>
      <c r="J722" s="16">
        <v>-1025.22</v>
      </c>
      <c r="K722" s="44">
        <f t="shared" si="59"/>
        <v>41944</v>
      </c>
      <c r="L722" s="45">
        <f t="shared" si="55"/>
        <v>7</v>
      </c>
      <c r="M722" s="17">
        <v>1.4833299999999999E-3</v>
      </c>
      <c r="N722" s="46">
        <f t="shared" si="56"/>
        <v>-10.6451770782</v>
      </c>
      <c r="O722" s="16"/>
      <c r="P722" s="48">
        <f t="shared" si="57"/>
        <v>-493.38712500000008</v>
      </c>
      <c r="Q722" s="16"/>
      <c r="R722" s="48">
        <f t="shared" si="58"/>
        <v>-18.502657950000003</v>
      </c>
    </row>
    <row r="723" spans="1:18">
      <c r="A723" s="14" t="s">
        <v>17</v>
      </c>
      <c r="B723" s="15" t="s">
        <v>431</v>
      </c>
      <c r="C723" s="15" t="s">
        <v>432</v>
      </c>
      <c r="D723" s="14" t="s">
        <v>433</v>
      </c>
      <c r="E723" s="15" t="s">
        <v>258</v>
      </c>
      <c r="F723" s="14" t="s">
        <v>259</v>
      </c>
      <c r="G723" s="15" t="s">
        <v>23</v>
      </c>
      <c r="H723" s="15"/>
      <c r="I723" s="15">
        <v>201406</v>
      </c>
      <c r="J723" s="16">
        <v>-157.76</v>
      </c>
      <c r="K723" s="44">
        <f t="shared" si="59"/>
        <v>41944</v>
      </c>
      <c r="L723" s="45">
        <f t="shared" si="55"/>
        <v>7</v>
      </c>
      <c r="M723" s="17">
        <v>1.4833299999999999E-3</v>
      </c>
      <c r="N723" s="46">
        <f t="shared" si="56"/>
        <v>-1.6380709856</v>
      </c>
      <c r="O723" s="16"/>
      <c r="P723" s="48">
        <f t="shared" si="57"/>
        <v>-75.922000000000011</v>
      </c>
      <c r="Q723" s="16"/>
      <c r="R723" s="48">
        <f t="shared" si="58"/>
        <v>-2.8471736000000001</v>
      </c>
    </row>
    <row r="724" spans="1:18">
      <c r="A724" s="14" t="s">
        <v>54</v>
      </c>
      <c r="B724" s="15" t="s">
        <v>434</v>
      </c>
      <c r="C724" s="15" t="s">
        <v>435</v>
      </c>
      <c r="D724" s="14" t="s">
        <v>436</v>
      </c>
      <c r="E724" s="15" t="s">
        <v>58</v>
      </c>
      <c r="F724" s="14" t="s">
        <v>22</v>
      </c>
      <c r="G724" s="15" t="s">
        <v>23</v>
      </c>
      <c r="H724" s="15"/>
      <c r="I724" s="15">
        <v>201406</v>
      </c>
      <c r="J724" s="16">
        <v>5232.7700000000004</v>
      </c>
      <c r="K724" s="44">
        <f t="shared" si="59"/>
        <v>41944</v>
      </c>
      <c r="L724" s="45">
        <f t="shared" si="55"/>
        <v>7</v>
      </c>
      <c r="M724" s="17">
        <v>1.4833299999999999E-3</v>
      </c>
      <c r="N724" s="46">
        <f t="shared" si="56"/>
        <v>54.333473068700002</v>
      </c>
      <c r="O724" s="16"/>
      <c r="P724" s="48">
        <f t="shared" si="57"/>
        <v>2518.2705625000008</v>
      </c>
      <c r="Q724" s="16"/>
      <c r="R724" s="48">
        <f t="shared" si="58"/>
        <v>94.438416575000019</v>
      </c>
    </row>
    <row r="725" spans="1:18">
      <c r="A725" s="14" t="s">
        <v>17</v>
      </c>
      <c r="B725" s="15" t="s">
        <v>437</v>
      </c>
      <c r="C725" s="15" t="s">
        <v>438</v>
      </c>
      <c r="D725" s="14" t="s">
        <v>439</v>
      </c>
      <c r="E725" s="15" t="s">
        <v>440</v>
      </c>
      <c r="F725" s="14" t="s">
        <v>28</v>
      </c>
      <c r="G725" s="15" t="s">
        <v>23</v>
      </c>
      <c r="H725" s="15"/>
      <c r="I725" s="15">
        <v>201406</v>
      </c>
      <c r="J725" s="16">
        <v>-379.95</v>
      </c>
      <c r="K725" s="44">
        <f t="shared" si="59"/>
        <v>41944</v>
      </c>
      <c r="L725" s="45">
        <f t="shared" si="55"/>
        <v>7</v>
      </c>
      <c r="M725" s="17">
        <v>1.4833299999999999E-3</v>
      </c>
      <c r="N725" s="46">
        <f t="shared" si="56"/>
        <v>-3.9451386344999997</v>
      </c>
      <c r="O725" s="16"/>
      <c r="P725" s="48">
        <f t="shared" si="57"/>
        <v>-182.85093750000001</v>
      </c>
      <c r="Q725" s="16"/>
      <c r="R725" s="48">
        <f t="shared" si="58"/>
        <v>-6.8571476250000005</v>
      </c>
    </row>
    <row r="726" spans="1:18">
      <c r="A726" s="14" t="s">
        <v>54</v>
      </c>
      <c r="B726" s="15" t="s">
        <v>441</v>
      </c>
      <c r="C726" s="15" t="s">
        <v>442</v>
      </c>
      <c r="D726" s="14" t="s">
        <v>443</v>
      </c>
      <c r="E726" s="15" t="s">
        <v>141</v>
      </c>
      <c r="F726" s="14" t="s">
        <v>142</v>
      </c>
      <c r="G726" s="15" t="s">
        <v>23</v>
      </c>
      <c r="H726" s="15"/>
      <c r="I726" s="15">
        <v>201406</v>
      </c>
      <c r="J726" s="16">
        <v>728000.48</v>
      </c>
      <c r="K726" s="44">
        <f t="shared" si="59"/>
        <v>41944</v>
      </c>
      <c r="L726" s="45">
        <f t="shared" si="55"/>
        <v>7</v>
      </c>
      <c r="M726" s="17">
        <v>1.4833299999999999E-3</v>
      </c>
      <c r="N726" s="46">
        <f t="shared" si="56"/>
        <v>7559.0546639887998</v>
      </c>
      <c r="O726" s="16"/>
      <c r="P726" s="48">
        <f t="shared" si="57"/>
        <v>350350.23100000003</v>
      </c>
      <c r="Q726" s="16"/>
      <c r="R726" s="48">
        <f t="shared" si="58"/>
        <v>13138.588662800001</v>
      </c>
    </row>
    <row r="727" spans="1:18">
      <c r="A727" s="14" t="s">
        <v>17</v>
      </c>
      <c r="B727" s="15" t="s">
        <v>444</v>
      </c>
      <c r="C727" s="15" t="s">
        <v>445</v>
      </c>
      <c r="D727" s="14" t="s">
        <v>446</v>
      </c>
      <c r="E727" s="15" t="s">
        <v>62</v>
      </c>
      <c r="F727" s="14" t="s">
        <v>22</v>
      </c>
      <c r="G727" s="15" t="s">
        <v>23</v>
      </c>
      <c r="H727" s="15"/>
      <c r="I727" s="15">
        <v>201406</v>
      </c>
      <c r="J727" s="16">
        <v>-3131.48</v>
      </c>
      <c r="K727" s="44">
        <f t="shared" si="59"/>
        <v>41944</v>
      </c>
      <c r="L727" s="45">
        <f t="shared" si="55"/>
        <v>7</v>
      </c>
      <c r="M727" s="17">
        <v>1.4833299999999999E-3</v>
      </c>
      <c r="N727" s="46">
        <f t="shared" si="56"/>
        <v>-32.515127598799999</v>
      </c>
      <c r="O727" s="16"/>
      <c r="P727" s="48">
        <f t="shared" si="57"/>
        <v>-1507.0247500000003</v>
      </c>
      <c r="Q727" s="16"/>
      <c r="R727" s="48">
        <f t="shared" si="58"/>
        <v>-56.515385300000005</v>
      </c>
    </row>
    <row r="728" spans="1:18">
      <c r="A728" s="14" t="s">
        <v>17</v>
      </c>
      <c r="B728" s="15" t="s">
        <v>447</v>
      </c>
      <c r="C728" s="15" t="s">
        <v>448</v>
      </c>
      <c r="D728" s="14" t="s">
        <v>449</v>
      </c>
      <c r="E728" s="15" t="s">
        <v>296</v>
      </c>
      <c r="F728" s="14" t="s">
        <v>28</v>
      </c>
      <c r="G728" s="15" t="s">
        <v>23</v>
      </c>
      <c r="H728" s="15"/>
      <c r="I728" s="15">
        <v>201406</v>
      </c>
      <c r="J728" s="16">
        <v>-664.85</v>
      </c>
      <c r="K728" s="44">
        <f t="shared" si="59"/>
        <v>41944</v>
      </c>
      <c r="L728" s="45">
        <f t="shared" si="55"/>
        <v>7</v>
      </c>
      <c r="M728" s="17">
        <v>1.4833299999999999E-3</v>
      </c>
      <c r="N728" s="46">
        <f t="shared" si="56"/>
        <v>-6.9033436535000003</v>
      </c>
      <c r="O728" s="16"/>
      <c r="P728" s="48">
        <f t="shared" si="57"/>
        <v>-319.95906250000007</v>
      </c>
      <c r="Q728" s="16"/>
      <c r="R728" s="48">
        <f t="shared" si="58"/>
        <v>-11.998880375000001</v>
      </c>
    </row>
    <row r="729" spans="1:18">
      <c r="A729" s="14" t="s">
        <v>17</v>
      </c>
      <c r="B729" s="15" t="s">
        <v>450</v>
      </c>
      <c r="C729" s="15" t="s">
        <v>451</v>
      </c>
      <c r="D729" s="14" t="s">
        <v>452</v>
      </c>
      <c r="E729" s="15" t="s">
        <v>45</v>
      </c>
      <c r="F729" s="14" t="s">
        <v>22</v>
      </c>
      <c r="G729" s="15" t="s">
        <v>23</v>
      </c>
      <c r="H729" s="15"/>
      <c r="I729" s="15">
        <v>201406</v>
      </c>
      <c r="J729" s="16">
        <v>-1499.77</v>
      </c>
      <c r="K729" s="44">
        <f t="shared" si="59"/>
        <v>41944</v>
      </c>
      <c r="L729" s="45">
        <f t="shared" si="55"/>
        <v>7</v>
      </c>
      <c r="M729" s="17">
        <v>1.4833299999999999E-3</v>
      </c>
      <c r="N729" s="46">
        <f t="shared" si="56"/>
        <v>-15.5725768387</v>
      </c>
      <c r="O729" s="16"/>
      <c r="P729" s="48">
        <f t="shared" si="57"/>
        <v>-721.76431250000007</v>
      </c>
      <c r="Q729" s="16"/>
      <c r="R729" s="48">
        <f t="shared" si="58"/>
        <v>-27.067099075000002</v>
      </c>
    </row>
    <row r="730" spans="1:18">
      <c r="A730" s="14" t="s">
        <v>17</v>
      </c>
      <c r="B730" s="15" t="s">
        <v>453</v>
      </c>
      <c r="C730" s="15" t="s">
        <v>454</v>
      </c>
      <c r="D730" s="14" t="s">
        <v>455</v>
      </c>
      <c r="E730" s="15" t="s">
        <v>62</v>
      </c>
      <c r="F730" s="14" t="s">
        <v>22</v>
      </c>
      <c r="G730" s="15" t="s">
        <v>23</v>
      </c>
      <c r="H730" s="15"/>
      <c r="I730" s="15">
        <v>201406</v>
      </c>
      <c r="J730" s="16">
        <v>-48.22</v>
      </c>
      <c r="K730" s="44">
        <f t="shared" si="59"/>
        <v>41944</v>
      </c>
      <c r="L730" s="45">
        <f t="shared" si="55"/>
        <v>7</v>
      </c>
      <c r="M730" s="17">
        <v>1.4833299999999999E-3</v>
      </c>
      <c r="N730" s="46">
        <f t="shared" si="56"/>
        <v>-0.50068320820000001</v>
      </c>
      <c r="O730" s="16"/>
      <c r="P730" s="48">
        <f t="shared" si="57"/>
        <v>-23.205875000000002</v>
      </c>
      <c r="Q730" s="16"/>
      <c r="R730" s="48">
        <f t="shared" si="58"/>
        <v>-0.87025045000000001</v>
      </c>
    </row>
    <row r="731" spans="1:18">
      <c r="A731" s="14" t="s">
        <v>17</v>
      </c>
      <c r="B731" s="15" t="s">
        <v>456</v>
      </c>
      <c r="C731" s="15" t="s">
        <v>457</v>
      </c>
      <c r="D731" s="14" t="s">
        <v>458</v>
      </c>
      <c r="E731" s="15" t="s">
        <v>21</v>
      </c>
      <c r="F731" s="14" t="s">
        <v>22</v>
      </c>
      <c r="G731" s="15" t="s">
        <v>23</v>
      </c>
      <c r="H731" s="15"/>
      <c r="I731" s="15">
        <v>201406</v>
      </c>
      <c r="J731" s="16">
        <v>2435.21</v>
      </c>
      <c r="K731" s="44">
        <f t="shared" si="59"/>
        <v>41944</v>
      </c>
      <c r="L731" s="45">
        <f t="shared" si="55"/>
        <v>7</v>
      </c>
      <c r="M731" s="17">
        <v>1.4833299999999999E-3</v>
      </c>
      <c r="N731" s="46">
        <f t="shared" si="56"/>
        <v>25.285540345099999</v>
      </c>
      <c r="O731" s="16"/>
      <c r="P731" s="48">
        <f t="shared" si="57"/>
        <v>1171.9448125000001</v>
      </c>
      <c r="Q731" s="16"/>
      <c r="R731" s="48">
        <f t="shared" si="58"/>
        <v>43.949452475000001</v>
      </c>
    </row>
    <row r="732" spans="1:18">
      <c r="A732" s="14" t="s">
        <v>17</v>
      </c>
      <c r="B732" s="15" t="s">
        <v>459</v>
      </c>
      <c r="C732" s="15" t="s">
        <v>460</v>
      </c>
      <c r="D732" s="14" t="s">
        <v>461</v>
      </c>
      <c r="E732" s="15" t="s">
        <v>462</v>
      </c>
      <c r="F732" s="14" t="s">
        <v>142</v>
      </c>
      <c r="G732" s="15" t="s">
        <v>23</v>
      </c>
      <c r="H732" s="15"/>
      <c r="I732" s="15">
        <v>201406</v>
      </c>
      <c r="J732" s="16">
        <v>4392.41</v>
      </c>
      <c r="K732" s="44">
        <f t="shared" si="59"/>
        <v>41944</v>
      </c>
      <c r="L732" s="45">
        <f t="shared" si="55"/>
        <v>7</v>
      </c>
      <c r="M732" s="17">
        <v>1.4833299999999999E-3</v>
      </c>
      <c r="N732" s="46">
        <f t="shared" si="56"/>
        <v>45.607754677099997</v>
      </c>
      <c r="O732" s="16"/>
      <c r="P732" s="48">
        <f t="shared" si="57"/>
        <v>2113.8473125</v>
      </c>
      <c r="Q732" s="16"/>
      <c r="R732" s="48">
        <f t="shared" si="58"/>
        <v>79.272019475000008</v>
      </c>
    </row>
    <row r="733" spans="1:18">
      <c r="A733" s="14" t="s">
        <v>17</v>
      </c>
      <c r="B733" s="15" t="s">
        <v>468</v>
      </c>
      <c r="C733" s="15" t="s">
        <v>469</v>
      </c>
      <c r="D733" s="14" t="s">
        <v>470</v>
      </c>
      <c r="E733" s="15" t="s">
        <v>136</v>
      </c>
      <c r="F733" s="14" t="s">
        <v>137</v>
      </c>
      <c r="G733" s="15" t="s">
        <v>23</v>
      </c>
      <c r="H733" s="15"/>
      <c r="I733" s="15">
        <v>201406</v>
      </c>
      <c r="J733" s="16">
        <v>-1527.87</v>
      </c>
      <c r="K733" s="44">
        <f t="shared" si="59"/>
        <v>41944</v>
      </c>
      <c r="L733" s="45">
        <f t="shared" si="55"/>
        <v>7</v>
      </c>
      <c r="M733" s="17">
        <v>1.4833299999999999E-3</v>
      </c>
      <c r="N733" s="46">
        <f t="shared" si="56"/>
        <v>-15.864347849699998</v>
      </c>
      <c r="O733" s="16"/>
      <c r="P733" s="48">
        <f t="shared" si="57"/>
        <v>-735.28743750000001</v>
      </c>
      <c r="Q733" s="16"/>
      <c r="R733" s="48">
        <f t="shared" si="58"/>
        <v>-27.574233825</v>
      </c>
    </row>
    <row r="734" spans="1:18">
      <c r="A734" s="14" t="s">
        <v>17</v>
      </c>
      <c r="B734" s="15" t="s">
        <v>471</v>
      </c>
      <c r="C734" s="15" t="s">
        <v>472</v>
      </c>
      <c r="D734" s="14" t="s">
        <v>473</v>
      </c>
      <c r="E734" s="15" t="s">
        <v>27</v>
      </c>
      <c r="F734" s="14" t="s">
        <v>28</v>
      </c>
      <c r="G734" s="15" t="s">
        <v>23</v>
      </c>
      <c r="H734" s="15"/>
      <c r="I734" s="15">
        <v>201406</v>
      </c>
      <c r="J734" s="16">
        <v>-334.79</v>
      </c>
      <c r="K734" s="44">
        <f t="shared" si="59"/>
        <v>41944</v>
      </c>
      <c r="L734" s="45">
        <f t="shared" si="55"/>
        <v>7</v>
      </c>
      <c r="M734" s="17">
        <v>1.4833299999999999E-3</v>
      </c>
      <c r="N734" s="46">
        <f t="shared" si="56"/>
        <v>-3.4762283548999999</v>
      </c>
      <c r="O734" s="16"/>
      <c r="P734" s="48">
        <f t="shared" si="57"/>
        <v>-161.11768750000005</v>
      </c>
      <c r="Q734" s="16"/>
      <c r="R734" s="48">
        <f t="shared" si="58"/>
        <v>-6.0421225250000008</v>
      </c>
    </row>
    <row r="735" spans="1:18">
      <c r="A735" s="14" t="s">
        <v>17</v>
      </c>
      <c r="B735" s="15" t="s">
        <v>474</v>
      </c>
      <c r="C735" s="15" t="s">
        <v>475</v>
      </c>
      <c r="D735" s="14" t="s">
        <v>476</v>
      </c>
      <c r="E735" s="15" t="s">
        <v>40</v>
      </c>
      <c r="F735" s="14" t="s">
        <v>41</v>
      </c>
      <c r="G735" s="15" t="s">
        <v>23</v>
      </c>
      <c r="H735" s="15"/>
      <c r="I735" s="15">
        <v>201406</v>
      </c>
      <c r="J735" s="16">
        <v>-402.28</v>
      </c>
      <c r="K735" s="44">
        <f t="shared" si="59"/>
        <v>41944</v>
      </c>
      <c r="L735" s="45">
        <f t="shared" si="55"/>
        <v>7</v>
      </c>
      <c r="M735" s="17">
        <v>1.4833299999999999E-3</v>
      </c>
      <c r="N735" s="46">
        <f t="shared" si="56"/>
        <v>-4.1769979467999994</v>
      </c>
      <c r="O735" s="16"/>
      <c r="P735" s="48">
        <f t="shared" si="57"/>
        <v>-193.59725</v>
      </c>
      <c r="Q735" s="16"/>
      <c r="R735" s="48">
        <f t="shared" si="58"/>
        <v>-7.2601483</v>
      </c>
    </row>
    <row r="736" spans="1:18">
      <c r="A736" s="14" t="s">
        <v>17</v>
      </c>
      <c r="B736" s="15" t="s">
        <v>477</v>
      </c>
      <c r="C736" s="15" t="s">
        <v>478</v>
      </c>
      <c r="D736" s="14" t="s">
        <v>479</v>
      </c>
      <c r="E736" s="15" t="s">
        <v>440</v>
      </c>
      <c r="F736" s="14" t="s">
        <v>28</v>
      </c>
      <c r="G736" s="15" t="s">
        <v>23</v>
      </c>
      <c r="H736" s="15"/>
      <c r="I736" s="15">
        <v>201406</v>
      </c>
      <c r="J736" s="16">
        <v>-292.25</v>
      </c>
      <c r="K736" s="44">
        <f t="shared" si="59"/>
        <v>41944</v>
      </c>
      <c r="L736" s="45">
        <f t="shared" si="55"/>
        <v>7</v>
      </c>
      <c r="M736" s="17">
        <v>1.4833299999999999E-3</v>
      </c>
      <c r="N736" s="46">
        <f t="shared" si="56"/>
        <v>-3.0345223474999998</v>
      </c>
      <c r="O736" s="16"/>
      <c r="P736" s="48">
        <f t="shared" si="57"/>
        <v>-140.64531250000002</v>
      </c>
      <c r="Q736" s="16"/>
      <c r="R736" s="48">
        <f t="shared" si="58"/>
        <v>-5.2743818750000004</v>
      </c>
    </row>
    <row r="737" spans="1:18">
      <c r="A737" s="14" t="s">
        <v>17</v>
      </c>
      <c r="B737" s="15" t="s">
        <v>480</v>
      </c>
      <c r="C737" s="15" t="s">
        <v>481</v>
      </c>
      <c r="D737" s="14" t="s">
        <v>482</v>
      </c>
      <c r="E737" s="15" t="s">
        <v>141</v>
      </c>
      <c r="F737" s="14" t="s">
        <v>142</v>
      </c>
      <c r="G737" s="15" t="s">
        <v>23</v>
      </c>
      <c r="H737" s="15"/>
      <c r="I737" s="15">
        <v>201406</v>
      </c>
      <c r="J737" s="16">
        <v>-442.76</v>
      </c>
      <c r="K737" s="44">
        <f t="shared" si="59"/>
        <v>41944</v>
      </c>
      <c r="L737" s="45">
        <f t="shared" si="55"/>
        <v>7</v>
      </c>
      <c r="M737" s="17">
        <v>1.4833299999999999E-3</v>
      </c>
      <c r="N737" s="46">
        <f t="shared" si="56"/>
        <v>-4.5973143356000001</v>
      </c>
      <c r="O737" s="16"/>
      <c r="P737" s="48">
        <f t="shared" si="57"/>
        <v>-213.07825000000003</v>
      </c>
      <c r="Q737" s="16"/>
      <c r="R737" s="48">
        <f t="shared" si="58"/>
        <v>-7.9907111000000004</v>
      </c>
    </row>
    <row r="738" spans="1:18">
      <c r="A738" s="14" t="s">
        <v>17</v>
      </c>
      <c r="B738" s="15" t="s">
        <v>483</v>
      </c>
      <c r="C738" s="15" t="s">
        <v>484</v>
      </c>
      <c r="D738" s="14" t="s">
        <v>485</v>
      </c>
      <c r="E738" s="15" t="s">
        <v>324</v>
      </c>
      <c r="F738" s="14" t="s">
        <v>325</v>
      </c>
      <c r="G738" s="15" t="s">
        <v>23</v>
      </c>
      <c r="H738" s="15"/>
      <c r="I738" s="15">
        <v>201406</v>
      </c>
      <c r="J738" s="16">
        <v>-738.04</v>
      </c>
      <c r="K738" s="44">
        <f t="shared" si="59"/>
        <v>41944</v>
      </c>
      <c r="L738" s="45">
        <f t="shared" si="55"/>
        <v>7</v>
      </c>
      <c r="M738" s="17">
        <v>1.4833299999999999E-3</v>
      </c>
      <c r="N738" s="46">
        <f t="shared" si="56"/>
        <v>-7.6632981123999997</v>
      </c>
      <c r="O738" s="16"/>
      <c r="P738" s="48">
        <f t="shared" si="57"/>
        <v>-355.18175000000002</v>
      </c>
      <c r="Q738" s="16"/>
      <c r="R738" s="48">
        <f t="shared" si="58"/>
        <v>-13.319776900000001</v>
      </c>
    </row>
    <row r="739" spans="1:18">
      <c r="A739" s="14" t="s">
        <v>17</v>
      </c>
      <c r="B739" s="15" t="s">
        <v>486</v>
      </c>
      <c r="C739" s="15" t="s">
        <v>487</v>
      </c>
      <c r="D739" s="14" t="s">
        <v>488</v>
      </c>
      <c r="E739" s="15" t="s">
        <v>141</v>
      </c>
      <c r="F739" s="14" t="s">
        <v>142</v>
      </c>
      <c r="G739" s="15" t="s">
        <v>23</v>
      </c>
      <c r="H739" s="15"/>
      <c r="I739" s="15">
        <v>201406</v>
      </c>
      <c r="J739" s="16">
        <v>-860.21</v>
      </c>
      <c r="K739" s="44">
        <f t="shared" si="59"/>
        <v>41944</v>
      </c>
      <c r="L739" s="45">
        <f t="shared" si="55"/>
        <v>7</v>
      </c>
      <c r="M739" s="17">
        <v>1.4833299999999999E-3</v>
      </c>
      <c r="N739" s="46">
        <f t="shared" si="56"/>
        <v>-8.9318270951000009</v>
      </c>
      <c r="O739" s="16"/>
      <c r="P739" s="48">
        <f t="shared" si="57"/>
        <v>-413.97606250000007</v>
      </c>
      <c r="Q739" s="16"/>
      <c r="R739" s="48">
        <f t="shared" si="58"/>
        <v>-15.524639975000001</v>
      </c>
    </row>
    <row r="740" spans="1:18">
      <c r="A740" s="18" t="s">
        <v>66</v>
      </c>
      <c r="B740" s="15" t="s">
        <v>489</v>
      </c>
      <c r="C740" s="15" t="s">
        <v>490</v>
      </c>
      <c r="D740" s="14" t="s">
        <v>491</v>
      </c>
      <c r="E740" s="15" t="s">
        <v>492</v>
      </c>
      <c r="F740" s="14" t="s">
        <v>378</v>
      </c>
      <c r="G740" s="15" t="s">
        <v>23</v>
      </c>
      <c r="H740" s="15"/>
      <c r="I740" s="15">
        <v>201406</v>
      </c>
      <c r="J740" s="16">
        <v>-970.15</v>
      </c>
      <c r="K740" s="44">
        <f t="shared" si="59"/>
        <v>41944</v>
      </c>
      <c r="L740" s="45">
        <f t="shared" si="55"/>
        <v>7</v>
      </c>
      <c r="M740" s="17">
        <v>2.23333E-3</v>
      </c>
      <c r="N740" s="46">
        <f t="shared" si="56"/>
        <v>-15.166655696500001</v>
      </c>
      <c r="O740" s="16"/>
      <c r="P740" s="48">
        <f t="shared" si="57"/>
        <v>-466.88468750000004</v>
      </c>
      <c r="Q740" s="16"/>
      <c r="R740" s="48">
        <f t="shared" si="58"/>
        <v>-17.508782125</v>
      </c>
    </row>
    <row r="741" spans="1:18">
      <c r="A741" s="14" t="s">
        <v>17</v>
      </c>
      <c r="B741" s="15" t="s">
        <v>493</v>
      </c>
      <c r="C741" s="15" t="s">
        <v>494</v>
      </c>
      <c r="D741" s="14" t="s">
        <v>495</v>
      </c>
      <c r="E741" s="15" t="s">
        <v>62</v>
      </c>
      <c r="F741" s="14" t="s">
        <v>22</v>
      </c>
      <c r="G741" s="15" t="s">
        <v>23</v>
      </c>
      <c r="H741" s="15"/>
      <c r="I741" s="15">
        <v>201406</v>
      </c>
      <c r="J741" s="16">
        <v>-9.69</v>
      </c>
      <c r="K741" s="44">
        <f t="shared" si="59"/>
        <v>41944</v>
      </c>
      <c r="L741" s="45">
        <f t="shared" si="55"/>
        <v>7</v>
      </c>
      <c r="M741" s="17">
        <v>1.4833299999999999E-3</v>
      </c>
      <c r="N741" s="46">
        <f t="shared" si="56"/>
        <v>-0.1006142739</v>
      </c>
      <c r="O741" s="16"/>
      <c r="P741" s="48">
        <f t="shared" si="57"/>
        <v>-4.6633125</v>
      </c>
      <c r="Q741" s="16"/>
      <c r="R741" s="48">
        <f t="shared" si="58"/>
        <v>-0.174880275</v>
      </c>
    </row>
    <row r="742" spans="1:18">
      <c r="A742" s="18" t="s">
        <v>66</v>
      </c>
      <c r="B742" s="15" t="s">
        <v>496</v>
      </c>
      <c r="C742" s="15" t="s">
        <v>497</v>
      </c>
      <c r="D742" s="14" t="s">
        <v>376</v>
      </c>
      <c r="E742" s="15" t="s">
        <v>498</v>
      </c>
      <c r="F742" s="14" t="s">
        <v>378</v>
      </c>
      <c r="G742" s="15" t="s">
        <v>23</v>
      </c>
      <c r="H742" s="15"/>
      <c r="I742" s="15">
        <v>201406</v>
      </c>
      <c r="J742" s="16">
        <v>117876.7</v>
      </c>
      <c r="K742" s="44">
        <f t="shared" si="59"/>
        <v>41944</v>
      </c>
      <c r="L742" s="45">
        <f t="shared" si="55"/>
        <v>7</v>
      </c>
      <c r="M742" s="17">
        <v>2.23333E-3</v>
      </c>
      <c r="N742" s="46">
        <f t="shared" si="56"/>
        <v>1842.8029928770002</v>
      </c>
      <c r="O742" s="16"/>
      <c r="P742" s="48">
        <f t="shared" si="57"/>
        <v>56728.161875000005</v>
      </c>
      <c r="Q742" s="16"/>
      <c r="R742" s="48">
        <f t="shared" si="58"/>
        <v>2127.37974325</v>
      </c>
    </row>
    <row r="743" spans="1:18">
      <c r="A743" s="18" t="s">
        <v>66</v>
      </c>
      <c r="B743" s="15" t="s">
        <v>499</v>
      </c>
      <c r="C743" s="15" t="s">
        <v>500</v>
      </c>
      <c r="D743" s="14" t="s">
        <v>385</v>
      </c>
      <c r="E743" s="15" t="s">
        <v>501</v>
      </c>
      <c r="F743" s="14" t="s">
        <v>387</v>
      </c>
      <c r="G743" s="15" t="s">
        <v>23</v>
      </c>
      <c r="H743" s="15"/>
      <c r="I743" s="15">
        <v>201406</v>
      </c>
      <c r="J743" s="16">
        <v>8244.2999999999993</v>
      </c>
      <c r="K743" s="44">
        <f t="shared" si="59"/>
        <v>41944</v>
      </c>
      <c r="L743" s="45">
        <f t="shared" si="55"/>
        <v>7</v>
      </c>
      <c r="M743" s="17">
        <v>2.23333E-3</v>
      </c>
      <c r="N743" s="46">
        <f t="shared" si="56"/>
        <v>128.88569763300001</v>
      </c>
      <c r="O743" s="16"/>
      <c r="P743" s="48">
        <f t="shared" si="57"/>
        <v>3967.569375</v>
      </c>
      <c r="Q743" s="16"/>
      <c r="R743" s="48">
        <f t="shared" si="58"/>
        <v>148.78900425</v>
      </c>
    </row>
    <row r="744" spans="1:18">
      <c r="A744" s="14" t="s">
        <v>17</v>
      </c>
      <c r="B744" s="15" t="s">
        <v>502</v>
      </c>
      <c r="C744" s="15" t="s">
        <v>503</v>
      </c>
      <c r="D744" s="14" t="s">
        <v>504</v>
      </c>
      <c r="E744" s="15" t="s">
        <v>40</v>
      </c>
      <c r="F744" s="14" t="s">
        <v>41</v>
      </c>
      <c r="G744" s="15" t="s">
        <v>23</v>
      </c>
      <c r="H744" s="15"/>
      <c r="I744" s="15">
        <v>201406</v>
      </c>
      <c r="J744" s="16">
        <v>-11.49</v>
      </c>
      <c r="K744" s="44">
        <f t="shared" si="59"/>
        <v>41944</v>
      </c>
      <c r="L744" s="45">
        <f t="shared" si="55"/>
        <v>7</v>
      </c>
      <c r="M744" s="17">
        <v>1.4833299999999999E-3</v>
      </c>
      <c r="N744" s="46">
        <f t="shared" si="56"/>
        <v>-0.1193042319</v>
      </c>
      <c r="O744" s="16"/>
      <c r="P744" s="48">
        <f t="shared" si="57"/>
        <v>-5.5295625000000008</v>
      </c>
      <c r="Q744" s="16"/>
      <c r="R744" s="48">
        <f t="shared" si="58"/>
        <v>-0.207365775</v>
      </c>
    </row>
    <row r="745" spans="1:18">
      <c r="A745" s="14" t="s">
        <v>17</v>
      </c>
      <c r="B745" s="15" t="s">
        <v>505</v>
      </c>
      <c r="C745" s="15" t="s">
        <v>506</v>
      </c>
      <c r="D745" s="14" t="s">
        <v>507</v>
      </c>
      <c r="E745" s="15" t="s">
        <v>104</v>
      </c>
      <c r="F745" s="14" t="s">
        <v>41</v>
      </c>
      <c r="G745" s="15" t="s">
        <v>23</v>
      </c>
      <c r="H745" s="15"/>
      <c r="I745" s="15">
        <v>201406</v>
      </c>
      <c r="J745" s="16">
        <v>-10.91</v>
      </c>
      <c r="K745" s="44">
        <f t="shared" si="59"/>
        <v>41944</v>
      </c>
      <c r="L745" s="45">
        <f t="shared" si="55"/>
        <v>7</v>
      </c>
      <c r="M745" s="17">
        <v>1.4833299999999999E-3</v>
      </c>
      <c r="N745" s="46">
        <f t="shared" si="56"/>
        <v>-0.11328191209999999</v>
      </c>
      <c r="O745" s="16"/>
      <c r="P745" s="48">
        <f t="shared" si="57"/>
        <v>-5.2504375000000012</v>
      </c>
      <c r="Q745" s="16"/>
      <c r="R745" s="48">
        <f t="shared" si="58"/>
        <v>-0.19689822500000001</v>
      </c>
    </row>
    <row r="746" spans="1:18">
      <c r="A746" s="14" t="s">
        <v>17</v>
      </c>
      <c r="B746" s="15" t="s">
        <v>508</v>
      </c>
      <c r="C746" s="15" t="s">
        <v>509</v>
      </c>
      <c r="D746" s="14" t="s">
        <v>510</v>
      </c>
      <c r="E746" s="15" t="s">
        <v>27</v>
      </c>
      <c r="F746" s="14" t="s">
        <v>28</v>
      </c>
      <c r="G746" s="15" t="s">
        <v>23</v>
      </c>
      <c r="H746" s="15"/>
      <c r="I746" s="15">
        <v>201406</v>
      </c>
      <c r="J746" s="16">
        <v>-629</v>
      </c>
      <c r="K746" s="44">
        <f t="shared" si="59"/>
        <v>41944</v>
      </c>
      <c r="L746" s="45">
        <f t="shared" si="55"/>
        <v>7</v>
      </c>
      <c r="M746" s="17">
        <v>1.4833299999999999E-3</v>
      </c>
      <c r="N746" s="46">
        <f t="shared" si="56"/>
        <v>-6.5311019899999998</v>
      </c>
      <c r="O746" s="16"/>
      <c r="P746" s="48">
        <f t="shared" si="57"/>
        <v>-302.70625000000007</v>
      </c>
      <c r="Q746" s="16"/>
      <c r="R746" s="48">
        <f t="shared" si="58"/>
        <v>-11.351877500000001</v>
      </c>
    </row>
    <row r="747" spans="1:18">
      <c r="A747" s="14" t="s">
        <v>17</v>
      </c>
      <c r="B747" s="15" t="s">
        <v>514</v>
      </c>
      <c r="C747" s="15" t="s">
        <v>515</v>
      </c>
      <c r="D747" s="14" t="s">
        <v>516</v>
      </c>
      <c r="E747" s="15" t="s">
        <v>49</v>
      </c>
      <c r="F747" s="14" t="s">
        <v>22</v>
      </c>
      <c r="G747" s="15" t="s">
        <v>23</v>
      </c>
      <c r="H747" s="15"/>
      <c r="I747" s="15">
        <v>201406</v>
      </c>
      <c r="J747" s="16">
        <v>-18.48</v>
      </c>
      <c r="K747" s="44">
        <f t="shared" si="59"/>
        <v>41944</v>
      </c>
      <c r="L747" s="45">
        <f t="shared" si="55"/>
        <v>7</v>
      </c>
      <c r="M747" s="17">
        <v>1.4833299999999999E-3</v>
      </c>
      <c r="N747" s="46">
        <f t="shared" si="56"/>
        <v>-0.19188356879999999</v>
      </c>
      <c r="O747" s="16"/>
      <c r="P747" s="48">
        <f t="shared" si="57"/>
        <v>-8.8935000000000013</v>
      </c>
      <c r="Q747" s="16"/>
      <c r="R747" s="48">
        <f t="shared" si="58"/>
        <v>-0.33351780000000003</v>
      </c>
    </row>
    <row r="748" spans="1:18">
      <c r="A748" s="14" t="s">
        <v>17</v>
      </c>
      <c r="B748" s="15" t="s">
        <v>517</v>
      </c>
      <c r="C748" s="15" t="s">
        <v>518</v>
      </c>
      <c r="D748" s="14" t="s">
        <v>519</v>
      </c>
      <c r="E748" s="15" t="s">
        <v>125</v>
      </c>
      <c r="F748" s="14" t="s">
        <v>126</v>
      </c>
      <c r="G748" s="15" t="s">
        <v>23</v>
      </c>
      <c r="H748" s="15"/>
      <c r="I748" s="15">
        <v>201406</v>
      </c>
      <c r="J748" s="16">
        <v>-745.79</v>
      </c>
      <c r="K748" s="44">
        <f t="shared" si="59"/>
        <v>41944</v>
      </c>
      <c r="L748" s="45">
        <f t="shared" si="55"/>
        <v>7</v>
      </c>
      <c r="M748" s="17">
        <v>1.4833299999999999E-3</v>
      </c>
      <c r="N748" s="46">
        <f t="shared" si="56"/>
        <v>-7.7437687648999995</v>
      </c>
      <c r="O748" s="16"/>
      <c r="P748" s="48">
        <f t="shared" si="57"/>
        <v>-358.91143750000003</v>
      </c>
      <c r="Q748" s="16"/>
      <c r="R748" s="48">
        <f t="shared" si="58"/>
        <v>-13.459645025</v>
      </c>
    </row>
    <row r="749" spans="1:18">
      <c r="A749" s="14" t="s">
        <v>17</v>
      </c>
      <c r="B749" s="15" t="s">
        <v>520</v>
      </c>
      <c r="C749" s="15" t="s">
        <v>521</v>
      </c>
      <c r="D749" s="14" t="s">
        <v>522</v>
      </c>
      <c r="E749" s="15" t="s">
        <v>125</v>
      </c>
      <c r="F749" s="14" t="s">
        <v>126</v>
      </c>
      <c r="G749" s="15" t="s">
        <v>23</v>
      </c>
      <c r="H749" s="15"/>
      <c r="I749" s="15">
        <v>201406</v>
      </c>
      <c r="J749" s="16">
        <v>-1351.35</v>
      </c>
      <c r="K749" s="44">
        <f t="shared" si="59"/>
        <v>41944</v>
      </c>
      <c r="L749" s="45">
        <f t="shared" si="55"/>
        <v>7</v>
      </c>
      <c r="M749" s="17">
        <v>1.4833299999999999E-3</v>
      </c>
      <c r="N749" s="46">
        <f t="shared" si="56"/>
        <v>-14.031485968499998</v>
      </c>
      <c r="O749" s="16"/>
      <c r="P749" s="48">
        <f t="shared" si="57"/>
        <v>-650.33718750000003</v>
      </c>
      <c r="Q749" s="16"/>
      <c r="R749" s="48">
        <f t="shared" si="58"/>
        <v>-24.388489125</v>
      </c>
    </row>
    <row r="750" spans="1:18">
      <c r="A750" s="14" t="s">
        <v>17</v>
      </c>
      <c r="B750" s="15" t="s">
        <v>523</v>
      </c>
      <c r="C750" s="15" t="s">
        <v>524</v>
      </c>
      <c r="D750" s="14" t="s">
        <v>525</v>
      </c>
      <c r="E750" s="15" t="s">
        <v>141</v>
      </c>
      <c r="F750" s="14" t="s">
        <v>142</v>
      </c>
      <c r="G750" s="15" t="s">
        <v>23</v>
      </c>
      <c r="H750" s="15"/>
      <c r="I750" s="15">
        <v>201406</v>
      </c>
      <c r="J750" s="16">
        <v>-303.99</v>
      </c>
      <c r="K750" s="44">
        <f t="shared" si="59"/>
        <v>41944</v>
      </c>
      <c r="L750" s="45">
        <f t="shared" si="55"/>
        <v>7</v>
      </c>
      <c r="M750" s="17">
        <v>1.4833299999999999E-3</v>
      </c>
      <c r="N750" s="46">
        <f t="shared" si="56"/>
        <v>-3.1564224069</v>
      </c>
      <c r="O750" s="16"/>
      <c r="P750" s="48">
        <f t="shared" si="57"/>
        <v>-146.29518750000003</v>
      </c>
      <c r="Q750" s="16"/>
      <c r="R750" s="48">
        <f t="shared" si="58"/>
        <v>-5.4862595250000004</v>
      </c>
    </row>
    <row r="751" spans="1:18">
      <c r="A751" s="14" t="s">
        <v>17</v>
      </c>
      <c r="B751" s="15" t="s">
        <v>529</v>
      </c>
      <c r="C751" s="15" t="s">
        <v>530</v>
      </c>
      <c r="D751" s="14" t="s">
        <v>531</v>
      </c>
      <c r="E751" s="15" t="s">
        <v>141</v>
      </c>
      <c r="F751" s="14" t="s">
        <v>142</v>
      </c>
      <c r="G751" s="15" t="s">
        <v>23</v>
      </c>
      <c r="H751" s="15"/>
      <c r="I751" s="15">
        <v>201406</v>
      </c>
      <c r="J751" s="16">
        <v>-421.12</v>
      </c>
      <c r="K751" s="44">
        <f t="shared" si="59"/>
        <v>41944</v>
      </c>
      <c r="L751" s="45">
        <f t="shared" si="55"/>
        <v>7</v>
      </c>
      <c r="M751" s="17">
        <v>1.4833299999999999E-3</v>
      </c>
      <c r="N751" s="46">
        <f t="shared" si="56"/>
        <v>-4.3726195071999996</v>
      </c>
      <c r="O751" s="16"/>
      <c r="P751" s="48">
        <f t="shared" si="57"/>
        <v>-202.66400000000004</v>
      </c>
      <c r="Q751" s="16"/>
      <c r="R751" s="48">
        <f t="shared" si="58"/>
        <v>-7.6001632000000008</v>
      </c>
    </row>
    <row r="752" spans="1:18">
      <c r="A752" s="14" t="s">
        <v>17</v>
      </c>
      <c r="B752" s="15" t="s">
        <v>532</v>
      </c>
      <c r="C752" s="15" t="s">
        <v>533</v>
      </c>
      <c r="D752" s="14" t="s">
        <v>534</v>
      </c>
      <c r="E752" s="15" t="s">
        <v>535</v>
      </c>
      <c r="F752" s="14" t="s">
        <v>536</v>
      </c>
      <c r="G752" s="15" t="s">
        <v>23</v>
      </c>
      <c r="H752" s="15"/>
      <c r="I752" s="15">
        <v>201406</v>
      </c>
      <c r="J752" s="16">
        <v>25562.89</v>
      </c>
      <c r="K752" s="44">
        <f t="shared" si="59"/>
        <v>41944</v>
      </c>
      <c r="L752" s="45">
        <f t="shared" si="55"/>
        <v>7</v>
      </c>
      <c r="M752" s="17">
        <v>1.4833299999999999E-3</v>
      </c>
      <c r="N752" s="46">
        <f t="shared" si="56"/>
        <v>265.42741136590001</v>
      </c>
      <c r="O752" s="16"/>
      <c r="P752" s="48">
        <f t="shared" si="57"/>
        <v>12302.140812500002</v>
      </c>
      <c r="Q752" s="16"/>
      <c r="R752" s="48">
        <f t="shared" si="58"/>
        <v>461.34625727500003</v>
      </c>
    </row>
    <row r="753" spans="1:18">
      <c r="A753" s="14" t="s">
        <v>17</v>
      </c>
      <c r="B753" s="15" t="s">
        <v>537</v>
      </c>
      <c r="C753" s="15" t="s">
        <v>538</v>
      </c>
      <c r="D753" s="14" t="s">
        <v>539</v>
      </c>
      <c r="E753" s="15" t="s">
        <v>53</v>
      </c>
      <c r="F753" s="14" t="s">
        <v>41</v>
      </c>
      <c r="G753" s="15" t="s">
        <v>23</v>
      </c>
      <c r="H753" s="15"/>
      <c r="I753" s="15">
        <v>201406</v>
      </c>
      <c r="J753" s="16">
        <v>-945.97</v>
      </c>
      <c r="K753" s="44">
        <f t="shared" si="59"/>
        <v>41944</v>
      </c>
      <c r="L753" s="45">
        <f t="shared" si="55"/>
        <v>7</v>
      </c>
      <c r="M753" s="17">
        <v>1.4833299999999999E-3</v>
      </c>
      <c r="N753" s="46">
        <f t="shared" si="56"/>
        <v>-9.8222997607</v>
      </c>
      <c r="O753" s="16"/>
      <c r="P753" s="48">
        <f t="shared" si="57"/>
        <v>-455.24806250000006</v>
      </c>
      <c r="Q753" s="16"/>
      <c r="R753" s="48">
        <f t="shared" si="58"/>
        <v>-17.072393575000003</v>
      </c>
    </row>
    <row r="754" spans="1:18">
      <c r="A754" s="14" t="s">
        <v>17</v>
      </c>
      <c r="B754" s="15" t="s">
        <v>540</v>
      </c>
      <c r="C754" s="15" t="s">
        <v>541</v>
      </c>
      <c r="D754" s="14" t="s">
        <v>542</v>
      </c>
      <c r="E754" s="15" t="s">
        <v>216</v>
      </c>
      <c r="F754" s="14" t="s">
        <v>22</v>
      </c>
      <c r="G754" s="15" t="s">
        <v>23</v>
      </c>
      <c r="H754" s="15"/>
      <c r="I754" s="15">
        <v>201406</v>
      </c>
      <c r="J754" s="16">
        <v>-131.44999999999999</v>
      </c>
      <c r="K754" s="44">
        <f t="shared" si="59"/>
        <v>41944</v>
      </c>
      <c r="L754" s="45">
        <f t="shared" si="55"/>
        <v>7</v>
      </c>
      <c r="M754" s="17">
        <v>1.4833299999999999E-3</v>
      </c>
      <c r="N754" s="46">
        <f t="shared" si="56"/>
        <v>-1.3648860994999998</v>
      </c>
      <c r="O754" s="16"/>
      <c r="P754" s="48">
        <f t="shared" si="57"/>
        <v>-63.260312500000005</v>
      </c>
      <c r="Q754" s="16"/>
      <c r="R754" s="48">
        <f t="shared" si="58"/>
        <v>-2.3723438749999999</v>
      </c>
    </row>
    <row r="755" spans="1:18">
      <c r="A755" s="14" t="s">
        <v>54</v>
      </c>
      <c r="B755" s="15" t="s">
        <v>549</v>
      </c>
      <c r="C755" s="15" t="s">
        <v>550</v>
      </c>
      <c r="D755" s="14" t="s">
        <v>551</v>
      </c>
      <c r="E755" s="15" t="s">
        <v>136</v>
      </c>
      <c r="F755" s="14" t="s">
        <v>137</v>
      </c>
      <c r="G755" s="15" t="s">
        <v>23</v>
      </c>
      <c r="H755" s="15"/>
      <c r="I755" s="15">
        <v>201406</v>
      </c>
      <c r="J755" s="16">
        <v>197662.29</v>
      </c>
      <c r="K755" s="44">
        <f t="shared" si="59"/>
        <v>41944</v>
      </c>
      <c r="L755" s="45">
        <f t="shared" si="55"/>
        <v>7</v>
      </c>
      <c r="M755" s="17">
        <v>1.4833299999999999E-3</v>
      </c>
      <c r="N755" s="46">
        <f t="shared" si="56"/>
        <v>2052.3888323799001</v>
      </c>
      <c r="O755" s="16"/>
      <c r="P755" s="48">
        <f t="shared" si="57"/>
        <v>95124.977062500024</v>
      </c>
      <c r="Q755" s="16"/>
      <c r="R755" s="48">
        <f t="shared" si="58"/>
        <v>3567.3101787750002</v>
      </c>
    </row>
    <row r="756" spans="1:18">
      <c r="A756" s="14" t="s">
        <v>17</v>
      </c>
      <c r="B756" s="15" t="s">
        <v>552</v>
      </c>
      <c r="C756" s="15" t="s">
        <v>553</v>
      </c>
      <c r="D756" s="14" t="s">
        <v>554</v>
      </c>
      <c r="E756" s="15" t="s">
        <v>62</v>
      </c>
      <c r="F756" s="14" t="s">
        <v>22</v>
      </c>
      <c r="G756" s="15" t="s">
        <v>23</v>
      </c>
      <c r="H756" s="15"/>
      <c r="I756" s="15">
        <v>201406</v>
      </c>
      <c r="J756" s="16">
        <v>12696.07</v>
      </c>
      <c r="K756" s="44">
        <f t="shared" si="59"/>
        <v>41944</v>
      </c>
      <c r="L756" s="45">
        <f t="shared" si="55"/>
        <v>7</v>
      </c>
      <c r="M756" s="17">
        <v>1.4833299999999999E-3</v>
      </c>
      <c r="N756" s="46">
        <f t="shared" si="56"/>
        <v>131.82723059169999</v>
      </c>
      <c r="O756" s="16"/>
      <c r="P756" s="48">
        <f t="shared" si="57"/>
        <v>6109.983687500001</v>
      </c>
      <c r="Q756" s="16"/>
      <c r="R756" s="48">
        <f t="shared" si="58"/>
        <v>229.13232332500002</v>
      </c>
    </row>
    <row r="757" spans="1:18">
      <c r="A757" s="14" t="s">
        <v>17</v>
      </c>
      <c r="B757" s="15" t="s">
        <v>555</v>
      </c>
      <c r="C757" s="15" t="s">
        <v>556</v>
      </c>
      <c r="D757" s="14" t="s">
        <v>557</v>
      </c>
      <c r="E757" s="15" t="s">
        <v>141</v>
      </c>
      <c r="F757" s="14" t="s">
        <v>142</v>
      </c>
      <c r="G757" s="15" t="s">
        <v>23</v>
      </c>
      <c r="H757" s="15"/>
      <c r="I757" s="15">
        <v>201406</v>
      </c>
      <c r="J757" s="16">
        <v>5941.18</v>
      </c>
      <c r="K757" s="44">
        <f t="shared" si="59"/>
        <v>41944</v>
      </c>
      <c r="L757" s="45">
        <f t="shared" si="55"/>
        <v>7</v>
      </c>
      <c r="M757" s="17">
        <v>1.4833299999999999E-3</v>
      </c>
      <c r="N757" s="46">
        <f t="shared" si="56"/>
        <v>61.689113705800004</v>
      </c>
      <c r="O757" s="16"/>
      <c r="P757" s="48">
        <f t="shared" si="57"/>
        <v>2859.1928750000006</v>
      </c>
      <c r="Q757" s="16"/>
      <c r="R757" s="48">
        <f t="shared" si="58"/>
        <v>107.22344605000001</v>
      </c>
    </row>
    <row r="758" spans="1:18">
      <c r="A758" s="14" t="s">
        <v>54</v>
      </c>
      <c r="B758" s="15" t="s">
        <v>558</v>
      </c>
      <c r="C758" s="15" t="s">
        <v>559</v>
      </c>
      <c r="D758" s="14" t="s">
        <v>560</v>
      </c>
      <c r="E758" s="15" t="s">
        <v>36</v>
      </c>
      <c r="F758" s="14" t="s">
        <v>22</v>
      </c>
      <c r="G758" s="15" t="s">
        <v>23</v>
      </c>
      <c r="H758" s="15"/>
      <c r="I758" s="15">
        <v>201406</v>
      </c>
      <c r="J758" s="16">
        <v>-1043.6600000000001</v>
      </c>
      <c r="K758" s="44">
        <f t="shared" si="59"/>
        <v>41944</v>
      </c>
      <c r="L758" s="45">
        <f t="shared" si="55"/>
        <v>7</v>
      </c>
      <c r="M758" s="17">
        <v>1.4833299999999999E-3</v>
      </c>
      <c r="N758" s="46">
        <f t="shared" si="56"/>
        <v>-10.8366453146</v>
      </c>
      <c r="O758" s="16"/>
      <c r="P758" s="48">
        <f t="shared" si="57"/>
        <v>-502.2613750000001</v>
      </c>
      <c r="Q758" s="16"/>
      <c r="R758" s="48">
        <f t="shared" si="58"/>
        <v>-18.835453850000004</v>
      </c>
    </row>
    <row r="759" spans="1:18">
      <c r="A759" s="14" t="s">
        <v>54</v>
      </c>
      <c r="B759" s="15" t="s">
        <v>561</v>
      </c>
      <c r="C759" s="15" t="s">
        <v>562</v>
      </c>
      <c r="D759" s="14" t="s">
        <v>563</v>
      </c>
      <c r="E759" s="15" t="s">
        <v>58</v>
      </c>
      <c r="F759" s="14" t="s">
        <v>22</v>
      </c>
      <c r="G759" s="15" t="s">
        <v>23</v>
      </c>
      <c r="H759" s="15"/>
      <c r="I759" s="15">
        <v>201406</v>
      </c>
      <c r="J759" s="16">
        <v>31894.27</v>
      </c>
      <c r="K759" s="44">
        <f t="shared" si="59"/>
        <v>41944</v>
      </c>
      <c r="L759" s="45">
        <f t="shared" si="55"/>
        <v>7</v>
      </c>
      <c r="M759" s="17">
        <v>1.4833299999999999E-3</v>
      </c>
      <c r="N759" s="46">
        <f t="shared" si="56"/>
        <v>331.16809263369998</v>
      </c>
      <c r="O759" s="16"/>
      <c r="P759" s="48">
        <f t="shared" si="57"/>
        <v>15349.117437500003</v>
      </c>
      <c r="Q759" s="16"/>
      <c r="R759" s="48">
        <f t="shared" si="58"/>
        <v>575.61183782500007</v>
      </c>
    </row>
    <row r="760" spans="1:18">
      <c r="A760" s="14" t="s">
        <v>17</v>
      </c>
      <c r="B760" s="15" t="s">
        <v>564</v>
      </c>
      <c r="C760" s="15" t="s">
        <v>565</v>
      </c>
      <c r="D760" s="14" t="s">
        <v>566</v>
      </c>
      <c r="E760" s="15" t="s">
        <v>567</v>
      </c>
      <c r="F760" s="14" t="s">
        <v>137</v>
      </c>
      <c r="G760" s="15" t="s">
        <v>23</v>
      </c>
      <c r="H760" s="15"/>
      <c r="I760" s="15">
        <v>201406</v>
      </c>
      <c r="J760" s="16">
        <v>-1256.78</v>
      </c>
      <c r="K760" s="44">
        <f t="shared" si="59"/>
        <v>41944</v>
      </c>
      <c r="L760" s="45">
        <f t="shared" si="55"/>
        <v>7</v>
      </c>
      <c r="M760" s="17">
        <v>1.4833299999999999E-3</v>
      </c>
      <c r="N760" s="46">
        <f t="shared" si="56"/>
        <v>-13.0495363418</v>
      </c>
      <c r="O760" s="16"/>
      <c r="P760" s="48">
        <f t="shared" si="57"/>
        <v>-604.82537500000012</v>
      </c>
      <c r="Q760" s="16"/>
      <c r="R760" s="48">
        <f t="shared" si="58"/>
        <v>-22.681737050000002</v>
      </c>
    </row>
    <row r="761" spans="1:18">
      <c r="A761" s="14" t="s">
        <v>17</v>
      </c>
      <c r="B761" s="15" t="s">
        <v>568</v>
      </c>
      <c r="C761" s="15" t="s">
        <v>569</v>
      </c>
      <c r="D761" s="14" t="s">
        <v>570</v>
      </c>
      <c r="E761" s="15" t="s">
        <v>324</v>
      </c>
      <c r="F761" s="14" t="s">
        <v>325</v>
      </c>
      <c r="G761" s="15" t="s">
        <v>23</v>
      </c>
      <c r="H761" s="15"/>
      <c r="I761" s="15">
        <v>201406</v>
      </c>
      <c r="J761" s="16">
        <v>-256.16000000000003</v>
      </c>
      <c r="K761" s="44">
        <f t="shared" si="59"/>
        <v>41944</v>
      </c>
      <c r="L761" s="45">
        <f t="shared" si="55"/>
        <v>7</v>
      </c>
      <c r="M761" s="17">
        <v>1.4833299999999999E-3</v>
      </c>
      <c r="N761" s="46">
        <f t="shared" si="56"/>
        <v>-2.6597886896</v>
      </c>
      <c r="O761" s="16"/>
      <c r="P761" s="48">
        <f t="shared" si="57"/>
        <v>-123.27700000000003</v>
      </c>
      <c r="Q761" s="16"/>
      <c r="R761" s="48">
        <f t="shared" si="58"/>
        <v>-4.6230476000000005</v>
      </c>
    </row>
    <row r="762" spans="1:18">
      <c r="A762" s="14" t="s">
        <v>17</v>
      </c>
      <c r="B762" s="15" t="s">
        <v>571</v>
      </c>
      <c r="C762" s="15" t="s">
        <v>572</v>
      </c>
      <c r="D762" s="14" t="s">
        <v>573</v>
      </c>
      <c r="E762" s="15" t="s">
        <v>574</v>
      </c>
      <c r="F762" s="14" t="s">
        <v>28</v>
      </c>
      <c r="G762" s="15" t="s">
        <v>23</v>
      </c>
      <c r="H762" s="15"/>
      <c r="I762" s="15">
        <v>201406</v>
      </c>
      <c r="J762" s="16">
        <v>-22.06</v>
      </c>
      <c r="K762" s="44">
        <f t="shared" si="59"/>
        <v>41944</v>
      </c>
      <c r="L762" s="45">
        <f t="shared" si="55"/>
        <v>7</v>
      </c>
      <c r="M762" s="17">
        <v>1.4833299999999999E-3</v>
      </c>
      <c r="N762" s="46">
        <f t="shared" si="56"/>
        <v>-0.22905581859999999</v>
      </c>
      <c r="O762" s="16"/>
      <c r="P762" s="48">
        <f t="shared" si="57"/>
        <v>-10.616375000000001</v>
      </c>
      <c r="Q762" s="16"/>
      <c r="R762" s="48">
        <f t="shared" si="58"/>
        <v>-0.39812785000000001</v>
      </c>
    </row>
    <row r="763" spans="1:18">
      <c r="A763" s="14" t="s">
        <v>17</v>
      </c>
      <c r="B763" s="15" t="s">
        <v>578</v>
      </c>
      <c r="C763" s="15" t="s">
        <v>579</v>
      </c>
      <c r="D763" s="14" t="s">
        <v>580</v>
      </c>
      <c r="E763" s="15" t="s">
        <v>136</v>
      </c>
      <c r="F763" s="14" t="s">
        <v>137</v>
      </c>
      <c r="G763" s="15" t="s">
        <v>23</v>
      </c>
      <c r="H763" s="15"/>
      <c r="I763" s="15">
        <v>201406</v>
      </c>
      <c r="J763" s="16">
        <v>-1309.82</v>
      </c>
      <c r="K763" s="44">
        <f t="shared" si="59"/>
        <v>41944</v>
      </c>
      <c r="L763" s="45">
        <f t="shared" si="55"/>
        <v>7</v>
      </c>
      <c r="M763" s="17">
        <v>1.4833299999999999E-3</v>
      </c>
      <c r="N763" s="46">
        <f t="shared" si="56"/>
        <v>-13.600267104199999</v>
      </c>
      <c r="O763" s="16"/>
      <c r="P763" s="48">
        <f t="shared" si="57"/>
        <v>-630.35087500000009</v>
      </c>
      <c r="Q763" s="16"/>
      <c r="R763" s="48">
        <f t="shared" si="58"/>
        <v>-23.638976450000001</v>
      </c>
    </row>
    <row r="764" spans="1:18">
      <c r="A764" s="14" t="s">
        <v>17</v>
      </c>
      <c r="B764" s="15" t="s">
        <v>584</v>
      </c>
      <c r="C764" s="15" t="s">
        <v>585</v>
      </c>
      <c r="D764" s="14" t="s">
        <v>586</v>
      </c>
      <c r="E764" s="15" t="s">
        <v>62</v>
      </c>
      <c r="F764" s="14" t="s">
        <v>22</v>
      </c>
      <c r="G764" s="15" t="s">
        <v>23</v>
      </c>
      <c r="H764" s="15"/>
      <c r="I764" s="15">
        <v>201406</v>
      </c>
      <c r="J764" s="16">
        <v>56713.72</v>
      </c>
      <c r="K764" s="44">
        <f t="shared" si="59"/>
        <v>41944</v>
      </c>
      <c r="L764" s="45">
        <f t="shared" si="55"/>
        <v>7</v>
      </c>
      <c r="M764" s="17">
        <v>1.4833299999999999E-3</v>
      </c>
      <c r="N764" s="46">
        <f t="shared" si="56"/>
        <v>588.87613601320004</v>
      </c>
      <c r="O764" s="16"/>
      <c r="P764" s="48">
        <f t="shared" si="57"/>
        <v>27293.477750000005</v>
      </c>
      <c r="Q764" s="16"/>
      <c r="R764" s="48">
        <f t="shared" si="58"/>
        <v>1023.5408617000001</v>
      </c>
    </row>
    <row r="765" spans="1:18">
      <c r="A765" s="18" t="s">
        <v>66</v>
      </c>
      <c r="B765" s="15" t="s">
        <v>587</v>
      </c>
      <c r="C765" s="15" t="s">
        <v>588</v>
      </c>
      <c r="D765" s="14" t="s">
        <v>589</v>
      </c>
      <c r="E765" s="15" t="s">
        <v>590</v>
      </c>
      <c r="F765" s="14" t="s">
        <v>591</v>
      </c>
      <c r="G765" s="15" t="s">
        <v>23</v>
      </c>
      <c r="H765" s="15"/>
      <c r="I765" s="15">
        <v>201406</v>
      </c>
      <c r="J765" s="16">
        <v>-0.32</v>
      </c>
      <c r="K765" s="44">
        <f t="shared" si="59"/>
        <v>41944</v>
      </c>
      <c r="L765" s="45">
        <f t="shared" si="55"/>
        <v>7</v>
      </c>
      <c r="M765" s="17">
        <v>2.23333E-3</v>
      </c>
      <c r="N765" s="46">
        <f t="shared" si="56"/>
        <v>-5.0026592000000005E-3</v>
      </c>
      <c r="O765" s="16"/>
      <c r="P765" s="48">
        <f t="shared" si="57"/>
        <v>-0.15400000000000003</v>
      </c>
      <c r="Q765" s="16"/>
      <c r="R765" s="48">
        <f t="shared" si="58"/>
        <v>-5.7752000000000003E-3</v>
      </c>
    </row>
    <row r="766" spans="1:18">
      <c r="A766" s="18" t="s">
        <v>66</v>
      </c>
      <c r="B766" s="15" t="s">
        <v>592</v>
      </c>
      <c r="C766" s="15" t="s">
        <v>593</v>
      </c>
      <c r="D766" s="14" t="s">
        <v>381</v>
      </c>
      <c r="E766" s="15" t="s">
        <v>594</v>
      </c>
      <c r="F766" s="14" t="s">
        <v>212</v>
      </c>
      <c r="G766" s="15" t="s">
        <v>23</v>
      </c>
      <c r="H766" s="15"/>
      <c r="I766" s="15">
        <v>201406</v>
      </c>
      <c r="J766" s="16">
        <v>8487.36</v>
      </c>
      <c r="K766" s="44">
        <f t="shared" si="59"/>
        <v>41944</v>
      </c>
      <c r="L766" s="45">
        <f t="shared" si="55"/>
        <v>7</v>
      </c>
      <c r="M766" s="17">
        <v>2.23333E-3</v>
      </c>
      <c r="N766" s="46">
        <f t="shared" si="56"/>
        <v>132.68552996160003</v>
      </c>
      <c r="O766" s="16"/>
      <c r="P766" s="48">
        <f t="shared" si="57"/>
        <v>4084.5420000000008</v>
      </c>
      <c r="Q766" s="16"/>
      <c r="R766" s="48">
        <f t="shared" si="58"/>
        <v>153.17562960000001</v>
      </c>
    </row>
    <row r="767" spans="1:18">
      <c r="A767" s="18" t="s">
        <v>66</v>
      </c>
      <c r="B767" s="15" t="s">
        <v>595</v>
      </c>
      <c r="C767" s="15" t="s">
        <v>596</v>
      </c>
      <c r="D767" s="14" t="s">
        <v>597</v>
      </c>
      <c r="E767" s="15" t="s">
        <v>598</v>
      </c>
      <c r="F767" s="14" t="s">
        <v>212</v>
      </c>
      <c r="G767" s="15" t="s">
        <v>23</v>
      </c>
      <c r="H767" s="15"/>
      <c r="I767" s="15">
        <v>201406</v>
      </c>
      <c r="J767" s="16">
        <v>64849.87</v>
      </c>
      <c r="K767" s="44">
        <f t="shared" si="59"/>
        <v>41944</v>
      </c>
      <c r="L767" s="45">
        <f t="shared" si="55"/>
        <v>7</v>
      </c>
      <c r="M767" s="17">
        <v>2.23333E-3</v>
      </c>
      <c r="N767" s="46">
        <f t="shared" si="56"/>
        <v>1013.8181211697001</v>
      </c>
      <c r="O767" s="16"/>
      <c r="P767" s="48">
        <f t="shared" si="57"/>
        <v>31208.999937500004</v>
      </c>
      <c r="Q767" s="16"/>
      <c r="R767" s="48">
        <f t="shared" si="58"/>
        <v>1170.378028825</v>
      </c>
    </row>
    <row r="768" spans="1:18">
      <c r="A768" s="18" t="s">
        <v>66</v>
      </c>
      <c r="B768" s="15" t="s">
        <v>599</v>
      </c>
      <c r="C768" s="15" t="s">
        <v>600</v>
      </c>
      <c r="D768" s="14" t="s">
        <v>385</v>
      </c>
      <c r="E768" s="15" t="s">
        <v>601</v>
      </c>
      <c r="F768" s="14" t="s">
        <v>387</v>
      </c>
      <c r="G768" s="15" t="s">
        <v>23</v>
      </c>
      <c r="H768" s="15"/>
      <c r="I768" s="15">
        <v>201406</v>
      </c>
      <c r="J768" s="16">
        <v>-1598.78</v>
      </c>
      <c r="K768" s="44">
        <f t="shared" si="59"/>
        <v>41944</v>
      </c>
      <c r="L768" s="45">
        <f t="shared" si="55"/>
        <v>7</v>
      </c>
      <c r="M768" s="17">
        <v>2.23333E-3</v>
      </c>
      <c r="N768" s="46">
        <f t="shared" si="56"/>
        <v>-24.9942233618</v>
      </c>
      <c r="O768" s="16"/>
      <c r="P768" s="48">
        <f t="shared" si="57"/>
        <v>-769.4128750000001</v>
      </c>
      <c r="Q768" s="16"/>
      <c r="R768" s="48">
        <f t="shared" si="58"/>
        <v>-28.853982050000003</v>
      </c>
    </row>
    <row r="769" spans="1:18">
      <c r="A769" s="14" t="s">
        <v>17</v>
      </c>
      <c r="B769" s="15" t="s">
        <v>602</v>
      </c>
      <c r="C769" s="15" t="s">
        <v>603</v>
      </c>
      <c r="D769" s="14" t="s">
        <v>604</v>
      </c>
      <c r="E769" s="15" t="s">
        <v>58</v>
      </c>
      <c r="F769" s="14" t="s">
        <v>22</v>
      </c>
      <c r="G769" s="15" t="s">
        <v>23</v>
      </c>
      <c r="H769" s="15"/>
      <c r="I769" s="15">
        <v>201406</v>
      </c>
      <c r="J769" s="16">
        <v>20.420000000000002</v>
      </c>
      <c r="K769" s="44">
        <f t="shared" si="59"/>
        <v>41944</v>
      </c>
      <c r="L769" s="45">
        <f t="shared" si="55"/>
        <v>7</v>
      </c>
      <c r="M769" s="17">
        <v>1.4833299999999999E-3</v>
      </c>
      <c r="N769" s="46">
        <f t="shared" si="56"/>
        <v>0.21202719020000002</v>
      </c>
      <c r="O769" s="16"/>
      <c r="P769" s="48">
        <f t="shared" si="57"/>
        <v>9.8271250000000023</v>
      </c>
      <c r="Q769" s="16"/>
      <c r="R769" s="48">
        <f t="shared" si="58"/>
        <v>0.36852995000000005</v>
      </c>
    </row>
    <row r="770" spans="1:18">
      <c r="A770" s="14" t="s">
        <v>17</v>
      </c>
      <c r="B770" s="15" t="s">
        <v>605</v>
      </c>
      <c r="C770" s="15" t="s">
        <v>606</v>
      </c>
      <c r="D770" s="14" t="s">
        <v>607</v>
      </c>
      <c r="E770" s="15" t="s">
        <v>62</v>
      </c>
      <c r="F770" s="14" t="s">
        <v>22</v>
      </c>
      <c r="G770" s="15" t="s">
        <v>23</v>
      </c>
      <c r="H770" s="15"/>
      <c r="I770" s="15">
        <v>201406</v>
      </c>
      <c r="J770" s="16">
        <v>-1384.95</v>
      </c>
      <c r="K770" s="44">
        <f t="shared" si="59"/>
        <v>41944</v>
      </c>
      <c r="L770" s="45">
        <f t="shared" si="55"/>
        <v>7</v>
      </c>
      <c r="M770" s="17">
        <v>1.4833299999999999E-3</v>
      </c>
      <c r="N770" s="46">
        <f t="shared" si="56"/>
        <v>-14.3803651845</v>
      </c>
      <c r="O770" s="16"/>
      <c r="P770" s="48">
        <f t="shared" si="57"/>
        <v>-666.5071875000001</v>
      </c>
      <c r="Q770" s="16"/>
      <c r="R770" s="48">
        <f t="shared" si="58"/>
        <v>-24.994885125000003</v>
      </c>
    </row>
    <row r="771" spans="1:18">
      <c r="A771" s="14" t="s">
        <v>17</v>
      </c>
      <c r="B771" s="15" t="s">
        <v>608</v>
      </c>
      <c r="C771" s="15" t="s">
        <v>609</v>
      </c>
      <c r="D771" s="14" t="s">
        <v>610</v>
      </c>
      <c r="E771" s="15" t="s">
        <v>45</v>
      </c>
      <c r="F771" s="14" t="s">
        <v>22</v>
      </c>
      <c r="G771" s="15" t="s">
        <v>23</v>
      </c>
      <c r="H771" s="15"/>
      <c r="I771" s="15">
        <v>201406</v>
      </c>
      <c r="J771" s="16">
        <v>-2073.87</v>
      </c>
      <c r="K771" s="44">
        <f t="shared" si="59"/>
        <v>41944</v>
      </c>
      <c r="L771" s="45">
        <f t="shared" si="55"/>
        <v>7</v>
      </c>
      <c r="M771" s="17">
        <v>1.4833299999999999E-3</v>
      </c>
      <c r="N771" s="46">
        <f t="shared" si="56"/>
        <v>-21.533635109699997</v>
      </c>
      <c r="O771" s="16"/>
      <c r="P771" s="48">
        <f t="shared" si="57"/>
        <v>-998.04993750000006</v>
      </c>
      <c r="Q771" s="16"/>
      <c r="R771" s="48">
        <f t="shared" si="58"/>
        <v>-37.428168825</v>
      </c>
    </row>
    <row r="772" spans="1:18">
      <c r="A772" s="14" t="s">
        <v>17</v>
      </c>
      <c r="B772" s="15" t="s">
        <v>614</v>
      </c>
      <c r="C772" s="15" t="s">
        <v>615</v>
      </c>
      <c r="D772" s="14" t="s">
        <v>616</v>
      </c>
      <c r="E772" s="15" t="s">
        <v>40</v>
      </c>
      <c r="F772" s="14" t="s">
        <v>41</v>
      </c>
      <c r="G772" s="15" t="s">
        <v>23</v>
      </c>
      <c r="H772" s="15"/>
      <c r="I772" s="15">
        <v>201406</v>
      </c>
      <c r="J772" s="16">
        <v>-628.07000000000005</v>
      </c>
      <c r="K772" s="44">
        <f t="shared" si="59"/>
        <v>41944</v>
      </c>
      <c r="L772" s="45">
        <f t="shared" si="55"/>
        <v>7</v>
      </c>
      <c r="M772" s="17">
        <v>1.4833299999999999E-3</v>
      </c>
      <c r="N772" s="46">
        <f t="shared" si="56"/>
        <v>-6.5214455117000005</v>
      </c>
      <c r="O772" s="16"/>
      <c r="P772" s="48">
        <f t="shared" si="57"/>
        <v>-302.25868750000006</v>
      </c>
      <c r="Q772" s="16"/>
      <c r="R772" s="48">
        <f t="shared" si="58"/>
        <v>-11.335093325000001</v>
      </c>
    </row>
    <row r="773" spans="1:18">
      <c r="A773" s="14" t="s">
        <v>17</v>
      </c>
      <c r="B773" s="15" t="s">
        <v>617</v>
      </c>
      <c r="C773" s="15" t="s">
        <v>618</v>
      </c>
      <c r="D773" s="14" t="s">
        <v>619</v>
      </c>
      <c r="E773" s="15" t="s">
        <v>141</v>
      </c>
      <c r="F773" s="14" t="s">
        <v>142</v>
      </c>
      <c r="G773" s="15" t="s">
        <v>23</v>
      </c>
      <c r="H773" s="15"/>
      <c r="I773" s="15">
        <v>201406</v>
      </c>
      <c r="J773" s="16">
        <v>-587.94000000000005</v>
      </c>
      <c r="K773" s="44">
        <f t="shared" si="59"/>
        <v>41944</v>
      </c>
      <c r="L773" s="45">
        <f t="shared" si="55"/>
        <v>7</v>
      </c>
      <c r="M773" s="17">
        <v>1.4833299999999999E-3</v>
      </c>
      <c r="N773" s="46">
        <f t="shared" si="56"/>
        <v>-6.1047632814000004</v>
      </c>
      <c r="O773" s="16"/>
      <c r="P773" s="48">
        <f t="shared" si="57"/>
        <v>-282.94612500000005</v>
      </c>
      <c r="Q773" s="16"/>
      <c r="R773" s="48">
        <f t="shared" si="58"/>
        <v>-10.610847150000001</v>
      </c>
    </row>
    <row r="774" spans="1:18">
      <c r="A774" s="18" t="s">
        <v>66</v>
      </c>
      <c r="B774" s="15" t="s">
        <v>620</v>
      </c>
      <c r="C774" s="15" t="s">
        <v>621</v>
      </c>
      <c r="D774" s="14" t="s">
        <v>622</v>
      </c>
      <c r="E774" s="15" t="s">
        <v>623</v>
      </c>
      <c r="F774" s="14" t="s">
        <v>624</v>
      </c>
      <c r="G774" s="15" t="s">
        <v>23</v>
      </c>
      <c r="H774" s="15"/>
      <c r="I774" s="15">
        <v>201406</v>
      </c>
      <c r="J774" s="16">
        <v>-215.09</v>
      </c>
      <c r="K774" s="44">
        <f t="shared" si="59"/>
        <v>41944</v>
      </c>
      <c r="L774" s="45">
        <f t="shared" ref="L774:L837" si="60">((YEAR($L$1)-YEAR(K774))*12+MONTH($L$1)-MONTH(K774))</f>
        <v>7</v>
      </c>
      <c r="M774" s="17">
        <v>2.23333E-3</v>
      </c>
      <c r="N774" s="46">
        <f t="shared" ref="N774:N837" si="61">M774*L774*J774</f>
        <v>-3.3625686479000003</v>
      </c>
      <c r="O774" s="16"/>
      <c r="P774" s="48">
        <f t="shared" ref="P774:P837" si="62">$P$4*J774</f>
        <v>-103.51206250000001</v>
      </c>
      <c r="Q774" s="16"/>
      <c r="R774" s="48">
        <f t="shared" ref="R774:R837" si="63">$R$4*(J774*0.5)*$T$9</f>
        <v>-3.8818367750000005</v>
      </c>
    </row>
    <row r="775" spans="1:18">
      <c r="A775" s="14" t="s">
        <v>17</v>
      </c>
      <c r="B775" s="15" t="s">
        <v>625</v>
      </c>
      <c r="C775" s="15" t="s">
        <v>626</v>
      </c>
      <c r="D775" s="14" t="s">
        <v>627</v>
      </c>
      <c r="E775" s="15" t="s">
        <v>62</v>
      </c>
      <c r="F775" s="14" t="s">
        <v>22</v>
      </c>
      <c r="G775" s="15" t="s">
        <v>23</v>
      </c>
      <c r="H775" s="15"/>
      <c r="I775" s="15">
        <v>201406</v>
      </c>
      <c r="J775" s="16">
        <v>-1209.56</v>
      </c>
      <c r="K775" s="44">
        <f t="shared" ref="K775:K838" si="64">+K774</f>
        <v>41944</v>
      </c>
      <c r="L775" s="45">
        <f t="shared" si="60"/>
        <v>7</v>
      </c>
      <c r="M775" s="17">
        <v>1.4833299999999999E-3</v>
      </c>
      <c r="N775" s="46">
        <f t="shared" si="61"/>
        <v>-12.5592364436</v>
      </c>
      <c r="O775" s="16"/>
      <c r="P775" s="48">
        <f t="shared" si="62"/>
        <v>-582.10075000000006</v>
      </c>
      <c r="Q775" s="16"/>
      <c r="R775" s="48">
        <f t="shared" si="63"/>
        <v>-21.8295341</v>
      </c>
    </row>
    <row r="776" spans="1:18">
      <c r="A776" s="14" t="s">
        <v>17</v>
      </c>
      <c r="B776" s="15" t="s">
        <v>628</v>
      </c>
      <c r="C776" s="15" t="s">
        <v>629</v>
      </c>
      <c r="D776" s="14" t="s">
        <v>630</v>
      </c>
      <c r="E776" s="15" t="s">
        <v>440</v>
      </c>
      <c r="F776" s="14" t="s">
        <v>28</v>
      </c>
      <c r="G776" s="15" t="s">
        <v>23</v>
      </c>
      <c r="H776" s="15"/>
      <c r="I776" s="15">
        <v>201406</v>
      </c>
      <c r="J776" s="16">
        <v>-1066.97</v>
      </c>
      <c r="K776" s="44">
        <f t="shared" si="64"/>
        <v>41944</v>
      </c>
      <c r="L776" s="45">
        <f t="shared" si="60"/>
        <v>7</v>
      </c>
      <c r="M776" s="17">
        <v>1.4833299999999999E-3</v>
      </c>
      <c r="N776" s="46">
        <f t="shared" si="61"/>
        <v>-11.0786802707</v>
      </c>
      <c r="O776" s="16"/>
      <c r="P776" s="48">
        <f t="shared" si="62"/>
        <v>-513.47931250000011</v>
      </c>
      <c r="Q776" s="16"/>
      <c r="R776" s="48">
        <f t="shared" si="63"/>
        <v>-19.256141075000002</v>
      </c>
    </row>
    <row r="777" spans="1:18">
      <c r="A777" s="14" t="s">
        <v>17</v>
      </c>
      <c r="B777" s="15" t="s">
        <v>631</v>
      </c>
      <c r="C777" s="15" t="s">
        <v>632</v>
      </c>
      <c r="D777" s="14" t="s">
        <v>633</v>
      </c>
      <c r="E777" s="15" t="s">
        <v>32</v>
      </c>
      <c r="F777" s="14" t="s">
        <v>22</v>
      </c>
      <c r="G777" s="15" t="s">
        <v>23</v>
      </c>
      <c r="H777" s="15"/>
      <c r="I777" s="15">
        <v>201406</v>
      </c>
      <c r="J777" s="16">
        <v>2328</v>
      </c>
      <c r="K777" s="44">
        <f t="shared" si="64"/>
        <v>41944</v>
      </c>
      <c r="L777" s="45">
        <f t="shared" si="60"/>
        <v>7</v>
      </c>
      <c r="M777" s="17">
        <v>1.4833299999999999E-3</v>
      </c>
      <c r="N777" s="46">
        <f t="shared" si="61"/>
        <v>24.172345679999999</v>
      </c>
      <c r="O777" s="16"/>
      <c r="P777" s="48">
        <f t="shared" si="62"/>
        <v>1120.3500000000001</v>
      </c>
      <c r="Q777" s="16"/>
      <c r="R777" s="48">
        <f t="shared" si="63"/>
        <v>42.014580000000002</v>
      </c>
    </row>
    <row r="778" spans="1:18">
      <c r="A778" s="14" t="s">
        <v>17</v>
      </c>
      <c r="B778" s="15" t="s">
        <v>634</v>
      </c>
      <c r="C778" s="15" t="s">
        <v>635</v>
      </c>
      <c r="D778" s="14" t="s">
        <v>636</v>
      </c>
      <c r="E778" s="15" t="s">
        <v>567</v>
      </c>
      <c r="F778" s="14" t="s">
        <v>137</v>
      </c>
      <c r="G778" s="15" t="s">
        <v>23</v>
      </c>
      <c r="H778" s="15"/>
      <c r="I778" s="15">
        <v>201406</v>
      </c>
      <c r="J778" s="16">
        <v>-639.66999999999996</v>
      </c>
      <c r="K778" s="44">
        <f t="shared" si="64"/>
        <v>41944</v>
      </c>
      <c r="L778" s="45">
        <f t="shared" si="60"/>
        <v>7</v>
      </c>
      <c r="M778" s="17">
        <v>1.4833299999999999E-3</v>
      </c>
      <c r="N778" s="46">
        <f t="shared" si="61"/>
        <v>-6.6418919076999998</v>
      </c>
      <c r="O778" s="16"/>
      <c r="P778" s="48">
        <f t="shared" si="62"/>
        <v>-307.84118750000005</v>
      </c>
      <c r="Q778" s="16"/>
      <c r="R778" s="48">
        <f t="shared" si="63"/>
        <v>-11.544444325000001</v>
      </c>
    </row>
    <row r="779" spans="1:18">
      <c r="A779" s="14" t="s">
        <v>17</v>
      </c>
      <c r="B779" s="15" t="s">
        <v>637</v>
      </c>
      <c r="C779" s="15" t="s">
        <v>638</v>
      </c>
      <c r="D779" s="14" t="s">
        <v>639</v>
      </c>
      <c r="E779" s="15" t="s">
        <v>136</v>
      </c>
      <c r="F779" s="14" t="s">
        <v>137</v>
      </c>
      <c r="G779" s="15" t="s">
        <v>23</v>
      </c>
      <c r="H779" s="15"/>
      <c r="I779" s="15">
        <v>201406</v>
      </c>
      <c r="J779" s="16">
        <v>1122.56</v>
      </c>
      <c r="K779" s="44">
        <f t="shared" si="64"/>
        <v>41944</v>
      </c>
      <c r="L779" s="45">
        <f t="shared" si="60"/>
        <v>7</v>
      </c>
      <c r="M779" s="17">
        <v>1.4833299999999999E-3</v>
      </c>
      <c r="N779" s="46">
        <f t="shared" si="61"/>
        <v>11.655888473599999</v>
      </c>
      <c r="O779" s="16"/>
      <c r="P779" s="48">
        <f t="shared" si="62"/>
        <v>540.23200000000008</v>
      </c>
      <c r="Q779" s="16"/>
      <c r="R779" s="48">
        <f t="shared" si="63"/>
        <v>20.2594016</v>
      </c>
    </row>
    <row r="780" spans="1:18">
      <c r="A780" s="14" t="s">
        <v>17</v>
      </c>
      <c r="B780" s="15" t="s">
        <v>640</v>
      </c>
      <c r="C780" s="15" t="s">
        <v>641</v>
      </c>
      <c r="D780" s="14" t="s">
        <v>642</v>
      </c>
      <c r="E780" s="15" t="s">
        <v>362</v>
      </c>
      <c r="F780" s="14" t="s">
        <v>41</v>
      </c>
      <c r="G780" s="15" t="s">
        <v>23</v>
      </c>
      <c r="H780" s="15"/>
      <c r="I780" s="15">
        <v>201406</v>
      </c>
      <c r="J780" s="16">
        <v>-46.29</v>
      </c>
      <c r="K780" s="44">
        <f t="shared" si="64"/>
        <v>41944</v>
      </c>
      <c r="L780" s="45">
        <f t="shared" si="60"/>
        <v>7</v>
      </c>
      <c r="M780" s="17">
        <v>1.4833299999999999E-3</v>
      </c>
      <c r="N780" s="46">
        <f t="shared" si="61"/>
        <v>-0.48064341989999998</v>
      </c>
      <c r="O780" s="16"/>
      <c r="P780" s="48">
        <f t="shared" si="62"/>
        <v>-22.277062500000003</v>
      </c>
      <c r="Q780" s="16"/>
      <c r="R780" s="48">
        <f t="shared" si="63"/>
        <v>-0.83541877500000006</v>
      </c>
    </row>
    <row r="781" spans="1:18">
      <c r="A781" s="14" t="s">
        <v>17</v>
      </c>
      <c r="B781" s="15" t="s">
        <v>643</v>
      </c>
      <c r="C781" s="15" t="s">
        <v>644</v>
      </c>
      <c r="D781" s="14" t="s">
        <v>645</v>
      </c>
      <c r="E781" s="15" t="s">
        <v>141</v>
      </c>
      <c r="F781" s="14" t="s">
        <v>142</v>
      </c>
      <c r="G781" s="15" t="s">
        <v>23</v>
      </c>
      <c r="H781" s="15"/>
      <c r="I781" s="15">
        <v>201406</v>
      </c>
      <c r="J781" s="16">
        <v>-620.35</v>
      </c>
      <c r="K781" s="44">
        <f t="shared" si="64"/>
        <v>41944</v>
      </c>
      <c r="L781" s="45">
        <f t="shared" si="60"/>
        <v>7</v>
      </c>
      <c r="M781" s="17">
        <v>1.4833299999999999E-3</v>
      </c>
      <c r="N781" s="46">
        <f t="shared" si="61"/>
        <v>-6.4412863585000002</v>
      </c>
      <c r="O781" s="16"/>
      <c r="P781" s="48">
        <f t="shared" si="62"/>
        <v>-298.54343750000004</v>
      </c>
      <c r="Q781" s="16"/>
      <c r="R781" s="48">
        <f t="shared" si="63"/>
        <v>-11.195766625000001</v>
      </c>
    </row>
    <row r="782" spans="1:18">
      <c r="A782" s="14" t="s">
        <v>54</v>
      </c>
      <c r="B782" s="15" t="s">
        <v>649</v>
      </c>
      <c r="C782" s="15" t="s">
        <v>650</v>
      </c>
      <c r="D782" s="14" t="s">
        <v>651</v>
      </c>
      <c r="E782" s="15" t="s">
        <v>104</v>
      </c>
      <c r="F782" s="14" t="s">
        <v>41</v>
      </c>
      <c r="G782" s="15" t="s">
        <v>23</v>
      </c>
      <c r="H782" s="15"/>
      <c r="I782" s="15">
        <v>201406</v>
      </c>
      <c r="J782" s="16">
        <v>4267.28</v>
      </c>
      <c r="K782" s="44">
        <f t="shared" si="64"/>
        <v>41944</v>
      </c>
      <c r="L782" s="45">
        <f t="shared" si="60"/>
        <v>7</v>
      </c>
      <c r="M782" s="17">
        <v>1.4833299999999999E-3</v>
      </c>
      <c r="N782" s="46">
        <f t="shared" si="61"/>
        <v>44.308491096799997</v>
      </c>
      <c r="O782" s="16"/>
      <c r="P782" s="48">
        <f t="shared" si="62"/>
        <v>2053.6285000000003</v>
      </c>
      <c r="Q782" s="16"/>
      <c r="R782" s="48">
        <f t="shared" si="63"/>
        <v>77.013735800000006</v>
      </c>
    </row>
    <row r="783" spans="1:18">
      <c r="A783" s="14" t="s">
        <v>17</v>
      </c>
      <c r="B783" s="15" t="s">
        <v>652</v>
      </c>
      <c r="C783" s="15" t="s">
        <v>653</v>
      </c>
      <c r="D783" s="14" t="s">
        <v>654</v>
      </c>
      <c r="E783" s="15" t="s">
        <v>40</v>
      </c>
      <c r="F783" s="14" t="s">
        <v>41</v>
      </c>
      <c r="G783" s="15" t="s">
        <v>23</v>
      </c>
      <c r="H783" s="15"/>
      <c r="I783" s="15">
        <v>201406</v>
      </c>
      <c r="J783" s="16">
        <v>1830.17</v>
      </c>
      <c r="K783" s="44">
        <f t="shared" si="64"/>
        <v>41944</v>
      </c>
      <c r="L783" s="45">
        <f t="shared" si="60"/>
        <v>7</v>
      </c>
      <c r="M783" s="17">
        <v>1.4833299999999999E-3</v>
      </c>
      <c r="N783" s="46">
        <f t="shared" si="61"/>
        <v>19.003222462700002</v>
      </c>
      <c r="O783" s="16"/>
      <c r="P783" s="48">
        <f t="shared" si="62"/>
        <v>880.76931250000018</v>
      </c>
      <c r="Q783" s="16"/>
      <c r="R783" s="48">
        <f t="shared" si="63"/>
        <v>33.029993075</v>
      </c>
    </row>
    <row r="784" spans="1:18">
      <c r="A784" s="14" t="s">
        <v>17</v>
      </c>
      <c r="B784" s="15" t="s">
        <v>655</v>
      </c>
      <c r="C784" s="15" t="s">
        <v>656</v>
      </c>
      <c r="D784" s="14" t="s">
        <v>657</v>
      </c>
      <c r="E784" s="15" t="s">
        <v>36</v>
      </c>
      <c r="F784" s="14" t="s">
        <v>22</v>
      </c>
      <c r="G784" s="15" t="s">
        <v>23</v>
      </c>
      <c r="H784" s="15"/>
      <c r="I784" s="15">
        <v>201406</v>
      </c>
      <c r="J784" s="16">
        <v>-959.61</v>
      </c>
      <c r="K784" s="44">
        <f t="shared" si="64"/>
        <v>41944</v>
      </c>
      <c r="L784" s="45">
        <f t="shared" si="60"/>
        <v>7</v>
      </c>
      <c r="M784" s="17">
        <v>1.4833299999999999E-3</v>
      </c>
      <c r="N784" s="46">
        <f t="shared" si="61"/>
        <v>-9.9639281090999994</v>
      </c>
      <c r="O784" s="16"/>
      <c r="P784" s="48">
        <f t="shared" si="62"/>
        <v>-461.81231250000008</v>
      </c>
      <c r="Q784" s="16"/>
      <c r="R784" s="48">
        <f t="shared" si="63"/>
        <v>-17.318561475000003</v>
      </c>
    </row>
    <row r="785" spans="1:18">
      <c r="A785" s="14" t="s">
        <v>17</v>
      </c>
      <c r="B785" s="15" t="s">
        <v>658</v>
      </c>
      <c r="C785" s="15" t="s">
        <v>659</v>
      </c>
      <c r="D785" s="14" t="s">
        <v>660</v>
      </c>
      <c r="E785" s="15" t="s">
        <v>440</v>
      </c>
      <c r="F785" s="14" t="s">
        <v>28</v>
      </c>
      <c r="G785" s="15" t="s">
        <v>23</v>
      </c>
      <c r="H785" s="15"/>
      <c r="I785" s="15">
        <v>201406</v>
      </c>
      <c r="J785" s="16">
        <v>-497.28</v>
      </c>
      <c r="K785" s="44">
        <f t="shared" si="64"/>
        <v>41944</v>
      </c>
      <c r="L785" s="45">
        <f t="shared" si="60"/>
        <v>7</v>
      </c>
      <c r="M785" s="17">
        <v>1.4833299999999999E-3</v>
      </c>
      <c r="N785" s="46">
        <f t="shared" si="61"/>
        <v>-5.1634123967999992</v>
      </c>
      <c r="O785" s="16"/>
      <c r="P785" s="48">
        <f t="shared" si="62"/>
        <v>-239.31600000000003</v>
      </c>
      <c r="Q785" s="16"/>
      <c r="R785" s="48">
        <f t="shared" si="63"/>
        <v>-8.9746608000000005</v>
      </c>
    </row>
    <row r="786" spans="1:18">
      <c r="A786" s="14" t="s">
        <v>17</v>
      </c>
      <c r="B786" s="15" t="s">
        <v>661</v>
      </c>
      <c r="C786" s="15" t="s">
        <v>662</v>
      </c>
      <c r="D786" s="14" t="s">
        <v>663</v>
      </c>
      <c r="E786" s="15" t="s">
        <v>40</v>
      </c>
      <c r="F786" s="14" t="s">
        <v>41</v>
      </c>
      <c r="G786" s="15" t="s">
        <v>23</v>
      </c>
      <c r="H786" s="15"/>
      <c r="I786" s="15">
        <v>201406</v>
      </c>
      <c r="J786" s="16">
        <v>-622.42999999999995</v>
      </c>
      <c r="K786" s="44">
        <f t="shared" si="64"/>
        <v>41944</v>
      </c>
      <c r="L786" s="45">
        <f t="shared" si="60"/>
        <v>7</v>
      </c>
      <c r="M786" s="17">
        <v>1.4833299999999999E-3</v>
      </c>
      <c r="N786" s="46">
        <f t="shared" si="61"/>
        <v>-6.4628836432999996</v>
      </c>
      <c r="O786" s="16"/>
      <c r="P786" s="48">
        <f t="shared" si="62"/>
        <v>-299.54443750000002</v>
      </c>
      <c r="Q786" s="16"/>
      <c r="R786" s="48">
        <f t="shared" si="63"/>
        <v>-11.233305424999999</v>
      </c>
    </row>
    <row r="787" spans="1:18">
      <c r="A787" s="14" t="s">
        <v>17</v>
      </c>
      <c r="B787" s="15" t="s">
        <v>664</v>
      </c>
      <c r="C787" s="15" t="s">
        <v>665</v>
      </c>
      <c r="D787" s="14" t="s">
        <v>666</v>
      </c>
      <c r="E787" s="15" t="s">
        <v>667</v>
      </c>
      <c r="F787" s="14" t="s">
        <v>28</v>
      </c>
      <c r="G787" s="15" t="s">
        <v>23</v>
      </c>
      <c r="H787" s="15"/>
      <c r="I787" s="15">
        <v>201406</v>
      </c>
      <c r="J787" s="16">
        <v>-193.41</v>
      </c>
      <c r="K787" s="44">
        <f t="shared" si="64"/>
        <v>41944</v>
      </c>
      <c r="L787" s="45">
        <f t="shared" si="60"/>
        <v>7</v>
      </c>
      <c r="M787" s="17">
        <v>1.4833299999999999E-3</v>
      </c>
      <c r="N787" s="46">
        <f t="shared" si="61"/>
        <v>-2.0082359871</v>
      </c>
      <c r="O787" s="16"/>
      <c r="P787" s="48">
        <f t="shared" si="62"/>
        <v>-93.078562500000018</v>
      </c>
      <c r="Q787" s="16"/>
      <c r="R787" s="48">
        <f t="shared" si="63"/>
        <v>-3.4905669750000001</v>
      </c>
    </row>
    <row r="788" spans="1:18">
      <c r="A788" s="14" t="s">
        <v>17</v>
      </c>
      <c r="B788" s="15" t="s">
        <v>668</v>
      </c>
      <c r="C788" s="15" t="s">
        <v>669</v>
      </c>
      <c r="D788" s="14" t="s">
        <v>670</v>
      </c>
      <c r="E788" s="15" t="s">
        <v>45</v>
      </c>
      <c r="F788" s="14" t="s">
        <v>22</v>
      </c>
      <c r="G788" s="15" t="s">
        <v>23</v>
      </c>
      <c r="H788" s="15"/>
      <c r="I788" s="15">
        <v>201406</v>
      </c>
      <c r="J788" s="16">
        <v>-77.569999999999993</v>
      </c>
      <c r="K788" s="44">
        <f t="shared" si="64"/>
        <v>41944</v>
      </c>
      <c r="L788" s="45">
        <f t="shared" si="60"/>
        <v>7</v>
      </c>
      <c r="M788" s="17">
        <v>1.4833299999999999E-3</v>
      </c>
      <c r="N788" s="46">
        <f t="shared" si="61"/>
        <v>-0.80543335669999994</v>
      </c>
      <c r="O788" s="16"/>
      <c r="P788" s="48">
        <f t="shared" si="62"/>
        <v>-37.330562499999999</v>
      </c>
      <c r="Q788" s="16"/>
      <c r="R788" s="48">
        <f t="shared" si="63"/>
        <v>-1.3999445749999999</v>
      </c>
    </row>
    <row r="789" spans="1:18">
      <c r="A789" s="18" t="s">
        <v>66</v>
      </c>
      <c r="B789" s="15" t="s">
        <v>674</v>
      </c>
      <c r="C789" s="15" t="s">
        <v>675</v>
      </c>
      <c r="D789" s="14" t="s">
        <v>385</v>
      </c>
      <c r="E789" s="15" t="s">
        <v>676</v>
      </c>
      <c r="F789" s="14" t="s">
        <v>387</v>
      </c>
      <c r="G789" s="15" t="s">
        <v>23</v>
      </c>
      <c r="H789" s="15"/>
      <c r="I789" s="15">
        <v>201406</v>
      </c>
      <c r="J789" s="16">
        <v>3621.86</v>
      </c>
      <c r="K789" s="44">
        <f t="shared" si="64"/>
        <v>41944</v>
      </c>
      <c r="L789" s="45">
        <f t="shared" si="60"/>
        <v>7</v>
      </c>
      <c r="M789" s="17">
        <v>2.23333E-3</v>
      </c>
      <c r="N789" s="46">
        <f t="shared" si="61"/>
        <v>56.621660156600008</v>
      </c>
      <c r="O789" s="16"/>
      <c r="P789" s="48">
        <f t="shared" si="62"/>
        <v>1743.0201250000002</v>
      </c>
      <c r="Q789" s="16"/>
      <c r="R789" s="48">
        <f t="shared" si="63"/>
        <v>65.365518350000002</v>
      </c>
    </row>
    <row r="790" spans="1:18">
      <c r="A790" s="14" t="s">
        <v>17</v>
      </c>
      <c r="B790" s="15" t="s">
        <v>677</v>
      </c>
      <c r="C790" s="15" t="s">
        <v>678</v>
      </c>
      <c r="D790" s="14" t="s">
        <v>679</v>
      </c>
      <c r="E790" s="15" t="s">
        <v>216</v>
      </c>
      <c r="F790" s="14" t="s">
        <v>22</v>
      </c>
      <c r="G790" s="15" t="s">
        <v>23</v>
      </c>
      <c r="H790" s="15"/>
      <c r="I790" s="15">
        <v>201406</v>
      </c>
      <c r="J790" s="16">
        <v>2.56</v>
      </c>
      <c r="K790" s="44">
        <f t="shared" si="64"/>
        <v>41944</v>
      </c>
      <c r="L790" s="45">
        <f t="shared" si="60"/>
        <v>7</v>
      </c>
      <c r="M790" s="17">
        <v>1.4833299999999999E-3</v>
      </c>
      <c r="N790" s="46">
        <f t="shared" si="61"/>
        <v>2.65812736E-2</v>
      </c>
      <c r="O790" s="16"/>
      <c r="P790" s="48">
        <f t="shared" si="62"/>
        <v>1.2320000000000002</v>
      </c>
      <c r="Q790" s="16"/>
      <c r="R790" s="48">
        <f t="shared" si="63"/>
        <v>4.6201600000000002E-2</v>
      </c>
    </row>
    <row r="791" spans="1:18">
      <c r="A791" s="14" t="s">
        <v>238</v>
      </c>
      <c r="B791" s="15" t="s">
        <v>680</v>
      </c>
      <c r="C791" s="15" t="s">
        <v>681</v>
      </c>
      <c r="D791" s="14" t="s">
        <v>682</v>
      </c>
      <c r="E791" s="15" t="s">
        <v>683</v>
      </c>
      <c r="F791" s="14" t="s">
        <v>684</v>
      </c>
      <c r="G791" s="15" t="s">
        <v>23</v>
      </c>
      <c r="H791" s="15"/>
      <c r="I791" s="15">
        <v>201406</v>
      </c>
      <c r="J791" s="16">
        <v>-86.67</v>
      </c>
      <c r="K791" s="44">
        <f t="shared" si="64"/>
        <v>41944</v>
      </c>
      <c r="L791" s="45">
        <f t="shared" si="60"/>
        <v>7</v>
      </c>
      <c r="M791" s="17">
        <v>2.3833299999999999E-3</v>
      </c>
      <c r="N791" s="46">
        <f t="shared" si="61"/>
        <v>-1.4459424777000001</v>
      </c>
      <c r="O791" s="16"/>
      <c r="P791" s="48">
        <f t="shared" si="62"/>
        <v>-41.709937500000009</v>
      </c>
      <c r="Q791" s="16"/>
      <c r="R791" s="48">
        <f t="shared" si="63"/>
        <v>-1.5641768250000001</v>
      </c>
    </row>
    <row r="792" spans="1:18">
      <c r="A792" s="14" t="s">
        <v>17</v>
      </c>
      <c r="B792" s="15" t="s">
        <v>685</v>
      </c>
      <c r="C792" s="15" t="s">
        <v>686</v>
      </c>
      <c r="D792" s="14" t="s">
        <v>687</v>
      </c>
      <c r="E792" s="15" t="s">
        <v>40</v>
      </c>
      <c r="F792" s="14" t="s">
        <v>41</v>
      </c>
      <c r="G792" s="15" t="s">
        <v>23</v>
      </c>
      <c r="H792" s="15"/>
      <c r="I792" s="15">
        <v>201406</v>
      </c>
      <c r="J792" s="16">
        <v>-915.75</v>
      </c>
      <c r="K792" s="44">
        <f t="shared" si="64"/>
        <v>41944</v>
      </c>
      <c r="L792" s="45">
        <f t="shared" si="60"/>
        <v>7</v>
      </c>
      <c r="M792" s="17">
        <v>1.4833299999999999E-3</v>
      </c>
      <c r="N792" s="46">
        <f t="shared" si="61"/>
        <v>-9.5085161325000005</v>
      </c>
      <c r="O792" s="16"/>
      <c r="P792" s="48">
        <f t="shared" si="62"/>
        <v>-440.70468750000003</v>
      </c>
      <c r="Q792" s="16"/>
      <c r="R792" s="48">
        <f t="shared" si="63"/>
        <v>-16.526998125000002</v>
      </c>
    </row>
    <row r="793" spans="1:18">
      <c r="A793" s="14" t="s">
        <v>17</v>
      </c>
      <c r="B793" s="15" t="s">
        <v>688</v>
      </c>
      <c r="C793" s="15" t="s">
        <v>689</v>
      </c>
      <c r="D793" s="14" t="s">
        <v>690</v>
      </c>
      <c r="E793" s="15" t="s">
        <v>141</v>
      </c>
      <c r="F793" s="14" t="s">
        <v>142</v>
      </c>
      <c r="G793" s="15" t="s">
        <v>23</v>
      </c>
      <c r="H793" s="15"/>
      <c r="I793" s="15">
        <v>201406</v>
      </c>
      <c r="J793" s="16">
        <v>-1419.28</v>
      </c>
      <c r="K793" s="44">
        <f t="shared" si="64"/>
        <v>41944</v>
      </c>
      <c r="L793" s="45">
        <f t="shared" si="60"/>
        <v>7</v>
      </c>
      <c r="M793" s="17">
        <v>1.4833299999999999E-3</v>
      </c>
      <c r="N793" s="46">
        <f t="shared" si="61"/>
        <v>-14.736824216799999</v>
      </c>
      <c r="O793" s="16"/>
      <c r="P793" s="48">
        <f t="shared" si="62"/>
        <v>-683.02850000000012</v>
      </c>
      <c r="Q793" s="16"/>
      <c r="R793" s="48">
        <f t="shared" si="63"/>
        <v>-25.614455800000002</v>
      </c>
    </row>
    <row r="794" spans="1:18">
      <c r="A794" s="14" t="s">
        <v>17</v>
      </c>
      <c r="B794" s="15" t="s">
        <v>691</v>
      </c>
      <c r="C794" s="15" t="s">
        <v>692</v>
      </c>
      <c r="D794" s="14" t="s">
        <v>693</v>
      </c>
      <c r="E794" s="15" t="s">
        <v>58</v>
      </c>
      <c r="F794" s="14" t="s">
        <v>22</v>
      </c>
      <c r="G794" s="15" t="s">
        <v>23</v>
      </c>
      <c r="H794" s="15"/>
      <c r="I794" s="15">
        <v>201406</v>
      </c>
      <c r="J794" s="16">
        <v>-46.47</v>
      </c>
      <c r="K794" s="44">
        <f t="shared" si="64"/>
        <v>41944</v>
      </c>
      <c r="L794" s="45">
        <f t="shared" si="60"/>
        <v>7</v>
      </c>
      <c r="M794" s="17">
        <v>1.4833299999999999E-3</v>
      </c>
      <c r="N794" s="46">
        <f t="shared" si="61"/>
        <v>-0.48251241569999997</v>
      </c>
      <c r="O794" s="16"/>
      <c r="P794" s="48">
        <f t="shared" si="62"/>
        <v>-22.363687500000001</v>
      </c>
      <c r="Q794" s="16"/>
      <c r="R794" s="48">
        <f t="shared" si="63"/>
        <v>-0.83866732500000007</v>
      </c>
    </row>
    <row r="795" spans="1:18">
      <c r="A795" s="14" t="s">
        <v>17</v>
      </c>
      <c r="B795" s="15" t="s">
        <v>694</v>
      </c>
      <c r="C795" s="15" t="s">
        <v>695</v>
      </c>
      <c r="D795" s="14" t="s">
        <v>696</v>
      </c>
      <c r="E795" s="15" t="s">
        <v>141</v>
      </c>
      <c r="F795" s="14" t="s">
        <v>142</v>
      </c>
      <c r="G795" s="15" t="s">
        <v>23</v>
      </c>
      <c r="H795" s="15"/>
      <c r="I795" s="15">
        <v>201406</v>
      </c>
      <c r="J795" s="16">
        <v>-36.15</v>
      </c>
      <c r="K795" s="44">
        <f t="shared" si="64"/>
        <v>41944</v>
      </c>
      <c r="L795" s="45">
        <f t="shared" si="60"/>
        <v>7</v>
      </c>
      <c r="M795" s="17">
        <v>1.4833299999999999E-3</v>
      </c>
      <c r="N795" s="46">
        <f t="shared" si="61"/>
        <v>-0.3753566565</v>
      </c>
      <c r="O795" s="16"/>
      <c r="P795" s="48">
        <f t="shared" si="62"/>
        <v>-17.397187500000001</v>
      </c>
      <c r="Q795" s="16"/>
      <c r="R795" s="48">
        <f t="shared" si="63"/>
        <v>-0.65241712500000004</v>
      </c>
    </row>
    <row r="796" spans="1:18">
      <c r="A796" s="14" t="s">
        <v>17</v>
      </c>
      <c r="B796" s="15" t="s">
        <v>697</v>
      </c>
      <c r="C796" s="15" t="s">
        <v>698</v>
      </c>
      <c r="D796" s="14" t="s">
        <v>699</v>
      </c>
      <c r="E796" s="15" t="s">
        <v>108</v>
      </c>
      <c r="F796" s="14" t="s">
        <v>28</v>
      </c>
      <c r="G796" s="15" t="s">
        <v>23</v>
      </c>
      <c r="H796" s="15"/>
      <c r="I796" s="15">
        <v>201406</v>
      </c>
      <c r="J796" s="16">
        <v>-24.61</v>
      </c>
      <c r="K796" s="44">
        <f t="shared" si="64"/>
        <v>41944</v>
      </c>
      <c r="L796" s="45">
        <f t="shared" si="60"/>
        <v>7</v>
      </c>
      <c r="M796" s="17">
        <v>1.4833299999999999E-3</v>
      </c>
      <c r="N796" s="46">
        <f t="shared" si="61"/>
        <v>-0.25553325909999997</v>
      </c>
      <c r="O796" s="16"/>
      <c r="P796" s="48">
        <f t="shared" si="62"/>
        <v>-11.843562500000001</v>
      </c>
      <c r="Q796" s="16"/>
      <c r="R796" s="48">
        <f t="shared" si="63"/>
        <v>-0.444148975</v>
      </c>
    </row>
    <row r="797" spans="1:18">
      <c r="A797" s="14" t="s">
        <v>17</v>
      </c>
      <c r="B797" s="15" t="s">
        <v>700</v>
      </c>
      <c r="C797" s="15" t="s">
        <v>701</v>
      </c>
      <c r="D797" s="14" t="s">
        <v>702</v>
      </c>
      <c r="E797" s="15" t="s">
        <v>703</v>
      </c>
      <c r="F797" s="14" t="s">
        <v>142</v>
      </c>
      <c r="G797" s="15" t="s">
        <v>23</v>
      </c>
      <c r="H797" s="15"/>
      <c r="I797" s="15">
        <v>201406</v>
      </c>
      <c r="J797" s="16">
        <v>-1674.48</v>
      </c>
      <c r="K797" s="44">
        <f t="shared" si="64"/>
        <v>41944</v>
      </c>
      <c r="L797" s="45">
        <f t="shared" si="60"/>
        <v>7</v>
      </c>
      <c r="M797" s="17">
        <v>1.4833299999999999E-3</v>
      </c>
      <c r="N797" s="46">
        <f t="shared" si="61"/>
        <v>-17.386644928799999</v>
      </c>
      <c r="O797" s="16"/>
      <c r="P797" s="48">
        <f t="shared" si="62"/>
        <v>-805.84350000000018</v>
      </c>
      <c r="Q797" s="16"/>
      <c r="R797" s="48">
        <f t="shared" si="63"/>
        <v>-30.220177800000002</v>
      </c>
    </row>
    <row r="798" spans="1:18">
      <c r="A798" s="14" t="s">
        <v>17</v>
      </c>
      <c r="B798" s="15" t="s">
        <v>704</v>
      </c>
      <c r="C798" s="15" t="s">
        <v>705</v>
      </c>
      <c r="D798" s="14" t="s">
        <v>706</v>
      </c>
      <c r="E798" s="15" t="s">
        <v>58</v>
      </c>
      <c r="F798" s="14" t="s">
        <v>22</v>
      </c>
      <c r="G798" s="15" t="s">
        <v>23</v>
      </c>
      <c r="H798" s="15"/>
      <c r="I798" s="15">
        <v>201406</v>
      </c>
      <c r="J798" s="16">
        <v>-952.3</v>
      </c>
      <c r="K798" s="44">
        <f t="shared" si="64"/>
        <v>41944</v>
      </c>
      <c r="L798" s="45">
        <f t="shared" si="60"/>
        <v>7</v>
      </c>
      <c r="M798" s="17">
        <v>1.4833299999999999E-3</v>
      </c>
      <c r="N798" s="46">
        <f t="shared" si="61"/>
        <v>-9.8880261129999987</v>
      </c>
      <c r="O798" s="16"/>
      <c r="P798" s="48">
        <f t="shared" si="62"/>
        <v>-458.29437500000006</v>
      </c>
      <c r="Q798" s="16"/>
      <c r="R798" s="48">
        <f t="shared" si="63"/>
        <v>-17.186634250000001</v>
      </c>
    </row>
    <row r="799" spans="1:18">
      <c r="A799" s="14" t="s">
        <v>17</v>
      </c>
      <c r="B799" s="15" t="s">
        <v>707</v>
      </c>
      <c r="C799" s="15" t="s">
        <v>708</v>
      </c>
      <c r="D799" s="14" t="s">
        <v>709</v>
      </c>
      <c r="E799" s="15" t="s">
        <v>62</v>
      </c>
      <c r="F799" s="14" t="s">
        <v>22</v>
      </c>
      <c r="G799" s="15" t="s">
        <v>23</v>
      </c>
      <c r="H799" s="15"/>
      <c r="I799" s="15">
        <v>201406</v>
      </c>
      <c r="J799" s="16">
        <v>9746.89</v>
      </c>
      <c r="K799" s="44">
        <f t="shared" si="64"/>
        <v>41944</v>
      </c>
      <c r="L799" s="45">
        <f t="shared" si="60"/>
        <v>7</v>
      </c>
      <c r="M799" s="17">
        <v>1.4833299999999999E-3</v>
      </c>
      <c r="N799" s="46">
        <f t="shared" si="61"/>
        <v>101.20498040589999</v>
      </c>
      <c r="O799" s="16"/>
      <c r="P799" s="48">
        <f t="shared" si="62"/>
        <v>4690.6908125</v>
      </c>
      <c r="Q799" s="16"/>
      <c r="R799" s="48">
        <f t="shared" si="63"/>
        <v>175.90699727500001</v>
      </c>
    </row>
    <row r="800" spans="1:18">
      <c r="A800" s="14" t="s">
        <v>17</v>
      </c>
      <c r="B800" s="15" t="s">
        <v>710</v>
      </c>
      <c r="C800" s="15" t="s">
        <v>711</v>
      </c>
      <c r="D800" s="14" t="s">
        <v>712</v>
      </c>
      <c r="E800" s="15" t="s">
        <v>45</v>
      </c>
      <c r="F800" s="14" t="s">
        <v>22</v>
      </c>
      <c r="G800" s="15" t="s">
        <v>23</v>
      </c>
      <c r="H800" s="15"/>
      <c r="I800" s="15">
        <v>201406</v>
      </c>
      <c r="J800" s="16">
        <v>2611.0700000000002</v>
      </c>
      <c r="K800" s="44">
        <f t="shared" si="64"/>
        <v>41944</v>
      </c>
      <c r="L800" s="45">
        <f t="shared" si="60"/>
        <v>7</v>
      </c>
      <c r="M800" s="17">
        <v>1.4833299999999999E-3</v>
      </c>
      <c r="N800" s="46">
        <f t="shared" si="61"/>
        <v>27.111549241700001</v>
      </c>
      <c r="O800" s="16"/>
      <c r="P800" s="48">
        <f t="shared" si="62"/>
        <v>1256.5774375000003</v>
      </c>
      <c r="Q800" s="16"/>
      <c r="R800" s="48">
        <f t="shared" si="63"/>
        <v>47.123285825000004</v>
      </c>
    </row>
    <row r="801" spans="1:18">
      <c r="A801" s="14" t="s">
        <v>17</v>
      </c>
      <c r="B801" s="15" t="s">
        <v>713</v>
      </c>
      <c r="C801" s="15" t="s">
        <v>714</v>
      </c>
      <c r="D801" s="14" t="s">
        <v>715</v>
      </c>
      <c r="E801" s="15" t="s">
        <v>258</v>
      </c>
      <c r="F801" s="14" t="s">
        <v>259</v>
      </c>
      <c r="G801" s="15" t="s">
        <v>23</v>
      </c>
      <c r="H801" s="15"/>
      <c r="I801" s="15">
        <v>201406</v>
      </c>
      <c r="J801" s="16">
        <v>-253.69</v>
      </c>
      <c r="K801" s="44">
        <f t="shared" si="64"/>
        <v>41944</v>
      </c>
      <c r="L801" s="45">
        <f t="shared" si="60"/>
        <v>7</v>
      </c>
      <c r="M801" s="17">
        <v>1.4833299999999999E-3</v>
      </c>
      <c r="N801" s="46">
        <f t="shared" si="61"/>
        <v>-2.6341419138999997</v>
      </c>
      <c r="O801" s="16"/>
      <c r="P801" s="48">
        <f t="shared" si="62"/>
        <v>-122.08831250000001</v>
      </c>
      <c r="Q801" s="16"/>
      <c r="R801" s="48">
        <f t="shared" si="63"/>
        <v>-4.5784702749999999</v>
      </c>
    </row>
    <row r="802" spans="1:18">
      <c r="A802" s="14" t="s">
        <v>17</v>
      </c>
      <c r="B802" s="15" t="s">
        <v>716</v>
      </c>
      <c r="C802" s="15" t="s">
        <v>717</v>
      </c>
      <c r="D802" s="14" t="s">
        <v>718</v>
      </c>
      <c r="E802" s="15" t="s">
        <v>104</v>
      </c>
      <c r="F802" s="14" t="s">
        <v>41</v>
      </c>
      <c r="G802" s="15" t="s">
        <v>23</v>
      </c>
      <c r="H802" s="15"/>
      <c r="I802" s="15">
        <v>201406</v>
      </c>
      <c r="J802" s="16">
        <v>-644.84</v>
      </c>
      <c r="K802" s="44">
        <f t="shared" si="64"/>
        <v>41944</v>
      </c>
      <c r="L802" s="45">
        <f t="shared" si="60"/>
        <v>7</v>
      </c>
      <c r="M802" s="17">
        <v>1.4833299999999999E-3</v>
      </c>
      <c r="N802" s="46">
        <f t="shared" si="61"/>
        <v>-6.6955736204000003</v>
      </c>
      <c r="O802" s="16"/>
      <c r="P802" s="48">
        <f t="shared" si="62"/>
        <v>-310.32925000000006</v>
      </c>
      <c r="Q802" s="16"/>
      <c r="R802" s="48">
        <f t="shared" si="63"/>
        <v>-11.637749900000001</v>
      </c>
    </row>
    <row r="803" spans="1:18">
      <c r="A803" s="14" t="s">
        <v>54</v>
      </c>
      <c r="B803" s="15" t="s">
        <v>719</v>
      </c>
      <c r="C803" s="15" t="s">
        <v>720</v>
      </c>
      <c r="D803" s="14" t="s">
        <v>721</v>
      </c>
      <c r="E803" s="15" t="s">
        <v>27</v>
      </c>
      <c r="F803" s="14" t="s">
        <v>28</v>
      </c>
      <c r="G803" s="15" t="s">
        <v>23</v>
      </c>
      <c r="H803" s="15"/>
      <c r="I803" s="15">
        <v>201406</v>
      </c>
      <c r="J803" s="16">
        <v>33144.32</v>
      </c>
      <c r="K803" s="44">
        <f t="shared" si="64"/>
        <v>41944</v>
      </c>
      <c r="L803" s="45">
        <f t="shared" si="60"/>
        <v>7</v>
      </c>
      <c r="M803" s="17">
        <v>1.4833299999999999E-3</v>
      </c>
      <c r="N803" s="46">
        <f t="shared" si="61"/>
        <v>344.14774929919997</v>
      </c>
      <c r="O803" s="16"/>
      <c r="P803" s="48">
        <f t="shared" si="62"/>
        <v>15950.704000000002</v>
      </c>
      <c r="Q803" s="16"/>
      <c r="R803" s="48">
        <f t="shared" si="63"/>
        <v>598.17211520000001</v>
      </c>
    </row>
    <row r="804" spans="1:18">
      <c r="A804" s="14" t="s">
        <v>54</v>
      </c>
      <c r="B804" s="15" t="s">
        <v>722</v>
      </c>
      <c r="C804" s="15" t="s">
        <v>723</v>
      </c>
      <c r="D804" s="14" t="s">
        <v>724</v>
      </c>
      <c r="E804" s="15" t="s">
        <v>40</v>
      </c>
      <c r="F804" s="14" t="s">
        <v>41</v>
      </c>
      <c r="G804" s="15" t="s">
        <v>23</v>
      </c>
      <c r="H804" s="15"/>
      <c r="I804" s="15">
        <v>201406</v>
      </c>
      <c r="J804" s="16">
        <v>174328.72</v>
      </c>
      <c r="K804" s="44">
        <f t="shared" si="64"/>
        <v>41944</v>
      </c>
      <c r="L804" s="45">
        <f t="shared" si="60"/>
        <v>7</v>
      </c>
      <c r="M804" s="17">
        <v>1.4833299999999999E-3</v>
      </c>
      <c r="N804" s="46">
        <f t="shared" si="61"/>
        <v>1810.1091416632</v>
      </c>
      <c r="O804" s="16"/>
      <c r="P804" s="48">
        <f t="shared" si="62"/>
        <v>83895.696500000005</v>
      </c>
      <c r="Q804" s="16"/>
      <c r="R804" s="48">
        <f t="shared" si="63"/>
        <v>3146.1975742000004</v>
      </c>
    </row>
    <row r="805" spans="1:18">
      <c r="A805" s="14" t="s">
        <v>17</v>
      </c>
      <c r="B805" s="15" t="s">
        <v>725</v>
      </c>
      <c r="C805" s="15" t="s">
        <v>726</v>
      </c>
      <c r="D805" s="14" t="s">
        <v>727</v>
      </c>
      <c r="E805" s="15" t="s">
        <v>141</v>
      </c>
      <c r="F805" s="14" t="s">
        <v>142</v>
      </c>
      <c r="G805" s="15" t="s">
        <v>23</v>
      </c>
      <c r="H805" s="15"/>
      <c r="I805" s="15">
        <v>201406</v>
      </c>
      <c r="J805" s="16">
        <v>-1467.39</v>
      </c>
      <c r="K805" s="44">
        <f t="shared" si="64"/>
        <v>41944</v>
      </c>
      <c r="L805" s="45">
        <f t="shared" si="60"/>
        <v>7</v>
      </c>
      <c r="M805" s="17">
        <v>1.4833299999999999E-3</v>
      </c>
      <c r="N805" s="46">
        <f t="shared" si="61"/>
        <v>-15.236365260900001</v>
      </c>
      <c r="O805" s="16"/>
      <c r="P805" s="48">
        <f t="shared" si="62"/>
        <v>-706.18143750000013</v>
      </c>
      <c r="Q805" s="16"/>
      <c r="R805" s="48">
        <f t="shared" si="63"/>
        <v>-26.482721025000004</v>
      </c>
    </row>
    <row r="806" spans="1:18">
      <c r="A806" s="14" t="s">
        <v>17</v>
      </c>
      <c r="B806" s="15" t="s">
        <v>728</v>
      </c>
      <c r="C806" s="15" t="s">
        <v>729</v>
      </c>
      <c r="D806" s="14" t="s">
        <v>730</v>
      </c>
      <c r="E806" s="15" t="s">
        <v>141</v>
      </c>
      <c r="F806" s="14" t="s">
        <v>142</v>
      </c>
      <c r="G806" s="15" t="s">
        <v>23</v>
      </c>
      <c r="H806" s="15"/>
      <c r="I806" s="15">
        <v>201406</v>
      </c>
      <c r="J806" s="16">
        <v>-658.09</v>
      </c>
      <c r="K806" s="44">
        <f t="shared" si="64"/>
        <v>41944</v>
      </c>
      <c r="L806" s="45">
        <f t="shared" si="60"/>
        <v>7</v>
      </c>
      <c r="M806" s="17">
        <v>1.4833299999999999E-3</v>
      </c>
      <c r="N806" s="46">
        <f t="shared" si="61"/>
        <v>-6.8331524779000006</v>
      </c>
      <c r="O806" s="16"/>
      <c r="P806" s="48">
        <f t="shared" si="62"/>
        <v>-316.70581250000004</v>
      </c>
      <c r="Q806" s="16"/>
      <c r="R806" s="48">
        <f t="shared" si="63"/>
        <v>-11.876879275000002</v>
      </c>
    </row>
    <row r="807" spans="1:18">
      <c r="A807" s="14" t="s">
        <v>54</v>
      </c>
      <c r="B807" s="15" t="s">
        <v>731</v>
      </c>
      <c r="C807" s="15" t="s">
        <v>732</v>
      </c>
      <c r="D807" s="14" t="s">
        <v>733</v>
      </c>
      <c r="E807" s="15" t="s">
        <v>104</v>
      </c>
      <c r="F807" s="14" t="s">
        <v>41</v>
      </c>
      <c r="G807" s="15" t="s">
        <v>23</v>
      </c>
      <c r="H807" s="15"/>
      <c r="I807" s="15">
        <v>201406</v>
      </c>
      <c r="J807" s="16">
        <v>98626.99</v>
      </c>
      <c r="K807" s="44">
        <f t="shared" si="64"/>
        <v>41944</v>
      </c>
      <c r="L807" s="45">
        <f t="shared" si="60"/>
        <v>7</v>
      </c>
      <c r="M807" s="17">
        <v>1.4833299999999999E-3</v>
      </c>
      <c r="N807" s="46">
        <f t="shared" si="61"/>
        <v>1024.0746115369</v>
      </c>
      <c r="O807" s="16"/>
      <c r="P807" s="48">
        <f t="shared" si="62"/>
        <v>47464.238937500006</v>
      </c>
      <c r="Q807" s="16"/>
      <c r="R807" s="48">
        <f t="shared" si="63"/>
        <v>1779.9706020250003</v>
      </c>
    </row>
    <row r="808" spans="1:18">
      <c r="A808" s="18" t="s">
        <v>66</v>
      </c>
      <c r="B808" s="15" t="s">
        <v>734</v>
      </c>
      <c r="C808" s="15" t="s">
        <v>735</v>
      </c>
      <c r="D808" s="14" t="s">
        <v>736</v>
      </c>
      <c r="E808" s="15" t="s">
        <v>737</v>
      </c>
      <c r="F808" s="14" t="s">
        <v>624</v>
      </c>
      <c r="G808" s="15" t="s">
        <v>23</v>
      </c>
      <c r="H808" s="15"/>
      <c r="I808" s="15">
        <v>201406</v>
      </c>
      <c r="J808" s="16">
        <v>-700.62</v>
      </c>
      <c r="K808" s="44">
        <f t="shared" si="64"/>
        <v>41944</v>
      </c>
      <c r="L808" s="45">
        <f t="shared" si="60"/>
        <v>7</v>
      </c>
      <c r="M808" s="17">
        <v>2.23333E-3</v>
      </c>
      <c r="N808" s="46">
        <f t="shared" si="61"/>
        <v>-10.9530096522</v>
      </c>
      <c r="O808" s="16"/>
      <c r="P808" s="48">
        <f t="shared" si="62"/>
        <v>-337.17337500000002</v>
      </c>
      <c r="Q808" s="16"/>
      <c r="R808" s="48">
        <f t="shared" si="63"/>
        <v>-12.64443945</v>
      </c>
    </row>
    <row r="809" spans="1:18">
      <c r="A809" s="18" t="s">
        <v>66</v>
      </c>
      <c r="B809" s="15" t="s">
        <v>741</v>
      </c>
      <c r="C809" s="15" t="s">
        <v>742</v>
      </c>
      <c r="D809" s="14" t="s">
        <v>69</v>
      </c>
      <c r="E809" s="15" t="s">
        <v>70</v>
      </c>
      <c r="F809" s="14" t="s">
        <v>71</v>
      </c>
      <c r="G809" s="15" t="s">
        <v>23</v>
      </c>
      <c r="H809" s="15"/>
      <c r="I809" s="15">
        <v>201406</v>
      </c>
      <c r="J809" s="16">
        <v>-805.01</v>
      </c>
      <c r="K809" s="44">
        <f t="shared" si="64"/>
        <v>41944</v>
      </c>
      <c r="L809" s="45">
        <f t="shared" si="60"/>
        <v>7</v>
      </c>
      <c r="M809" s="17">
        <v>2.23333E-3</v>
      </c>
      <c r="N809" s="46">
        <f t="shared" si="61"/>
        <v>-12.5849708831</v>
      </c>
      <c r="O809" s="16"/>
      <c r="P809" s="48">
        <f t="shared" si="62"/>
        <v>-387.41106250000007</v>
      </c>
      <c r="Q809" s="16"/>
      <c r="R809" s="48">
        <f t="shared" si="63"/>
        <v>-14.528417975</v>
      </c>
    </row>
    <row r="810" spans="1:18">
      <c r="A810" s="18" t="s">
        <v>66</v>
      </c>
      <c r="B810" s="15" t="s">
        <v>743</v>
      </c>
      <c r="C810" s="15" t="s">
        <v>744</v>
      </c>
      <c r="D810" s="14" t="s">
        <v>745</v>
      </c>
      <c r="E810" s="15" t="s">
        <v>746</v>
      </c>
      <c r="F810" s="14" t="s">
        <v>80</v>
      </c>
      <c r="G810" s="15" t="s">
        <v>23</v>
      </c>
      <c r="H810" s="15"/>
      <c r="I810" s="15">
        <v>201406</v>
      </c>
      <c r="J810" s="16">
        <v>45655.28</v>
      </c>
      <c r="K810" s="44">
        <f t="shared" si="64"/>
        <v>41944</v>
      </c>
      <c r="L810" s="45">
        <f t="shared" si="60"/>
        <v>7</v>
      </c>
      <c r="M810" s="17">
        <v>2.23333E-3</v>
      </c>
      <c r="N810" s="46">
        <f t="shared" si="61"/>
        <v>713.74314537680004</v>
      </c>
      <c r="O810" s="16"/>
      <c r="P810" s="48">
        <f t="shared" si="62"/>
        <v>21971.603500000001</v>
      </c>
      <c r="Q810" s="16"/>
      <c r="R810" s="48">
        <f t="shared" si="63"/>
        <v>823.96366580000006</v>
      </c>
    </row>
    <row r="811" spans="1:18">
      <c r="A811" s="18" t="s">
        <v>66</v>
      </c>
      <c r="B811" s="15" t="s">
        <v>747</v>
      </c>
      <c r="C811" s="15" t="s">
        <v>748</v>
      </c>
      <c r="D811" s="14" t="s">
        <v>78</v>
      </c>
      <c r="E811" s="15" t="s">
        <v>749</v>
      </c>
      <c r="F811" s="14" t="s">
        <v>80</v>
      </c>
      <c r="G811" s="15" t="s">
        <v>23</v>
      </c>
      <c r="H811" s="15"/>
      <c r="I811" s="15">
        <v>201406</v>
      </c>
      <c r="J811" s="16">
        <v>-171.05</v>
      </c>
      <c r="K811" s="44">
        <f t="shared" si="64"/>
        <v>41944</v>
      </c>
      <c r="L811" s="45">
        <f t="shared" si="60"/>
        <v>7</v>
      </c>
      <c r="M811" s="17">
        <v>2.23333E-3</v>
      </c>
      <c r="N811" s="46">
        <f t="shared" si="61"/>
        <v>-2.6740776755000004</v>
      </c>
      <c r="O811" s="16"/>
      <c r="P811" s="48">
        <f t="shared" si="62"/>
        <v>-82.317812500000016</v>
      </c>
      <c r="Q811" s="16"/>
      <c r="R811" s="48">
        <f t="shared" si="63"/>
        <v>-3.0870248750000004</v>
      </c>
    </row>
    <row r="812" spans="1:18">
      <c r="A812" s="18" t="s">
        <v>66</v>
      </c>
      <c r="B812" s="15" t="s">
        <v>753</v>
      </c>
      <c r="C812" s="15" t="s">
        <v>754</v>
      </c>
      <c r="D812" s="14" t="s">
        <v>206</v>
      </c>
      <c r="E812" s="15" t="s">
        <v>755</v>
      </c>
      <c r="F812" s="14" t="s">
        <v>97</v>
      </c>
      <c r="G812" s="15" t="s">
        <v>23</v>
      </c>
      <c r="H812" s="15"/>
      <c r="I812" s="15">
        <v>201406</v>
      </c>
      <c r="J812" s="16">
        <v>68866.149999999994</v>
      </c>
      <c r="K812" s="44">
        <f t="shared" si="64"/>
        <v>41944</v>
      </c>
      <c r="L812" s="45">
        <f t="shared" si="60"/>
        <v>7</v>
      </c>
      <c r="M812" s="17">
        <v>2.23333E-3</v>
      </c>
      <c r="N812" s="46">
        <f t="shared" si="61"/>
        <v>1076.6058714564999</v>
      </c>
      <c r="O812" s="16"/>
      <c r="P812" s="48">
        <f t="shared" si="62"/>
        <v>33141.834687499999</v>
      </c>
      <c r="Q812" s="16"/>
      <c r="R812" s="48">
        <f t="shared" si="63"/>
        <v>1242.8618421250001</v>
      </c>
    </row>
    <row r="813" spans="1:18">
      <c r="A813" s="14" t="s">
        <v>17</v>
      </c>
      <c r="B813" s="15" t="s">
        <v>756</v>
      </c>
      <c r="C813" s="15" t="s">
        <v>757</v>
      </c>
      <c r="D813" s="14" t="s">
        <v>758</v>
      </c>
      <c r="E813" s="15" t="s">
        <v>141</v>
      </c>
      <c r="F813" s="14" t="s">
        <v>142</v>
      </c>
      <c r="G813" s="15" t="s">
        <v>23</v>
      </c>
      <c r="H813" s="15"/>
      <c r="I813" s="15">
        <v>201406</v>
      </c>
      <c r="J813" s="16">
        <v>-4931.43</v>
      </c>
      <c r="K813" s="44">
        <f t="shared" si="64"/>
        <v>41944</v>
      </c>
      <c r="L813" s="45">
        <f t="shared" si="60"/>
        <v>7</v>
      </c>
      <c r="M813" s="17">
        <v>1.4833299999999999E-3</v>
      </c>
      <c r="N813" s="46">
        <f t="shared" si="61"/>
        <v>-51.204566433300002</v>
      </c>
      <c r="O813" s="16"/>
      <c r="P813" s="48">
        <f t="shared" si="62"/>
        <v>-2373.2506875000004</v>
      </c>
      <c r="Q813" s="16"/>
      <c r="R813" s="48">
        <f t="shared" si="63"/>
        <v>-88.999982925000012</v>
      </c>
    </row>
    <row r="814" spans="1:18">
      <c r="A814" s="14" t="s">
        <v>17</v>
      </c>
      <c r="B814" s="15" t="s">
        <v>759</v>
      </c>
      <c r="C814" s="15" t="s">
        <v>760</v>
      </c>
      <c r="D814" s="14" t="s">
        <v>761</v>
      </c>
      <c r="E814" s="15" t="s">
        <v>62</v>
      </c>
      <c r="F814" s="14" t="s">
        <v>22</v>
      </c>
      <c r="G814" s="15" t="s">
        <v>23</v>
      </c>
      <c r="H814" s="15"/>
      <c r="I814" s="15">
        <v>201406</v>
      </c>
      <c r="J814" s="16">
        <v>-33.770000000000003</v>
      </c>
      <c r="K814" s="44">
        <f t="shared" si="64"/>
        <v>41944</v>
      </c>
      <c r="L814" s="45">
        <f t="shared" si="60"/>
        <v>7</v>
      </c>
      <c r="M814" s="17">
        <v>1.4833299999999999E-3</v>
      </c>
      <c r="N814" s="46">
        <f t="shared" si="61"/>
        <v>-0.35064437870000004</v>
      </c>
      <c r="O814" s="16"/>
      <c r="P814" s="48">
        <f t="shared" si="62"/>
        <v>-16.251812500000003</v>
      </c>
      <c r="Q814" s="16"/>
      <c r="R814" s="48">
        <f t="shared" si="63"/>
        <v>-0.60946407500000011</v>
      </c>
    </row>
    <row r="815" spans="1:18">
      <c r="A815" s="14" t="s">
        <v>238</v>
      </c>
      <c r="B815" s="15" t="s">
        <v>762</v>
      </c>
      <c r="C815" s="15" t="s">
        <v>763</v>
      </c>
      <c r="D815" s="14" t="s">
        <v>764</v>
      </c>
      <c r="E815" s="15" t="s">
        <v>168</v>
      </c>
      <c r="F815" s="14" t="s">
        <v>169</v>
      </c>
      <c r="G815" s="15" t="s">
        <v>23</v>
      </c>
      <c r="H815" s="15"/>
      <c r="I815" s="15">
        <v>201406</v>
      </c>
      <c r="J815" s="16">
        <v>-719.05</v>
      </c>
      <c r="K815" s="44">
        <f t="shared" si="64"/>
        <v>41944</v>
      </c>
      <c r="L815" s="45">
        <f t="shared" si="60"/>
        <v>7</v>
      </c>
      <c r="M815" s="17">
        <v>2.3833299999999999E-3</v>
      </c>
      <c r="N815" s="46">
        <f t="shared" si="61"/>
        <v>-11.996134055499999</v>
      </c>
      <c r="O815" s="16"/>
      <c r="P815" s="48">
        <f t="shared" si="62"/>
        <v>-346.04281250000003</v>
      </c>
      <c r="Q815" s="16"/>
      <c r="R815" s="48">
        <f t="shared" si="63"/>
        <v>-12.977054875</v>
      </c>
    </row>
    <row r="816" spans="1:18">
      <c r="A816" s="14" t="s">
        <v>17</v>
      </c>
      <c r="B816" s="15" t="s">
        <v>765</v>
      </c>
      <c r="C816" s="15" t="s">
        <v>766</v>
      </c>
      <c r="D816" s="14" t="s">
        <v>767</v>
      </c>
      <c r="E816" s="15" t="s">
        <v>216</v>
      </c>
      <c r="F816" s="14" t="s">
        <v>22</v>
      </c>
      <c r="G816" s="15" t="s">
        <v>23</v>
      </c>
      <c r="H816" s="15"/>
      <c r="I816" s="15">
        <v>201406</v>
      </c>
      <c r="J816" s="16">
        <v>-1144.49</v>
      </c>
      <c r="K816" s="44">
        <f t="shared" si="64"/>
        <v>41944</v>
      </c>
      <c r="L816" s="45">
        <f t="shared" si="60"/>
        <v>7</v>
      </c>
      <c r="M816" s="17">
        <v>1.4833299999999999E-3</v>
      </c>
      <c r="N816" s="46">
        <f t="shared" si="61"/>
        <v>-11.8835944619</v>
      </c>
      <c r="O816" s="16"/>
      <c r="P816" s="48">
        <f t="shared" si="62"/>
        <v>-550.78581250000013</v>
      </c>
      <c r="Q816" s="16"/>
      <c r="R816" s="48">
        <f t="shared" si="63"/>
        <v>-20.655183275000002</v>
      </c>
    </row>
    <row r="817" spans="1:20">
      <c r="A817" s="14" t="s">
        <v>17</v>
      </c>
      <c r="B817" s="15" t="s">
        <v>768</v>
      </c>
      <c r="C817" s="15" t="s">
        <v>769</v>
      </c>
      <c r="D817" s="14" t="s">
        <v>770</v>
      </c>
      <c r="E817" s="15" t="s">
        <v>104</v>
      </c>
      <c r="F817" s="14" t="s">
        <v>41</v>
      </c>
      <c r="G817" s="15" t="s">
        <v>23</v>
      </c>
      <c r="H817" s="15"/>
      <c r="I817" s="15">
        <v>201406</v>
      </c>
      <c r="J817" s="16">
        <v>-709.47</v>
      </c>
      <c r="K817" s="44">
        <f t="shared" si="64"/>
        <v>41944</v>
      </c>
      <c r="L817" s="45">
        <f t="shared" si="60"/>
        <v>7</v>
      </c>
      <c r="M817" s="17">
        <v>1.4833299999999999E-3</v>
      </c>
      <c r="N817" s="46">
        <f t="shared" si="61"/>
        <v>-7.3666469457000003</v>
      </c>
      <c r="O817" s="16"/>
      <c r="P817" s="48">
        <f t="shared" si="62"/>
        <v>-341.43243750000005</v>
      </c>
      <c r="Q817" s="16"/>
      <c r="R817" s="48">
        <f t="shared" si="63"/>
        <v>-12.804159825000001</v>
      </c>
    </row>
    <row r="818" spans="1:20">
      <c r="A818" s="14" t="s">
        <v>238</v>
      </c>
      <c r="B818" s="15" t="s">
        <v>771</v>
      </c>
      <c r="C818" s="15" t="s">
        <v>772</v>
      </c>
      <c r="D818" s="14" t="s">
        <v>773</v>
      </c>
      <c r="E818" s="15" t="s">
        <v>168</v>
      </c>
      <c r="F818" s="14" t="s">
        <v>169</v>
      </c>
      <c r="G818" s="15" t="s">
        <v>23</v>
      </c>
      <c r="H818" s="15"/>
      <c r="I818" s="15">
        <v>201406</v>
      </c>
      <c r="J818" s="16">
        <v>-1228.05</v>
      </c>
      <c r="K818" s="44">
        <f t="shared" si="64"/>
        <v>41944</v>
      </c>
      <c r="L818" s="45">
        <f t="shared" si="60"/>
        <v>7</v>
      </c>
      <c r="M818" s="17">
        <v>2.3833299999999999E-3</v>
      </c>
      <c r="N818" s="46">
        <f t="shared" si="61"/>
        <v>-20.4879388455</v>
      </c>
      <c r="O818" s="16"/>
      <c r="P818" s="48">
        <f t="shared" si="62"/>
        <v>-590.99906250000004</v>
      </c>
      <c r="Q818" s="16"/>
      <c r="R818" s="48">
        <f t="shared" si="63"/>
        <v>-22.163232375</v>
      </c>
    </row>
    <row r="819" spans="1:20">
      <c r="A819" s="14" t="s">
        <v>238</v>
      </c>
      <c r="B819" s="15" t="s">
        <v>774</v>
      </c>
      <c r="C819" s="15" t="s">
        <v>775</v>
      </c>
      <c r="D819" s="14" t="s">
        <v>776</v>
      </c>
      <c r="E819" s="15" t="s">
        <v>168</v>
      </c>
      <c r="F819" s="14" t="s">
        <v>169</v>
      </c>
      <c r="G819" s="15" t="s">
        <v>23</v>
      </c>
      <c r="H819" s="15"/>
      <c r="I819" s="15">
        <v>201406</v>
      </c>
      <c r="J819" s="16">
        <v>-209.91</v>
      </c>
      <c r="K819" s="44">
        <f t="shared" si="64"/>
        <v>41944</v>
      </c>
      <c r="L819" s="45">
        <f t="shared" si="60"/>
        <v>7</v>
      </c>
      <c r="M819" s="17">
        <v>2.3833299999999999E-3</v>
      </c>
      <c r="N819" s="46">
        <f t="shared" si="61"/>
        <v>-3.5019936020999998</v>
      </c>
      <c r="O819" s="16"/>
      <c r="P819" s="48">
        <f t="shared" si="62"/>
        <v>-101.01918750000002</v>
      </c>
      <c r="Q819" s="16"/>
      <c r="R819" s="48">
        <f t="shared" si="63"/>
        <v>-3.7883507250000004</v>
      </c>
    </row>
    <row r="820" spans="1:20">
      <c r="A820" s="14" t="s">
        <v>17</v>
      </c>
      <c r="B820" s="15" t="s">
        <v>777</v>
      </c>
      <c r="C820" s="15" t="s">
        <v>778</v>
      </c>
      <c r="D820" s="14" t="s">
        <v>779</v>
      </c>
      <c r="E820" s="15" t="s">
        <v>62</v>
      </c>
      <c r="F820" s="14" t="s">
        <v>22</v>
      </c>
      <c r="G820" s="15" t="s">
        <v>23</v>
      </c>
      <c r="H820" s="15"/>
      <c r="I820" s="15">
        <v>201406</v>
      </c>
      <c r="J820" s="16">
        <v>-26.56</v>
      </c>
      <c r="K820" s="44">
        <f t="shared" si="64"/>
        <v>41944</v>
      </c>
      <c r="L820" s="45">
        <f t="shared" si="60"/>
        <v>7</v>
      </c>
      <c r="M820" s="17">
        <v>1.4833299999999999E-3</v>
      </c>
      <c r="N820" s="46">
        <f t="shared" si="61"/>
        <v>-0.2757807136</v>
      </c>
      <c r="O820" s="16"/>
      <c r="P820" s="48">
        <f t="shared" si="62"/>
        <v>-12.782000000000002</v>
      </c>
      <c r="Q820" s="16"/>
      <c r="R820" s="48">
        <f t="shared" si="63"/>
        <v>-0.47934159999999998</v>
      </c>
    </row>
    <row r="821" spans="1:20">
      <c r="A821" s="14" t="s">
        <v>17</v>
      </c>
      <c r="B821" s="15" t="s">
        <v>780</v>
      </c>
      <c r="C821" s="15" t="s">
        <v>781</v>
      </c>
      <c r="D821" s="14" t="s">
        <v>782</v>
      </c>
      <c r="E821" s="15" t="s">
        <v>141</v>
      </c>
      <c r="F821" s="14" t="s">
        <v>142</v>
      </c>
      <c r="G821" s="15" t="s">
        <v>23</v>
      </c>
      <c r="H821" s="15"/>
      <c r="I821" s="15">
        <v>201406</v>
      </c>
      <c r="J821" s="16">
        <v>-1704.64</v>
      </c>
      <c r="K821" s="44">
        <f t="shared" si="64"/>
        <v>41944</v>
      </c>
      <c r="L821" s="45">
        <f t="shared" si="60"/>
        <v>7</v>
      </c>
      <c r="M821" s="17">
        <v>1.4833299999999999E-3</v>
      </c>
      <c r="N821" s="46">
        <f t="shared" si="61"/>
        <v>-17.699805558400001</v>
      </c>
      <c r="O821" s="16"/>
      <c r="P821" s="48">
        <f t="shared" si="62"/>
        <v>-820.35800000000017</v>
      </c>
      <c r="Q821" s="16"/>
      <c r="R821" s="48">
        <f t="shared" si="63"/>
        <v>-30.764490400000003</v>
      </c>
    </row>
    <row r="822" spans="1:20">
      <c r="A822" s="14" t="s">
        <v>17</v>
      </c>
      <c r="B822" s="15" t="s">
        <v>783</v>
      </c>
      <c r="C822" s="15" t="s">
        <v>784</v>
      </c>
      <c r="D822" s="14" t="s">
        <v>785</v>
      </c>
      <c r="E822" s="15" t="s">
        <v>141</v>
      </c>
      <c r="F822" s="14" t="s">
        <v>142</v>
      </c>
      <c r="G822" s="15" t="s">
        <v>23</v>
      </c>
      <c r="H822" s="15"/>
      <c r="I822" s="15">
        <v>201406</v>
      </c>
      <c r="J822" s="16">
        <v>-381.69</v>
      </c>
      <c r="K822" s="44">
        <f t="shared" si="64"/>
        <v>41944</v>
      </c>
      <c r="L822" s="45">
        <f t="shared" si="60"/>
        <v>7</v>
      </c>
      <c r="M822" s="17">
        <v>1.4833299999999999E-3</v>
      </c>
      <c r="N822" s="46">
        <f t="shared" si="61"/>
        <v>-3.9632055938999997</v>
      </c>
      <c r="O822" s="16"/>
      <c r="P822" s="48">
        <f t="shared" si="62"/>
        <v>-183.68831250000002</v>
      </c>
      <c r="Q822" s="16"/>
      <c r="R822" s="48">
        <f t="shared" si="63"/>
        <v>-6.8885502750000001</v>
      </c>
    </row>
    <row r="823" spans="1:20">
      <c r="A823" s="14" t="s">
        <v>17</v>
      </c>
      <c r="B823" s="15" t="s">
        <v>786</v>
      </c>
      <c r="C823" s="15" t="s">
        <v>787</v>
      </c>
      <c r="D823" s="14" t="s">
        <v>788</v>
      </c>
      <c r="E823" s="15" t="s">
        <v>246</v>
      </c>
      <c r="F823" s="14" t="s">
        <v>247</v>
      </c>
      <c r="G823" s="15" t="s">
        <v>23</v>
      </c>
      <c r="H823" s="15"/>
      <c r="I823" s="15">
        <v>201406</v>
      </c>
      <c r="J823" s="16">
        <v>-16351.75</v>
      </c>
      <c r="K823" s="44">
        <f t="shared" si="64"/>
        <v>41944</v>
      </c>
      <c r="L823" s="45">
        <f t="shared" si="60"/>
        <v>7</v>
      </c>
      <c r="M823" s="17">
        <v>1.4833299999999999E-3</v>
      </c>
      <c r="N823" s="46">
        <f t="shared" si="61"/>
        <v>-169.78528929249998</v>
      </c>
      <c r="O823" s="16"/>
      <c r="P823" s="48">
        <f t="shared" si="62"/>
        <v>-7869.2796875000013</v>
      </c>
      <c r="Q823" s="16"/>
      <c r="R823" s="48">
        <f t="shared" si="63"/>
        <v>-295.10820812500003</v>
      </c>
    </row>
    <row r="824" spans="1:20">
      <c r="A824" s="14" t="s">
        <v>17</v>
      </c>
      <c r="B824" s="15" t="s">
        <v>789</v>
      </c>
      <c r="C824" s="15" t="s">
        <v>790</v>
      </c>
      <c r="D824" s="14" t="s">
        <v>791</v>
      </c>
      <c r="E824" s="15" t="s">
        <v>246</v>
      </c>
      <c r="F824" s="14" t="s">
        <v>247</v>
      </c>
      <c r="G824" s="15" t="s">
        <v>23</v>
      </c>
      <c r="H824" s="15"/>
      <c r="I824" s="15">
        <v>201406</v>
      </c>
      <c r="J824" s="16">
        <v>-761.22</v>
      </c>
      <c r="K824" s="44">
        <f t="shared" si="64"/>
        <v>41944</v>
      </c>
      <c r="L824" s="45">
        <f t="shared" si="60"/>
        <v>7</v>
      </c>
      <c r="M824" s="17">
        <v>1.4833299999999999E-3</v>
      </c>
      <c r="N824" s="46">
        <f t="shared" si="61"/>
        <v>-7.9039832382000004</v>
      </c>
      <c r="O824" s="16"/>
      <c r="P824" s="48">
        <f t="shared" si="62"/>
        <v>-366.33712500000007</v>
      </c>
      <c r="Q824" s="16"/>
      <c r="R824" s="48">
        <f t="shared" si="63"/>
        <v>-13.738117950000001</v>
      </c>
      <c r="T824" s="3">
        <f>0.0178/12</f>
        <v>1.4833333333333332E-3</v>
      </c>
    </row>
    <row r="825" spans="1:20">
      <c r="A825" s="14" t="s">
        <v>17</v>
      </c>
      <c r="B825" s="15" t="s">
        <v>792</v>
      </c>
      <c r="C825" s="15" t="s">
        <v>793</v>
      </c>
      <c r="D825" s="14" t="s">
        <v>794</v>
      </c>
      <c r="E825" s="15" t="s">
        <v>58</v>
      </c>
      <c r="F825" s="14" t="s">
        <v>22</v>
      </c>
      <c r="G825" s="15" t="s">
        <v>23</v>
      </c>
      <c r="H825" s="15"/>
      <c r="I825" s="15">
        <v>201406</v>
      </c>
      <c r="J825" s="16">
        <v>-188.21</v>
      </c>
      <c r="K825" s="44">
        <f t="shared" si="64"/>
        <v>41944</v>
      </c>
      <c r="L825" s="45">
        <f t="shared" si="60"/>
        <v>7</v>
      </c>
      <c r="M825" s="17">
        <v>1.4833299999999999E-3</v>
      </c>
      <c r="N825" s="46">
        <f t="shared" si="61"/>
        <v>-1.9542427751</v>
      </c>
      <c r="O825" s="16"/>
      <c r="P825" s="48">
        <f t="shared" si="62"/>
        <v>-90.57606250000002</v>
      </c>
      <c r="Q825" s="16"/>
      <c r="R825" s="48">
        <f t="shared" si="63"/>
        <v>-3.3967199750000003</v>
      </c>
      <c r="T825" s="3">
        <f>0.0286/12</f>
        <v>2.3833333333333332E-3</v>
      </c>
    </row>
    <row r="826" spans="1:20">
      <c r="A826" s="14" t="s">
        <v>17</v>
      </c>
      <c r="B826" s="15" t="s">
        <v>795</v>
      </c>
      <c r="C826" s="15" t="s">
        <v>796</v>
      </c>
      <c r="D826" s="14" t="s">
        <v>797</v>
      </c>
      <c r="E826" s="15" t="s">
        <v>176</v>
      </c>
      <c r="F826" s="14" t="s">
        <v>28</v>
      </c>
      <c r="G826" s="15" t="s">
        <v>23</v>
      </c>
      <c r="H826" s="15"/>
      <c r="I826" s="15">
        <v>201406</v>
      </c>
      <c r="J826" s="16">
        <v>-422.45</v>
      </c>
      <c r="K826" s="44">
        <f t="shared" si="64"/>
        <v>41944</v>
      </c>
      <c r="L826" s="45">
        <f t="shared" si="60"/>
        <v>7</v>
      </c>
      <c r="M826" s="17">
        <v>1.4833299999999999E-3</v>
      </c>
      <c r="N826" s="46">
        <f t="shared" si="61"/>
        <v>-4.3864293094999995</v>
      </c>
      <c r="O826" s="16"/>
      <c r="P826" s="48">
        <f t="shared" si="62"/>
        <v>-203.30406250000001</v>
      </c>
      <c r="Q826" s="16"/>
      <c r="R826" s="48">
        <f t="shared" si="63"/>
        <v>-7.6241663750000006</v>
      </c>
      <c r="T826" s="3">
        <f>0.0263/12</f>
        <v>2.1916666666666668E-3</v>
      </c>
    </row>
    <row r="827" spans="1:20">
      <c r="A827" s="14" t="s">
        <v>17</v>
      </c>
      <c r="B827" s="15" t="s">
        <v>798</v>
      </c>
      <c r="C827" s="15" t="s">
        <v>799</v>
      </c>
      <c r="D827" s="14" t="s">
        <v>800</v>
      </c>
      <c r="E827" s="15" t="s">
        <v>62</v>
      </c>
      <c r="F827" s="14" t="s">
        <v>22</v>
      </c>
      <c r="G827" s="15" t="s">
        <v>23</v>
      </c>
      <c r="H827" s="15"/>
      <c r="I827" s="15">
        <v>201406</v>
      </c>
      <c r="J827" s="16">
        <v>2089.86</v>
      </c>
      <c r="K827" s="44">
        <f t="shared" si="64"/>
        <v>41944</v>
      </c>
      <c r="L827" s="45">
        <f t="shared" si="60"/>
        <v>7</v>
      </c>
      <c r="M827" s="17">
        <v>1.4833299999999999E-3</v>
      </c>
      <c r="N827" s="46">
        <f t="shared" si="61"/>
        <v>21.6996642366</v>
      </c>
      <c r="O827" s="16"/>
      <c r="P827" s="48">
        <f t="shared" si="62"/>
        <v>1005.7451250000001</v>
      </c>
      <c r="Q827" s="16"/>
      <c r="R827" s="48">
        <f t="shared" si="63"/>
        <v>37.716748350000003</v>
      </c>
      <c r="T827" s="3">
        <f>0.0268/12</f>
        <v>2.2333333333333333E-3</v>
      </c>
    </row>
    <row r="828" spans="1:20">
      <c r="A828" s="14" t="s">
        <v>17</v>
      </c>
      <c r="B828" s="15" t="s">
        <v>1435</v>
      </c>
      <c r="C828" s="15" t="s">
        <v>1436</v>
      </c>
      <c r="D828" s="14" t="s">
        <v>1437</v>
      </c>
      <c r="E828" s="15" t="s">
        <v>667</v>
      </c>
      <c r="F828" s="14" t="s">
        <v>28</v>
      </c>
      <c r="G828" s="15" t="s">
        <v>23</v>
      </c>
      <c r="H828" s="15"/>
      <c r="I828" s="15">
        <v>201406</v>
      </c>
      <c r="J828" s="16">
        <v>-307</v>
      </c>
      <c r="K828" s="44">
        <f t="shared" si="64"/>
        <v>41944</v>
      </c>
      <c r="L828" s="45">
        <f t="shared" si="60"/>
        <v>7</v>
      </c>
      <c r="M828" s="17">
        <v>1.4833299999999999E-3</v>
      </c>
      <c r="N828" s="46">
        <f t="shared" si="61"/>
        <v>-3.18767617</v>
      </c>
      <c r="O828" s="16"/>
      <c r="P828" s="48">
        <f t="shared" si="62"/>
        <v>-147.74375000000003</v>
      </c>
      <c r="Q828" s="16"/>
      <c r="R828" s="48">
        <f t="shared" si="63"/>
        <v>-5.5405825000000002</v>
      </c>
      <c r="T828" s="3">
        <f>0.0286/12</f>
        <v>2.3833333333333332E-3</v>
      </c>
    </row>
    <row r="829" spans="1:20">
      <c r="A829" s="14" t="s">
        <v>17</v>
      </c>
      <c r="B829" s="15" t="s">
        <v>801</v>
      </c>
      <c r="C829" s="15" t="s">
        <v>802</v>
      </c>
      <c r="D829" s="14" t="s">
        <v>803</v>
      </c>
      <c r="E829" s="15" t="s">
        <v>440</v>
      </c>
      <c r="F829" s="14" t="s">
        <v>28</v>
      </c>
      <c r="G829" s="15" t="s">
        <v>23</v>
      </c>
      <c r="H829" s="15"/>
      <c r="I829" s="15">
        <v>201406</v>
      </c>
      <c r="J829" s="16">
        <v>-463.28</v>
      </c>
      <c r="K829" s="44">
        <f t="shared" si="64"/>
        <v>41944</v>
      </c>
      <c r="L829" s="45">
        <f t="shared" si="60"/>
        <v>7</v>
      </c>
      <c r="M829" s="17">
        <v>1.4833299999999999E-3</v>
      </c>
      <c r="N829" s="46">
        <f t="shared" si="61"/>
        <v>-4.8103798568</v>
      </c>
      <c r="O829" s="16"/>
      <c r="P829" s="48">
        <f t="shared" si="62"/>
        <v>-222.95350000000002</v>
      </c>
      <c r="Q829" s="16"/>
      <c r="R829" s="48">
        <f t="shared" si="63"/>
        <v>-8.3610457999999994</v>
      </c>
      <c r="T829" s="3">
        <f>0.0244/12</f>
        <v>2.0333333333333336E-3</v>
      </c>
    </row>
    <row r="830" spans="1:20">
      <c r="A830" s="14" t="s">
        <v>17</v>
      </c>
      <c r="B830" s="15" t="s">
        <v>804</v>
      </c>
      <c r="C830" s="15" t="s">
        <v>805</v>
      </c>
      <c r="D830" s="14" t="s">
        <v>806</v>
      </c>
      <c r="E830" s="15" t="s">
        <v>141</v>
      </c>
      <c r="F830" s="14" t="s">
        <v>142</v>
      </c>
      <c r="G830" s="15" t="s">
        <v>23</v>
      </c>
      <c r="H830" s="15"/>
      <c r="I830" s="15">
        <v>201406</v>
      </c>
      <c r="J830" s="16">
        <v>-1204.6600000000001</v>
      </c>
      <c r="K830" s="44">
        <f t="shared" si="64"/>
        <v>41944</v>
      </c>
      <c r="L830" s="45">
        <f t="shared" si="60"/>
        <v>7</v>
      </c>
      <c r="M830" s="17">
        <v>1.4833299999999999E-3</v>
      </c>
      <c r="N830" s="46">
        <f t="shared" si="61"/>
        <v>-12.5083582246</v>
      </c>
      <c r="O830" s="16"/>
      <c r="P830" s="48">
        <f t="shared" si="62"/>
        <v>-579.74262500000009</v>
      </c>
      <c r="Q830" s="16"/>
      <c r="R830" s="48">
        <f t="shared" si="63"/>
        <v>-21.741101350000001</v>
      </c>
      <c r="T830" s="3">
        <f>0.0333/12</f>
        <v>2.7750000000000001E-3</v>
      </c>
    </row>
    <row r="831" spans="1:20">
      <c r="A831" s="14" t="s">
        <v>17</v>
      </c>
      <c r="B831" s="15" t="s">
        <v>807</v>
      </c>
      <c r="C831" s="15" t="s">
        <v>808</v>
      </c>
      <c r="D831" s="14" t="s">
        <v>809</v>
      </c>
      <c r="E831" s="15" t="s">
        <v>108</v>
      </c>
      <c r="F831" s="14" t="s">
        <v>28</v>
      </c>
      <c r="G831" s="15" t="s">
        <v>23</v>
      </c>
      <c r="H831" s="15"/>
      <c r="I831" s="15">
        <v>201406</v>
      </c>
      <c r="J831" s="16">
        <v>-982.84</v>
      </c>
      <c r="K831" s="44">
        <f t="shared" si="64"/>
        <v>41944</v>
      </c>
      <c r="L831" s="45">
        <f t="shared" si="60"/>
        <v>7</v>
      </c>
      <c r="M831" s="17">
        <v>1.4833299999999999E-3</v>
      </c>
      <c r="N831" s="46">
        <f t="shared" si="61"/>
        <v>-10.2051324004</v>
      </c>
      <c r="O831" s="16"/>
      <c r="P831" s="48">
        <f t="shared" si="62"/>
        <v>-472.99175000000008</v>
      </c>
      <c r="Q831" s="16"/>
      <c r="R831" s="48">
        <f t="shared" si="63"/>
        <v>-17.7378049</v>
      </c>
    </row>
    <row r="832" spans="1:20">
      <c r="A832" s="14" t="s">
        <v>17</v>
      </c>
      <c r="B832" s="15" t="s">
        <v>810</v>
      </c>
      <c r="C832" s="15" t="s">
        <v>811</v>
      </c>
      <c r="D832" s="14" t="s">
        <v>812</v>
      </c>
      <c r="E832" s="15" t="s">
        <v>104</v>
      </c>
      <c r="F832" s="14" t="s">
        <v>41</v>
      </c>
      <c r="G832" s="15" t="s">
        <v>23</v>
      </c>
      <c r="H832" s="15"/>
      <c r="I832" s="15">
        <v>201406</v>
      </c>
      <c r="J832" s="16">
        <v>-759.69</v>
      </c>
      <c r="K832" s="44">
        <f t="shared" si="64"/>
        <v>41944</v>
      </c>
      <c r="L832" s="45">
        <f t="shared" si="60"/>
        <v>7</v>
      </c>
      <c r="M832" s="17">
        <v>1.4833299999999999E-3</v>
      </c>
      <c r="N832" s="46">
        <f t="shared" si="61"/>
        <v>-7.8880967739000001</v>
      </c>
      <c r="O832" s="16"/>
      <c r="P832" s="48">
        <f t="shared" si="62"/>
        <v>-365.60081250000007</v>
      </c>
      <c r="Q832" s="16"/>
      <c r="R832" s="48">
        <f t="shared" si="63"/>
        <v>-13.710505275000001</v>
      </c>
    </row>
    <row r="833" spans="1:18">
      <c r="A833" s="14" t="s">
        <v>54</v>
      </c>
      <c r="B833" s="15" t="s">
        <v>816</v>
      </c>
      <c r="C833" s="15" t="s">
        <v>817</v>
      </c>
      <c r="D833" s="14" t="s">
        <v>818</v>
      </c>
      <c r="E833" s="15" t="s">
        <v>62</v>
      </c>
      <c r="F833" s="14" t="s">
        <v>22</v>
      </c>
      <c r="G833" s="15" t="s">
        <v>23</v>
      </c>
      <c r="H833" s="15"/>
      <c r="I833" s="15">
        <v>201406</v>
      </c>
      <c r="J833" s="16">
        <v>-880.18</v>
      </c>
      <c r="K833" s="44">
        <f t="shared" si="64"/>
        <v>41944</v>
      </c>
      <c r="L833" s="45">
        <f t="shared" si="60"/>
        <v>7</v>
      </c>
      <c r="M833" s="17">
        <v>1.4833299999999999E-3</v>
      </c>
      <c r="N833" s="46">
        <f t="shared" si="61"/>
        <v>-9.139181795799999</v>
      </c>
      <c r="O833" s="16"/>
      <c r="P833" s="48">
        <f t="shared" si="62"/>
        <v>-423.58662500000003</v>
      </c>
      <c r="Q833" s="16"/>
      <c r="R833" s="48">
        <f t="shared" si="63"/>
        <v>-15.88504855</v>
      </c>
    </row>
    <row r="834" spans="1:18">
      <c r="A834" s="14" t="s">
        <v>54</v>
      </c>
      <c r="B834" s="15" t="s">
        <v>827</v>
      </c>
      <c r="C834" s="15" t="s">
        <v>828</v>
      </c>
      <c r="D834" s="14" t="s">
        <v>829</v>
      </c>
      <c r="E834" s="15" t="s">
        <v>62</v>
      </c>
      <c r="F834" s="14" t="s">
        <v>22</v>
      </c>
      <c r="G834" s="15" t="s">
        <v>23</v>
      </c>
      <c r="H834" s="15"/>
      <c r="I834" s="15">
        <v>201406</v>
      </c>
      <c r="J834" s="16">
        <v>4058.09</v>
      </c>
      <c r="K834" s="44">
        <f t="shared" si="64"/>
        <v>41944</v>
      </c>
      <c r="L834" s="45">
        <f t="shared" si="60"/>
        <v>7</v>
      </c>
      <c r="M834" s="17">
        <v>1.4833299999999999E-3</v>
      </c>
      <c r="N834" s="46">
        <f t="shared" si="61"/>
        <v>42.136406477900003</v>
      </c>
      <c r="O834" s="16"/>
      <c r="P834" s="48">
        <f t="shared" si="62"/>
        <v>1952.9558125000003</v>
      </c>
      <c r="Q834" s="16"/>
      <c r="R834" s="48">
        <f t="shared" si="63"/>
        <v>73.238379275</v>
      </c>
    </row>
    <row r="835" spans="1:18">
      <c r="A835" s="18" t="s">
        <v>66</v>
      </c>
      <c r="B835" s="15" t="s">
        <v>833</v>
      </c>
      <c r="C835" s="15" t="s">
        <v>834</v>
      </c>
      <c r="D835" s="14" t="s">
        <v>835</v>
      </c>
      <c r="E835" s="15" t="s">
        <v>40</v>
      </c>
      <c r="F835" s="14" t="s">
        <v>41</v>
      </c>
      <c r="G835" s="15" t="s">
        <v>23</v>
      </c>
      <c r="H835" s="15"/>
      <c r="I835" s="15">
        <v>201406</v>
      </c>
      <c r="J835" s="16">
        <v>-452.55</v>
      </c>
      <c r="K835" s="44">
        <f t="shared" si="64"/>
        <v>41944</v>
      </c>
      <c r="L835" s="45">
        <f t="shared" si="60"/>
        <v>7</v>
      </c>
      <c r="M835" s="17">
        <v>2.23333E-3</v>
      </c>
      <c r="N835" s="46">
        <f t="shared" si="61"/>
        <v>-7.0748544405000002</v>
      </c>
      <c r="O835" s="16"/>
      <c r="P835" s="48">
        <f t="shared" si="62"/>
        <v>-217.78968750000004</v>
      </c>
      <c r="Q835" s="16"/>
      <c r="R835" s="48">
        <f t="shared" si="63"/>
        <v>-8.1673961250000016</v>
      </c>
    </row>
    <row r="836" spans="1:18">
      <c r="A836" s="14" t="s">
        <v>54</v>
      </c>
      <c r="B836" s="15" t="s">
        <v>836</v>
      </c>
      <c r="C836" s="15" t="s">
        <v>837</v>
      </c>
      <c r="D836" s="14" t="s">
        <v>838</v>
      </c>
      <c r="E836" s="15" t="s">
        <v>21</v>
      </c>
      <c r="F836" s="14" t="s">
        <v>22</v>
      </c>
      <c r="G836" s="15" t="s">
        <v>23</v>
      </c>
      <c r="H836" s="15"/>
      <c r="I836" s="15">
        <v>201406</v>
      </c>
      <c r="J836" s="16">
        <v>37546.61</v>
      </c>
      <c r="K836" s="44">
        <f t="shared" si="64"/>
        <v>41944</v>
      </c>
      <c r="L836" s="45">
        <f t="shared" si="60"/>
        <v>7</v>
      </c>
      <c r="M836" s="17">
        <v>1.4833299999999999E-3</v>
      </c>
      <c r="N836" s="46">
        <f t="shared" si="61"/>
        <v>389.85809107910001</v>
      </c>
      <c r="O836" s="16"/>
      <c r="P836" s="48">
        <f t="shared" si="62"/>
        <v>18069.306062500003</v>
      </c>
      <c r="Q836" s="16"/>
      <c r="R836" s="48">
        <f t="shared" si="63"/>
        <v>677.62244397500001</v>
      </c>
    </row>
    <row r="837" spans="1:18">
      <c r="A837" s="18" t="s">
        <v>66</v>
      </c>
      <c r="B837" s="15" t="s">
        <v>839</v>
      </c>
      <c r="C837" s="15" t="s">
        <v>840</v>
      </c>
      <c r="D837" s="14" t="s">
        <v>841</v>
      </c>
      <c r="E837" s="15" t="s">
        <v>842</v>
      </c>
      <c r="F837" s="14" t="s">
        <v>624</v>
      </c>
      <c r="G837" s="15" t="s">
        <v>23</v>
      </c>
      <c r="H837" s="15"/>
      <c r="I837" s="15">
        <v>201406</v>
      </c>
      <c r="J837" s="16">
        <v>-326.08</v>
      </c>
      <c r="K837" s="44">
        <f t="shared" si="64"/>
        <v>41944</v>
      </c>
      <c r="L837" s="45">
        <f t="shared" si="60"/>
        <v>7</v>
      </c>
      <c r="M837" s="17">
        <v>2.23333E-3</v>
      </c>
      <c r="N837" s="46">
        <f t="shared" si="61"/>
        <v>-5.0977097247999996</v>
      </c>
      <c r="O837" s="16"/>
      <c r="P837" s="48">
        <f t="shared" si="62"/>
        <v>-156.92600000000002</v>
      </c>
      <c r="Q837" s="16"/>
      <c r="R837" s="48">
        <f t="shared" si="63"/>
        <v>-5.8849288</v>
      </c>
    </row>
    <row r="838" spans="1:18">
      <c r="A838" s="14" t="s">
        <v>17</v>
      </c>
      <c r="B838" s="15" t="s">
        <v>849</v>
      </c>
      <c r="C838" s="15" t="s">
        <v>850</v>
      </c>
      <c r="D838" s="14" t="s">
        <v>851</v>
      </c>
      <c r="E838" s="15" t="s">
        <v>27</v>
      </c>
      <c r="F838" s="14" t="s">
        <v>28</v>
      </c>
      <c r="G838" s="15" t="s">
        <v>23</v>
      </c>
      <c r="H838" s="15"/>
      <c r="I838" s="15">
        <v>201406</v>
      </c>
      <c r="J838" s="16">
        <v>15744.61</v>
      </c>
      <c r="K838" s="44">
        <f t="shared" si="64"/>
        <v>41944</v>
      </c>
      <c r="L838" s="45">
        <f t="shared" ref="L838:L843" si="65">((YEAR($L$1)-YEAR(K838))*12+MONTH($L$1)-MONTH(K838))</f>
        <v>7</v>
      </c>
      <c r="M838" s="17">
        <v>1.4833299999999999E-3</v>
      </c>
      <c r="N838" s="46">
        <f t="shared" ref="N838:N843" si="66">M838*L838*J838</f>
        <v>163.4811664591</v>
      </c>
      <c r="O838" s="16"/>
      <c r="P838" s="48">
        <f t="shared" ref="P838:P843" si="67">$P$4*J838</f>
        <v>7577.0935625000011</v>
      </c>
      <c r="Q838" s="16"/>
      <c r="R838" s="48">
        <f t="shared" ref="R838:R901" si="68">$R$4*(J838*0.5)*$T$9</f>
        <v>284.15084897500003</v>
      </c>
    </row>
    <row r="839" spans="1:18">
      <c r="A839" s="14" t="s">
        <v>54</v>
      </c>
      <c r="B839" s="15" t="s">
        <v>855</v>
      </c>
      <c r="C839" s="15" t="s">
        <v>856</v>
      </c>
      <c r="D839" s="14" t="s">
        <v>857</v>
      </c>
      <c r="E839" s="15" t="s">
        <v>62</v>
      </c>
      <c r="F839" s="14" t="s">
        <v>22</v>
      </c>
      <c r="G839" s="15" t="s">
        <v>23</v>
      </c>
      <c r="H839" s="15"/>
      <c r="I839" s="15">
        <v>201406</v>
      </c>
      <c r="J839" s="16">
        <v>23314.98</v>
      </c>
      <c r="K839" s="44">
        <f t="shared" ref="K839:K902" si="69">+K838</f>
        <v>41944</v>
      </c>
      <c r="L839" s="45">
        <f t="shared" si="65"/>
        <v>7</v>
      </c>
      <c r="M839" s="17">
        <v>1.4833299999999999E-3</v>
      </c>
      <c r="N839" s="46">
        <f t="shared" si="66"/>
        <v>242.08666498379998</v>
      </c>
      <c r="O839" s="16"/>
      <c r="P839" s="48">
        <f t="shared" si="67"/>
        <v>11220.334125000001</v>
      </c>
      <c r="Q839" s="16"/>
      <c r="R839" s="48">
        <f t="shared" si="68"/>
        <v>420.77710155</v>
      </c>
    </row>
    <row r="840" spans="1:18">
      <c r="A840" s="14" t="s">
        <v>54</v>
      </c>
      <c r="B840" s="15" t="s">
        <v>861</v>
      </c>
      <c r="C840" s="15" t="s">
        <v>862</v>
      </c>
      <c r="D840" s="14" t="s">
        <v>863</v>
      </c>
      <c r="E840" s="15" t="s">
        <v>45</v>
      </c>
      <c r="F840" s="14" t="s">
        <v>22</v>
      </c>
      <c r="G840" s="15" t="s">
        <v>23</v>
      </c>
      <c r="H840" s="15"/>
      <c r="I840" s="15">
        <v>201406</v>
      </c>
      <c r="J840" s="16">
        <v>5039.28</v>
      </c>
      <c r="K840" s="44">
        <f t="shared" si="69"/>
        <v>41944</v>
      </c>
      <c r="L840" s="45">
        <f t="shared" si="65"/>
        <v>7</v>
      </c>
      <c r="M840" s="17">
        <v>1.4833299999999999E-3</v>
      </c>
      <c r="N840" s="46">
        <f t="shared" si="66"/>
        <v>52.324406416799995</v>
      </c>
      <c r="O840" s="16"/>
      <c r="P840" s="48">
        <f t="shared" si="67"/>
        <v>2425.1535000000003</v>
      </c>
      <c r="Q840" s="16"/>
      <c r="R840" s="48">
        <f t="shared" si="68"/>
        <v>90.946405799999994</v>
      </c>
    </row>
    <row r="841" spans="1:18">
      <c r="A841" s="14" t="s">
        <v>54</v>
      </c>
      <c r="B841" s="15" t="s">
        <v>864</v>
      </c>
      <c r="C841" s="15" t="s">
        <v>865</v>
      </c>
      <c r="D841" s="14" t="s">
        <v>866</v>
      </c>
      <c r="E841" s="15" t="s">
        <v>141</v>
      </c>
      <c r="F841" s="14" t="s">
        <v>142</v>
      </c>
      <c r="G841" s="15" t="s">
        <v>23</v>
      </c>
      <c r="H841" s="15"/>
      <c r="I841" s="15">
        <v>201406</v>
      </c>
      <c r="J841" s="16">
        <v>24593.16</v>
      </c>
      <c r="K841" s="44">
        <f t="shared" si="69"/>
        <v>41944</v>
      </c>
      <c r="L841" s="45">
        <f t="shared" si="65"/>
        <v>7</v>
      </c>
      <c r="M841" s="17">
        <v>1.4833299999999999E-3</v>
      </c>
      <c r="N841" s="46">
        <f t="shared" si="66"/>
        <v>255.35840415959998</v>
      </c>
      <c r="O841" s="16"/>
      <c r="P841" s="48">
        <f t="shared" si="67"/>
        <v>11835.458250000001</v>
      </c>
      <c r="Q841" s="16"/>
      <c r="R841" s="48">
        <f t="shared" si="68"/>
        <v>443.84505510000002</v>
      </c>
    </row>
    <row r="842" spans="1:18">
      <c r="A842" s="14" t="s">
        <v>54</v>
      </c>
      <c r="B842" s="15" t="s">
        <v>867</v>
      </c>
      <c r="C842" s="15" t="s">
        <v>868</v>
      </c>
      <c r="D842" s="14" t="s">
        <v>869</v>
      </c>
      <c r="E842" s="15" t="s">
        <v>36</v>
      </c>
      <c r="F842" s="14" t="s">
        <v>22</v>
      </c>
      <c r="G842" s="15" t="s">
        <v>23</v>
      </c>
      <c r="H842" s="15"/>
      <c r="I842" s="15">
        <v>201406</v>
      </c>
      <c r="J842" s="16">
        <v>-2022.55</v>
      </c>
      <c r="K842" s="44">
        <f t="shared" si="69"/>
        <v>41944</v>
      </c>
      <c r="L842" s="45">
        <f t="shared" si="65"/>
        <v>7</v>
      </c>
      <c r="M842" s="17">
        <v>1.4833299999999999E-3</v>
      </c>
      <c r="N842" s="46">
        <f t="shared" si="66"/>
        <v>-21.000763640500001</v>
      </c>
      <c r="O842" s="16"/>
      <c r="P842" s="48">
        <f t="shared" si="67"/>
        <v>-973.35218750000013</v>
      </c>
      <c r="Q842" s="16"/>
      <c r="R842" s="48">
        <f t="shared" si="68"/>
        <v>-36.501971125000004</v>
      </c>
    </row>
    <row r="843" spans="1:18">
      <c r="A843" s="14" t="s">
        <v>54</v>
      </c>
      <c r="B843" s="15" t="s">
        <v>873</v>
      </c>
      <c r="C843" s="15" t="s">
        <v>874</v>
      </c>
      <c r="D843" s="14" t="s">
        <v>875</v>
      </c>
      <c r="E843" s="15" t="s">
        <v>36</v>
      </c>
      <c r="F843" s="14" t="s">
        <v>22</v>
      </c>
      <c r="G843" s="15" t="s">
        <v>23</v>
      </c>
      <c r="H843" s="15"/>
      <c r="I843" s="15">
        <v>201406</v>
      </c>
      <c r="J843" s="16">
        <v>5617.5</v>
      </c>
      <c r="K843" s="44">
        <f t="shared" si="69"/>
        <v>41944</v>
      </c>
      <c r="L843" s="45">
        <f t="shared" si="65"/>
        <v>7</v>
      </c>
      <c r="M843" s="17">
        <v>1.4833299999999999E-3</v>
      </c>
      <c r="N843" s="46">
        <f t="shared" si="66"/>
        <v>58.328243924999995</v>
      </c>
      <c r="O843" s="16"/>
      <c r="P843" s="48">
        <f t="shared" si="67"/>
        <v>2703.4218750000005</v>
      </c>
      <c r="Q843" s="16"/>
      <c r="R843" s="48">
        <f t="shared" si="68"/>
        <v>101.38183125</v>
      </c>
    </row>
    <row r="844" spans="1:18">
      <c r="A844" s="14" t="s">
        <v>17</v>
      </c>
      <c r="B844" s="15" t="s">
        <v>786</v>
      </c>
      <c r="C844" s="15" t="s">
        <v>787</v>
      </c>
      <c r="D844" s="14" t="s">
        <v>788</v>
      </c>
      <c r="E844" s="15" t="s">
        <v>246</v>
      </c>
      <c r="F844" s="14" t="s">
        <v>247</v>
      </c>
      <c r="G844" s="15" t="s">
        <v>23</v>
      </c>
      <c r="H844" s="15"/>
      <c r="I844" s="15">
        <v>201407</v>
      </c>
      <c r="J844" s="16">
        <v>8368.64</v>
      </c>
      <c r="K844" s="44">
        <f t="shared" si="69"/>
        <v>41944</v>
      </c>
      <c r="L844" s="45">
        <f>((YEAR($L$1)-YEAR(K844))*12+MONTH($L$1)-MONTH(K844))</f>
        <v>7</v>
      </c>
      <c r="M844" s="17">
        <v>1.4833299999999999E-3</v>
      </c>
      <c r="N844" s="46">
        <f t="shared" ref="N844:N907" si="70">M844*L844*J844</f>
        <v>86.894183398399989</v>
      </c>
      <c r="O844" s="16"/>
      <c r="P844" s="63">
        <f>$P$4*J844</f>
        <v>4027.4080000000004</v>
      </c>
      <c r="Q844" s="16"/>
      <c r="R844" s="48">
        <f t="shared" si="68"/>
        <v>151.0330304</v>
      </c>
    </row>
    <row r="845" spans="1:18">
      <c r="A845" s="14" t="s">
        <v>17</v>
      </c>
      <c r="B845" s="15" t="s">
        <v>789</v>
      </c>
      <c r="C845" s="15" t="s">
        <v>790</v>
      </c>
      <c r="D845" s="14" t="s">
        <v>791</v>
      </c>
      <c r="E845" s="15" t="s">
        <v>246</v>
      </c>
      <c r="F845" s="14" t="s">
        <v>247</v>
      </c>
      <c r="G845" s="15" t="s">
        <v>23</v>
      </c>
      <c r="H845" s="15"/>
      <c r="I845" s="15">
        <v>201407</v>
      </c>
      <c r="J845" s="16">
        <v>1.78</v>
      </c>
      <c r="K845" s="44">
        <f t="shared" si="69"/>
        <v>41944</v>
      </c>
      <c r="L845" s="45">
        <f t="shared" ref="L845:L908" si="71">((YEAR($L$1)-YEAR(K845))*12+MONTH($L$1)-MONTH(K845))</f>
        <v>7</v>
      </c>
      <c r="M845" s="17">
        <v>1.4833299999999999E-3</v>
      </c>
      <c r="N845" s="46">
        <f t="shared" si="70"/>
        <v>1.8482291799999998E-2</v>
      </c>
      <c r="O845" s="16"/>
      <c r="P845" s="63">
        <f t="shared" ref="P845:P908" si="72">$P$4*J845</f>
        <v>0.85662500000000008</v>
      </c>
      <c r="Q845" s="16"/>
      <c r="R845" s="48">
        <f t="shared" si="68"/>
        <v>3.2124550000000002E-2</v>
      </c>
    </row>
    <row r="846" spans="1:18">
      <c r="A846" s="14" t="s">
        <v>17</v>
      </c>
      <c r="B846" s="15" t="s">
        <v>422</v>
      </c>
      <c r="C846" s="15" t="s">
        <v>423</v>
      </c>
      <c r="D846" s="14" t="s">
        <v>424</v>
      </c>
      <c r="E846" s="15" t="s">
        <v>246</v>
      </c>
      <c r="F846" s="14" t="s">
        <v>247</v>
      </c>
      <c r="G846" s="15" t="s">
        <v>23</v>
      </c>
      <c r="H846" s="15"/>
      <c r="I846" s="15">
        <v>201407</v>
      </c>
      <c r="J846" s="16">
        <v>0.41</v>
      </c>
      <c r="K846" s="44">
        <f t="shared" si="69"/>
        <v>41944</v>
      </c>
      <c r="L846" s="45">
        <f t="shared" si="71"/>
        <v>7</v>
      </c>
      <c r="M846" s="17">
        <v>1.4833299999999999E-3</v>
      </c>
      <c r="N846" s="46">
        <f t="shared" si="70"/>
        <v>4.2571570999999997E-3</v>
      </c>
      <c r="O846" s="16"/>
      <c r="P846" s="63">
        <f t="shared" si="72"/>
        <v>0.1973125</v>
      </c>
      <c r="Q846" s="16"/>
      <c r="R846" s="48">
        <f t="shared" si="68"/>
        <v>7.399475E-3</v>
      </c>
    </row>
    <row r="847" spans="1:18">
      <c r="A847" s="14" t="s">
        <v>217</v>
      </c>
      <c r="B847" s="15" t="s">
        <v>218</v>
      </c>
      <c r="C847" s="15" t="s">
        <v>219</v>
      </c>
      <c r="D847" s="14" t="s">
        <v>220</v>
      </c>
      <c r="E847" s="15" t="s">
        <v>221</v>
      </c>
      <c r="F847" s="14" t="s">
        <v>222</v>
      </c>
      <c r="G847" s="15" t="s">
        <v>23</v>
      </c>
      <c r="H847" s="15"/>
      <c r="I847" s="15">
        <v>201407</v>
      </c>
      <c r="J847" s="16">
        <v>87975.49</v>
      </c>
      <c r="K847" s="44">
        <f t="shared" si="69"/>
        <v>41944</v>
      </c>
      <c r="L847" s="45">
        <f t="shared" si="71"/>
        <v>7</v>
      </c>
      <c r="M847" s="17">
        <v>1.4833299999999999E-3</v>
      </c>
      <c r="N847" s="46">
        <f t="shared" si="70"/>
        <v>913.47678507190005</v>
      </c>
      <c r="O847" s="16"/>
      <c r="P847" s="63">
        <f t="shared" si="72"/>
        <v>42338.20456250001</v>
      </c>
      <c r="Q847" s="16"/>
      <c r="R847" s="48">
        <f t="shared" si="68"/>
        <v>1587.7376557750001</v>
      </c>
    </row>
    <row r="848" spans="1:18">
      <c r="A848" s="14" t="s">
        <v>17</v>
      </c>
      <c r="B848" s="15" t="s">
        <v>255</v>
      </c>
      <c r="C848" s="15" t="s">
        <v>256</v>
      </c>
      <c r="D848" s="14" t="s">
        <v>257</v>
      </c>
      <c r="E848" s="15" t="s">
        <v>258</v>
      </c>
      <c r="F848" s="14" t="s">
        <v>259</v>
      </c>
      <c r="G848" s="15" t="s">
        <v>23</v>
      </c>
      <c r="H848" s="15"/>
      <c r="I848" s="15">
        <v>201407</v>
      </c>
      <c r="J848" s="16">
        <v>133.91</v>
      </c>
      <c r="K848" s="44">
        <f t="shared" si="69"/>
        <v>41944</v>
      </c>
      <c r="L848" s="45">
        <f t="shared" si="71"/>
        <v>7</v>
      </c>
      <c r="M848" s="17">
        <v>1.4833299999999999E-3</v>
      </c>
      <c r="N848" s="46">
        <f t="shared" si="70"/>
        <v>1.3904290420999998</v>
      </c>
      <c r="O848" s="16"/>
      <c r="P848" s="63">
        <f t="shared" si="72"/>
        <v>64.444187500000012</v>
      </c>
      <c r="Q848" s="16"/>
      <c r="R848" s="48">
        <f t="shared" si="68"/>
        <v>2.4167407249999999</v>
      </c>
    </row>
    <row r="849" spans="1:18">
      <c r="A849" s="14" t="s">
        <v>17</v>
      </c>
      <c r="B849" s="15" t="s">
        <v>260</v>
      </c>
      <c r="C849" s="15" t="s">
        <v>261</v>
      </c>
      <c r="D849" s="14" t="s">
        <v>262</v>
      </c>
      <c r="E849" s="15" t="s">
        <v>258</v>
      </c>
      <c r="F849" s="14" t="s">
        <v>259</v>
      </c>
      <c r="G849" s="15" t="s">
        <v>23</v>
      </c>
      <c r="H849" s="15"/>
      <c r="I849" s="15">
        <v>201407</v>
      </c>
      <c r="J849" s="16">
        <v>394.66</v>
      </c>
      <c r="K849" s="44">
        <f t="shared" si="69"/>
        <v>41944</v>
      </c>
      <c r="L849" s="45">
        <f t="shared" si="71"/>
        <v>7</v>
      </c>
      <c r="M849" s="17">
        <v>1.4833299999999999E-3</v>
      </c>
      <c r="N849" s="46">
        <f t="shared" si="70"/>
        <v>4.0978771246000001</v>
      </c>
      <c r="O849" s="16"/>
      <c r="P849" s="63">
        <f t="shared" si="72"/>
        <v>189.93012500000003</v>
      </c>
      <c r="Q849" s="16"/>
      <c r="R849" s="48">
        <f t="shared" si="68"/>
        <v>7.1226263500000009</v>
      </c>
    </row>
    <row r="850" spans="1:18">
      <c r="A850" s="14" t="s">
        <v>17</v>
      </c>
      <c r="B850" s="15" t="s">
        <v>431</v>
      </c>
      <c r="C850" s="15" t="s">
        <v>432</v>
      </c>
      <c r="D850" s="14" t="s">
        <v>433</v>
      </c>
      <c r="E850" s="15" t="s">
        <v>258</v>
      </c>
      <c r="F850" s="14" t="s">
        <v>259</v>
      </c>
      <c r="G850" s="15" t="s">
        <v>23</v>
      </c>
      <c r="H850" s="15"/>
      <c r="I850" s="15">
        <v>201407</v>
      </c>
      <c r="J850" s="16">
        <v>67.849999999999994</v>
      </c>
      <c r="K850" s="44">
        <f t="shared" si="69"/>
        <v>41944</v>
      </c>
      <c r="L850" s="45">
        <f t="shared" si="71"/>
        <v>7</v>
      </c>
      <c r="M850" s="17">
        <v>1.4833299999999999E-3</v>
      </c>
      <c r="N850" s="46">
        <f t="shared" si="70"/>
        <v>0.70450758349999998</v>
      </c>
      <c r="O850" s="16"/>
      <c r="P850" s="63">
        <f t="shared" si="72"/>
        <v>32.652812500000003</v>
      </c>
      <c r="Q850" s="16"/>
      <c r="R850" s="48">
        <f t="shared" si="68"/>
        <v>1.2245228749999999</v>
      </c>
    </row>
    <row r="851" spans="1:18">
      <c r="A851" s="14" t="s">
        <v>17</v>
      </c>
      <c r="B851" s="15" t="s">
        <v>713</v>
      </c>
      <c r="C851" s="15" t="s">
        <v>714</v>
      </c>
      <c r="D851" s="14" t="s">
        <v>715</v>
      </c>
      <c r="E851" s="15" t="s">
        <v>258</v>
      </c>
      <c r="F851" s="14" t="s">
        <v>259</v>
      </c>
      <c r="G851" s="15" t="s">
        <v>23</v>
      </c>
      <c r="H851" s="15"/>
      <c r="I851" s="15">
        <v>201407</v>
      </c>
      <c r="J851" s="16">
        <v>93.79</v>
      </c>
      <c r="K851" s="44">
        <f t="shared" si="69"/>
        <v>41944</v>
      </c>
      <c r="L851" s="45">
        <f t="shared" si="71"/>
        <v>7</v>
      </c>
      <c r="M851" s="17">
        <v>1.4833299999999999E-3</v>
      </c>
      <c r="N851" s="46">
        <f t="shared" si="70"/>
        <v>0.97385064490000006</v>
      </c>
      <c r="O851" s="16"/>
      <c r="P851" s="63">
        <f t="shared" si="72"/>
        <v>45.136437500000007</v>
      </c>
      <c r="Q851" s="16"/>
      <c r="R851" s="48">
        <f t="shared" si="68"/>
        <v>1.6926750250000002</v>
      </c>
    </row>
    <row r="852" spans="1:18">
      <c r="A852" s="14" t="s">
        <v>17</v>
      </c>
      <c r="B852" s="15" t="s">
        <v>517</v>
      </c>
      <c r="C852" s="15" t="s">
        <v>518</v>
      </c>
      <c r="D852" s="14" t="s">
        <v>519</v>
      </c>
      <c r="E852" s="15" t="s">
        <v>125</v>
      </c>
      <c r="F852" s="14" t="s">
        <v>126</v>
      </c>
      <c r="G852" s="15" t="s">
        <v>23</v>
      </c>
      <c r="H852" s="15"/>
      <c r="I852" s="15">
        <v>201407</v>
      </c>
      <c r="J852" s="16">
        <v>550.16999999999996</v>
      </c>
      <c r="K852" s="44">
        <f t="shared" si="69"/>
        <v>41944</v>
      </c>
      <c r="L852" s="45">
        <f t="shared" si="71"/>
        <v>7</v>
      </c>
      <c r="M852" s="17">
        <v>1.4833299999999999E-3</v>
      </c>
      <c r="N852" s="46">
        <f t="shared" si="70"/>
        <v>5.7125856626999996</v>
      </c>
      <c r="O852" s="16"/>
      <c r="P852" s="63">
        <f t="shared" si="72"/>
        <v>264.76931250000001</v>
      </c>
      <c r="Q852" s="16"/>
      <c r="R852" s="48">
        <f t="shared" si="68"/>
        <v>9.9291930750000006</v>
      </c>
    </row>
    <row r="853" spans="1:18">
      <c r="A853" s="14" t="s">
        <v>17</v>
      </c>
      <c r="B853" s="15" t="s">
        <v>122</v>
      </c>
      <c r="C853" s="15" t="s">
        <v>123</v>
      </c>
      <c r="D853" s="14" t="s">
        <v>124</v>
      </c>
      <c r="E853" s="15" t="s">
        <v>125</v>
      </c>
      <c r="F853" s="14" t="s">
        <v>126</v>
      </c>
      <c r="G853" s="15" t="s">
        <v>23</v>
      </c>
      <c r="H853" s="15"/>
      <c r="I853" s="15">
        <v>201407</v>
      </c>
      <c r="J853" s="16">
        <v>557.34</v>
      </c>
      <c r="K853" s="44">
        <f t="shared" si="69"/>
        <v>41944</v>
      </c>
      <c r="L853" s="45">
        <f t="shared" si="71"/>
        <v>7</v>
      </c>
      <c r="M853" s="17">
        <v>1.4833299999999999E-3</v>
      </c>
      <c r="N853" s="46">
        <f t="shared" si="70"/>
        <v>5.7870339953999999</v>
      </c>
      <c r="O853" s="16"/>
      <c r="P853" s="63">
        <f t="shared" si="72"/>
        <v>268.21987500000006</v>
      </c>
      <c r="Q853" s="16"/>
      <c r="R853" s="48">
        <f t="shared" si="68"/>
        <v>10.058593650000001</v>
      </c>
    </row>
    <row r="854" spans="1:18">
      <c r="A854" s="14" t="s">
        <v>17</v>
      </c>
      <c r="B854" s="15" t="s">
        <v>520</v>
      </c>
      <c r="C854" s="15" t="s">
        <v>521</v>
      </c>
      <c r="D854" s="14" t="s">
        <v>522</v>
      </c>
      <c r="E854" s="15" t="s">
        <v>125</v>
      </c>
      <c r="F854" s="14" t="s">
        <v>126</v>
      </c>
      <c r="G854" s="15" t="s">
        <v>23</v>
      </c>
      <c r="H854" s="15"/>
      <c r="I854" s="15">
        <v>201407</v>
      </c>
      <c r="J854" s="16">
        <v>1022.12</v>
      </c>
      <c r="K854" s="44">
        <f t="shared" si="69"/>
        <v>41944</v>
      </c>
      <c r="L854" s="45">
        <f t="shared" si="71"/>
        <v>7</v>
      </c>
      <c r="M854" s="17">
        <v>1.4833299999999999E-3</v>
      </c>
      <c r="N854" s="46">
        <f t="shared" si="70"/>
        <v>10.6129888172</v>
      </c>
      <c r="O854" s="16"/>
      <c r="P854" s="63">
        <f t="shared" si="72"/>
        <v>491.89525000000009</v>
      </c>
      <c r="Q854" s="16"/>
      <c r="R854" s="48">
        <f t="shared" si="68"/>
        <v>18.446710700000001</v>
      </c>
    </row>
    <row r="855" spans="1:18">
      <c r="A855" s="14" t="s">
        <v>17</v>
      </c>
      <c r="B855" s="15" t="s">
        <v>532</v>
      </c>
      <c r="C855" s="15" t="s">
        <v>533</v>
      </c>
      <c r="D855" s="14" t="s">
        <v>534</v>
      </c>
      <c r="E855" s="15" t="s">
        <v>535</v>
      </c>
      <c r="F855" s="14" t="s">
        <v>536</v>
      </c>
      <c r="G855" s="15" t="s">
        <v>23</v>
      </c>
      <c r="H855" s="15"/>
      <c r="I855" s="15">
        <v>201407</v>
      </c>
      <c r="J855" s="16">
        <v>66.069999999999993</v>
      </c>
      <c r="K855" s="44">
        <f t="shared" si="69"/>
        <v>41944</v>
      </c>
      <c r="L855" s="45">
        <f t="shared" si="71"/>
        <v>7</v>
      </c>
      <c r="M855" s="17">
        <v>1.4833299999999999E-3</v>
      </c>
      <c r="N855" s="46">
        <f t="shared" si="70"/>
        <v>0.68602529169999993</v>
      </c>
      <c r="O855" s="16"/>
      <c r="P855" s="63">
        <f t="shared" si="72"/>
        <v>31.796187500000002</v>
      </c>
      <c r="Q855" s="16"/>
      <c r="R855" s="48">
        <f t="shared" si="68"/>
        <v>1.1923983249999999</v>
      </c>
    </row>
    <row r="856" spans="1:18">
      <c r="A856" s="14" t="s">
        <v>17</v>
      </c>
      <c r="B856" s="15" t="s">
        <v>321</v>
      </c>
      <c r="C856" s="15" t="s">
        <v>322</v>
      </c>
      <c r="D856" s="14" t="s">
        <v>323</v>
      </c>
      <c r="E856" s="15" t="s">
        <v>324</v>
      </c>
      <c r="F856" s="14" t="s">
        <v>325</v>
      </c>
      <c r="G856" s="15" t="s">
        <v>23</v>
      </c>
      <c r="H856" s="15"/>
      <c r="I856" s="15">
        <v>201407</v>
      </c>
      <c r="J856" s="16">
        <v>422.31</v>
      </c>
      <c r="K856" s="44">
        <f t="shared" si="69"/>
        <v>41944</v>
      </c>
      <c r="L856" s="45">
        <f t="shared" si="71"/>
        <v>7</v>
      </c>
      <c r="M856" s="17">
        <v>1.4833299999999999E-3</v>
      </c>
      <c r="N856" s="46">
        <f t="shared" si="70"/>
        <v>4.3849756461</v>
      </c>
      <c r="O856" s="16"/>
      <c r="P856" s="63">
        <f t="shared" si="72"/>
        <v>203.23668750000002</v>
      </c>
      <c r="Q856" s="16"/>
      <c r="R856" s="48">
        <f t="shared" si="68"/>
        <v>7.6216397250000005</v>
      </c>
    </row>
    <row r="857" spans="1:18">
      <c r="A857" s="14" t="s">
        <v>17</v>
      </c>
      <c r="B857" s="15" t="s">
        <v>568</v>
      </c>
      <c r="C857" s="15" t="s">
        <v>569</v>
      </c>
      <c r="D857" s="14" t="s">
        <v>570</v>
      </c>
      <c r="E857" s="15" t="s">
        <v>324</v>
      </c>
      <c r="F857" s="14" t="s">
        <v>325</v>
      </c>
      <c r="G857" s="15" t="s">
        <v>23</v>
      </c>
      <c r="H857" s="15"/>
      <c r="I857" s="15">
        <v>201407</v>
      </c>
      <c r="J857" s="16">
        <v>160.36000000000001</v>
      </c>
      <c r="K857" s="44">
        <f t="shared" si="69"/>
        <v>41944</v>
      </c>
      <c r="L857" s="45">
        <f t="shared" si="71"/>
        <v>7</v>
      </c>
      <c r="M857" s="17">
        <v>1.4833299999999999E-3</v>
      </c>
      <c r="N857" s="46">
        <f t="shared" si="70"/>
        <v>1.6650675916000002</v>
      </c>
      <c r="O857" s="16"/>
      <c r="P857" s="63">
        <f t="shared" si="72"/>
        <v>77.173250000000024</v>
      </c>
      <c r="Q857" s="16"/>
      <c r="R857" s="48">
        <f t="shared" si="68"/>
        <v>2.8940971000000002</v>
      </c>
    </row>
    <row r="858" spans="1:18">
      <c r="A858" s="64" t="s">
        <v>17</v>
      </c>
      <c r="B858" s="65" t="s">
        <v>611</v>
      </c>
      <c r="C858" s="65" t="s">
        <v>612</v>
      </c>
      <c r="D858" s="64" t="s">
        <v>613</v>
      </c>
      <c r="E858" s="65" t="s">
        <v>324</v>
      </c>
      <c r="F858" s="64" t="s">
        <v>325</v>
      </c>
      <c r="G858" s="65" t="s">
        <v>23</v>
      </c>
      <c r="H858" s="65"/>
      <c r="I858" s="65">
        <v>201407</v>
      </c>
      <c r="J858" s="66">
        <f>23986.2</f>
        <v>23986.2</v>
      </c>
      <c r="K858" s="44">
        <f t="shared" si="69"/>
        <v>41944</v>
      </c>
      <c r="L858" s="45">
        <f t="shared" si="71"/>
        <v>7</v>
      </c>
      <c r="M858" s="67">
        <v>1.4833299999999999E-3</v>
      </c>
      <c r="N858" s="68">
        <f t="shared" si="70"/>
        <v>249.05615032200001</v>
      </c>
      <c r="O858" s="16"/>
      <c r="P858" s="63">
        <f t="shared" si="72"/>
        <v>11543.358750000001</v>
      </c>
      <c r="Q858" s="16"/>
      <c r="R858" s="48">
        <f t="shared" si="68"/>
        <v>432.89094450000005</v>
      </c>
    </row>
    <row r="859" spans="1:18">
      <c r="A859" s="64" t="s">
        <v>17</v>
      </c>
      <c r="B859" s="65" t="s">
        <v>511</v>
      </c>
      <c r="C859" s="65" t="s">
        <v>512</v>
      </c>
      <c r="D859" s="64" t="s">
        <v>513</v>
      </c>
      <c r="E859" s="65" t="s">
        <v>324</v>
      </c>
      <c r="F859" s="64" t="s">
        <v>325</v>
      </c>
      <c r="G859" s="65" t="s">
        <v>23</v>
      </c>
      <c r="H859" s="65"/>
      <c r="I859" s="65">
        <v>201407</v>
      </c>
      <c r="J859" s="66">
        <f>45111.99</f>
        <v>45111.99</v>
      </c>
      <c r="K859" s="44">
        <f t="shared" si="69"/>
        <v>41944</v>
      </c>
      <c r="L859" s="45">
        <f t="shared" si="71"/>
        <v>7</v>
      </c>
      <c r="M859" s="67">
        <v>1.4833299999999999E-3</v>
      </c>
      <c r="N859" s="68">
        <f t="shared" si="70"/>
        <v>468.41177688689999</v>
      </c>
      <c r="O859" s="16"/>
      <c r="P859" s="63">
        <f t="shared" si="72"/>
        <v>21710.145187500002</v>
      </c>
      <c r="Q859" s="16"/>
      <c r="R859" s="48">
        <f t="shared" si="68"/>
        <v>814.15863952500001</v>
      </c>
    </row>
    <row r="860" spans="1:18">
      <c r="A860" s="14" t="s">
        <v>17</v>
      </c>
      <c r="B860" s="15" t="s">
        <v>483</v>
      </c>
      <c r="C860" s="15" t="s">
        <v>484</v>
      </c>
      <c r="D860" s="14" t="s">
        <v>485</v>
      </c>
      <c r="E860" s="15" t="s">
        <v>324</v>
      </c>
      <c r="F860" s="14" t="s">
        <v>325</v>
      </c>
      <c r="G860" s="15" t="s">
        <v>23</v>
      </c>
      <c r="H860" s="15"/>
      <c r="I860" s="15">
        <v>201407</v>
      </c>
      <c r="J860" s="16">
        <v>481.04</v>
      </c>
      <c r="K860" s="44">
        <f t="shared" si="69"/>
        <v>41944</v>
      </c>
      <c r="L860" s="45">
        <f t="shared" si="71"/>
        <v>7</v>
      </c>
      <c r="M860" s="17">
        <v>1.4833299999999999E-3</v>
      </c>
      <c r="N860" s="46">
        <f t="shared" si="70"/>
        <v>4.9947874423999998</v>
      </c>
      <c r="O860" s="16"/>
      <c r="P860" s="63">
        <f t="shared" si="72"/>
        <v>231.50050000000005</v>
      </c>
      <c r="Q860" s="16"/>
      <c r="R860" s="48">
        <f t="shared" si="68"/>
        <v>8.6815694000000008</v>
      </c>
    </row>
    <row r="861" spans="1:18">
      <c r="A861" s="14" t="s">
        <v>17</v>
      </c>
      <c r="B861" s="15" t="s">
        <v>347</v>
      </c>
      <c r="C861" s="15" t="s">
        <v>348</v>
      </c>
      <c r="D861" s="14" t="s">
        <v>349</v>
      </c>
      <c r="E861" s="15" t="s">
        <v>324</v>
      </c>
      <c r="F861" s="14" t="s">
        <v>325</v>
      </c>
      <c r="G861" s="15" t="s">
        <v>23</v>
      </c>
      <c r="H861" s="15"/>
      <c r="I861" s="15">
        <v>201407</v>
      </c>
      <c r="J861" s="16">
        <v>5.03</v>
      </c>
      <c r="K861" s="44">
        <f t="shared" si="69"/>
        <v>41944</v>
      </c>
      <c r="L861" s="45">
        <f t="shared" si="71"/>
        <v>7</v>
      </c>
      <c r="M861" s="17">
        <v>1.4833299999999999E-3</v>
      </c>
      <c r="N861" s="46">
        <f t="shared" si="70"/>
        <v>5.2228049300000003E-2</v>
      </c>
      <c r="O861" s="16"/>
      <c r="P861" s="63">
        <f t="shared" si="72"/>
        <v>2.4206875000000005</v>
      </c>
      <c r="Q861" s="16"/>
      <c r="R861" s="48">
        <f t="shared" si="68"/>
        <v>9.077892500000001E-2</v>
      </c>
    </row>
    <row r="862" spans="1:18">
      <c r="A862" s="14" t="s">
        <v>17</v>
      </c>
      <c r="B862" s="15" t="s">
        <v>759</v>
      </c>
      <c r="C862" s="15" t="s">
        <v>760</v>
      </c>
      <c r="D862" s="14" t="s">
        <v>761</v>
      </c>
      <c r="E862" s="15" t="s">
        <v>62</v>
      </c>
      <c r="F862" s="14" t="s">
        <v>22</v>
      </c>
      <c r="G862" s="15" t="s">
        <v>23</v>
      </c>
      <c r="H862" s="15"/>
      <c r="I862" s="15">
        <v>201407</v>
      </c>
      <c r="J862" s="16">
        <v>7.0000000000000007E-2</v>
      </c>
      <c r="K862" s="44">
        <f t="shared" si="69"/>
        <v>41944</v>
      </c>
      <c r="L862" s="45">
        <f t="shared" si="71"/>
        <v>7</v>
      </c>
      <c r="M862" s="17">
        <v>1.4833299999999999E-3</v>
      </c>
      <c r="N862" s="46">
        <f t="shared" si="70"/>
        <v>7.2683170000000007E-4</v>
      </c>
      <c r="O862" s="16"/>
      <c r="P862" s="63">
        <f t="shared" si="72"/>
        <v>3.3687500000000009E-2</v>
      </c>
      <c r="Q862" s="16"/>
      <c r="R862" s="48">
        <f t="shared" si="68"/>
        <v>1.2633250000000003E-3</v>
      </c>
    </row>
    <row r="863" spans="1:18">
      <c r="A863" s="14" t="s">
        <v>17</v>
      </c>
      <c r="B863" s="15" t="s">
        <v>605</v>
      </c>
      <c r="C863" s="15" t="s">
        <v>606</v>
      </c>
      <c r="D863" s="14" t="s">
        <v>607</v>
      </c>
      <c r="E863" s="15" t="s">
        <v>62</v>
      </c>
      <c r="F863" s="14" t="s">
        <v>22</v>
      </c>
      <c r="G863" s="15" t="s">
        <v>23</v>
      </c>
      <c r="H863" s="15"/>
      <c r="I863" s="15">
        <v>201407</v>
      </c>
      <c r="J863" s="16">
        <v>652.39</v>
      </c>
      <c r="K863" s="44">
        <f t="shared" si="69"/>
        <v>41944</v>
      </c>
      <c r="L863" s="45">
        <f t="shared" si="71"/>
        <v>7</v>
      </c>
      <c r="M863" s="17">
        <v>1.4833299999999999E-3</v>
      </c>
      <c r="N863" s="46">
        <f t="shared" si="70"/>
        <v>6.7739676108999998</v>
      </c>
      <c r="O863" s="16"/>
      <c r="P863" s="63">
        <f t="shared" si="72"/>
        <v>313.96268750000002</v>
      </c>
      <c r="Q863" s="16"/>
      <c r="R863" s="48">
        <f t="shared" si="68"/>
        <v>11.774008525000001</v>
      </c>
    </row>
    <row r="864" spans="1:18">
      <c r="A864" s="14" t="s">
        <v>17</v>
      </c>
      <c r="B864" s="15" t="s">
        <v>338</v>
      </c>
      <c r="C864" s="15" t="s">
        <v>339</v>
      </c>
      <c r="D864" s="14" t="s">
        <v>340</v>
      </c>
      <c r="E864" s="15" t="s">
        <v>62</v>
      </c>
      <c r="F864" s="14" t="s">
        <v>22</v>
      </c>
      <c r="G864" s="15" t="s">
        <v>23</v>
      </c>
      <c r="H864" s="15"/>
      <c r="I864" s="15">
        <v>201407</v>
      </c>
      <c r="J864" s="16">
        <v>-1939.17</v>
      </c>
      <c r="K864" s="44">
        <f t="shared" si="69"/>
        <v>41944</v>
      </c>
      <c r="L864" s="45">
        <f t="shared" si="71"/>
        <v>7</v>
      </c>
      <c r="M864" s="17">
        <v>1.4833299999999999E-3</v>
      </c>
      <c r="N864" s="46">
        <f t="shared" si="70"/>
        <v>-20.135003252699999</v>
      </c>
      <c r="O864" s="16"/>
      <c r="P864" s="63">
        <f t="shared" si="72"/>
        <v>-933.22556250000014</v>
      </c>
      <c r="Q864" s="16"/>
      <c r="R864" s="48">
        <f t="shared" si="68"/>
        <v>-34.997170575000005</v>
      </c>
    </row>
    <row r="865" spans="1:18">
      <c r="A865" s="14" t="s">
        <v>17</v>
      </c>
      <c r="B865" s="15" t="s">
        <v>777</v>
      </c>
      <c r="C865" s="15" t="s">
        <v>778</v>
      </c>
      <c r="D865" s="14" t="s">
        <v>779</v>
      </c>
      <c r="E865" s="15" t="s">
        <v>62</v>
      </c>
      <c r="F865" s="14" t="s">
        <v>22</v>
      </c>
      <c r="G865" s="15" t="s">
        <v>23</v>
      </c>
      <c r="H865" s="15"/>
      <c r="I865" s="15">
        <v>201407</v>
      </c>
      <c r="J865" s="16">
        <v>7.0000000000000007E-2</v>
      </c>
      <c r="K865" s="44">
        <f t="shared" si="69"/>
        <v>41944</v>
      </c>
      <c r="L865" s="45">
        <f t="shared" si="71"/>
        <v>7</v>
      </c>
      <c r="M865" s="17">
        <v>1.4833299999999999E-3</v>
      </c>
      <c r="N865" s="46">
        <f t="shared" si="70"/>
        <v>7.2683170000000007E-4</v>
      </c>
      <c r="O865" s="16"/>
      <c r="P865" s="63">
        <f t="shared" si="72"/>
        <v>3.3687500000000009E-2</v>
      </c>
      <c r="Q865" s="16"/>
      <c r="R865" s="48">
        <f t="shared" si="68"/>
        <v>1.2633250000000003E-3</v>
      </c>
    </row>
    <row r="866" spans="1:18">
      <c r="A866" s="14" t="s">
        <v>17</v>
      </c>
      <c r="B866" s="15" t="s">
        <v>290</v>
      </c>
      <c r="C866" s="15" t="s">
        <v>291</v>
      </c>
      <c r="D866" s="14" t="s">
        <v>292</v>
      </c>
      <c r="E866" s="15" t="s">
        <v>62</v>
      </c>
      <c r="F866" s="14" t="s">
        <v>22</v>
      </c>
      <c r="G866" s="15" t="s">
        <v>23</v>
      </c>
      <c r="H866" s="15"/>
      <c r="I866" s="15">
        <v>201407</v>
      </c>
      <c r="J866" s="16">
        <v>0.28000000000000003</v>
      </c>
      <c r="K866" s="44">
        <f t="shared" si="69"/>
        <v>41944</v>
      </c>
      <c r="L866" s="45">
        <f t="shared" si="71"/>
        <v>7</v>
      </c>
      <c r="M866" s="17">
        <v>1.4833299999999999E-3</v>
      </c>
      <c r="N866" s="46">
        <f t="shared" si="70"/>
        <v>2.9073268000000003E-3</v>
      </c>
      <c r="O866" s="16"/>
      <c r="P866" s="63">
        <f t="shared" si="72"/>
        <v>0.13475000000000004</v>
      </c>
      <c r="Q866" s="16"/>
      <c r="R866" s="48">
        <f t="shared" si="68"/>
        <v>5.053300000000001E-3</v>
      </c>
    </row>
    <row r="867" spans="1:18">
      <c r="A867" s="14" t="s">
        <v>17</v>
      </c>
      <c r="B867" s="15" t="s">
        <v>127</v>
      </c>
      <c r="C867" s="15" t="s">
        <v>128</v>
      </c>
      <c r="D867" s="14" t="s">
        <v>129</v>
      </c>
      <c r="E867" s="15" t="s">
        <v>62</v>
      </c>
      <c r="F867" s="14" t="s">
        <v>22</v>
      </c>
      <c r="G867" s="15" t="s">
        <v>23</v>
      </c>
      <c r="H867" s="15"/>
      <c r="I867" s="15">
        <v>201407</v>
      </c>
      <c r="J867" s="16">
        <v>1134.75</v>
      </c>
      <c r="K867" s="44">
        <f t="shared" si="69"/>
        <v>41944</v>
      </c>
      <c r="L867" s="45">
        <f t="shared" si="71"/>
        <v>7</v>
      </c>
      <c r="M867" s="17">
        <v>1.4833299999999999E-3</v>
      </c>
      <c r="N867" s="46">
        <f t="shared" si="70"/>
        <v>11.7824610225</v>
      </c>
      <c r="O867" s="16"/>
      <c r="P867" s="63">
        <f t="shared" si="72"/>
        <v>546.09843750000005</v>
      </c>
      <c r="Q867" s="16"/>
      <c r="R867" s="48">
        <f t="shared" si="68"/>
        <v>20.479400625</v>
      </c>
    </row>
    <row r="868" spans="1:18">
      <c r="A868" s="14" t="s">
        <v>17</v>
      </c>
      <c r="B868" s="15" t="s">
        <v>353</v>
      </c>
      <c r="C868" s="15" t="s">
        <v>354</v>
      </c>
      <c r="D868" s="14" t="s">
        <v>355</v>
      </c>
      <c r="E868" s="15" t="s">
        <v>62</v>
      </c>
      <c r="F868" s="14" t="s">
        <v>22</v>
      </c>
      <c r="G868" s="15" t="s">
        <v>23</v>
      </c>
      <c r="H868" s="15"/>
      <c r="I868" s="15">
        <v>201407</v>
      </c>
      <c r="J868" s="16">
        <v>281.14</v>
      </c>
      <c r="K868" s="44">
        <f t="shared" si="69"/>
        <v>41944</v>
      </c>
      <c r="L868" s="45">
        <f t="shared" si="71"/>
        <v>7</v>
      </c>
      <c r="M868" s="17">
        <v>1.4833299999999999E-3</v>
      </c>
      <c r="N868" s="46">
        <f t="shared" si="70"/>
        <v>2.9191637733999998</v>
      </c>
      <c r="O868" s="16"/>
      <c r="P868" s="63">
        <f t="shared" si="72"/>
        <v>135.29862500000002</v>
      </c>
      <c r="Q868" s="16"/>
      <c r="R868" s="48">
        <f t="shared" si="68"/>
        <v>5.07387415</v>
      </c>
    </row>
    <row r="869" spans="1:18">
      <c r="A869" s="14" t="s">
        <v>17</v>
      </c>
      <c r="B869" s="15" t="s">
        <v>798</v>
      </c>
      <c r="C869" s="15" t="s">
        <v>799</v>
      </c>
      <c r="D869" s="14" t="s">
        <v>800</v>
      </c>
      <c r="E869" s="15" t="s">
        <v>62</v>
      </c>
      <c r="F869" s="14" t="s">
        <v>22</v>
      </c>
      <c r="G869" s="15" t="s">
        <v>23</v>
      </c>
      <c r="H869" s="15"/>
      <c r="I869" s="15">
        <v>201407</v>
      </c>
      <c r="J869" s="16">
        <v>26.31</v>
      </c>
      <c r="K869" s="44">
        <f t="shared" si="69"/>
        <v>41944</v>
      </c>
      <c r="L869" s="45">
        <f t="shared" si="71"/>
        <v>7</v>
      </c>
      <c r="M869" s="17">
        <v>1.4833299999999999E-3</v>
      </c>
      <c r="N869" s="46">
        <f t="shared" si="70"/>
        <v>0.27318488609999997</v>
      </c>
      <c r="O869" s="16"/>
      <c r="P869" s="63">
        <f t="shared" si="72"/>
        <v>12.661687500000001</v>
      </c>
      <c r="Q869" s="16"/>
      <c r="R869" s="48">
        <f t="shared" si="68"/>
        <v>0.47482972499999998</v>
      </c>
    </row>
    <row r="870" spans="1:18">
      <c r="A870" s="14" t="s">
        <v>17</v>
      </c>
      <c r="B870" s="15" t="s">
        <v>143</v>
      </c>
      <c r="C870" s="15" t="s">
        <v>144</v>
      </c>
      <c r="D870" s="14" t="s">
        <v>145</v>
      </c>
      <c r="E870" s="15" t="s">
        <v>62</v>
      </c>
      <c r="F870" s="14" t="s">
        <v>22</v>
      </c>
      <c r="G870" s="15" t="s">
        <v>23</v>
      </c>
      <c r="H870" s="15"/>
      <c r="I870" s="15">
        <v>201407</v>
      </c>
      <c r="J870" s="16">
        <v>1141.3699999999999</v>
      </c>
      <c r="K870" s="44">
        <f t="shared" si="69"/>
        <v>41944</v>
      </c>
      <c r="L870" s="45">
        <f t="shared" si="71"/>
        <v>7</v>
      </c>
      <c r="M870" s="17">
        <v>1.4833299999999999E-3</v>
      </c>
      <c r="N870" s="46">
        <f t="shared" si="70"/>
        <v>11.851198534699998</v>
      </c>
      <c r="O870" s="16"/>
      <c r="P870" s="63">
        <f t="shared" si="72"/>
        <v>549.28431250000006</v>
      </c>
      <c r="Q870" s="16"/>
      <c r="R870" s="48">
        <f t="shared" si="68"/>
        <v>20.598875074999999</v>
      </c>
    </row>
    <row r="871" spans="1:18">
      <c r="A871" s="14" t="s">
        <v>17</v>
      </c>
      <c r="B871" s="15" t="s">
        <v>170</v>
      </c>
      <c r="C871" s="15" t="s">
        <v>171</v>
      </c>
      <c r="D871" s="14" t="s">
        <v>172</v>
      </c>
      <c r="E871" s="15" t="s">
        <v>62</v>
      </c>
      <c r="F871" s="14" t="s">
        <v>22</v>
      </c>
      <c r="G871" s="15" t="s">
        <v>23</v>
      </c>
      <c r="H871" s="15"/>
      <c r="I871" s="15">
        <v>201407</v>
      </c>
      <c r="J871" s="16">
        <v>-26393.27</v>
      </c>
      <c r="K871" s="44">
        <f t="shared" si="69"/>
        <v>41944</v>
      </c>
      <c r="L871" s="45">
        <f t="shared" si="71"/>
        <v>7</v>
      </c>
      <c r="M871" s="17">
        <v>1.4833299999999999E-3</v>
      </c>
      <c r="N871" s="46">
        <f t="shared" si="70"/>
        <v>-274.04950432369998</v>
      </c>
      <c r="O871" s="16"/>
      <c r="P871" s="63">
        <f t="shared" si="72"/>
        <v>-12701.761187500002</v>
      </c>
      <c r="Q871" s="16"/>
      <c r="R871" s="48">
        <f t="shared" si="68"/>
        <v>-476.33254032500002</v>
      </c>
    </row>
    <row r="872" spans="1:18">
      <c r="A872" s="14" t="s">
        <v>54</v>
      </c>
      <c r="B872" s="15" t="s">
        <v>170</v>
      </c>
      <c r="C872" s="15" t="s">
        <v>171</v>
      </c>
      <c r="D872" s="14" t="s">
        <v>172</v>
      </c>
      <c r="E872" s="15" t="s">
        <v>62</v>
      </c>
      <c r="F872" s="14" t="s">
        <v>22</v>
      </c>
      <c r="G872" s="15" t="s">
        <v>23</v>
      </c>
      <c r="H872" s="15"/>
      <c r="I872" s="15">
        <v>201407</v>
      </c>
      <c r="J872" s="16">
        <v>40397.71</v>
      </c>
      <c r="K872" s="44">
        <f t="shared" si="69"/>
        <v>41944</v>
      </c>
      <c r="L872" s="45">
        <f t="shared" si="71"/>
        <v>7</v>
      </c>
      <c r="M872" s="17">
        <v>1.4833299999999999E-3</v>
      </c>
      <c r="N872" s="46">
        <f t="shared" si="70"/>
        <v>419.4619462201</v>
      </c>
      <c r="O872" s="16"/>
      <c r="P872" s="63">
        <f t="shared" si="72"/>
        <v>19441.397937500002</v>
      </c>
      <c r="Q872" s="16"/>
      <c r="R872" s="48">
        <f t="shared" si="68"/>
        <v>729.07767122500002</v>
      </c>
    </row>
    <row r="873" spans="1:18">
      <c r="A873" s="14" t="s">
        <v>17</v>
      </c>
      <c r="B873" s="15" t="s">
        <v>584</v>
      </c>
      <c r="C873" s="15" t="s">
        <v>585</v>
      </c>
      <c r="D873" s="14" t="s">
        <v>586</v>
      </c>
      <c r="E873" s="15" t="s">
        <v>62</v>
      </c>
      <c r="F873" s="14" t="s">
        <v>22</v>
      </c>
      <c r="G873" s="15" t="s">
        <v>23</v>
      </c>
      <c r="H873" s="15"/>
      <c r="I873" s="15">
        <v>201407</v>
      </c>
      <c r="J873" s="16">
        <v>1102.18</v>
      </c>
      <c r="K873" s="44">
        <f t="shared" si="69"/>
        <v>41944</v>
      </c>
      <c r="L873" s="45">
        <f t="shared" si="71"/>
        <v>7</v>
      </c>
      <c r="M873" s="17">
        <v>1.4833299999999999E-3</v>
      </c>
      <c r="N873" s="46">
        <f t="shared" si="70"/>
        <v>11.4442766158</v>
      </c>
      <c r="O873" s="16"/>
      <c r="P873" s="63">
        <f t="shared" si="72"/>
        <v>530.42412500000012</v>
      </c>
      <c r="Q873" s="16"/>
      <c r="R873" s="48">
        <f t="shared" si="68"/>
        <v>19.891593550000003</v>
      </c>
    </row>
    <row r="874" spans="1:18">
      <c r="A874" s="14" t="s">
        <v>54</v>
      </c>
      <c r="B874" s="15" t="s">
        <v>59</v>
      </c>
      <c r="C874" s="15" t="s">
        <v>60</v>
      </c>
      <c r="D874" s="14" t="s">
        <v>61</v>
      </c>
      <c r="E874" s="15" t="s">
        <v>62</v>
      </c>
      <c r="F874" s="14" t="s">
        <v>22</v>
      </c>
      <c r="G874" s="15" t="s">
        <v>23</v>
      </c>
      <c r="H874" s="15"/>
      <c r="I874" s="15">
        <v>201407</v>
      </c>
      <c r="J874" s="16">
        <v>156917.41</v>
      </c>
      <c r="K874" s="44">
        <f t="shared" si="69"/>
        <v>41944</v>
      </c>
      <c r="L874" s="45">
        <f t="shared" si="71"/>
        <v>7</v>
      </c>
      <c r="M874" s="17">
        <v>1.4833299999999999E-3</v>
      </c>
      <c r="N874" s="46">
        <f t="shared" si="70"/>
        <v>1629.3221124270999</v>
      </c>
      <c r="O874" s="16"/>
      <c r="P874" s="63">
        <f t="shared" si="72"/>
        <v>75516.503562500016</v>
      </c>
      <c r="Q874" s="16"/>
      <c r="R874" s="48">
        <f t="shared" si="68"/>
        <v>2831.9669569750004</v>
      </c>
    </row>
    <row r="875" spans="1:18">
      <c r="A875" s="14" t="s">
        <v>17</v>
      </c>
      <c r="B875" s="15" t="s">
        <v>189</v>
      </c>
      <c r="C875" s="15" t="s">
        <v>190</v>
      </c>
      <c r="D875" s="14" t="s">
        <v>191</v>
      </c>
      <c r="E875" s="15" t="s">
        <v>62</v>
      </c>
      <c r="F875" s="14" t="s">
        <v>22</v>
      </c>
      <c r="G875" s="15" t="s">
        <v>23</v>
      </c>
      <c r="H875" s="15"/>
      <c r="I875" s="15">
        <v>201407</v>
      </c>
      <c r="J875" s="16">
        <v>24435.3</v>
      </c>
      <c r="K875" s="44">
        <f t="shared" si="69"/>
        <v>41944</v>
      </c>
      <c r="L875" s="45">
        <f t="shared" si="71"/>
        <v>7</v>
      </c>
      <c r="M875" s="17">
        <v>1.4833299999999999E-3</v>
      </c>
      <c r="N875" s="46">
        <f t="shared" si="70"/>
        <v>253.719294843</v>
      </c>
      <c r="O875" s="16"/>
      <c r="P875" s="63">
        <f t="shared" si="72"/>
        <v>11759.488125000002</v>
      </c>
      <c r="Q875" s="16"/>
      <c r="R875" s="48">
        <f t="shared" si="68"/>
        <v>440.99607674999999</v>
      </c>
    </row>
    <row r="876" spans="1:18">
      <c r="A876" s="14" t="s">
        <v>17</v>
      </c>
      <c r="B876" s="15" t="s">
        <v>453</v>
      </c>
      <c r="C876" s="15" t="s">
        <v>454</v>
      </c>
      <c r="D876" s="14" t="s">
        <v>455</v>
      </c>
      <c r="E876" s="15" t="s">
        <v>62</v>
      </c>
      <c r="F876" s="14" t="s">
        <v>22</v>
      </c>
      <c r="G876" s="15" t="s">
        <v>23</v>
      </c>
      <c r="H876" s="15"/>
      <c r="I876" s="15">
        <v>201407</v>
      </c>
      <c r="J876" s="16">
        <v>-12034.63</v>
      </c>
      <c r="K876" s="44">
        <f t="shared" si="69"/>
        <v>41944</v>
      </c>
      <c r="L876" s="45">
        <f t="shared" si="71"/>
        <v>7</v>
      </c>
      <c r="M876" s="17">
        <v>1.4833299999999999E-3</v>
      </c>
      <c r="N876" s="46">
        <f t="shared" si="70"/>
        <v>-124.95929402529998</v>
      </c>
      <c r="O876" s="16"/>
      <c r="P876" s="63">
        <f t="shared" si="72"/>
        <v>-5791.6656875000008</v>
      </c>
      <c r="Q876" s="16"/>
      <c r="R876" s="48">
        <f t="shared" si="68"/>
        <v>-217.194984925</v>
      </c>
    </row>
    <row r="877" spans="1:18">
      <c r="A877" s="14" t="s">
        <v>54</v>
      </c>
      <c r="B877" s="15" t="s">
        <v>453</v>
      </c>
      <c r="C877" s="15" t="s">
        <v>454</v>
      </c>
      <c r="D877" s="14" t="s">
        <v>455</v>
      </c>
      <c r="E877" s="15" t="s">
        <v>62</v>
      </c>
      <c r="F877" s="14" t="s">
        <v>22</v>
      </c>
      <c r="G877" s="15" t="s">
        <v>23</v>
      </c>
      <c r="H877" s="15"/>
      <c r="I877" s="15">
        <v>201407</v>
      </c>
      <c r="J877" s="16">
        <v>9999.59</v>
      </c>
      <c r="K877" s="44">
        <f t="shared" si="69"/>
        <v>41944</v>
      </c>
      <c r="L877" s="45">
        <f t="shared" si="71"/>
        <v>7</v>
      </c>
      <c r="M877" s="17">
        <v>1.4833299999999999E-3</v>
      </c>
      <c r="N877" s="46">
        <f t="shared" si="70"/>
        <v>103.8288428429</v>
      </c>
      <c r="O877" s="16"/>
      <c r="P877" s="63">
        <f t="shared" si="72"/>
        <v>4812.3026875000005</v>
      </c>
      <c r="Q877" s="16"/>
      <c r="R877" s="48">
        <f t="shared" si="68"/>
        <v>180.46760052500002</v>
      </c>
    </row>
    <row r="878" spans="1:18">
      <c r="A878" s="14" t="s">
        <v>54</v>
      </c>
      <c r="B878" s="15" t="s">
        <v>855</v>
      </c>
      <c r="C878" s="15" t="s">
        <v>856</v>
      </c>
      <c r="D878" s="14" t="s">
        <v>857</v>
      </c>
      <c r="E878" s="15" t="s">
        <v>62</v>
      </c>
      <c r="F878" s="14" t="s">
        <v>22</v>
      </c>
      <c r="G878" s="15" t="s">
        <v>23</v>
      </c>
      <c r="H878" s="15"/>
      <c r="I878" s="15">
        <v>201407</v>
      </c>
      <c r="J878" s="16">
        <v>923.98</v>
      </c>
      <c r="K878" s="44">
        <f t="shared" si="69"/>
        <v>41944</v>
      </c>
      <c r="L878" s="45">
        <f t="shared" si="71"/>
        <v>7</v>
      </c>
      <c r="M878" s="17">
        <v>1.4833299999999999E-3</v>
      </c>
      <c r="N878" s="46">
        <f t="shared" si="70"/>
        <v>9.5939707738000006</v>
      </c>
      <c r="O878" s="16"/>
      <c r="P878" s="63">
        <f t="shared" si="72"/>
        <v>444.6653750000001</v>
      </c>
      <c r="Q878" s="16"/>
      <c r="R878" s="48">
        <f t="shared" si="68"/>
        <v>16.675529050000002</v>
      </c>
    </row>
    <row r="879" spans="1:18">
      <c r="A879" s="14" t="s">
        <v>17</v>
      </c>
      <c r="B879" s="15" t="s">
        <v>235</v>
      </c>
      <c r="C879" s="15" t="s">
        <v>236</v>
      </c>
      <c r="D879" s="14" t="s">
        <v>237</v>
      </c>
      <c r="E879" s="15" t="s">
        <v>62</v>
      </c>
      <c r="F879" s="14" t="s">
        <v>22</v>
      </c>
      <c r="G879" s="15" t="s">
        <v>23</v>
      </c>
      <c r="H879" s="15"/>
      <c r="I879" s="15">
        <v>201407</v>
      </c>
      <c r="J879" s="16">
        <v>-0.01</v>
      </c>
      <c r="K879" s="44">
        <f t="shared" si="69"/>
        <v>41944</v>
      </c>
      <c r="L879" s="45">
        <f t="shared" si="71"/>
        <v>7</v>
      </c>
      <c r="M879" s="17">
        <v>1.4833299999999999E-3</v>
      </c>
      <c r="N879" s="46">
        <f t="shared" si="70"/>
        <v>-1.038331E-4</v>
      </c>
      <c r="O879" s="16"/>
      <c r="P879" s="63">
        <f t="shared" si="72"/>
        <v>-4.8125000000000008E-3</v>
      </c>
      <c r="Q879" s="16"/>
      <c r="R879" s="48">
        <f t="shared" si="68"/>
        <v>-1.8047500000000001E-4</v>
      </c>
    </row>
    <row r="880" spans="1:18">
      <c r="A880" s="14" t="s">
        <v>54</v>
      </c>
      <c r="B880" s="15" t="s">
        <v>827</v>
      </c>
      <c r="C880" s="15" t="s">
        <v>828</v>
      </c>
      <c r="D880" s="14" t="s">
        <v>829</v>
      </c>
      <c r="E880" s="15" t="s">
        <v>62</v>
      </c>
      <c r="F880" s="14" t="s">
        <v>22</v>
      </c>
      <c r="G880" s="15" t="s">
        <v>23</v>
      </c>
      <c r="H880" s="15"/>
      <c r="I880" s="15">
        <v>201407</v>
      </c>
      <c r="J880" s="16">
        <v>407.53</v>
      </c>
      <c r="K880" s="44">
        <f t="shared" si="69"/>
        <v>41944</v>
      </c>
      <c r="L880" s="45">
        <f t="shared" si="71"/>
        <v>7</v>
      </c>
      <c r="M880" s="17">
        <v>1.4833299999999999E-3</v>
      </c>
      <c r="N880" s="46">
        <f t="shared" si="70"/>
        <v>4.2315103242999994</v>
      </c>
      <c r="O880" s="16"/>
      <c r="P880" s="63">
        <f t="shared" si="72"/>
        <v>196.12381250000001</v>
      </c>
      <c r="Q880" s="16"/>
      <c r="R880" s="48">
        <f t="shared" si="68"/>
        <v>7.3548976750000001</v>
      </c>
    </row>
    <row r="881" spans="1:18">
      <c r="A881" s="14" t="s">
        <v>17</v>
      </c>
      <c r="B881" s="15" t="s">
        <v>444</v>
      </c>
      <c r="C881" s="15" t="s">
        <v>445</v>
      </c>
      <c r="D881" s="14" t="s">
        <v>446</v>
      </c>
      <c r="E881" s="15" t="s">
        <v>62</v>
      </c>
      <c r="F881" s="14" t="s">
        <v>22</v>
      </c>
      <c r="G881" s="15" t="s">
        <v>23</v>
      </c>
      <c r="H881" s="15"/>
      <c r="I881" s="15">
        <v>201407</v>
      </c>
      <c r="J881" s="16">
        <v>2542.06</v>
      </c>
      <c r="K881" s="44">
        <f t="shared" si="69"/>
        <v>41944</v>
      </c>
      <c r="L881" s="45">
        <f t="shared" si="71"/>
        <v>7</v>
      </c>
      <c r="M881" s="17">
        <v>1.4833299999999999E-3</v>
      </c>
      <c r="N881" s="46">
        <f t="shared" si="70"/>
        <v>26.394997018599998</v>
      </c>
      <c r="O881" s="16"/>
      <c r="P881" s="63">
        <f t="shared" si="72"/>
        <v>1223.3663750000001</v>
      </c>
      <c r="Q881" s="16"/>
      <c r="R881" s="48">
        <f t="shared" si="68"/>
        <v>45.877827850000003</v>
      </c>
    </row>
    <row r="882" spans="1:18">
      <c r="A882" s="14" t="s">
        <v>17</v>
      </c>
      <c r="B882" s="15" t="s">
        <v>625</v>
      </c>
      <c r="C882" s="15" t="s">
        <v>626</v>
      </c>
      <c r="D882" s="14" t="s">
        <v>627</v>
      </c>
      <c r="E882" s="15" t="s">
        <v>62</v>
      </c>
      <c r="F882" s="14" t="s">
        <v>22</v>
      </c>
      <c r="G882" s="15" t="s">
        <v>23</v>
      </c>
      <c r="H882" s="15"/>
      <c r="I882" s="15">
        <v>201407</v>
      </c>
      <c r="J882" s="16">
        <v>772.95</v>
      </c>
      <c r="K882" s="44">
        <f t="shared" si="69"/>
        <v>41944</v>
      </c>
      <c r="L882" s="45">
        <f t="shared" si="71"/>
        <v>7</v>
      </c>
      <c r="M882" s="17">
        <v>1.4833299999999999E-3</v>
      </c>
      <c r="N882" s="46">
        <f t="shared" si="70"/>
        <v>8.0257794645000011</v>
      </c>
      <c r="O882" s="16"/>
      <c r="P882" s="63">
        <f t="shared" si="72"/>
        <v>371.98218750000007</v>
      </c>
      <c r="Q882" s="16"/>
      <c r="R882" s="48">
        <f t="shared" si="68"/>
        <v>13.949815125000002</v>
      </c>
    </row>
    <row r="883" spans="1:18">
      <c r="A883" s="14" t="s">
        <v>17</v>
      </c>
      <c r="B883" s="15" t="s">
        <v>161</v>
      </c>
      <c r="C883" s="15" t="s">
        <v>162</v>
      </c>
      <c r="D883" s="14" t="s">
        <v>163</v>
      </c>
      <c r="E883" s="15" t="s">
        <v>62</v>
      </c>
      <c r="F883" s="14" t="s">
        <v>22</v>
      </c>
      <c r="G883" s="15" t="s">
        <v>23</v>
      </c>
      <c r="H883" s="15"/>
      <c r="I883" s="15">
        <v>201407</v>
      </c>
      <c r="J883" s="16">
        <v>483.74</v>
      </c>
      <c r="K883" s="44">
        <f t="shared" si="69"/>
        <v>41944</v>
      </c>
      <c r="L883" s="45">
        <f t="shared" si="71"/>
        <v>7</v>
      </c>
      <c r="M883" s="17">
        <v>1.4833299999999999E-3</v>
      </c>
      <c r="N883" s="46">
        <f t="shared" si="70"/>
        <v>5.0228223794</v>
      </c>
      <c r="O883" s="16"/>
      <c r="P883" s="63">
        <f t="shared" si="72"/>
        <v>232.79987500000004</v>
      </c>
      <c r="Q883" s="16"/>
      <c r="R883" s="48">
        <f t="shared" si="68"/>
        <v>8.7302976500000007</v>
      </c>
    </row>
    <row r="884" spans="1:18">
      <c r="A884" s="14" t="s">
        <v>17</v>
      </c>
      <c r="B884" s="15" t="s">
        <v>269</v>
      </c>
      <c r="C884" s="15" t="s">
        <v>270</v>
      </c>
      <c r="D884" s="14" t="s">
        <v>271</v>
      </c>
      <c r="E884" s="15" t="s">
        <v>62</v>
      </c>
      <c r="F884" s="14" t="s">
        <v>22</v>
      </c>
      <c r="G884" s="15" t="s">
        <v>23</v>
      </c>
      <c r="H884" s="15"/>
      <c r="I884" s="15">
        <v>201407</v>
      </c>
      <c r="J884" s="16">
        <v>418.43</v>
      </c>
      <c r="K884" s="44">
        <f t="shared" si="69"/>
        <v>41944</v>
      </c>
      <c r="L884" s="45">
        <f t="shared" si="71"/>
        <v>7</v>
      </c>
      <c r="M884" s="17">
        <v>1.4833299999999999E-3</v>
      </c>
      <c r="N884" s="46">
        <f t="shared" si="70"/>
        <v>4.3446884033000002</v>
      </c>
      <c r="O884" s="16"/>
      <c r="P884" s="63">
        <f t="shared" si="72"/>
        <v>201.36943750000003</v>
      </c>
      <c r="Q884" s="16"/>
      <c r="R884" s="48">
        <f t="shared" si="68"/>
        <v>7.5516154250000005</v>
      </c>
    </row>
    <row r="885" spans="1:18">
      <c r="A885" s="14" t="s">
        <v>17</v>
      </c>
      <c r="B885" s="15" t="s">
        <v>608</v>
      </c>
      <c r="C885" s="15" t="s">
        <v>609</v>
      </c>
      <c r="D885" s="14" t="s">
        <v>610</v>
      </c>
      <c r="E885" s="15" t="s">
        <v>45</v>
      </c>
      <c r="F885" s="14" t="s">
        <v>22</v>
      </c>
      <c r="G885" s="15" t="s">
        <v>23</v>
      </c>
      <c r="H885" s="15"/>
      <c r="I885" s="15">
        <v>201407</v>
      </c>
      <c r="J885" s="16">
        <v>1523.18</v>
      </c>
      <c r="K885" s="44">
        <f t="shared" si="69"/>
        <v>41944</v>
      </c>
      <c r="L885" s="45">
        <f t="shared" si="71"/>
        <v>7</v>
      </c>
      <c r="M885" s="17">
        <v>1.4833299999999999E-3</v>
      </c>
      <c r="N885" s="46">
        <f t="shared" si="70"/>
        <v>15.8156501258</v>
      </c>
      <c r="O885" s="16"/>
      <c r="P885" s="63">
        <f t="shared" si="72"/>
        <v>733.03037500000016</v>
      </c>
      <c r="Q885" s="16"/>
      <c r="R885" s="48">
        <f t="shared" si="68"/>
        <v>27.489591050000001</v>
      </c>
    </row>
    <row r="886" spans="1:18">
      <c r="A886" s="14" t="s">
        <v>17</v>
      </c>
      <c r="B886" s="15" t="s">
        <v>668</v>
      </c>
      <c r="C886" s="15" t="s">
        <v>669</v>
      </c>
      <c r="D886" s="14" t="s">
        <v>670</v>
      </c>
      <c r="E886" s="15" t="s">
        <v>45</v>
      </c>
      <c r="F886" s="14" t="s">
        <v>22</v>
      </c>
      <c r="G886" s="15" t="s">
        <v>23</v>
      </c>
      <c r="H886" s="15"/>
      <c r="I886" s="15">
        <v>201407</v>
      </c>
      <c r="J886" s="16">
        <v>0.19</v>
      </c>
      <c r="K886" s="44">
        <f t="shared" si="69"/>
        <v>41944</v>
      </c>
      <c r="L886" s="45">
        <f t="shared" si="71"/>
        <v>7</v>
      </c>
      <c r="M886" s="17">
        <v>1.4833299999999999E-3</v>
      </c>
      <c r="N886" s="46">
        <f t="shared" si="70"/>
        <v>1.9728289000000001E-3</v>
      </c>
      <c r="O886" s="16"/>
      <c r="P886" s="63">
        <f t="shared" si="72"/>
        <v>9.1437500000000019E-2</v>
      </c>
      <c r="Q886" s="16"/>
      <c r="R886" s="48">
        <f t="shared" si="68"/>
        <v>3.429025E-3</v>
      </c>
    </row>
    <row r="887" spans="1:18">
      <c r="A887" s="14" t="s">
        <v>17</v>
      </c>
      <c r="B887" s="15" t="s">
        <v>363</v>
      </c>
      <c r="C887" s="15" t="s">
        <v>364</v>
      </c>
      <c r="D887" s="14" t="s">
        <v>365</v>
      </c>
      <c r="E887" s="15" t="s">
        <v>21</v>
      </c>
      <c r="F887" s="14" t="s">
        <v>22</v>
      </c>
      <c r="G887" s="15" t="s">
        <v>23</v>
      </c>
      <c r="H887" s="15"/>
      <c r="I887" s="15">
        <v>201407</v>
      </c>
      <c r="J887" s="16">
        <v>637.45000000000005</v>
      </c>
      <c r="K887" s="44">
        <f t="shared" si="69"/>
        <v>41944</v>
      </c>
      <c r="L887" s="45">
        <f t="shared" si="71"/>
        <v>7</v>
      </c>
      <c r="M887" s="17">
        <v>1.4833299999999999E-3</v>
      </c>
      <c r="N887" s="46">
        <f t="shared" si="70"/>
        <v>6.6188409595</v>
      </c>
      <c r="O887" s="16"/>
      <c r="P887" s="63">
        <f t="shared" si="72"/>
        <v>306.77281250000004</v>
      </c>
      <c r="Q887" s="16"/>
      <c r="R887" s="48">
        <f t="shared" si="68"/>
        <v>11.504378875000002</v>
      </c>
    </row>
    <row r="888" spans="1:18">
      <c r="A888" s="14" t="s">
        <v>17</v>
      </c>
      <c r="B888" s="15" t="s">
        <v>710</v>
      </c>
      <c r="C888" s="15" t="s">
        <v>711</v>
      </c>
      <c r="D888" s="14" t="s">
        <v>712</v>
      </c>
      <c r="E888" s="15" t="s">
        <v>45</v>
      </c>
      <c r="F888" s="14" t="s">
        <v>22</v>
      </c>
      <c r="G888" s="15" t="s">
        <v>23</v>
      </c>
      <c r="H888" s="15"/>
      <c r="I888" s="15">
        <v>201407</v>
      </c>
      <c r="J888" s="16">
        <v>3115.96</v>
      </c>
      <c r="K888" s="44">
        <f t="shared" si="69"/>
        <v>41944</v>
      </c>
      <c r="L888" s="45">
        <f t="shared" si="71"/>
        <v>7</v>
      </c>
      <c r="M888" s="17">
        <v>1.4833299999999999E-3</v>
      </c>
      <c r="N888" s="46">
        <f t="shared" si="70"/>
        <v>32.3539786276</v>
      </c>
      <c r="O888" s="16"/>
      <c r="P888" s="63">
        <f t="shared" si="72"/>
        <v>1499.5557500000002</v>
      </c>
      <c r="Q888" s="16"/>
      <c r="R888" s="48">
        <f t="shared" si="68"/>
        <v>56.235288100000005</v>
      </c>
    </row>
    <row r="889" spans="1:18">
      <c r="A889" s="14" t="s">
        <v>17</v>
      </c>
      <c r="B889" s="15" t="s">
        <v>297</v>
      </c>
      <c r="C889" s="15" t="s">
        <v>298</v>
      </c>
      <c r="D889" s="14" t="s">
        <v>299</v>
      </c>
      <c r="E889" s="15" t="s">
        <v>21</v>
      </c>
      <c r="F889" s="14" t="s">
        <v>22</v>
      </c>
      <c r="G889" s="15" t="s">
        <v>23</v>
      </c>
      <c r="H889" s="15"/>
      <c r="I889" s="15">
        <v>201407</v>
      </c>
      <c r="J889" s="16">
        <v>814.94</v>
      </c>
      <c r="K889" s="44">
        <f t="shared" si="69"/>
        <v>41944</v>
      </c>
      <c r="L889" s="45">
        <f t="shared" si="71"/>
        <v>7</v>
      </c>
      <c r="M889" s="17">
        <v>1.4833299999999999E-3</v>
      </c>
      <c r="N889" s="46">
        <f t="shared" si="70"/>
        <v>8.4617746514000007</v>
      </c>
      <c r="O889" s="16"/>
      <c r="P889" s="63">
        <f t="shared" si="72"/>
        <v>392.18987500000009</v>
      </c>
      <c r="Q889" s="16"/>
      <c r="R889" s="48">
        <f t="shared" si="68"/>
        <v>14.707629650000001</v>
      </c>
    </row>
    <row r="890" spans="1:18">
      <c r="A890" s="14" t="s">
        <v>17</v>
      </c>
      <c r="B890" s="15" t="s">
        <v>450</v>
      </c>
      <c r="C890" s="15" t="s">
        <v>451</v>
      </c>
      <c r="D890" s="14" t="s">
        <v>452</v>
      </c>
      <c r="E890" s="15" t="s">
        <v>45</v>
      </c>
      <c r="F890" s="14" t="s">
        <v>22</v>
      </c>
      <c r="G890" s="15" t="s">
        <v>23</v>
      </c>
      <c r="H890" s="15"/>
      <c r="I890" s="15">
        <v>201407</v>
      </c>
      <c r="J890" s="16">
        <v>1163.6400000000001</v>
      </c>
      <c r="K890" s="44">
        <f t="shared" si="69"/>
        <v>41944</v>
      </c>
      <c r="L890" s="45">
        <f t="shared" si="71"/>
        <v>7</v>
      </c>
      <c r="M890" s="17">
        <v>1.4833299999999999E-3</v>
      </c>
      <c r="N890" s="46">
        <f t="shared" si="70"/>
        <v>12.0824348484</v>
      </c>
      <c r="O890" s="16"/>
      <c r="P890" s="63">
        <f t="shared" si="72"/>
        <v>560.00175000000013</v>
      </c>
      <c r="Q890" s="16"/>
      <c r="R890" s="48">
        <f t="shared" si="68"/>
        <v>21.000792900000004</v>
      </c>
    </row>
    <row r="891" spans="1:18">
      <c r="A891" s="14" t="s">
        <v>17</v>
      </c>
      <c r="B891" s="15" t="s">
        <v>287</v>
      </c>
      <c r="C891" s="15" t="s">
        <v>288</v>
      </c>
      <c r="D891" s="14" t="s">
        <v>289</v>
      </c>
      <c r="E891" s="15" t="s">
        <v>21</v>
      </c>
      <c r="F891" s="14" t="s">
        <v>22</v>
      </c>
      <c r="G891" s="15" t="s">
        <v>23</v>
      </c>
      <c r="H891" s="15"/>
      <c r="I891" s="15">
        <v>201407</v>
      </c>
      <c r="J891" s="16">
        <v>221.73</v>
      </c>
      <c r="K891" s="44">
        <f t="shared" si="69"/>
        <v>41944</v>
      </c>
      <c r="L891" s="45">
        <f t="shared" si="71"/>
        <v>7</v>
      </c>
      <c r="M891" s="17">
        <v>1.4833299999999999E-3</v>
      </c>
      <c r="N891" s="46">
        <f t="shared" si="70"/>
        <v>2.3022913262999998</v>
      </c>
      <c r="O891" s="16"/>
      <c r="P891" s="63">
        <f t="shared" si="72"/>
        <v>106.70756250000001</v>
      </c>
      <c r="Q891" s="16"/>
      <c r="R891" s="48">
        <f t="shared" si="68"/>
        <v>4.0016721750000004</v>
      </c>
    </row>
    <row r="892" spans="1:18">
      <c r="A892" s="14" t="s">
        <v>17</v>
      </c>
      <c r="B892" s="15" t="s">
        <v>456</v>
      </c>
      <c r="C892" s="15" t="s">
        <v>457</v>
      </c>
      <c r="D892" s="14" t="s">
        <v>458</v>
      </c>
      <c r="E892" s="15" t="s">
        <v>21</v>
      </c>
      <c r="F892" s="14" t="s">
        <v>22</v>
      </c>
      <c r="G892" s="15" t="s">
        <v>23</v>
      </c>
      <c r="H892" s="15"/>
      <c r="I892" s="15">
        <v>201407</v>
      </c>
      <c r="J892" s="16">
        <v>250.29</v>
      </c>
      <c r="K892" s="44">
        <f t="shared" si="69"/>
        <v>41944</v>
      </c>
      <c r="L892" s="45">
        <f t="shared" si="71"/>
        <v>7</v>
      </c>
      <c r="M892" s="17">
        <v>1.4833299999999999E-3</v>
      </c>
      <c r="N892" s="46">
        <f t="shared" si="70"/>
        <v>2.5988386598999997</v>
      </c>
      <c r="O892" s="16"/>
      <c r="P892" s="63">
        <f t="shared" si="72"/>
        <v>120.45206250000001</v>
      </c>
      <c r="Q892" s="16"/>
      <c r="R892" s="48">
        <f t="shared" si="68"/>
        <v>4.5171087750000005</v>
      </c>
    </row>
    <row r="893" spans="1:18">
      <c r="A893" s="14" t="s">
        <v>17</v>
      </c>
      <c r="B893" s="15" t="s">
        <v>18</v>
      </c>
      <c r="C893" s="15" t="s">
        <v>19</v>
      </c>
      <c r="D893" s="14" t="s">
        <v>20</v>
      </c>
      <c r="E893" s="15" t="s">
        <v>21</v>
      </c>
      <c r="F893" s="14" t="s">
        <v>22</v>
      </c>
      <c r="G893" s="15" t="s">
        <v>23</v>
      </c>
      <c r="H893" s="15"/>
      <c r="I893" s="15">
        <v>201407</v>
      </c>
      <c r="J893" s="16">
        <v>12897.98</v>
      </c>
      <c r="K893" s="44">
        <f t="shared" si="69"/>
        <v>41944</v>
      </c>
      <c r="L893" s="45">
        <f t="shared" si="71"/>
        <v>7</v>
      </c>
      <c r="M893" s="17">
        <v>1.4833299999999999E-3</v>
      </c>
      <c r="N893" s="46">
        <f t="shared" si="70"/>
        <v>133.9237247138</v>
      </c>
      <c r="O893" s="16"/>
      <c r="P893" s="63">
        <f t="shared" si="72"/>
        <v>6207.1528750000007</v>
      </c>
      <c r="Q893" s="16"/>
      <c r="R893" s="48">
        <f t="shared" si="68"/>
        <v>232.77629405000002</v>
      </c>
    </row>
    <row r="894" spans="1:18">
      <c r="A894" s="14" t="s">
        <v>54</v>
      </c>
      <c r="B894" s="15" t="s">
        <v>836</v>
      </c>
      <c r="C894" s="15" t="s">
        <v>837</v>
      </c>
      <c r="D894" s="14" t="s">
        <v>838</v>
      </c>
      <c r="E894" s="15" t="s">
        <v>21</v>
      </c>
      <c r="F894" s="14" t="s">
        <v>22</v>
      </c>
      <c r="G894" s="15" t="s">
        <v>23</v>
      </c>
      <c r="H894" s="15"/>
      <c r="I894" s="15">
        <v>201407</v>
      </c>
      <c r="J894" s="16">
        <v>11177.31</v>
      </c>
      <c r="K894" s="44">
        <f t="shared" si="69"/>
        <v>41944</v>
      </c>
      <c r="L894" s="45">
        <f t="shared" si="71"/>
        <v>7</v>
      </c>
      <c r="M894" s="17">
        <v>1.4833299999999999E-3</v>
      </c>
      <c r="N894" s="46">
        <f t="shared" si="70"/>
        <v>116.05747469609999</v>
      </c>
      <c r="O894" s="16"/>
      <c r="P894" s="63">
        <f t="shared" si="72"/>
        <v>5379.0804375000007</v>
      </c>
      <c r="Q894" s="16"/>
      <c r="R894" s="48">
        <f t="shared" si="68"/>
        <v>201.722502225</v>
      </c>
    </row>
    <row r="895" spans="1:18">
      <c r="A895" s="14" t="s">
        <v>17</v>
      </c>
      <c r="B895" s="15" t="s">
        <v>602</v>
      </c>
      <c r="C895" s="15" t="s">
        <v>603</v>
      </c>
      <c r="D895" s="14" t="s">
        <v>604</v>
      </c>
      <c r="E895" s="15" t="s">
        <v>58</v>
      </c>
      <c r="F895" s="14" t="s">
        <v>22</v>
      </c>
      <c r="G895" s="15" t="s">
        <v>23</v>
      </c>
      <c r="H895" s="15"/>
      <c r="I895" s="15">
        <v>201407</v>
      </c>
      <c r="J895" s="16">
        <v>-0.04</v>
      </c>
      <c r="K895" s="44">
        <f t="shared" si="69"/>
        <v>41944</v>
      </c>
      <c r="L895" s="45">
        <f t="shared" si="71"/>
        <v>7</v>
      </c>
      <c r="M895" s="17">
        <v>1.4833299999999999E-3</v>
      </c>
      <c r="N895" s="46">
        <f t="shared" si="70"/>
        <v>-4.153324E-4</v>
      </c>
      <c r="O895" s="16"/>
      <c r="P895" s="63">
        <f t="shared" si="72"/>
        <v>-1.9250000000000003E-2</v>
      </c>
      <c r="Q895" s="16"/>
      <c r="R895" s="48">
        <f t="shared" si="68"/>
        <v>-7.2190000000000004E-4</v>
      </c>
    </row>
    <row r="896" spans="1:18">
      <c r="A896" s="14" t="s">
        <v>17</v>
      </c>
      <c r="B896" s="15" t="s">
        <v>691</v>
      </c>
      <c r="C896" s="15" t="s">
        <v>692</v>
      </c>
      <c r="D896" s="14" t="s">
        <v>693</v>
      </c>
      <c r="E896" s="15" t="s">
        <v>58</v>
      </c>
      <c r="F896" s="14" t="s">
        <v>22</v>
      </c>
      <c r="G896" s="15" t="s">
        <v>23</v>
      </c>
      <c r="H896" s="15"/>
      <c r="I896" s="15">
        <v>201407</v>
      </c>
      <c r="J896" s="16">
        <v>0.11</v>
      </c>
      <c r="K896" s="44">
        <f t="shared" si="69"/>
        <v>41944</v>
      </c>
      <c r="L896" s="45">
        <f t="shared" si="71"/>
        <v>7</v>
      </c>
      <c r="M896" s="17">
        <v>1.4833299999999999E-3</v>
      </c>
      <c r="N896" s="46">
        <f t="shared" si="70"/>
        <v>1.1421641E-3</v>
      </c>
      <c r="O896" s="16"/>
      <c r="P896" s="63">
        <f t="shared" si="72"/>
        <v>5.2937500000000005E-2</v>
      </c>
      <c r="Q896" s="16"/>
      <c r="R896" s="48">
        <f t="shared" si="68"/>
        <v>1.9852250000000002E-3</v>
      </c>
    </row>
    <row r="897" spans="1:18">
      <c r="A897" s="14" t="s">
        <v>17</v>
      </c>
      <c r="B897" s="15" t="s">
        <v>113</v>
      </c>
      <c r="C897" s="15" t="s">
        <v>114</v>
      </c>
      <c r="D897" s="14" t="s">
        <v>115</v>
      </c>
      <c r="E897" s="15" t="s">
        <v>58</v>
      </c>
      <c r="F897" s="14" t="s">
        <v>22</v>
      </c>
      <c r="G897" s="15" t="s">
        <v>23</v>
      </c>
      <c r="H897" s="15"/>
      <c r="I897" s="15">
        <v>201407</v>
      </c>
      <c r="J897" s="16">
        <v>0.17</v>
      </c>
      <c r="K897" s="44">
        <f t="shared" si="69"/>
        <v>41944</v>
      </c>
      <c r="L897" s="45">
        <f t="shared" si="71"/>
        <v>7</v>
      </c>
      <c r="M897" s="17">
        <v>1.4833299999999999E-3</v>
      </c>
      <c r="N897" s="46">
        <f t="shared" si="70"/>
        <v>1.7651627E-3</v>
      </c>
      <c r="O897" s="16"/>
      <c r="P897" s="63">
        <f t="shared" si="72"/>
        <v>8.1812500000000024E-2</v>
      </c>
      <c r="Q897" s="16"/>
      <c r="R897" s="48">
        <f t="shared" si="68"/>
        <v>3.0680750000000004E-3</v>
      </c>
    </row>
    <row r="898" spans="1:18">
      <c r="A898" s="14" t="s">
        <v>17</v>
      </c>
      <c r="B898" s="15" t="s">
        <v>765</v>
      </c>
      <c r="C898" s="15" t="s">
        <v>766</v>
      </c>
      <c r="D898" s="14" t="s">
        <v>767</v>
      </c>
      <c r="E898" s="15" t="s">
        <v>216</v>
      </c>
      <c r="F898" s="14" t="s">
        <v>22</v>
      </c>
      <c r="G898" s="15" t="s">
        <v>23</v>
      </c>
      <c r="H898" s="15"/>
      <c r="I898" s="15">
        <v>201407</v>
      </c>
      <c r="J898" s="16">
        <v>458.78</v>
      </c>
      <c r="K898" s="44">
        <f t="shared" si="69"/>
        <v>41944</v>
      </c>
      <c r="L898" s="45">
        <f t="shared" si="71"/>
        <v>7</v>
      </c>
      <c r="M898" s="17">
        <v>1.4833299999999999E-3</v>
      </c>
      <c r="N898" s="46">
        <f t="shared" si="70"/>
        <v>4.7636549617999995</v>
      </c>
      <c r="O898" s="16"/>
      <c r="P898" s="63">
        <f t="shared" si="72"/>
        <v>220.78787500000001</v>
      </c>
      <c r="Q898" s="16"/>
      <c r="R898" s="48">
        <f t="shared" si="68"/>
        <v>8.2798320499999996</v>
      </c>
    </row>
    <row r="899" spans="1:18">
      <c r="A899" s="14" t="s">
        <v>17</v>
      </c>
      <c r="B899" s="15" t="s">
        <v>213</v>
      </c>
      <c r="C899" s="15" t="s">
        <v>214</v>
      </c>
      <c r="D899" s="14" t="s">
        <v>215</v>
      </c>
      <c r="E899" s="15" t="s">
        <v>216</v>
      </c>
      <c r="F899" s="14" t="s">
        <v>22</v>
      </c>
      <c r="G899" s="15" t="s">
        <v>23</v>
      </c>
      <c r="H899" s="15"/>
      <c r="I899" s="15">
        <v>201407</v>
      </c>
      <c r="J899" s="16">
        <v>-153.91</v>
      </c>
      <c r="K899" s="44">
        <f t="shared" si="69"/>
        <v>41944</v>
      </c>
      <c r="L899" s="45">
        <f t="shared" si="71"/>
        <v>7</v>
      </c>
      <c r="M899" s="17">
        <v>1.4833299999999999E-3</v>
      </c>
      <c r="N899" s="46">
        <f t="shared" si="70"/>
        <v>-1.5980952420999999</v>
      </c>
      <c r="O899" s="16"/>
      <c r="P899" s="63">
        <f t="shared" si="72"/>
        <v>-74.069187500000012</v>
      </c>
      <c r="Q899" s="16"/>
      <c r="R899" s="48">
        <f t="shared" si="68"/>
        <v>-2.7776907250000002</v>
      </c>
    </row>
    <row r="900" spans="1:18">
      <c r="A900" s="14" t="s">
        <v>17</v>
      </c>
      <c r="B900" s="15" t="s">
        <v>704</v>
      </c>
      <c r="C900" s="15" t="s">
        <v>705</v>
      </c>
      <c r="D900" s="14" t="s">
        <v>706</v>
      </c>
      <c r="E900" s="15" t="s">
        <v>58</v>
      </c>
      <c r="F900" s="14" t="s">
        <v>22</v>
      </c>
      <c r="G900" s="15" t="s">
        <v>23</v>
      </c>
      <c r="H900" s="15"/>
      <c r="I900" s="15">
        <v>201407</v>
      </c>
      <c r="J900" s="16">
        <v>3028.34</v>
      </c>
      <c r="K900" s="44">
        <f t="shared" si="69"/>
        <v>41944</v>
      </c>
      <c r="L900" s="45">
        <f t="shared" si="71"/>
        <v>7</v>
      </c>
      <c r="M900" s="17">
        <v>1.4833299999999999E-3</v>
      </c>
      <c r="N900" s="46">
        <f t="shared" si="70"/>
        <v>31.444193005400003</v>
      </c>
      <c r="O900" s="16"/>
      <c r="P900" s="63">
        <f t="shared" si="72"/>
        <v>1457.3886250000003</v>
      </c>
      <c r="Q900" s="16"/>
      <c r="R900" s="48">
        <f t="shared" si="68"/>
        <v>54.653966150000002</v>
      </c>
    </row>
    <row r="901" spans="1:18">
      <c r="A901" s="14" t="s">
        <v>17</v>
      </c>
      <c r="B901" s="15" t="s">
        <v>792</v>
      </c>
      <c r="C901" s="15" t="s">
        <v>793</v>
      </c>
      <c r="D901" s="14" t="s">
        <v>794</v>
      </c>
      <c r="E901" s="15" t="s">
        <v>58</v>
      </c>
      <c r="F901" s="14" t="s">
        <v>22</v>
      </c>
      <c r="G901" s="15" t="s">
        <v>23</v>
      </c>
      <c r="H901" s="15"/>
      <c r="I901" s="15">
        <v>201407</v>
      </c>
      <c r="J901" s="16">
        <v>-29753.49</v>
      </c>
      <c r="K901" s="44">
        <f t="shared" si="69"/>
        <v>41944</v>
      </c>
      <c r="L901" s="45">
        <f t="shared" si="71"/>
        <v>7</v>
      </c>
      <c r="M901" s="17">
        <v>1.4833299999999999E-3</v>
      </c>
      <c r="N901" s="46">
        <f t="shared" si="70"/>
        <v>-308.93971025190001</v>
      </c>
      <c r="O901" s="16"/>
      <c r="P901" s="63">
        <f t="shared" si="72"/>
        <v>-14318.867062500003</v>
      </c>
      <c r="Q901" s="16"/>
      <c r="R901" s="48">
        <f t="shared" si="68"/>
        <v>-536.97611077500005</v>
      </c>
    </row>
    <row r="902" spans="1:18">
      <c r="A902" s="14" t="s">
        <v>54</v>
      </c>
      <c r="B902" s="15" t="s">
        <v>792</v>
      </c>
      <c r="C902" s="15" t="s">
        <v>793</v>
      </c>
      <c r="D902" s="14" t="s">
        <v>794</v>
      </c>
      <c r="E902" s="15" t="s">
        <v>58</v>
      </c>
      <c r="F902" s="14" t="s">
        <v>22</v>
      </c>
      <c r="G902" s="15" t="s">
        <v>23</v>
      </c>
      <c r="H902" s="15"/>
      <c r="I902" s="15">
        <v>201407</v>
      </c>
      <c r="J902" s="16">
        <v>30164.31</v>
      </c>
      <c r="K902" s="44">
        <f t="shared" si="69"/>
        <v>41944</v>
      </c>
      <c r="L902" s="45">
        <f t="shared" si="71"/>
        <v>7</v>
      </c>
      <c r="M902" s="17">
        <v>1.4833299999999999E-3</v>
      </c>
      <c r="N902" s="46">
        <f t="shared" si="70"/>
        <v>313.20538166609998</v>
      </c>
      <c r="O902" s="16"/>
      <c r="P902" s="63">
        <f t="shared" si="72"/>
        <v>14516.574187500002</v>
      </c>
      <c r="Q902" s="16"/>
      <c r="R902" s="48">
        <f t="shared" ref="R902:R965" si="73">$R$4*(J902*0.5)*$T$9</f>
        <v>544.3903847250001</v>
      </c>
    </row>
    <row r="903" spans="1:18">
      <c r="A903" s="14" t="s">
        <v>54</v>
      </c>
      <c r="B903" s="15" t="s">
        <v>561</v>
      </c>
      <c r="C903" s="15" t="s">
        <v>562</v>
      </c>
      <c r="D903" s="14" t="s">
        <v>563</v>
      </c>
      <c r="E903" s="15" t="s">
        <v>58</v>
      </c>
      <c r="F903" s="14" t="s">
        <v>22</v>
      </c>
      <c r="G903" s="15" t="s">
        <v>23</v>
      </c>
      <c r="H903" s="15"/>
      <c r="I903" s="15">
        <v>201407</v>
      </c>
      <c r="J903" s="16">
        <v>-10559.09</v>
      </c>
      <c r="K903" s="44">
        <f t="shared" ref="K903:K966" si="74">+K902</f>
        <v>41944</v>
      </c>
      <c r="L903" s="45">
        <f t="shared" si="71"/>
        <v>7</v>
      </c>
      <c r="M903" s="17">
        <v>1.4833299999999999E-3</v>
      </c>
      <c r="N903" s="46">
        <f t="shared" si="70"/>
        <v>-109.6383047879</v>
      </c>
      <c r="O903" s="16"/>
      <c r="P903" s="63">
        <f t="shared" si="72"/>
        <v>-5081.562062500001</v>
      </c>
      <c r="Q903" s="16"/>
      <c r="R903" s="48">
        <f t="shared" si="73"/>
        <v>-190.56517677500003</v>
      </c>
    </row>
    <row r="904" spans="1:18">
      <c r="A904" s="14" t="s">
        <v>54</v>
      </c>
      <c r="B904" s="15" t="s">
        <v>434</v>
      </c>
      <c r="C904" s="15" t="s">
        <v>435</v>
      </c>
      <c r="D904" s="14" t="s">
        <v>436</v>
      </c>
      <c r="E904" s="15" t="s">
        <v>58</v>
      </c>
      <c r="F904" s="14" t="s">
        <v>22</v>
      </c>
      <c r="G904" s="15" t="s">
        <v>23</v>
      </c>
      <c r="H904" s="15"/>
      <c r="I904" s="15">
        <v>201407</v>
      </c>
      <c r="J904" s="16">
        <v>-368.4</v>
      </c>
      <c r="K904" s="44">
        <f t="shared" si="74"/>
        <v>41944</v>
      </c>
      <c r="L904" s="45">
        <f t="shared" si="71"/>
        <v>7</v>
      </c>
      <c r="M904" s="17">
        <v>1.4833299999999999E-3</v>
      </c>
      <c r="N904" s="46">
        <f t="shared" si="70"/>
        <v>-3.8252114039999996</v>
      </c>
      <c r="O904" s="16"/>
      <c r="P904" s="63">
        <f t="shared" si="72"/>
        <v>-177.29250000000002</v>
      </c>
      <c r="Q904" s="16"/>
      <c r="R904" s="48">
        <f t="shared" si="73"/>
        <v>-6.6486989999999997</v>
      </c>
    </row>
    <row r="905" spans="1:18">
      <c r="A905" s="14" t="s">
        <v>17</v>
      </c>
      <c r="B905" s="15" t="s">
        <v>404</v>
      </c>
      <c r="C905" s="15" t="s">
        <v>405</v>
      </c>
      <c r="D905" s="14" t="s">
        <v>406</v>
      </c>
      <c r="E905" s="15" t="s">
        <v>58</v>
      </c>
      <c r="F905" s="14" t="s">
        <v>22</v>
      </c>
      <c r="G905" s="15" t="s">
        <v>23</v>
      </c>
      <c r="H905" s="15"/>
      <c r="I905" s="15">
        <v>201407</v>
      </c>
      <c r="J905" s="16">
        <v>228.37</v>
      </c>
      <c r="K905" s="44">
        <f t="shared" si="74"/>
        <v>41944</v>
      </c>
      <c r="L905" s="45">
        <f t="shared" si="71"/>
        <v>7</v>
      </c>
      <c r="M905" s="17">
        <v>1.4833299999999999E-3</v>
      </c>
      <c r="N905" s="46">
        <f t="shared" si="70"/>
        <v>2.3712365047000001</v>
      </c>
      <c r="O905" s="16"/>
      <c r="P905" s="63">
        <f t="shared" si="72"/>
        <v>109.90306250000002</v>
      </c>
      <c r="Q905" s="16"/>
      <c r="R905" s="48">
        <f t="shared" si="73"/>
        <v>4.1215075750000008</v>
      </c>
    </row>
    <row r="906" spans="1:18">
      <c r="A906" s="14" t="s">
        <v>17</v>
      </c>
      <c r="B906" s="15" t="s">
        <v>882</v>
      </c>
      <c r="C906" s="15" t="s">
        <v>883</v>
      </c>
      <c r="D906" s="14" t="s">
        <v>884</v>
      </c>
      <c r="E906" s="15" t="s">
        <v>216</v>
      </c>
      <c r="F906" s="14" t="s">
        <v>22</v>
      </c>
      <c r="G906" s="15" t="s">
        <v>23</v>
      </c>
      <c r="H906" s="15"/>
      <c r="I906" s="15">
        <v>201407</v>
      </c>
      <c r="J906" s="16">
        <v>30.69</v>
      </c>
      <c r="K906" s="44">
        <f t="shared" si="74"/>
        <v>41944</v>
      </c>
      <c r="L906" s="45">
        <f t="shared" si="71"/>
        <v>7</v>
      </c>
      <c r="M906" s="17">
        <v>1.4833299999999999E-3</v>
      </c>
      <c r="N906" s="46">
        <f t="shared" si="70"/>
        <v>0.3186637839</v>
      </c>
      <c r="O906" s="16"/>
      <c r="P906" s="63">
        <f t="shared" si="72"/>
        <v>14.769562500000003</v>
      </c>
      <c r="Q906" s="16"/>
      <c r="R906" s="48">
        <f t="shared" si="73"/>
        <v>0.55387777500000002</v>
      </c>
    </row>
    <row r="907" spans="1:18">
      <c r="A907" s="14" t="s">
        <v>54</v>
      </c>
      <c r="B907" s="15" t="s">
        <v>882</v>
      </c>
      <c r="C907" s="15" t="s">
        <v>883</v>
      </c>
      <c r="D907" s="14" t="s">
        <v>884</v>
      </c>
      <c r="E907" s="15" t="s">
        <v>216</v>
      </c>
      <c r="F907" s="14" t="s">
        <v>22</v>
      </c>
      <c r="G907" s="15" t="s">
        <v>23</v>
      </c>
      <c r="H907" s="15"/>
      <c r="I907" s="15">
        <v>201407</v>
      </c>
      <c r="J907" s="16">
        <v>8175.56</v>
      </c>
      <c r="K907" s="44">
        <f t="shared" si="74"/>
        <v>41944</v>
      </c>
      <c r="L907" s="45">
        <f t="shared" si="71"/>
        <v>7</v>
      </c>
      <c r="M907" s="17">
        <v>1.4833299999999999E-3</v>
      </c>
      <c r="N907" s="46">
        <f t="shared" si="70"/>
        <v>84.889373903600003</v>
      </c>
      <c r="O907" s="16"/>
      <c r="P907" s="63">
        <f t="shared" si="72"/>
        <v>3934.4882500000008</v>
      </c>
      <c r="Q907" s="16"/>
      <c r="R907" s="48">
        <f t="shared" si="73"/>
        <v>147.54841910000002</v>
      </c>
    </row>
    <row r="908" spans="1:18">
      <c r="A908" s="14" t="s">
        <v>17</v>
      </c>
      <c r="B908" s="15" t="s">
        <v>540</v>
      </c>
      <c r="C908" s="15" t="s">
        <v>541</v>
      </c>
      <c r="D908" s="14" t="s">
        <v>542</v>
      </c>
      <c r="E908" s="15" t="s">
        <v>216</v>
      </c>
      <c r="F908" s="14" t="s">
        <v>22</v>
      </c>
      <c r="G908" s="15" t="s">
        <v>23</v>
      </c>
      <c r="H908" s="15"/>
      <c r="I908" s="15">
        <v>201407</v>
      </c>
      <c r="J908" s="16">
        <v>62.56</v>
      </c>
      <c r="K908" s="44">
        <f t="shared" si="74"/>
        <v>41944</v>
      </c>
      <c r="L908" s="45">
        <f t="shared" si="71"/>
        <v>7</v>
      </c>
      <c r="M908" s="17">
        <v>1.4833299999999999E-3</v>
      </c>
      <c r="N908" s="46">
        <f t="shared" ref="N908:N971" si="75">M908*L908*J908</f>
        <v>0.64957987360000002</v>
      </c>
      <c r="O908" s="16"/>
      <c r="P908" s="63">
        <f t="shared" si="72"/>
        <v>30.107000000000006</v>
      </c>
      <c r="Q908" s="16"/>
      <c r="R908" s="48">
        <f t="shared" si="73"/>
        <v>1.1290516000000002</v>
      </c>
    </row>
    <row r="909" spans="1:18">
      <c r="A909" s="14" t="s">
        <v>17</v>
      </c>
      <c r="B909" s="15" t="s">
        <v>63</v>
      </c>
      <c r="C909" s="15" t="s">
        <v>64</v>
      </c>
      <c r="D909" s="14" t="s">
        <v>65</v>
      </c>
      <c r="E909" s="15" t="s">
        <v>32</v>
      </c>
      <c r="F909" s="14" t="s">
        <v>22</v>
      </c>
      <c r="G909" s="15" t="s">
        <v>23</v>
      </c>
      <c r="H909" s="15"/>
      <c r="I909" s="15">
        <v>201407</v>
      </c>
      <c r="J909" s="16">
        <v>712.08</v>
      </c>
      <c r="K909" s="44">
        <f t="shared" si="74"/>
        <v>41944</v>
      </c>
      <c r="L909" s="45">
        <f t="shared" ref="L909:L972" si="76">((YEAR($L$1)-YEAR(K909))*12+MONTH($L$1)-MONTH(K909))</f>
        <v>7</v>
      </c>
      <c r="M909" s="17">
        <v>1.4833299999999999E-3</v>
      </c>
      <c r="N909" s="46">
        <f t="shared" si="75"/>
        <v>7.3937473848000002</v>
      </c>
      <c r="O909" s="16"/>
      <c r="P909" s="63">
        <f t="shared" ref="P909:P972" si="77">$P$4*J909</f>
        <v>342.68850000000009</v>
      </c>
      <c r="Q909" s="16"/>
      <c r="R909" s="48">
        <f t="shared" si="73"/>
        <v>12.851263800000002</v>
      </c>
    </row>
    <row r="910" spans="1:18">
      <c r="A910" s="14" t="s">
        <v>17</v>
      </c>
      <c r="B910" s="15" t="s">
        <v>46</v>
      </c>
      <c r="C910" s="15" t="s">
        <v>47</v>
      </c>
      <c r="D910" s="14" t="s">
        <v>48</v>
      </c>
      <c r="E910" s="15" t="s">
        <v>49</v>
      </c>
      <c r="F910" s="14" t="s">
        <v>22</v>
      </c>
      <c r="G910" s="15" t="s">
        <v>23</v>
      </c>
      <c r="H910" s="15"/>
      <c r="I910" s="15">
        <v>201407</v>
      </c>
      <c r="J910" s="16">
        <v>382.04</v>
      </c>
      <c r="K910" s="44">
        <f t="shared" si="74"/>
        <v>41944</v>
      </c>
      <c r="L910" s="45">
        <f t="shared" si="76"/>
        <v>7</v>
      </c>
      <c r="M910" s="17">
        <v>1.4833299999999999E-3</v>
      </c>
      <c r="N910" s="46">
        <f t="shared" si="75"/>
        <v>3.9668397524000003</v>
      </c>
      <c r="O910" s="16"/>
      <c r="P910" s="63">
        <f t="shared" si="77"/>
        <v>183.85675000000003</v>
      </c>
      <c r="Q910" s="16"/>
      <c r="R910" s="48">
        <f t="shared" si="73"/>
        <v>6.8948669000000011</v>
      </c>
    </row>
    <row r="911" spans="1:18">
      <c r="A911" s="14" t="s">
        <v>17</v>
      </c>
      <c r="B911" s="15" t="s">
        <v>29</v>
      </c>
      <c r="C911" s="15" t="s">
        <v>30</v>
      </c>
      <c r="D911" s="14" t="s">
        <v>31</v>
      </c>
      <c r="E911" s="15" t="s">
        <v>32</v>
      </c>
      <c r="F911" s="14" t="s">
        <v>22</v>
      </c>
      <c r="G911" s="15" t="s">
        <v>23</v>
      </c>
      <c r="H911" s="15"/>
      <c r="I911" s="15">
        <v>201407</v>
      </c>
      <c r="J911" s="16">
        <v>583.07000000000005</v>
      </c>
      <c r="K911" s="44">
        <f t="shared" si="74"/>
        <v>41944</v>
      </c>
      <c r="L911" s="45">
        <f t="shared" si="76"/>
        <v>7</v>
      </c>
      <c r="M911" s="17">
        <v>1.4833299999999999E-3</v>
      </c>
      <c r="N911" s="46">
        <f t="shared" si="75"/>
        <v>6.0541965617000004</v>
      </c>
      <c r="O911" s="16"/>
      <c r="P911" s="63">
        <f t="shared" si="77"/>
        <v>280.60243750000006</v>
      </c>
      <c r="Q911" s="16"/>
      <c r="R911" s="48">
        <f t="shared" si="73"/>
        <v>10.522955825000002</v>
      </c>
    </row>
    <row r="912" spans="1:18">
      <c r="A912" s="14" t="s">
        <v>17</v>
      </c>
      <c r="B912" s="15" t="s">
        <v>119</v>
      </c>
      <c r="C912" s="15" t="s">
        <v>120</v>
      </c>
      <c r="D912" s="14" t="s">
        <v>121</v>
      </c>
      <c r="E912" s="15" t="s">
        <v>32</v>
      </c>
      <c r="F912" s="14" t="s">
        <v>22</v>
      </c>
      <c r="G912" s="15" t="s">
        <v>23</v>
      </c>
      <c r="H912" s="15"/>
      <c r="I912" s="15">
        <v>201407</v>
      </c>
      <c r="J912" s="16">
        <v>946.09</v>
      </c>
      <c r="K912" s="44">
        <f t="shared" si="74"/>
        <v>41944</v>
      </c>
      <c r="L912" s="45">
        <f t="shared" si="76"/>
        <v>7</v>
      </c>
      <c r="M912" s="17">
        <v>1.4833299999999999E-3</v>
      </c>
      <c r="N912" s="46">
        <f t="shared" si="75"/>
        <v>9.8235457578999998</v>
      </c>
      <c r="O912" s="16"/>
      <c r="P912" s="63">
        <f t="shared" si="77"/>
        <v>455.30581250000006</v>
      </c>
      <c r="Q912" s="16"/>
      <c r="R912" s="48">
        <f t="shared" si="73"/>
        <v>17.074559275000002</v>
      </c>
    </row>
    <row r="913" spans="1:18">
      <c r="A913" s="14" t="s">
        <v>17</v>
      </c>
      <c r="B913" s="15" t="s">
        <v>326</v>
      </c>
      <c r="C913" s="15" t="s">
        <v>327</v>
      </c>
      <c r="D913" s="14" t="s">
        <v>328</v>
      </c>
      <c r="E913" s="15" t="s">
        <v>32</v>
      </c>
      <c r="F913" s="14" t="s">
        <v>22</v>
      </c>
      <c r="G913" s="15" t="s">
        <v>23</v>
      </c>
      <c r="H913" s="15"/>
      <c r="I913" s="15">
        <v>201407</v>
      </c>
      <c r="J913" s="16">
        <v>-14757.44</v>
      </c>
      <c r="K913" s="44">
        <f t="shared" si="74"/>
        <v>41944</v>
      </c>
      <c r="L913" s="45">
        <f t="shared" si="76"/>
        <v>7</v>
      </c>
      <c r="M913" s="17">
        <v>1.4833299999999999E-3</v>
      </c>
      <c r="N913" s="46">
        <f t="shared" si="75"/>
        <v>-153.23107432640001</v>
      </c>
      <c r="O913" s="16"/>
      <c r="P913" s="63">
        <f t="shared" si="77"/>
        <v>-7102.0180000000009</v>
      </c>
      <c r="Q913" s="16"/>
      <c r="R913" s="48">
        <f t="shared" si="73"/>
        <v>-266.33489840000004</v>
      </c>
    </row>
    <row r="914" spans="1:18">
      <c r="A914" s="14" t="s">
        <v>54</v>
      </c>
      <c r="B914" s="15" t="s">
        <v>326</v>
      </c>
      <c r="C914" s="15" t="s">
        <v>327</v>
      </c>
      <c r="D914" s="14" t="s">
        <v>328</v>
      </c>
      <c r="E914" s="15" t="s">
        <v>32</v>
      </c>
      <c r="F914" s="14" t="s">
        <v>22</v>
      </c>
      <c r="G914" s="15" t="s">
        <v>23</v>
      </c>
      <c r="H914" s="15"/>
      <c r="I914" s="15">
        <v>201407</v>
      </c>
      <c r="J914" s="16">
        <v>15666.02</v>
      </c>
      <c r="K914" s="44">
        <f t="shared" si="74"/>
        <v>41944</v>
      </c>
      <c r="L914" s="45">
        <f t="shared" si="76"/>
        <v>7</v>
      </c>
      <c r="M914" s="17">
        <v>1.4833299999999999E-3</v>
      </c>
      <c r="N914" s="46">
        <f t="shared" si="75"/>
        <v>162.66514212620001</v>
      </c>
      <c r="O914" s="16"/>
      <c r="P914" s="63">
        <f t="shared" si="77"/>
        <v>7539.2721250000013</v>
      </c>
      <c r="Q914" s="16"/>
      <c r="R914" s="48">
        <f t="shared" si="73"/>
        <v>282.73249595000004</v>
      </c>
    </row>
    <row r="915" spans="1:18">
      <c r="A915" s="14" t="s">
        <v>17</v>
      </c>
      <c r="B915" s="15" t="s">
        <v>891</v>
      </c>
      <c r="C915" s="15" t="s">
        <v>892</v>
      </c>
      <c r="D915" s="14" t="s">
        <v>893</v>
      </c>
      <c r="E915" s="15" t="s">
        <v>32</v>
      </c>
      <c r="F915" s="14" t="s">
        <v>22</v>
      </c>
      <c r="G915" s="15" t="s">
        <v>23</v>
      </c>
      <c r="H915" s="15"/>
      <c r="I915" s="15">
        <v>201407</v>
      </c>
      <c r="J915" s="16">
        <v>52723.28</v>
      </c>
      <c r="K915" s="44">
        <f t="shared" si="74"/>
        <v>41944</v>
      </c>
      <c r="L915" s="45">
        <f t="shared" si="76"/>
        <v>7</v>
      </c>
      <c r="M915" s="17">
        <v>1.4833299999999999E-3</v>
      </c>
      <c r="N915" s="46">
        <f t="shared" si="75"/>
        <v>547.44216045680002</v>
      </c>
      <c r="O915" s="16"/>
      <c r="P915" s="63">
        <f t="shared" si="77"/>
        <v>25373.078500000003</v>
      </c>
      <c r="Q915" s="16"/>
      <c r="R915" s="48">
        <f t="shared" si="73"/>
        <v>951.5233958</v>
      </c>
    </row>
    <row r="916" spans="1:18">
      <c r="A916" s="14" t="s">
        <v>17</v>
      </c>
      <c r="B916" s="15" t="s">
        <v>395</v>
      </c>
      <c r="C916" s="15" t="s">
        <v>396</v>
      </c>
      <c r="D916" s="14" t="s">
        <v>397</v>
      </c>
      <c r="E916" s="15" t="s">
        <v>49</v>
      </c>
      <c r="F916" s="14" t="s">
        <v>22</v>
      </c>
      <c r="G916" s="15" t="s">
        <v>23</v>
      </c>
      <c r="H916" s="15"/>
      <c r="I916" s="15">
        <v>201407</v>
      </c>
      <c r="J916" s="16">
        <v>3.86</v>
      </c>
      <c r="K916" s="44">
        <f t="shared" si="74"/>
        <v>41944</v>
      </c>
      <c r="L916" s="45">
        <f t="shared" si="76"/>
        <v>7</v>
      </c>
      <c r="M916" s="17">
        <v>1.4833299999999999E-3</v>
      </c>
      <c r="N916" s="46">
        <f t="shared" si="75"/>
        <v>4.00795766E-2</v>
      </c>
      <c r="O916" s="16"/>
      <c r="P916" s="63">
        <f t="shared" si="77"/>
        <v>1.8576250000000003</v>
      </c>
      <c r="Q916" s="16"/>
      <c r="R916" s="48">
        <f t="shared" si="73"/>
        <v>6.9663349999999999E-2</v>
      </c>
    </row>
    <row r="917" spans="1:18">
      <c r="A917" s="14" t="s">
        <v>54</v>
      </c>
      <c r="B917" s="15" t="s">
        <v>419</v>
      </c>
      <c r="C917" s="15" t="s">
        <v>420</v>
      </c>
      <c r="D917" s="14" t="s">
        <v>421</v>
      </c>
      <c r="E917" s="15" t="s">
        <v>32</v>
      </c>
      <c r="F917" s="14" t="s">
        <v>22</v>
      </c>
      <c r="G917" s="15" t="s">
        <v>23</v>
      </c>
      <c r="H917" s="15"/>
      <c r="I917" s="15">
        <v>201407</v>
      </c>
      <c r="J917" s="16">
        <v>3188.71</v>
      </c>
      <c r="K917" s="44">
        <f t="shared" si="74"/>
        <v>41944</v>
      </c>
      <c r="L917" s="45">
        <f t="shared" si="76"/>
        <v>7</v>
      </c>
      <c r="M917" s="17">
        <v>1.4833299999999999E-3</v>
      </c>
      <c r="N917" s="46">
        <f t="shared" si="75"/>
        <v>33.109364430100001</v>
      </c>
      <c r="O917" s="16"/>
      <c r="P917" s="63">
        <f t="shared" si="77"/>
        <v>1534.5666875000002</v>
      </c>
      <c r="Q917" s="16"/>
      <c r="R917" s="48">
        <f t="shared" si="73"/>
        <v>57.548243725000006</v>
      </c>
    </row>
    <row r="918" spans="1:18">
      <c r="A918" s="14" t="s">
        <v>17</v>
      </c>
      <c r="B918" s="15" t="s">
        <v>514</v>
      </c>
      <c r="C918" s="15" t="s">
        <v>515</v>
      </c>
      <c r="D918" s="14" t="s">
        <v>516</v>
      </c>
      <c r="E918" s="15" t="s">
        <v>49</v>
      </c>
      <c r="F918" s="14" t="s">
        <v>22</v>
      </c>
      <c r="G918" s="15" t="s">
        <v>23</v>
      </c>
      <c r="H918" s="15"/>
      <c r="I918" s="15">
        <v>201407</v>
      </c>
      <c r="J918" s="16">
        <v>0.05</v>
      </c>
      <c r="K918" s="44">
        <f t="shared" si="74"/>
        <v>41944</v>
      </c>
      <c r="L918" s="45">
        <f t="shared" si="76"/>
        <v>7</v>
      </c>
      <c r="M918" s="17">
        <v>1.4833299999999999E-3</v>
      </c>
      <c r="N918" s="46">
        <f t="shared" si="75"/>
        <v>5.1916549999999999E-4</v>
      </c>
      <c r="O918" s="16"/>
      <c r="P918" s="63">
        <f t="shared" si="77"/>
        <v>2.4062500000000004E-2</v>
      </c>
      <c r="Q918" s="16"/>
      <c r="R918" s="48">
        <f t="shared" si="73"/>
        <v>9.0237500000000007E-4</v>
      </c>
    </row>
    <row r="919" spans="1:18">
      <c r="A919" s="14" t="s">
        <v>17</v>
      </c>
      <c r="B919" s="15" t="s">
        <v>155</v>
      </c>
      <c r="C919" s="15" t="s">
        <v>156</v>
      </c>
      <c r="D919" s="14" t="s">
        <v>157</v>
      </c>
      <c r="E919" s="15" t="s">
        <v>32</v>
      </c>
      <c r="F919" s="14" t="s">
        <v>22</v>
      </c>
      <c r="G919" s="15" t="s">
        <v>23</v>
      </c>
      <c r="H919" s="15"/>
      <c r="I919" s="15">
        <v>201407</v>
      </c>
      <c r="J919" s="16">
        <v>683.93</v>
      </c>
      <c r="K919" s="44">
        <f t="shared" si="74"/>
        <v>41944</v>
      </c>
      <c r="L919" s="45">
        <f t="shared" si="76"/>
        <v>7</v>
      </c>
      <c r="M919" s="17">
        <v>1.4833299999999999E-3</v>
      </c>
      <c r="N919" s="46">
        <f t="shared" si="75"/>
        <v>7.1014572082999994</v>
      </c>
      <c r="O919" s="16"/>
      <c r="P919" s="63">
        <f t="shared" si="77"/>
        <v>329.14131250000003</v>
      </c>
      <c r="Q919" s="16"/>
      <c r="R919" s="48">
        <f t="shared" si="73"/>
        <v>12.343226675</v>
      </c>
    </row>
    <row r="920" spans="1:18">
      <c r="A920" s="14" t="s">
        <v>17</v>
      </c>
      <c r="B920" s="15" t="s">
        <v>428</v>
      </c>
      <c r="C920" s="15" t="s">
        <v>429</v>
      </c>
      <c r="D920" s="14" t="s">
        <v>430</v>
      </c>
      <c r="E920" s="15" t="s">
        <v>32</v>
      </c>
      <c r="F920" s="14" t="s">
        <v>22</v>
      </c>
      <c r="G920" s="15" t="s">
        <v>23</v>
      </c>
      <c r="H920" s="15"/>
      <c r="I920" s="15">
        <v>201407</v>
      </c>
      <c r="J920" s="16">
        <v>777.51</v>
      </c>
      <c r="K920" s="44">
        <f t="shared" si="74"/>
        <v>41944</v>
      </c>
      <c r="L920" s="45">
        <f t="shared" si="76"/>
        <v>7</v>
      </c>
      <c r="M920" s="17">
        <v>1.4833299999999999E-3</v>
      </c>
      <c r="N920" s="46">
        <f t="shared" si="75"/>
        <v>8.0731273580999989</v>
      </c>
      <c r="O920" s="16"/>
      <c r="P920" s="63">
        <f t="shared" si="77"/>
        <v>374.17668750000007</v>
      </c>
      <c r="Q920" s="16"/>
      <c r="R920" s="48">
        <f t="shared" si="73"/>
        <v>14.032111725</v>
      </c>
    </row>
    <row r="921" spans="1:18">
      <c r="A921" s="14" t="s">
        <v>17</v>
      </c>
      <c r="B921" s="15" t="s">
        <v>631</v>
      </c>
      <c r="C921" s="15" t="s">
        <v>632</v>
      </c>
      <c r="D921" s="14" t="s">
        <v>633</v>
      </c>
      <c r="E921" s="15" t="s">
        <v>32</v>
      </c>
      <c r="F921" s="14" t="s">
        <v>22</v>
      </c>
      <c r="G921" s="15" t="s">
        <v>23</v>
      </c>
      <c r="H921" s="15"/>
      <c r="I921" s="15">
        <v>201407</v>
      </c>
      <c r="J921" s="16">
        <v>843.59</v>
      </c>
      <c r="K921" s="44">
        <f t="shared" si="74"/>
        <v>41944</v>
      </c>
      <c r="L921" s="45">
        <f t="shared" si="76"/>
        <v>7</v>
      </c>
      <c r="M921" s="17">
        <v>1.4833299999999999E-3</v>
      </c>
      <c r="N921" s="46">
        <f t="shared" si="75"/>
        <v>8.7592564828999997</v>
      </c>
      <c r="O921" s="16"/>
      <c r="P921" s="63">
        <f t="shared" si="77"/>
        <v>405.97768750000006</v>
      </c>
      <c r="Q921" s="16"/>
      <c r="R921" s="48">
        <f t="shared" si="73"/>
        <v>15.224690525000002</v>
      </c>
    </row>
    <row r="922" spans="1:18">
      <c r="A922" s="14" t="s">
        <v>17</v>
      </c>
      <c r="B922" s="15" t="s">
        <v>263</v>
      </c>
      <c r="C922" s="15" t="s">
        <v>264</v>
      </c>
      <c r="D922" s="14" t="s">
        <v>265</v>
      </c>
      <c r="E922" s="15" t="s">
        <v>62</v>
      </c>
      <c r="F922" s="14" t="s">
        <v>22</v>
      </c>
      <c r="G922" s="15" t="s">
        <v>23</v>
      </c>
      <c r="H922" s="15"/>
      <c r="I922" s="15">
        <v>201407</v>
      </c>
      <c r="J922" s="16">
        <v>156.08000000000001</v>
      </c>
      <c r="K922" s="44">
        <f t="shared" si="74"/>
        <v>41944</v>
      </c>
      <c r="L922" s="45">
        <f t="shared" si="76"/>
        <v>7</v>
      </c>
      <c r="M922" s="17">
        <v>1.4833299999999999E-3</v>
      </c>
      <c r="N922" s="46">
        <f t="shared" si="75"/>
        <v>1.6206270248000001</v>
      </c>
      <c r="O922" s="16"/>
      <c r="P922" s="63">
        <f t="shared" si="77"/>
        <v>75.113500000000016</v>
      </c>
      <c r="Q922" s="16"/>
      <c r="R922" s="48">
        <f t="shared" si="73"/>
        <v>2.8168538000000005</v>
      </c>
    </row>
    <row r="923" spans="1:18">
      <c r="A923" s="14" t="s">
        <v>17</v>
      </c>
      <c r="B923" s="15" t="s">
        <v>552</v>
      </c>
      <c r="C923" s="15" t="s">
        <v>553</v>
      </c>
      <c r="D923" s="14" t="s">
        <v>554</v>
      </c>
      <c r="E923" s="15" t="s">
        <v>62</v>
      </c>
      <c r="F923" s="14" t="s">
        <v>22</v>
      </c>
      <c r="G923" s="15" t="s">
        <v>23</v>
      </c>
      <c r="H923" s="15"/>
      <c r="I923" s="15">
        <v>201407</v>
      </c>
      <c r="J923" s="16">
        <v>554.94000000000005</v>
      </c>
      <c r="K923" s="44">
        <f t="shared" si="74"/>
        <v>41944</v>
      </c>
      <c r="L923" s="45">
        <f t="shared" si="76"/>
        <v>7</v>
      </c>
      <c r="M923" s="17">
        <v>1.4833299999999999E-3</v>
      </c>
      <c r="N923" s="46">
        <f t="shared" si="75"/>
        <v>5.7621140514000002</v>
      </c>
      <c r="O923" s="16"/>
      <c r="P923" s="63">
        <f t="shared" si="77"/>
        <v>267.06487500000009</v>
      </c>
      <c r="Q923" s="16"/>
      <c r="R923" s="48">
        <f t="shared" si="73"/>
        <v>10.015279650000002</v>
      </c>
    </row>
    <row r="924" spans="1:18">
      <c r="A924" s="14" t="s">
        <v>54</v>
      </c>
      <c r="B924" s="15" t="s">
        <v>816</v>
      </c>
      <c r="C924" s="15" t="s">
        <v>817</v>
      </c>
      <c r="D924" s="14" t="s">
        <v>818</v>
      </c>
      <c r="E924" s="15" t="s">
        <v>62</v>
      </c>
      <c r="F924" s="14" t="s">
        <v>22</v>
      </c>
      <c r="G924" s="15" t="s">
        <v>23</v>
      </c>
      <c r="H924" s="15"/>
      <c r="I924" s="15">
        <v>201407</v>
      </c>
      <c r="J924" s="16">
        <v>1660.2</v>
      </c>
      <c r="K924" s="44">
        <f t="shared" si="74"/>
        <v>41944</v>
      </c>
      <c r="L924" s="45">
        <f t="shared" si="76"/>
        <v>7</v>
      </c>
      <c r="M924" s="17">
        <v>1.4833299999999999E-3</v>
      </c>
      <c r="N924" s="46">
        <f t="shared" si="75"/>
        <v>17.238371262000001</v>
      </c>
      <c r="O924" s="16"/>
      <c r="P924" s="63">
        <f t="shared" si="77"/>
        <v>798.97125000000017</v>
      </c>
      <c r="Q924" s="16"/>
      <c r="R924" s="48">
        <f t="shared" si="73"/>
        <v>29.962459500000001</v>
      </c>
    </row>
    <row r="925" spans="1:18">
      <c r="A925" s="14" t="s">
        <v>17</v>
      </c>
      <c r="B925" s="15" t="s">
        <v>410</v>
      </c>
      <c r="C925" s="15" t="s">
        <v>411</v>
      </c>
      <c r="D925" s="14" t="s">
        <v>412</v>
      </c>
      <c r="E925" s="15" t="s">
        <v>62</v>
      </c>
      <c r="F925" s="14" t="s">
        <v>22</v>
      </c>
      <c r="G925" s="15" t="s">
        <v>23</v>
      </c>
      <c r="H925" s="15"/>
      <c r="I925" s="15">
        <v>201407</v>
      </c>
      <c r="J925" s="16">
        <v>-21711.45</v>
      </c>
      <c r="K925" s="44">
        <f t="shared" si="74"/>
        <v>41944</v>
      </c>
      <c r="L925" s="45">
        <f t="shared" si="76"/>
        <v>7</v>
      </c>
      <c r="M925" s="17">
        <v>1.4833299999999999E-3</v>
      </c>
      <c r="N925" s="46">
        <f t="shared" si="75"/>
        <v>-225.4367158995</v>
      </c>
      <c r="O925" s="16"/>
      <c r="P925" s="63">
        <f t="shared" si="77"/>
        <v>-10448.635312500002</v>
      </c>
      <c r="Q925" s="16"/>
      <c r="R925" s="48">
        <f t="shared" si="73"/>
        <v>-391.83739387500003</v>
      </c>
    </row>
    <row r="926" spans="1:18">
      <c r="A926" s="14" t="s">
        <v>54</v>
      </c>
      <c r="B926" s="15" t="s">
        <v>410</v>
      </c>
      <c r="C926" s="15" t="s">
        <v>411</v>
      </c>
      <c r="D926" s="14" t="s">
        <v>412</v>
      </c>
      <c r="E926" s="15" t="s">
        <v>62</v>
      </c>
      <c r="F926" s="14" t="s">
        <v>22</v>
      </c>
      <c r="G926" s="15" t="s">
        <v>23</v>
      </c>
      <c r="H926" s="15"/>
      <c r="I926" s="15">
        <v>201407</v>
      </c>
      <c r="J926" s="16">
        <v>22303.56</v>
      </c>
      <c r="K926" s="44">
        <f t="shared" si="74"/>
        <v>41944</v>
      </c>
      <c r="L926" s="45">
        <f t="shared" si="76"/>
        <v>7</v>
      </c>
      <c r="M926" s="17">
        <v>1.4833299999999999E-3</v>
      </c>
      <c r="N926" s="46">
        <f t="shared" si="75"/>
        <v>231.58477758360002</v>
      </c>
      <c r="O926" s="16"/>
      <c r="P926" s="63">
        <f t="shared" si="77"/>
        <v>10733.588250000003</v>
      </c>
      <c r="Q926" s="16"/>
      <c r="R926" s="48">
        <f t="shared" si="73"/>
        <v>402.52349910000004</v>
      </c>
    </row>
    <row r="927" spans="1:18">
      <c r="A927" s="14" t="s">
        <v>17</v>
      </c>
      <c r="B927" s="15" t="s">
        <v>707</v>
      </c>
      <c r="C927" s="15" t="s">
        <v>708</v>
      </c>
      <c r="D927" s="14" t="s">
        <v>709</v>
      </c>
      <c r="E927" s="15" t="s">
        <v>62</v>
      </c>
      <c r="F927" s="14" t="s">
        <v>22</v>
      </c>
      <c r="G927" s="15" t="s">
        <v>23</v>
      </c>
      <c r="H927" s="15"/>
      <c r="I927" s="15">
        <v>201407</v>
      </c>
      <c r="J927" s="16">
        <v>-98225.65</v>
      </c>
      <c r="K927" s="44">
        <f t="shared" si="74"/>
        <v>41944</v>
      </c>
      <c r="L927" s="45">
        <f t="shared" si="76"/>
        <v>7</v>
      </c>
      <c r="M927" s="17">
        <v>1.4833299999999999E-3</v>
      </c>
      <c r="N927" s="46">
        <f t="shared" si="75"/>
        <v>-1019.9073739014999</v>
      </c>
      <c r="O927" s="16"/>
      <c r="P927" s="63">
        <f t="shared" si="77"/>
        <v>-47271.0940625</v>
      </c>
      <c r="Q927" s="16"/>
      <c r="R927" s="48">
        <f t="shared" si="73"/>
        <v>-1772.7274183750001</v>
      </c>
    </row>
    <row r="928" spans="1:18">
      <c r="A928" s="14" t="s">
        <v>54</v>
      </c>
      <c r="B928" s="15" t="s">
        <v>707</v>
      </c>
      <c r="C928" s="15" t="s">
        <v>708</v>
      </c>
      <c r="D928" s="14" t="s">
        <v>709</v>
      </c>
      <c r="E928" s="15" t="s">
        <v>62</v>
      </c>
      <c r="F928" s="14" t="s">
        <v>22</v>
      </c>
      <c r="G928" s="15" t="s">
        <v>23</v>
      </c>
      <c r="H928" s="15"/>
      <c r="I928" s="15">
        <v>201407</v>
      </c>
      <c r="J928" s="16">
        <v>101346.51</v>
      </c>
      <c r="K928" s="44">
        <f t="shared" si="74"/>
        <v>41944</v>
      </c>
      <c r="L928" s="45">
        <f t="shared" si="76"/>
        <v>7</v>
      </c>
      <c r="M928" s="17">
        <v>1.4833299999999999E-3</v>
      </c>
      <c r="N928" s="46">
        <f t="shared" si="75"/>
        <v>1052.3122307480999</v>
      </c>
      <c r="O928" s="16"/>
      <c r="P928" s="63">
        <f t="shared" si="77"/>
        <v>48773.007937500006</v>
      </c>
      <c r="Q928" s="16"/>
      <c r="R928" s="48">
        <f t="shared" si="73"/>
        <v>1829.051139225</v>
      </c>
    </row>
    <row r="929" spans="1:18">
      <c r="A929" s="14" t="s">
        <v>17</v>
      </c>
      <c r="B929" s="15" t="s">
        <v>248</v>
      </c>
      <c r="C929" s="15" t="s">
        <v>249</v>
      </c>
      <c r="D929" s="14" t="s">
        <v>250</v>
      </c>
      <c r="E929" s="15" t="s">
        <v>62</v>
      </c>
      <c r="F929" s="14" t="s">
        <v>22</v>
      </c>
      <c r="G929" s="15" t="s">
        <v>23</v>
      </c>
      <c r="H929" s="15"/>
      <c r="I929" s="15">
        <v>201407</v>
      </c>
      <c r="J929" s="16">
        <v>0.21</v>
      </c>
      <c r="K929" s="44">
        <f t="shared" si="74"/>
        <v>41944</v>
      </c>
      <c r="L929" s="45">
        <f t="shared" si="76"/>
        <v>7</v>
      </c>
      <c r="M929" s="17">
        <v>1.4833299999999999E-3</v>
      </c>
      <c r="N929" s="46">
        <f t="shared" si="75"/>
        <v>2.1804950999999998E-3</v>
      </c>
      <c r="O929" s="16"/>
      <c r="P929" s="63">
        <f t="shared" si="77"/>
        <v>0.10106250000000001</v>
      </c>
      <c r="Q929" s="16"/>
      <c r="R929" s="48">
        <f t="shared" si="73"/>
        <v>3.7899750000000001E-3</v>
      </c>
    </row>
    <row r="930" spans="1:18">
      <c r="A930" s="14" t="s">
        <v>17</v>
      </c>
      <c r="B930" s="15" t="s">
        <v>109</v>
      </c>
      <c r="C930" s="15" t="s">
        <v>110</v>
      </c>
      <c r="D930" s="14" t="s">
        <v>111</v>
      </c>
      <c r="E930" s="15" t="s">
        <v>112</v>
      </c>
      <c r="F930" s="14" t="s">
        <v>22</v>
      </c>
      <c r="G930" s="15" t="s">
        <v>23</v>
      </c>
      <c r="H930" s="15"/>
      <c r="I930" s="15">
        <v>201407</v>
      </c>
      <c r="J930" s="16">
        <v>-136.88</v>
      </c>
      <c r="K930" s="44">
        <f t="shared" si="74"/>
        <v>41944</v>
      </c>
      <c r="L930" s="45">
        <f t="shared" si="76"/>
        <v>7</v>
      </c>
      <c r="M930" s="17">
        <v>1.4833299999999999E-3</v>
      </c>
      <c r="N930" s="46">
        <f t="shared" si="75"/>
        <v>-1.4212674727999999</v>
      </c>
      <c r="O930" s="16"/>
      <c r="P930" s="63">
        <f t="shared" si="77"/>
        <v>-65.873500000000007</v>
      </c>
      <c r="Q930" s="16"/>
      <c r="R930" s="48">
        <f t="shared" si="73"/>
        <v>-2.4703417999999999</v>
      </c>
    </row>
    <row r="931" spans="1:18">
      <c r="A931" s="14" t="s">
        <v>17</v>
      </c>
      <c r="B931" s="15" t="s">
        <v>251</v>
      </c>
      <c r="C931" s="15" t="s">
        <v>249</v>
      </c>
      <c r="D931" s="14" t="s">
        <v>250</v>
      </c>
      <c r="E931" s="15" t="s">
        <v>62</v>
      </c>
      <c r="F931" s="14" t="s">
        <v>22</v>
      </c>
      <c r="G931" s="15" t="s">
        <v>23</v>
      </c>
      <c r="H931" s="15"/>
      <c r="I931" s="15">
        <v>201407</v>
      </c>
      <c r="J931" s="16">
        <v>188.09</v>
      </c>
      <c r="K931" s="44">
        <f t="shared" si="74"/>
        <v>41944</v>
      </c>
      <c r="L931" s="45">
        <f t="shared" si="76"/>
        <v>7</v>
      </c>
      <c r="M931" s="17">
        <v>1.4833299999999999E-3</v>
      </c>
      <c r="N931" s="46">
        <f t="shared" si="75"/>
        <v>1.9529967778999999</v>
      </c>
      <c r="O931" s="16"/>
      <c r="P931" s="63">
        <f t="shared" si="77"/>
        <v>90.518312500000008</v>
      </c>
      <c r="Q931" s="16"/>
      <c r="R931" s="48">
        <f t="shared" si="73"/>
        <v>3.3945542750000004</v>
      </c>
    </row>
    <row r="932" spans="1:18">
      <c r="A932" s="14" t="s">
        <v>17</v>
      </c>
      <c r="B932" s="15" t="s">
        <v>335</v>
      </c>
      <c r="C932" s="15" t="s">
        <v>336</v>
      </c>
      <c r="D932" s="14" t="s">
        <v>337</v>
      </c>
      <c r="E932" s="15" t="s">
        <v>62</v>
      </c>
      <c r="F932" s="14" t="s">
        <v>22</v>
      </c>
      <c r="G932" s="15" t="s">
        <v>23</v>
      </c>
      <c r="H932" s="15"/>
      <c r="I932" s="15">
        <v>201407</v>
      </c>
      <c r="J932" s="16">
        <v>230.48</v>
      </c>
      <c r="K932" s="44">
        <f t="shared" si="74"/>
        <v>41944</v>
      </c>
      <c r="L932" s="45">
        <f t="shared" si="76"/>
        <v>7</v>
      </c>
      <c r="M932" s="17">
        <v>1.4833299999999999E-3</v>
      </c>
      <c r="N932" s="46">
        <f t="shared" si="75"/>
        <v>2.3931452888</v>
      </c>
      <c r="O932" s="16"/>
      <c r="P932" s="63">
        <f t="shared" si="77"/>
        <v>110.91850000000001</v>
      </c>
      <c r="Q932" s="16"/>
      <c r="R932" s="48">
        <f t="shared" si="73"/>
        <v>4.1595877999999997</v>
      </c>
    </row>
    <row r="933" spans="1:18">
      <c r="A933" s="14" t="s">
        <v>17</v>
      </c>
      <c r="B933" s="15" t="s">
        <v>493</v>
      </c>
      <c r="C933" s="15" t="s">
        <v>494</v>
      </c>
      <c r="D933" s="14" t="s">
        <v>495</v>
      </c>
      <c r="E933" s="15" t="s">
        <v>62</v>
      </c>
      <c r="F933" s="14" t="s">
        <v>22</v>
      </c>
      <c r="G933" s="15" t="s">
        <v>23</v>
      </c>
      <c r="H933" s="15"/>
      <c r="I933" s="15">
        <v>201407</v>
      </c>
      <c r="J933" s="16">
        <v>0.03</v>
      </c>
      <c r="K933" s="44">
        <f t="shared" si="74"/>
        <v>41944</v>
      </c>
      <c r="L933" s="45">
        <f t="shared" si="76"/>
        <v>7</v>
      </c>
      <c r="M933" s="17">
        <v>1.4833299999999999E-3</v>
      </c>
      <c r="N933" s="46">
        <f t="shared" si="75"/>
        <v>3.1149929999999996E-4</v>
      </c>
      <c r="O933" s="16"/>
      <c r="P933" s="63">
        <f t="shared" si="77"/>
        <v>1.4437500000000001E-2</v>
      </c>
      <c r="Q933" s="16"/>
      <c r="R933" s="48">
        <f t="shared" si="73"/>
        <v>5.41425E-4</v>
      </c>
    </row>
    <row r="934" spans="1:18">
      <c r="A934" s="14" t="s">
        <v>17</v>
      </c>
      <c r="B934" s="15" t="s">
        <v>98</v>
      </c>
      <c r="C934" s="15" t="s">
        <v>99</v>
      </c>
      <c r="D934" s="14" t="s">
        <v>100</v>
      </c>
      <c r="E934" s="15" t="s">
        <v>62</v>
      </c>
      <c r="F934" s="14" t="s">
        <v>22</v>
      </c>
      <c r="G934" s="15" t="s">
        <v>23</v>
      </c>
      <c r="H934" s="15"/>
      <c r="I934" s="15">
        <v>201407</v>
      </c>
      <c r="J934" s="16">
        <v>543.04</v>
      </c>
      <c r="K934" s="44">
        <f t="shared" si="74"/>
        <v>41944</v>
      </c>
      <c r="L934" s="45">
        <f t="shared" si="76"/>
        <v>7</v>
      </c>
      <c r="M934" s="17">
        <v>1.4833299999999999E-3</v>
      </c>
      <c r="N934" s="46">
        <f t="shared" si="75"/>
        <v>5.6385526623999995</v>
      </c>
      <c r="O934" s="16"/>
      <c r="P934" s="63">
        <f t="shared" si="77"/>
        <v>261.33800000000002</v>
      </c>
      <c r="Q934" s="16"/>
      <c r="R934" s="48">
        <f t="shared" si="73"/>
        <v>9.8005143999999991</v>
      </c>
    </row>
    <row r="935" spans="1:18">
      <c r="A935" s="14" t="s">
        <v>17</v>
      </c>
      <c r="B935" s="15" t="s">
        <v>33</v>
      </c>
      <c r="C935" s="15" t="s">
        <v>34</v>
      </c>
      <c r="D935" s="14" t="s">
        <v>35</v>
      </c>
      <c r="E935" s="15" t="s">
        <v>36</v>
      </c>
      <c r="F935" s="14" t="s">
        <v>22</v>
      </c>
      <c r="G935" s="15" t="s">
        <v>23</v>
      </c>
      <c r="H935" s="15"/>
      <c r="I935" s="15">
        <v>201407</v>
      </c>
      <c r="J935" s="16">
        <v>-789.84</v>
      </c>
      <c r="K935" s="44">
        <f t="shared" si="74"/>
        <v>41944</v>
      </c>
      <c r="L935" s="45">
        <f t="shared" si="76"/>
        <v>7</v>
      </c>
      <c r="M935" s="17">
        <v>1.4833299999999999E-3</v>
      </c>
      <c r="N935" s="46">
        <f t="shared" si="75"/>
        <v>-8.2011535704000007</v>
      </c>
      <c r="O935" s="16"/>
      <c r="P935" s="63">
        <f t="shared" si="77"/>
        <v>-380.11050000000006</v>
      </c>
      <c r="Q935" s="16"/>
      <c r="R935" s="48">
        <f t="shared" si="73"/>
        <v>-14.254637400000002</v>
      </c>
    </row>
    <row r="936" spans="1:18">
      <c r="A936" s="14" t="s">
        <v>17</v>
      </c>
      <c r="B936" s="15" t="s">
        <v>655</v>
      </c>
      <c r="C936" s="15" t="s">
        <v>656</v>
      </c>
      <c r="D936" s="14" t="s">
        <v>657</v>
      </c>
      <c r="E936" s="15" t="s">
        <v>36</v>
      </c>
      <c r="F936" s="14" t="s">
        <v>22</v>
      </c>
      <c r="G936" s="15" t="s">
        <v>23</v>
      </c>
      <c r="H936" s="15"/>
      <c r="I936" s="15">
        <v>201407</v>
      </c>
      <c r="J936" s="16">
        <v>732.46</v>
      </c>
      <c r="K936" s="44">
        <f t="shared" si="74"/>
        <v>41944</v>
      </c>
      <c r="L936" s="45">
        <f t="shared" si="76"/>
        <v>7</v>
      </c>
      <c r="M936" s="17">
        <v>1.4833299999999999E-3</v>
      </c>
      <c r="N936" s="46">
        <f t="shared" si="75"/>
        <v>7.6053592426000005</v>
      </c>
      <c r="O936" s="16"/>
      <c r="P936" s="63">
        <f t="shared" si="77"/>
        <v>352.49637500000006</v>
      </c>
      <c r="Q936" s="16"/>
      <c r="R936" s="48">
        <f t="shared" si="73"/>
        <v>13.219071850000001</v>
      </c>
    </row>
    <row r="937" spans="1:18">
      <c r="A937" s="14" t="s">
        <v>17</v>
      </c>
      <c r="B937" s="15" t="s">
        <v>130</v>
      </c>
      <c r="C937" s="15" t="s">
        <v>131</v>
      </c>
      <c r="D937" s="14" t="s">
        <v>132</v>
      </c>
      <c r="E937" s="15" t="s">
        <v>36</v>
      </c>
      <c r="F937" s="14" t="s">
        <v>22</v>
      </c>
      <c r="G937" s="15" t="s">
        <v>23</v>
      </c>
      <c r="H937" s="15"/>
      <c r="I937" s="15">
        <v>201407</v>
      </c>
      <c r="J937" s="16">
        <v>724.21</v>
      </c>
      <c r="K937" s="44">
        <f t="shared" si="74"/>
        <v>41944</v>
      </c>
      <c r="L937" s="45">
        <f t="shared" si="76"/>
        <v>7</v>
      </c>
      <c r="M937" s="17">
        <v>1.4833299999999999E-3</v>
      </c>
      <c r="N937" s="46">
        <f t="shared" si="75"/>
        <v>7.5196969350999998</v>
      </c>
      <c r="O937" s="16"/>
      <c r="P937" s="63">
        <f t="shared" si="77"/>
        <v>348.52606250000008</v>
      </c>
      <c r="Q937" s="16"/>
      <c r="R937" s="48">
        <f t="shared" si="73"/>
        <v>13.070179975000002</v>
      </c>
    </row>
    <row r="938" spans="1:18">
      <c r="A938" s="14" t="s">
        <v>54</v>
      </c>
      <c r="B938" s="15" t="s">
        <v>558</v>
      </c>
      <c r="C938" s="15" t="s">
        <v>559</v>
      </c>
      <c r="D938" s="14" t="s">
        <v>560</v>
      </c>
      <c r="E938" s="15" t="s">
        <v>36</v>
      </c>
      <c r="F938" s="14" t="s">
        <v>22</v>
      </c>
      <c r="G938" s="15" t="s">
        <v>23</v>
      </c>
      <c r="H938" s="15"/>
      <c r="I938" s="15">
        <v>201407</v>
      </c>
      <c r="J938" s="16">
        <v>1559.07</v>
      </c>
      <c r="K938" s="44">
        <f t="shared" si="74"/>
        <v>41944</v>
      </c>
      <c r="L938" s="45">
        <f t="shared" si="76"/>
        <v>7</v>
      </c>
      <c r="M938" s="17">
        <v>1.4833299999999999E-3</v>
      </c>
      <c r="N938" s="46">
        <f t="shared" si="75"/>
        <v>16.188307121699999</v>
      </c>
      <c r="O938" s="16"/>
      <c r="P938" s="63">
        <f t="shared" si="77"/>
        <v>750.30243750000011</v>
      </c>
      <c r="Q938" s="16"/>
      <c r="R938" s="48">
        <f t="shared" si="73"/>
        <v>28.137315825000002</v>
      </c>
    </row>
    <row r="939" spans="1:18">
      <c r="A939" s="14" t="s">
        <v>17</v>
      </c>
      <c r="B939" s="15" t="s">
        <v>332</v>
      </c>
      <c r="C939" s="15" t="s">
        <v>333</v>
      </c>
      <c r="D939" s="14" t="s">
        <v>334</v>
      </c>
      <c r="E939" s="15" t="s">
        <v>36</v>
      </c>
      <c r="F939" s="14" t="s">
        <v>22</v>
      </c>
      <c r="G939" s="15" t="s">
        <v>23</v>
      </c>
      <c r="H939" s="15"/>
      <c r="I939" s="15">
        <v>201407</v>
      </c>
      <c r="J939" s="16">
        <v>-16225.22</v>
      </c>
      <c r="K939" s="44">
        <f t="shared" si="74"/>
        <v>41944</v>
      </c>
      <c r="L939" s="45">
        <f t="shared" si="76"/>
        <v>7</v>
      </c>
      <c r="M939" s="17">
        <v>1.4833299999999999E-3</v>
      </c>
      <c r="N939" s="46">
        <f t="shared" si="75"/>
        <v>-168.47148907819999</v>
      </c>
      <c r="O939" s="16"/>
      <c r="P939" s="63">
        <f t="shared" si="77"/>
        <v>-7808.3871250000011</v>
      </c>
      <c r="Q939" s="16"/>
      <c r="R939" s="48">
        <f t="shared" si="73"/>
        <v>-292.82465795000002</v>
      </c>
    </row>
    <row r="940" spans="1:18">
      <c r="A940" s="14" t="s">
        <v>54</v>
      </c>
      <c r="B940" s="15" t="s">
        <v>332</v>
      </c>
      <c r="C940" s="15" t="s">
        <v>333</v>
      </c>
      <c r="D940" s="14" t="s">
        <v>334</v>
      </c>
      <c r="E940" s="15" t="s">
        <v>36</v>
      </c>
      <c r="F940" s="14" t="s">
        <v>22</v>
      </c>
      <c r="G940" s="15" t="s">
        <v>23</v>
      </c>
      <c r="H940" s="15"/>
      <c r="I940" s="15">
        <v>201407</v>
      </c>
      <c r="J940" s="16">
        <v>17113.13</v>
      </c>
      <c r="K940" s="44">
        <f t="shared" si="74"/>
        <v>41944</v>
      </c>
      <c r="L940" s="45">
        <f t="shared" si="76"/>
        <v>7</v>
      </c>
      <c r="M940" s="17">
        <v>1.4833299999999999E-3</v>
      </c>
      <c r="N940" s="46">
        <f t="shared" si="75"/>
        <v>177.69093386029999</v>
      </c>
      <c r="O940" s="16"/>
      <c r="P940" s="63">
        <f t="shared" si="77"/>
        <v>8235.6938125000015</v>
      </c>
      <c r="Q940" s="16"/>
      <c r="R940" s="48">
        <f t="shared" si="73"/>
        <v>308.84921367500004</v>
      </c>
    </row>
    <row r="941" spans="1:18">
      <c r="A941" s="14" t="s">
        <v>17</v>
      </c>
      <c r="B941" s="15" t="s">
        <v>272</v>
      </c>
      <c r="C941" s="15" t="s">
        <v>273</v>
      </c>
      <c r="D941" s="14" t="s">
        <v>274</v>
      </c>
      <c r="E941" s="15" t="s">
        <v>36</v>
      </c>
      <c r="F941" s="14" t="s">
        <v>22</v>
      </c>
      <c r="G941" s="15" t="s">
        <v>23</v>
      </c>
      <c r="H941" s="15"/>
      <c r="I941" s="15">
        <v>201407</v>
      </c>
      <c r="J941" s="16">
        <v>1302.04</v>
      </c>
      <c r="K941" s="44">
        <f t="shared" si="74"/>
        <v>41944</v>
      </c>
      <c r="L941" s="45">
        <f t="shared" si="76"/>
        <v>7</v>
      </c>
      <c r="M941" s="17">
        <v>1.4833299999999999E-3</v>
      </c>
      <c r="N941" s="46">
        <f t="shared" si="75"/>
        <v>13.519484952399999</v>
      </c>
      <c r="O941" s="16"/>
      <c r="P941" s="63">
        <f t="shared" si="77"/>
        <v>626.60675000000003</v>
      </c>
      <c r="Q941" s="16"/>
      <c r="R941" s="48">
        <f t="shared" si="73"/>
        <v>23.4985669</v>
      </c>
    </row>
    <row r="942" spans="1:18">
      <c r="A942" s="14" t="s">
        <v>54</v>
      </c>
      <c r="B942" s="15" t="s">
        <v>306</v>
      </c>
      <c r="C942" s="15" t="s">
        <v>307</v>
      </c>
      <c r="D942" s="14" t="s">
        <v>308</v>
      </c>
      <c r="E942" s="15" t="s">
        <v>36</v>
      </c>
      <c r="F942" s="14" t="s">
        <v>22</v>
      </c>
      <c r="G942" s="15" t="s">
        <v>23</v>
      </c>
      <c r="H942" s="15"/>
      <c r="I942" s="15">
        <v>201407</v>
      </c>
      <c r="J942" s="16">
        <v>786.7</v>
      </c>
      <c r="K942" s="44">
        <f t="shared" si="74"/>
        <v>41944</v>
      </c>
      <c r="L942" s="45">
        <f t="shared" si="76"/>
        <v>7</v>
      </c>
      <c r="M942" s="17">
        <v>1.4833299999999999E-3</v>
      </c>
      <c r="N942" s="46">
        <f t="shared" si="75"/>
        <v>8.1685499769999996</v>
      </c>
      <c r="O942" s="16"/>
      <c r="P942" s="63">
        <f t="shared" si="77"/>
        <v>378.59937500000007</v>
      </c>
      <c r="Q942" s="16"/>
      <c r="R942" s="48">
        <f t="shared" si="73"/>
        <v>14.197968250000002</v>
      </c>
    </row>
    <row r="943" spans="1:18">
      <c r="A943" s="14" t="s">
        <v>54</v>
      </c>
      <c r="B943" s="15" t="s">
        <v>873</v>
      </c>
      <c r="C943" s="15" t="s">
        <v>874</v>
      </c>
      <c r="D943" s="14" t="s">
        <v>875</v>
      </c>
      <c r="E943" s="15" t="s">
        <v>36</v>
      </c>
      <c r="F943" s="14" t="s">
        <v>22</v>
      </c>
      <c r="G943" s="15" t="s">
        <v>23</v>
      </c>
      <c r="H943" s="15"/>
      <c r="I943" s="15">
        <v>201407</v>
      </c>
      <c r="J943" s="16">
        <v>534.63</v>
      </c>
      <c r="K943" s="44">
        <f t="shared" si="74"/>
        <v>41944</v>
      </c>
      <c r="L943" s="45">
        <f t="shared" si="76"/>
        <v>7</v>
      </c>
      <c r="M943" s="17">
        <v>1.4833299999999999E-3</v>
      </c>
      <c r="N943" s="46">
        <f t="shared" si="75"/>
        <v>5.5512290252999996</v>
      </c>
      <c r="O943" s="16"/>
      <c r="P943" s="63">
        <f t="shared" si="77"/>
        <v>257.29068750000005</v>
      </c>
      <c r="Q943" s="16"/>
      <c r="R943" s="48">
        <f t="shared" si="73"/>
        <v>9.6487349250000012</v>
      </c>
    </row>
    <row r="944" spans="1:18">
      <c r="A944" s="14" t="s">
        <v>54</v>
      </c>
      <c r="B944" s="15" t="s">
        <v>867</v>
      </c>
      <c r="C944" s="15" t="s">
        <v>868</v>
      </c>
      <c r="D944" s="14" t="s">
        <v>869</v>
      </c>
      <c r="E944" s="15" t="s">
        <v>36</v>
      </c>
      <c r="F944" s="14" t="s">
        <v>22</v>
      </c>
      <c r="G944" s="15" t="s">
        <v>23</v>
      </c>
      <c r="H944" s="15"/>
      <c r="I944" s="15">
        <v>201407</v>
      </c>
      <c r="J944" s="16">
        <v>712</v>
      </c>
      <c r="K944" s="44">
        <f t="shared" si="74"/>
        <v>41944</v>
      </c>
      <c r="L944" s="45">
        <f t="shared" si="76"/>
        <v>7</v>
      </c>
      <c r="M944" s="17">
        <v>1.4833299999999999E-3</v>
      </c>
      <c r="N944" s="46">
        <f t="shared" si="75"/>
        <v>7.3929167199999997</v>
      </c>
      <c r="O944" s="16"/>
      <c r="P944" s="63">
        <f t="shared" si="77"/>
        <v>342.65000000000003</v>
      </c>
      <c r="Q944" s="16"/>
      <c r="R944" s="48">
        <f t="shared" si="73"/>
        <v>12.849820000000001</v>
      </c>
    </row>
    <row r="945" spans="1:18">
      <c r="A945" s="14" t="s">
        <v>54</v>
      </c>
      <c r="B945" s="15" t="s">
        <v>906</v>
      </c>
      <c r="C945" s="15" t="s">
        <v>907</v>
      </c>
      <c r="D945" s="14" t="s">
        <v>908</v>
      </c>
      <c r="E945" s="15" t="s">
        <v>909</v>
      </c>
      <c r="F945" s="14" t="s">
        <v>22</v>
      </c>
      <c r="G945" s="15" t="s">
        <v>23</v>
      </c>
      <c r="H945" s="15"/>
      <c r="I945" s="15">
        <v>201407</v>
      </c>
      <c r="J945" s="16">
        <v>10400.629999999999</v>
      </c>
      <c r="K945" s="44">
        <f t="shared" si="74"/>
        <v>41944</v>
      </c>
      <c r="L945" s="45">
        <f t="shared" si="76"/>
        <v>7</v>
      </c>
      <c r="M945" s="17">
        <v>1.4833299999999999E-3</v>
      </c>
      <c r="N945" s="46">
        <f t="shared" si="75"/>
        <v>107.99296548529999</v>
      </c>
      <c r="O945" s="16"/>
      <c r="P945" s="63">
        <f t="shared" si="77"/>
        <v>5005.3031875000006</v>
      </c>
      <c r="Q945" s="16"/>
      <c r="R945" s="48">
        <f t="shared" si="73"/>
        <v>187.70536992499999</v>
      </c>
    </row>
    <row r="946" spans="1:18">
      <c r="A946" s="14" t="s">
        <v>54</v>
      </c>
      <c r="B946" s="15" t="s">
        <v>861</v>
      </c>
      <c r="C946" s="15" t="s">
        <v>862</v>
      </c>
      <c r="D946" s="14" t="s">
        <v>863</v>
      </c>
      <c r="E946" s="15" t="s">
        <v>45</v>
      </c>
      <c r="F946" s="14" t="s">
        <v>22</v>
      </c>
      <c r="G946" s="15" t="s">
        <v>23</v>
      </c>
      <c r="H946" s="15"/>
      <c r="I946" s="15">
        <v>201407</v>
      </c>
      <c r="J946" s="16">
        <v>485.69</v>
      </c>
      <c r="K946" s="44">
        <f t="shared" si="74"/>
        <v>41944</v>
      </c>
      <c r="L946" s="45">
        <f t="shared" si="76"/>
        <v>7</v>
      </c>
      <c r="M946" s="17">
        <v>1.4833299999999999E-3</v>
      </c>
      <c r="N946" s="46">
        <f t="shared" si="75"/>
        <v>5.0430698338999997</v>
      </c>
      <c r="O946" s="16"/>
      <c r="P946" s="63">
        <f t="shared" si="77"/>
        <v>233.73831250000003</v>
      </c>
      <c r="Q946" s="16"/>
      <c r="R946" s="48">
        <f t="shared" si="73"/>
        <v>8.7654902750000012</v>
      </c>
    </row>
    <row r="947" spans="1:18">
      <c r="A947" s="14" t="s">
        <v>17</v>
      </c>
      <c r="B947" s="15" t="s">
        <v>42</v>
      </c>
      <c r="C947" s="15" t="s">
        <v>43</v>
      </c>
      <c r="D947" s="14" t="s">
        <v>44</v>
      </c>
      <c r="E947" s="15" t="s">
        <v>45</v>
      </c>
      <c r="F947" s="14" t="s">
        <v>22</v>
      </c>
      <c r="G947" s="15" t="s">
        <v>23</v>
      </c>
      <c r="H947" s="15"/>
      <c r="I947" s="15">
        <v>201407</v>
      </c>
      <c r="J947" s="16">
        <v>389.22</v>
      </c>
      <c r="K947" s="44">
        <f t="shared" si="74"/>
        <v>41944</v>
      </c>
      <c r="L947" s="45">
        <f t="shared" si="76"/>
        <v>7</v>
      </c>
      <c r="M947" s="17">
        <v>1.4833299999999999E-3</v>
      </c>
      <c r="N947" s="46">
        <f t="shared" si="75"/>
        <v>4.0413919182000004</v>
      </c>
      <c r="O947" s="16"/>
      <c r="P947" s="63">
        <f t="shared" si="77"/>
        <v>187.31212500000004</v>
      </c>
      <c r="Q947" s="16"/>
      <c r="R947" s="48">
        <f t="shared" si="73"/>
        <v>7.0244479500000008</v>
      </c>
    </row>
    <row r="948" spans="1:18">
      <c r="A948" s="14" t="s">
        <v>17</v>
      </c>
      <c r="B948" s="15" t="s">
        <v>783</v>
      </c>
      <c r="C948" s="15" t="s">
        <v>784</v>
      </c>
      <c r="D948" s="14" t="s">
        <v>785</v>
      </c>
      <c r="E948" s="15" t="s">
        <v>141</v>
      </c>
      <c r="F948" s="14" t="s">
        <v>142</v>
      </c>
      <c r="G948" s="15" t="s">
        <v>23</v>
      </c>
      <c r="H948" s="15"/>
      <c r="I948" s="15">
        <v>201407</v>
      </c>
      <c r="J948" s="16">
        <v>-428.25</v>
      </c>
      <c r="K948" s="44">
        <f t="shared" si="74"/>
        <v>41944</v>
      </c>
      <c r="L948" s="45">
        <f t="shared" si="76"/>
        <v>7</v>
      </c>
      <c r="M948" s="17">
        <v>1.4833299999999999E-3</v>
      </c>
      <c r="N948" s="46">
        <f t="shared" si="75"/>
        <v>-4.4466525074999996</v>
      </c>
      <c r="O948" s="16"/>
      <c r="P948" s="63">
        <f t="shared" si="77"/>
        <v>-206.09531250000003</v>
      </c>
      <c r="Q948" s="16"/>
      <c r="R948" s="48">
        <f t="shared" si="73"/>
        <v>-7.7288418750000005</v>
      </c>
    </row>
    <row r="949" spans="1:18">
      <c r="A949" s="14" t="s">
        <v>17</v>
      </c>
      <c r="B949" s="15" t="s">
        <v>688</v>
      </c>
      <c r="C949" s="15" t="s">
        <v>689</v>
      </c>
      <c r="D949" s="14" t="s">
        <v>690</v>
      </c>
      <c r="E949" s="15" t="s">
        <v>141</v>
      </c>
      <c r="F949" s="14" t="s">
        <v>142</v>
      </c>
      <c r="G949" s="15" t="s">
        <v>23</v>
      </c>
      <c r="H949" s="15"/>
      <c r="I949" s="15">
        <v>201407</v>
      </c>
      <c r="J949" s="16">
        <v>945.7</v>
      </c>
      <c r="K949" s="44">
        <f t="shared" si="74"/>
        <v>41944</v>
      </c>
      <c r="L949" s="45">
        <f t="shared" si="76"/>
        <v>7</v>
      </c>
      <c r="M949" s="17">
        <v>1.4833299999999999E-3</v>
      </c>
      <c r="N949" s="46">
        <f t="shared" si="75"/>
        <v>9.8194962669999999</v>
      </c>
      <c r="O949" s="16"/>
      <c r="P949" s="63">
        <f t="shared" si="77"/>
        <v>455.11812500000008</v>
      </c>
      <c r="Q949" s="16"/>
      <c r="R949" s="48">
        <f t="shared" si="73"/>
        <v>17.067520750000003</v>
      </c>
    </row>
    <row r="950" spans="1:18">
      <c r="A950" s="14" t="s">
        <v>17</v>
      </c>
      <c r="B950" s="15" t="s">
        <v>756</v>
      </c>
      <c r="C950" s="15" t="s">
        <v>757</v>
      </c>
      <c r="D950" s="14" t="s">
        <v>758</v>
      </c>
      <c r="E950" s="15" t="s">
        <v>141</v>
      </c>
      <c r="F950" s="14" t="s">
        <v>142</v>
      </c>
      <c r="G950" s="15" t="s">
        <v>23</v>
      </c>
      <c r="H950" s="15"/>
      <c r="I950" s="15">
        <v>201407</v>
      </c>
      <c r="J950" s="16">
        <v>2388.15</v>
      </c>
      <c r="K950" s="44">
        <f t="shared" si="74"/>
        <v>41944</v>
      </c>
      <c r="L950" s="45">
        <f t="shared" si="76"/>
        <v>7</v>
      </c>
      <c r="M950" s="17">
        <v>1.4833299999999999E-3</v>
      </c>
      <c r="N950" s="46">
        <f t="shared" si="75"/>
        <v>24.7969017765</v>
      </c>
      <c r="O950" s="16"/>
      <c r="P950" s="63">
        <f t="shared" si="77"/>
        <v>1149.2971875000003</v>
      </c>
      <c r="Q950" s="16"/>
      <c r="R950" s="48">
        <f t="shared" si="73"/>
        <v>43.100137125000003</v>
      </c>
    </row>
    <row r="951" spans="1:18">
      <c r="A951" s="14" t="s">
        <v>17</v>
      </c>
      <c r="B951" s="15" t="s">
        <v>700</v>
      </c>
      <c r="C951" s="15" t="s">
        <v>701</v>
      </c>
      <c r="D951" s="14" t="s">
        <v>702</v>
      </c>
      <c r="E951" s="15" t="s">
        <v>703</v>
      </c>
      <c r="F951" s="14" t="s">
        <v>142</v>
      </c>
      <c r="G951" s="15" t="s">
        <v>23</v>
      </c>
      <c r="H951" s="15"/>
      <c r="I951" s="15">
        <v>201407</v>
      </c>
      <c r="J951" s="16">
        <v>887.89</v>
      </c>
      <c r="K951" s="44">
        <f t="shared" si="74"/>
        <v>41944</v>
      </c>
      <c r="L951" s="45">
        <f t="shared" si="76"/>
        <v>7</v>
      </c>
      <c r="M951" s="17">
        <v>1.4833299999999999E-3</v>
      </c>
      <c r="N951" s="46">
        <f t="shared" si="75"/>
        <v>9.2192371159000004</v>
      </c>
      <c r="O951" s="16"/>
      <c r="P951" s="63">
        <f t="shared" si="77"/>
        <v>427.29706250000004</v>
      </c>
      <c r="Q951" s="16"/>
      <c r="R951" s="48">
        <f t="shared" si="73"/>
        <v>16.024194775000002</v>
      </c>
    </row>
    <row r="952" spans="1:18">
      <c r="A952" s="14" t="s">
        <v>17</v>
      </c>
      <c r="B952" s="15" t="s">
        <v>694</v>
      </c>
      <c r="C952" s="15" t="s">
        <v>695</v>
      </c>
      <c r="D952" s="14" t="s">
        <v>696</v>
      </c>
      <c r="E952" s="15" t="s">
        <v>141</v>
      </c>
      <c r="F952" s="14" t="s">
        <v>142</v>
      </c>
      <c r="G952" s="15" t="s">
        <v>23</v>
      </c>
      <c r="H952" s="15"/>
      <c r="I952" s="15">
        <v>201407</v>
      </c>
      <c r="J952" s="16">
        <v>0.09</v>
      </c>
      <c r="K952" s="44">
        <f t="shared" si="74"/>
        <v>41944</v>
      </c>
      <c r="L952" s="45">
        <f t="shared" si="76"/>
        <v>7</v>
      </c>
      <c r="M952" s="17">
        <v>1.4833299999999999E-3</v>
      </c>
      <c r="N952" s="46">
        <f t="shared" si="75"/>
        <v>9.3449789999999994E-4</v>
      </c>
      <c r="O952" s="16"/>
      <c r="P952" s="63">
        <f t="shared" si="77"/>
        <v>4.3312500000000004E-2</v>
      </c>
      <c r="Q952" s="16"/>
      <c r="R952" s="48">
        <f t="shared" si="73"/>
        <v>1.6242750000000001E-3</v>
      </c>
    </row>
    <row r="953" spans="1:18">
      <c r="A953" s="14" t="s">
        <v>17</v>
      </c>
      <c r="B953" s="15" t="s">
        <v>617</v>
      </c>
      <c r="C953" s="15" t="s">
        <v>618</v>
      </c>
      <c r="D953" s="14" t="s">
        <v>619</v>
      </c>
      <c r="E953" s="15" t="s">
        <v>141</v>
      </c>
      <c r="F953" s="14" t="s">
        <v>142</v>
      </c>
      <c r="G953" s="15" t="s">
        <v>23</v>
      </c>
      <c r="H953" s="15"/>
      <c r="I953" s="15">
        <v>201407</v>
      </c>
      <c r="J953" s="16">
        <v>231.08</v>
      </c>
      <c r="K953" s="44">
        <f t="shared" si="74"/>
        <v>41944</v>
      </c>
      <c r="L953" s="45">
        <f t="shared" si="76"/>
        <v>7</v>
      </c>
      <c r="M953" s="17">
        <v>1.4833299999999999E-3</v>
      </c>
      <c r="N953" s="46">
        <f t="shared" si="75"/>
        <v>2.3993752748000001</v>
      </c>
      <c r="O953" s="16"/>
      <c r="P953" s="63">
        <f t="shared" si="77"/>
        <v>111.20725000000002</v>
      </c>
      <c r="Q953" s="16"/>
      <c r="R953" s="48">
        <f t="shared" si="73"/>
        <v>4.1704163000000003</v>
      </c>
    </row>
    <row r="954" spans="1:18">
      <c r="A954" s="14" t="s">
        <v>17</v>
      </c>
      <c r="B954" s="15" t="s">
        <v>252</v>
      </c>
      <c r="C954" s="15" t="s">
        <v>253</v>
      </c>
      <c r="D954" s="14" t="s">
        <v>254</v>
      </c>
      <c r="E954" s="15" t="s">
        <v>141</v>
      </c>
      <c r="F954" s="14" t="s">
        <v>142</v>
      </c>
      <c r="G954" s="15" t="s">
        <v>23</v>
      </c>
      <c r="H954" s="15"/>
      <c r="I954" s="15">
        <v>201407</v>
      </c>
      <c r="J954" s="16">
        <v>166.5</v>
      </c>
      <c r="K954" s="44">
        <f t="shared" si="74"/>
        <v>41944</v>
      </c>
      <c r="L954" s="45">
        <f t="shared" si="76"/>
        <v>7</v>
      </c>
      <c r="M954" s="17">
        <v>1.4833299999999999E-3</v>
      </c>
      <c r="N954" s="46">
        <f t="shared" si="75"/>
        <v>1.7288211149999999</v>
      </c>
      <c r="O954" s="16"/>
      <c r="P954" s="63">
        <f t="shared" si="77"/>
        <v>80.128125000000011</v>
      </c>
      <c r="Q954" s="16"/>
      <c r="R954" s="48">
        <f t="shared" si="73"/>
        <v>3.0049087500000002</v>
      </c>
    </row>
    <row r="955" spans="1:18">
      <c r="A955" s="14" t="s">
        <v>17</v>
      </c>
      <c r="B955" s="15" t="s">
        <v>523</v>
      </c>
      <c r="C955" s="15" t="s">
        <v>524</v>
      </c>
      <c r="D955" s="14" t="s">
        <v>525</v>
      </c>
      <c r="E955" s="15" t="s">
        <v>141</v>
      </c>
      <c r="F955" s="14" t="s">
        <v>142</v>
      </c>
      <c r="G955" s="15" t="s">
        <v>23</v>
      </c>
      <c r="H955" s="15"/>
      <c r="I955" s="15">
        <v>201407</v>
      </c>
      <c r="J955" s="16">
        <v>219.33</v>
      </c>
      <c r="K955" s="44">
        <f t="shared" si="74"/>
        <v>41944</v>
      </c>
      <c r="L955" s="45">
        <f t="shared" si="76"/>
        <v>7</v>
      </c>
      <c r="M955" s="17">
        <v>1.4833299999999999E-3</v>
      </c>
      <c r="N955" s="46">
        <f t="shared" si="75"/>
        <v>2.2773713823000001</v>
      </c>
      <c r="O955" s="16"/>
      <c r="P955" s="63">
        <f t="shared" si="77"/>
        <v>105.55256250000002</v>
      </c>
      <c r="Q955" s="16"/>
      <c r="R955" s="48">
        <f t="shared" si="73"/>
        <v>3.9583581750000003</v>
      </c>
    </row>
    <row r="956" spans="1:18">
      <c r="A956" s="14" t="s">
        <v>17</v>
      </c>
      <c r="B956" s="15" t="s">
        <v>725</v>
      </c>
      <c r="C956" s="15" t="s">
        <v>726</v>
      </c>
      <c r="D956" s="14" t="s">
        <v>727</v>
      </c>
      <c r="E956" s="15" t="s">
        <v>141</v>
      </c>
      <c r="F956" s="14" t="s">
        <v>142</v>
      </c>
      <c r="G956" s="15" t="s">
        <v>23</v>
      </c>
      <c r="H956" s="15"/>
      <c r="I956" s="15">
        <v>201407</v>
      </c>
      <c r="J956" s="16">
        <v>694.28</v>
      </c>
      <c r="K956" s="44">
        <f t="shared" si="74"/>
        <v>41944</v>
      </c>
      <c r="L956" s="45">
        <f t="shared" si="76"/>
        <v>7</v>
      </c>
      <c r="M956" s="17">
        <v>1.4833299999999999E-3</v>
      </c>
      <c r="N956" s="46">
        <f t="shared" si="75"/>
        <v>7.2089244667999992</v>
      </c>
      <c r="O956" s="16"/>
      <c r="P956" s="63">
        <f t="shared" si="77"/>
        <v>334.12225000000001</v>
      </c>
      <c r="Q956" s="16"/>
      <c r="R956" s="48">
        <f t="shared" si="73"/>
        <v>12.5300183</v>
      </c>
    </row>
    <row r="957" spans="1:18">
      <c r="A957" s="14" t="s">
        <v>17</v>
      </c>
      <c r="B957" s="15" t="s">
        <v>459</v>
      </c>
      <c r="C957" s="15" t="s">
        <v>460</v>
      </c>
      <c r="D957" s="14" t="s">
        <v>461</v>
      </c>
      <c r="E957" s="15" t="s">
        <v>462</v>
      </c>
      <c r="F957" s="14" t="s">
        <v>142</v>
      </c>
      <c r="G957" s="15" t="s">
        <v>23</v>
      </c>
      <c r="H957" s="15"/>
      <c r="I957" s="15">
        <v>201407</v>
      </c>
      <c r="J957" s="16">
        <v>-40444.769999999997</v>
      </c>
      <c r="K957" s="44">
        <f t="shared" si="74"/>
        <v>41944</v>
      </c>
      <c r="L957" s="45">
        <f t="shared" si="76"/>
        <v>7</v>
      </c>
      <c r="M957" s="17">
        <v>1.4833299999999999E-3</v>
      </c>
      <c r="N957" s="46">
        <f t="shared" si="75"/>
        <v>-419.95058478869998</v>
      </c>
      <c r="O957" s="16"/>
      <c r="P957" s="63">
        <f t="shared" si="77"/>
        <v>-19464.0455625</v>
      </c>
      <c r="Q957" s="16"/>
      <c r="R957" s="48">
        <f t="shared" si="73"/>
        <v>-729.926986575</v>
      </c>
    </row>
    <row r="958" spans="1:18">
      <c r="A958" s="14" t="s">
        <v>54</v>
      </c>
      <c r="B958" s="15" t="s">
        <v>459</v>
      </c>
      <c r="C958" s="15" t="s">
        <v>460</v>
      </c>
      <c r="D958" s="14" t="s">
        <v>461</v>
      </c>
      <c r="E958" s="15" t="s">
        <v>462</v>
      </c>
      <c r="F958" s="14" t="s">
        <v>142</v>
      </c>
      <c r="G958" s="15" t="s">
        <v>23</v>
      </c>
      <c r="H958" s="15"/>
      <c r="I958" s="15">
        <v>201407</v>
      </c>
      <c r="J958" s="16">
        <v>39954.97</v>
      </c>
      <c r="K958" s="44">
        <f t="shared" si="74"/>
        <v>41944</v>
      </c>
      <c r="L958" s="45">
        <f t="shared" si="76"/>
        <v>7</v>
      </c>
      <c r="M958" s="17">
        <v>1.4833299999999999E-3</v>
      </c>
      <c r="N958" s="46">
        <f t="shared" si="75"/>
        <v>414.86483955070003</v>
      </c>
      <c r="O958" s="16"/>
      <c r="P958" s="63">
        <f t="shared" si="77"/>
        <v>19228.329312500002</v>
      </c>
      <c r="Q958" s="16"/>
      <c r="R958" s="48">
        <f t="shared" si="73"/>
        <v>721.08732107500009</v>
      </c>
    </row>
    <row r="959" spans="1:18">
      <c r="A959" s="14" t="s">
        <v>17</v>
      </c>
      <c r="B959" s="15" t="s">
        <v>643</v>
      </c>
      <c r="C959" s="15" t="s">
        <v>644</v>
      </c>
      <c r="D959" s="14" t="s">
        <v>645</v>
      </c>
      <c r="E959" s="15" t="s">
        <v>141</v>
      </c>
      <c r="F959" s="14" t="s">
        <v>142</v>
      </c>
      <c r="G959" s="15" t="s">
        <v>23</v>
      </c>
      <c r="H959" s="15"/>
      <c r="I959" s="15">
        <v>201407</v>
      </c>
      <c r="J959" s="16">
        <v>198.24</v>
      </c>
      <c r="K959" s="44">
        <f t="shared" si="74"/>
        <v>41944</v>
      </c>
      <c r="L959" s="45">
        <f t="shared" si="76"/>
        <v>7</v>
      </c>
      <c r="M959" s="17">
        <v>1.4833299999999999E-3</v>
      </c>
      <c r="N959" s="46">
        <f t="shared" si="75"/>
        <v>2.0583873744000001</v>
      </c>
      <c r="O959" s="16"/>
      <c r="P959" s="63">
        <f t="shared" si="77"/>
        <v>95.40300000000002</v>
      </c>
      <c r="Q959" s="16"/>
      <c r="R959" s="48">
        <f t="shared" si="73"/>
        <v>3.5777364000000005</v>
      </c>
    </row>
    <row r="960" spans="1:18">
      <c r="A960" s="14" t="s">
        <v>17</v>
      </c>
      <c r="B960" s="15" t="s">
        <v>529</v>
      </c>
      <c r="C960" s="15" t="s">
        <v>530</v>
      </c>
      <c r="D960" s="14" t="s">
        <v>531</v>
      </c>
      <c r="E960" s="15" t="s">
        <v>141</v>
      </c>
      <c r="F960" s="14" t="s">
        <v>142</v>
      </c>
      <c r="G960" s="15" t="s">
        <v>23</v>
      </c>
      <c r="H960" s="15"/>
      <c r="I960" s="15">
        <v>201407</v>
      </c>
      <c r="J960" s="16">
        <v>187.01</v>
      </c>
      <c r="K960" s="44">
        <f t="shared" si="74"/>
        <v>41944</v>
      </c>
      <c r="L960" s="45">
        <f t="shared" si="76"/>
        <v>7</v>
      </c>
      <c r="M960" s="17">
        <v>1.4833299999999999E-3</v>
      </c>
      <c r="N960" s="46">
        <f t="shared" si="75"/>
        <v>1.9417828031</v>
      </c>
      <c r="O960" s="16"/>
      <c r="P960" s="63">
        <f t="shared" si="77"/>
        <v>89.998562500000006</v>
      </c>
      <c r="Q960" s="16"/>
      <c r="R960" s="48">
        <f t="shared" si="73"/>
        <v>3.3750629750000001</v>
      </c>
    </row>
    <row r="961" spans="1:18">
      <c r="A961" s="14" t="s">
        <v>17</v>
      </c>
      <c r="B961" s="15" t="s">
        <v>318</v>
      </c>
      <c r="C961" s="15" t="s">
        <v>319</v>
      </c>
      <c r="D961" s="14" t="s">
        <v>320</v>
      </c>
      <c r="E961" s="15" t="s">
        <v>141</v>
      </c>
      <c r="F961" s="14" t="s">
        <v>142</v>
      </c>
      <c r="G961" s="15" t="s">
        <v>23</v>
      </c>
      <c r="H961" s="15"/>
      <c r="I961" s="15">
        <v>201407</v>
      </c>
      <c r="J961" s="16">
        <v>318.26</v>
      </c>
      <c r="K961" s="44">
        <f t="shared" si="74"/>
        <v>41944</v>
      </c>
      <c r="L961" s="45">
        <f t="shared" si="76"/>
        <v>7</v>
      </c>
      <c r="M961" s="17">
        <v>1.4833299999999999E-3</v>
      </c>
      <c r="N961" s="46">
        <f t="shared" si="75"/>
        <v>3.3045922405999999</v>
      </c>
      <c r="O961" s="16"/>
      <c r="P961" s="63">
        <f t="shared" si="77"/>
        <v>153.16262500000002</v>
      </c>
      <c r="Q961" s="16"/>
      <c r="R961" s="48">
        <f t="shared" si="73"/>
        <v>5.7437973500000004</v>
      </c>
    </row>
    <row r="962" spans="1:18">
      <c r="A962" s="14" t="s">
        <v>17</v>
      </c>
      <c r="B962" s="15" t="s">
        <v>804</v>
      </c>
      <c r="C962" s="15" t="s">
        <v>805</v>
      </c>
      <c r="D962" s="14" t="s">
        <v>806</v>
      </c>
      <c r="E962" s="15" t="s">
        <v>141</v>
      </c>
      <c r="F962" s="14" t="s">
        <v>142</v>
      </c>
      <c r="G962" s="15" t="s">
        <v>23</v>
      </c>
      <c r="H962" s="15"/>
      <c r="I962" s="15">
        <v>201407</v>
      </c>
      <c r="J962" s="16">
        <v>767.93</v>
      </c>
      <c r="K962" s="44">
        <f t="shared" si="74"/>
        <v>41944</v>
      </c>
      <c r="L962" s="45">
        <f t="shared" si="76"/>
        <v>7</v>
      </c>
      <c r="M962" s="17">
        <v>1.4833299999999999E-3</v>
      </c>
      <c r="N962" s="46">
        <f t="shared" si="75"/>
        <v>7.9736552482999992</v>
      </c>
      <c r="O962" s="16"/>
      <c r="P962" s="63">
        <f t="shared" si="77"/>
        <v>369.56631250000004</v>
      </c>
      <c r="Q962" s="16"/>
      <c r="R962" s="48">
        <f t="shared" si="73"/>
        <v>13.859216675000001</v>
      </c>
    </row>
    <row r="963" spans="1:18">
      <c r="A963" s="14" t="s">
        <v>17</v>
      </c>
      <c r="B963" s="15" t="s">
        <v>480</v>
      </c>
      <c r="C963" s="15" t="s">
        <v>481</v>
      </c>
      <c r="D963" s="14" t="s">
        <v>482</v>
      </c>
      <c r="E963" s="15" t="s">
        <v>141</v>
      </c>
      <c r="F963" s="14" t="s">
        <v>142</v>
      </c>
      <c r="G963" s="15" t="s">
        <v>23</v>
      </c>
      <c r="H963" s="15"/>
      <c r="I963" s="15">
        <v>201407</v>
      </c>
      <c r="J963" s="16">
        <v>193.83</v>
      </c>
      <c r="K963" s="44">
        <f t="shared" si="74"/>
        <v>41944</v>
      </c>
      <c r="L963" s="45">
        <f t="shared" si="76"/>
        <v>7</v>
      </c>
      <c r="M963" s="17">
        <v>1.4833299999999999E-3</v>
      </c>
      <c r="N963" s="46">
        <f t="shared" si="75"/>
        <v>2.0125969772999999</v>
      </c>
      <c r="O963" s="16"/>
      <c r="P963" s="63">
        <f t="shared" si="77"/>
        <v>93.280687500000013</v>
      </c>
      <c r="Q963" s="16"/>
      <c r="R963" s="48">
        <f t="shared" si="73"/>
        <v>3.4981469250000004</v>
      </c>
    </row>
    <row r="964" spans="1:18">
      <c r="A964" s="14" t="s">
        <v>54</v>
      </c>
      <c r="B964" s="15" t="s">
        <v>441</v>
      </c>
      <c r="C964" s="15" t="s">
        <v>442</v>
      </c>
      <c r="D964" s="14" t="s">
        <v>443</v>
      </c>
      <c r="E964" s="15" t="s">
        <v>141</v>
      </c>
      <c r="F964" s="14" t="s">
        <v>142</v>
      </c>
      <c r="G964" s="15" t="s">
        <v>23</v>
      </c>
      <c r="H964" s="15"/>
      <c r="I964" s="15">
        <v>201407</v>
      </c>
      <c r="J964" s="16">
        <v>26793</v>
      </c>
      <c r="K964" s="44">
        <f t="shared" si="74"/>
        <v>41944</v>
      </c>
      <c r="L964" s="45">
        <f t="shared" si="76"/>
        <v>7</v>
      </c>
      <c r="M964" s="17">
        <v>1.4833299999999999E-3</v>
      </c>
      <c r="N964" s="46">
        <f t="shared" si="75"/>
        <v>278.20002483000002</v>
      </c>
      <c r="O964" s="16"/>
      <c r="P964" s="63">
        <f t="shared" si="77"/>
        <v>12894.131250000002</v>
      </c>
      <c r="Q964" s="16"/>
      <c r="R964" s="48">
        <f t="shared" si="73"/>
        <v>483.54666750000001</v>
      </c>
    </row>
    <row r="965" spans="1:18">
      <c r="A965" s="14" t="s">
        <v>17</v>
      </c>
      <c r="B965" s="15" t="s">
        <v>300</v>
      </c>
      <c r="C965" s="15" t="s">
        <v>301</v>
      </c>
      <c r="D965" s="14" t="s">
        <v>302</v>
      </c>
      <c r="E965" s="15" t="s">
        <v>141</v>
      </c>
      <c r="F965" s="14" t="s">
        <v>142</v>
      </c>
      <c r="G965" s="15" t="s">
        <v>23</v>
      </c>
      <c r="H965" s="15"/>
      <c r="I965" s="15">
        <v>201407</v>
      </c>
      <c r="J965" s="16">
        <v>192.83</v>
      </c>
      <c r="K965" s="44">
        <f t="shared" si="74"/>
        <v>41944</v>
      </c>
      <c r="L965" s="45">
        <f t="shared" si="76"/>
        <v>7</v>
      </c>
      <c r="M965" s="17">
        <v>1.4833299999999999E-3</v>
      </c>
      <c r="N965" s="46">
        <f t="shared" si="75"/>
        <v>2.0022136672999999</v>
      </c>
      <c r="O965" s="16"/>
      <c r="P965" s="63">
        <f t="shared" si="77"/>
        <v>92.799437500000025</v>
      </c>
      <c r="Q965" s="16"/>
      <c r="R965" s="48">
        <f t="shared" si="73"/>
        <v>3.4800994250000006</v>
      </c>
    </row>
    <row r="966" spans="1:18">
      <c r="A966" s="14" t="s">
        <v>17</v>
      </c>
      <c r="B966" s="15" t="s">
        <v>138</v>
      </c>
      <c r="C966" s="15" t="s">
        <v>139</v>
      </c>
      <c r="D966" s="14" t="s">
        <v>140</v>
      </c>
      <c r="E966" s="15" t="s">
        <v>141</v>
      </c>
      <c r="F966" s="14" t="s">
        <v>142</v>
      </c>
      <c r="G966" s="15" t="s">
        <v>23</v>
      </c>
      <c r="H966" s="15"/>
      <c r="I966" s="15">
        <v>201407</v>
      </c>
      <c r="J966" s="16">
        <v>-123864.29</v>
      </c>
      <c r="K966" s="44">
        <f t="shared" si="74"/>
        <v>41944</v>
      </c>
      <c r="L966" s="45">
        <f t="shared" si="76"/>
        <v>7</v>
      </c>
      <c r="M966" s="17">
        <v>1.4833299999999999E-3</v>
      </c>
      <c r="N966" s="46">
        <f t="shared" si="75"/>
        <v>-1286.1213209998998</v>
      </c>
      <c r="O966" s="16"/>
      <c r="P966" s="63">
        <f t="shared" si="77"/>
        <v>-59609.689562500003</v>
      </c>
      <c r="Q966" s="16"/>
      <c r="R966" s="48">
        <f t="shared" ref="R966:R1029" si="78">$R$4*(J966*0.5)*$T$9</f>
        <v>-2235.4407737749998</v>
      </c>
    </row>
    <row r="967" spans="1:18">
      <c r="A967" s="14" t="s">
        <v>54</v>
      </c>
      <c r="B967" s="15" t="s">
        <v>138</v>
      </c>
      <c r="C967" s="15" t="s">
        <v>139</v>
      </c>
      <c r="D967" s="14" t="s">
        <v>140</v>
      </c>
      <c r="E967" s="15" t="s">
        <v>141</v>
      </c>
      <c r="F967" s="14" t="s">
        <v>142</v>
      </c>
      <c r="G967" s="15" t="s">
        <v>23</v>
      </c>
      <c r="H967" s="15"/>
      <c r="I967" s="15">
        <v>201407</v>
      </c>
      <c r="J967" s="16">
        <v>126145.36</v>
      </c>
      <c r="K967" s="44">
        <f t="shared" ref="K967:K1030" si="79">+K966</f>
        <v>41944</v>
      </c>
      <c r="L967" s="45">
        <f t="shared" si="76"/>
        <v>7</v>
      </c>
      <c r="M967" s="17">
        <v>1.4833299999999999E-3</v>
      </c>
      <c r="N967" s="46">
        <f t="shared" si="75"/>
        <v>1309.8063779416</v>
      </c>
      <c r="O967" s="16"/>
      <c r="P967" s="63">
        <f t="shared" si="77"/>
        <v>60707.454500000007</v>
      </c>
      <c r="Q967" s="16"/>
      <c r="R967" s="48">
        <f t="shared" si="78"/>
        <v>2276.6083846000001</v>
      </c>
    </row>
    <row r="968" spans="1:18">
      <c r="A968" s="14" t="s">
        <v>17</v>
      </c>
      <c r="B968" s="15" t="s">
        <v>315</v>
      </c>
      <c r="C968" s="15" t="s">
        <v>316</v>
      </c>
      <c r="D968" s="14" t="s">
        <v>317</v>
      </c>
      <c r="E968" s="15" t="s">
        <v>141</v>
      </c>
      <c r="F968" s="14" t="s">
        <v>142</v>
      </c>
      <c r="G968" s="15" t="s">
        <v>23</v>
      </c>
      <c r="H968" s="15"/>
      <c r="I968" s="15">
        <v>201407</v>
      </c>
      <c r="J968" s="16">
        <v>679.89</v>
      </c>
      <c r="K968" s="44">
        <f t="shared" si="79"/>
        <v>41944</v>
      </c>
      <c r="L968" s="45">
        <f t="shared" si="76"/>
        <v>7</v>
      </c>
      <c r="M968" s="17">
        <v>1.4833299999999999E-3</v>
      </c>
      <c r="N968" s="46">
        <f t="shared" si="75"/>
        <v>7.0595086358999994</v>
      </c>
      <c r="O968" s="16"/>
      <c r="P968" s="63">
        <f t="shared" si="77"/>
        <v>327.19706250000002</v>
      </c>
      <c r="Q968" s="16"/>
      <c r="R968" s="48">
        <f t="shared" si="78"/>
        <v>12.270314775000001</v>
      </c>
    </row>
    <row r="969" spans="1:18">
      <c r="A969" s="14" t="s">
        <v>17</v>
      </c>
      <c r="B969" s="15" t="s">
        <v>486</v>
      </c>
      <c r="C969" s="15" t="s">
        <v>487</v>
      </c>
      <c r="D969" s="14" t="s">
        <v>488</v>
      </c>
      <c r="E969" s="15" t="s">
        <v>141</v>
      </c>
      <c r="F969" s="14" t="s">
        <v>142</v>
      </c>
      <c r="G969" s="15" t="s">
        <v>23</v>
      </c>
      <c r="H969" s="15"/>
      <c r="I969" s="15">
        <v>201407</v>
      </c>
      <c r="J969" s="16">
        <v>699.92</v>
      </c>
      <c r="K969" s="44">
        <f t="shared" si="79"/>
        <v>41944</v>
      </c>
      <c r="L969" s="45">
        <f t="shared" si="76"/>
        <v>7</v>
      </c>
      <c r="M969" s="17">
        <v>1.4833299999999999E-3</v>
      </c>
      <c r="N969" s="46">
        <f t="shared" si="75"/>
        <v>7.2674863351999992</v>
      </c>
      <c r="O969" s="16"/>
      <c r="P969" s="63">
        <f t="shared" si="77"/>
        <v>336.8365</v>
      </c>
      <c r="Q969" s="16"/>
      <c r="R969" s="48">
        <f t="shared" si="78"/>
        <v>12.6318062</v>
      </c>
    </row>
    <row r="970" spans="1:18">
      <c r="A970" s="14" t="s">
        <v>17</v>
      </c>
      <c r="B970" s="15" t="s">
        <v>416</v>
      </c>
      <c r="C970" s="15" t="s">
        <v>417</v>
      </c>
      <c r="D970" s="14" t="s">
        <v>418</v>
      </c>
      <c r="E970" s="15" t="s">
        <v>141</v>
      </c>
      <c r="F970" s="14" t="s">
        <v>142</v>
      </c>
      <c r="G970" s="15" t="s">
        <v>23</v>
      </c>
      <c r="H970" s="15"/>
      <c r="I970" s="15">
        <v>201407</v>
      </c>
      <c r="J970" s="16">
        <v>-79284.75</v>
      </c>
      <c r="K970" s="44">
        <f t="shared" si="79"/>
        <v>41944</v>
      </c>
      <c r="L970" s="45">
        <f t="shared" si="76"/>
        <v>7</v>
      </c>
      <c r="M970" s="17">
        <v>1.4833299999999999E-3</v>
      </c>
      <c r="N970" s="46">
        <f t="shared" si="75"/>
        <v>-823.23813752249998</v>
      </c>
      <c r="O970" s="16"/>
      <c r="P970" s="63">
        <f t="shared" si="77"/>
        <v>-38155.785937500004</v>
      </c>
      <c r="Q970" s="16"/>
      <c r="R970" s="48">
        <f t="shared" si="78"/>
        <v>-1430.891525625</v>
      </c>
    </row>
    <row r="971" spans="1:18">
      <c r="A971" s="14" t="s">
        <v>54</v>
      </c>
      <c r="B971" s="15" t="s">
        <v>416</v>
      </c>
      <c r="C971" s="15" t="s">
        <v>417</v>
      </c>
      <c r="D971" s="14" t="s">
        <v>418</v>
      </c>
      <c r="E971" s="15" t="s">
        <v>141</v>
      </c>
      <c r="F971" s="14" t="s">
        <v>142</v>
      </c>
      <c r="G971" s="15" t="s">
        <v>23</v>
      </c>
      <c r="H971" s="15"/>
      <c r="I971" s="15">
        <v>201407</v>
      </c>
      <c r="J971" s="16">
        <v>80948.11</v>
      </c>
      <c r="K971" s="44">
        <f t="shared" si="79"/>
        <v>41944</v>
      </c>
      <c r="L971" s="45">
        <f t="shared" si="76"/>
        <v>7</v>
      </c>
      <c r="M971" s="17">
        <v>1.4833299999999999E-3</v>
      </c>
      <c r="N971" s="46">
        <f t="shared" si="75"/>
        <v>840.50932004410004</v>
      </c>
      <c r="O971" s="16"/>
      <c r="P971" s="63">
        <f t="shared" si="77"/>
        <v>38956.277937500003</v>
      </c>
      <c r="Q971" s="16"/>
      <c r="R971" s="48">
        <f t="shared" si="78"/>
        <v>1460.911015225</v>
      </c>
    </row>
    <row r="972" spans="1:18">
      <c r="A972" s="14" t="s">
        <v>17</v>
      </c>
      <c r="B972" s="15" t="s">
        <v>728</v>
      </c>
      <c r="C972" s="15" t="s">
        <v>729</v>
      </c>
      <c r="D972" s="14" t="s">
        <v>730</v>
      </c>
      <c r="E972" s="15" t="s">
        <v>141</v>
      </c>
      <c r="F972" s="14" t="s">
        <v>142</v>
      </c>
      <c r="G972" s="15" t="s">
        <v>23</v>
      </c>
      <c r="H972" s="15"/>
      <c r="I972" s="15">
        <v>201407</v>
      </c>
      <c r="J972" s="16">
        <v>503.08</v>
      </c>
      <c r="K972" s="44">
        <f t="shared" si="79"/>
        <v>41944</v>
      </c>
      <c r="L972" s="45">
        <f t="shared" si="76"/>
        <v>7</v>
      </c>
      <c r="M972" s="17">
        <v>1.4833299999999999E-3</v>
      </c>
      <c r="N972" s="46">
        <f t="shared" ref="N972:N1035" si="80">M972*L972*J972</f>
        <v>5.2236355947999993</v>
      </c>
      <c r="O972" s="16"/>
      <c r="P972" s="63">
        <f t="shared" si="77"/>
        <v>242.10725000000002</v>
      </c>
      <c r="Q972" s="16"/>
      <c r="R972" s="48">
        <f t="shared" si="78"/>
        <v>9.0793362999999996</v>
      </c>
    </row>
    <row r="973" spans="1:18">
      <c r="A973" s="14" t="s">
        <v>17</v>
      </c>
      <c r="B973" s="15" t="s">
        <v>575</v>
      </c>
      <c r="C973" s="15" t="s">
        <v>576</v>
      </c>
      <c r="D973" s="14" t="s">
        <v>577</v>
      </c>
      <c r="E973" s="15" t="s">
        <v>462</v>
      </c>
      <c r="F973" s="14" t="s">
        <v>142</v>
      </c>
      <c r="G973" s="15" t="s">
        <v>23</v>
      </c>
      <c r="H973" s="15"/>
      <c r="I973" s="15">
        <v>201407</v>
      </c>
      <c r="J973" s="16">
        <v>1786.67</v>
      </c>
      <c r="K973" s="44">
        <f t="shared" si="79"/>
        <v>41944</v>
      </c>
      <c r="L973" s="45">
        <f t="shared" ref="L973:L1036" si="81">((YEAR($L$1)-YEAR(K973))*12+MONTH($L$1)-MONTH(K973))</f>
        <v>7</v>
      </c>
      <c r="M973" s="17">
        <v>1.4833299999999999E-3</v>
      </c>
      <c r="N973" s="46">
        <f t="shared" si="80"/>
        <v>18.551548477699999</v>
      </c>
      <c r="O973" s="16"/>
      <c r="P973" s="63">
        <f t="shared" ref="P973:P1036" si="82">$P$4*J973</f>
        <v>859.83493750000014</v>
      </c>
      <c r="Q973" s="16"/>
      <c r="R973" s="48">
        <f t="shared" si="78"/>
        <v>32.244926825</v>
      </c>
    </row>
    <row r="974" spans="1:18">
      <c r="A974" s="14" t="s">
        <v>54</v>
      </c>
      <c r="B974" s="15" t="s">
        <v>575</v>
      </c>
      <c r="C974" s="15" t="s">
        <v>576</v>
      </c>
      <c r="D974" s="14" t="s">
        <v>577</v>
      </c>
      <c r="E974" s="15" t="s">
        <v>462</v>
      </c>
      <c r="F974" s="14" t="s">
        <v>142</v>
      </c>
      <c r="G974" s="15" t="s">
        <v>23</v>
      </c>
      <c r="H974" s="15"/>
      <c r="I974" s="15">
        <v>201407</v>
      </c>
      <c r="J974" s="16">
        <v>100430.35</v>
      </c>
      <c r="K974" s="44">
        <f t="shared" si="79"/>
        <v>41944</v>
      </c>
      <c r="L974" s="45">
        <f t="shared" si="81"/>
        <v>7</v>
      </c>
      <c r="M974" s="17">
        <v>1.4833299999999999E-3</v>
      </c>
      <c r="N974" s="46">
        <f t="shared" si="80"/>
        <v>1042.7994574585</v>
      </c>
      <c r="O974" s="16"/>
      <c r="P974" s="63">
        <f t="shared" si="82"/>
        <v>48332.105937500011</v>
      </c>
      <c r="Q974" s="16"/>
      <c r="R974" s="48">
        <f t="shared" si="78"/>
        <v>1812.5167416250001</v>
      </c>
    </row>
    <row r="975" spans="1:18">
      <c r="A975" s="14" t="s">
        <v>17</v>
      </c>
      <c r="B975" s="15" t="s">
        <v>555</v>
      </c>
      <c r="C975" s="15" t="s">
        <v>556</v>
      </c>
      <c r="D975" s="14" t="s">
        <v>557</v>
      </c>
      <c r="E975" s="15" t="s">
        <v>141</v>
      </c>
      <c r="F975" s="14" t="s">
        <v>142</v>
      </c>
      <c r="G975" s="15" t="s">
        <v>23</v>
      </c>
      <c r="H975" s="15"/>
      <c r="I975" s="15">
        <v>201407</v>
      </c>
      <c r="J975" s="16">
        <v>11375.92</v>
      </c>
      <c r="K975" s="44">
        <f t="shared" si="79"/>
        <v>41944</v>
      </c>
      <c r="L975" s="45">
        <f t="shared" si="81"/>
        <v>7</v>
      </c>
      <c r="M975" s="17">
        <v>1.4833299999999999E-3</v>
      </c>
      <c r="N975" s="46">
        <f t="shared" si="80"/>
        <v>118.1197038952</v>
      </c>
      <c r="O975" s="16"/>
      <c r="P975" s="63">
        <f t="shared" si="82"/>
        <v>5474.6615000000011</v>
      </c>
      <c r="Q975" s="16"/>
      <c r="R975" s="48">
        <f t="shared" si="78"/>
        <v>205.30691620000002</v>
      </c>
    </row>
    <row r="976" spans="1:18">
      <c r="A976" s="14" t="s">
        <v>54</v>
      </c>
      <c r="B976" s="15" t="s">
        <v>546</v>
      </c>
      <c r="C976" s="15" t="s">
        <v>547</v>
      </c>
      <c r="D976" s="14" t="s">
        <v>548</v>
      </c>
      <c r="E976" s="15" t="s">
        <v>141</v>
      </c>
      <c r="F976" s="14" t="s">
        <v>142</v>
      </c>
      <c r="G976" s="15" t="s">
        <v>23</v>
      </c>
      <c r="H976" s="15"/>
      <c r="I976" s="15">
        <v>201407</v>
      </c>
      <c r="J976" s="16">
        <v>41073.31</v>
      </c>
      <c r="K976" s="44">
        <f t="shared" si="79"/>
        <v>41944</v>
      </c>
      <c r="L976" s="45">
        <f t="shared" si="81"/>
        <v>7</v>
      </c>
      <c r="M976" s="17">
        <v>1.4833299999999999E-3</v>
      </c>
      <c r="N976" s="46">
        <f t="shared" si="80"/>
        <v>426.47691045609997</v>
      </c>
      <c r="O976" s="16"/>
      <c r="P976" s="63">
        <f t="shared" si="82"/>
        <v>19766.530437500001</v>
      </c>
      <c r="Q976" s="16"/>
      <c r="R976" s="48">
        <f t="shared" si="78"/>
        <v>741.27056222500005</v>
      </c>
    </row>
    <row r="977" spans="1:18">
      <c r="A977" s="14" t="s">
        <v>54</v>
      </c>
      <c r="B977" s="15" t="s">
        <v>926</v>
      </c>
      <c r="C977" s="15" t="s">
        <v>927</v>
      </c>
      <c r="D977" s="14" t="s">
        <v>928</v>
      </c>
      <c r="E977" s="15" t="s">
        <v>141</v>
      </c>
      <c r="F977" s="14" t="s">
        <v>142</v>
      </c>
      <c r="G977" s="15" t="s">
        <v>23</v>
      </c>
      <c r="H977" s="15"/>
      <c r="I977" s="15">
        <v>201407</v>
      </c>
      <c r="J977" s="16">
        <v>21679.1</v>
      </c>
      <c r="K977" s="44">
        <f t="shared" si="79"/>
        <v>41944</v>
      </c>
      <c r="L977" s="45">
        <f t="shared" si="81"/>
        <v>7</v>
      </c>
      <c r="M977" s="17">
        <v>1.4833299999999999E-3</v>
      </c>
      <c r="N977" s="46">
        <f t="shared" si="80"/>
        <v>225.10081582099997</v>
      </c>
      <c r="O977" s="16"/>
      <c r="P977" s="63">
        <f t="shared" si="82"/>
        <v>10433.066875</v>
      </c>
      <c r="Q977" s="16"/>
      <c r="R977" s="48">
        <f t="shared" si="78"/>
        <v>391.25355724999997</v>
      </c>
    </row>
    <row r="978" spans="1:18">
      <c r="A978" s="14" t="s">
        <v>54</v>
      </c>
      <c r="B978" s="15" t="s">
        <v>864</v>
      </c>
      <c r="C978" s="15" t="s">
        <v>865</v>
      </c>
      <c r="D978" s="14" t="s">
        <v>866</v>
      </c>
      <c r="E978" s="15" t="s">
        <v>141</v>
      </c>
      <c r="F978" s="14" t="s">
        <v>142</v>
      </c>
      <c r="G978" s="15" t="s">
        <v>23</v>
      </c>
      <c r="H978" s="15"/>
      <c r="I978" s="15">
        <v>201407</v>
      </c>
      <c r="J978" s="16">
        <v>19184.759999999998</v>
      </c>
      <c r="K978" s="44">
        <f t="shared" si="79"/>
        <v>41944</v>
      </c>
      <c r="L978" s="45">
        <f t="shared" si="81"/>
        <v>7</v>
      </c>
      <c r="M978" s="17">
        <v>1.4833299999999999E-3</v>
      </c>
      <c r="N978" s="46">
        <f t="shared" si="80"/>
        <v>199.20131035559999</v>
      </c>
      <c r="O978" s="16"/>
      <c r="P978" s="63">
        <f t="shared" si="82"/>
        <v>9232.6657500000001</v>
      </c>
      <c r="Q978" s="16"/>
      <c r="R978" s="48">
        <f t="shared" si="78"/>
        <v>346.23695609999999</v>
      </c>
    </row>
    <row r="979" spans="1:18">
      <c r="A979" s="14" t="s">
        <v>17</v>
      </c>
      <c r="B979" s="15" t="s">
        <v>780</v>
      </c>
      <c r="C979" s="15" t="s">
        <v>781</v>
      </c>
      <c r="D979" s="14" t="s">
        <v>782</v>
      </c>
      <c r="E979" s="15" t="s">
        <v>141</v>
      </c>
      <c r="F979" s="14" t="s">
        <v>142</v>
      </c>
      <c r="G979" s="15" t="s">
        <v>23</v>
      </c>
      <c r="H979" s="15"/>
      <c r="I979" s="15">
        <v>201407</v>
      </c>
      <c r="J979" s="16">
        <v>788.67</v>
      </c>
      <c r="K979" s="44">
        <f t="shared" si="79"/>
        <v>41944</v>
      </c>
      <c r="L979" s="45">
        <f t="shared" si="81"/>
        <v>7</v>
      </c>
      <c r="M979" s="17">
        <v>1.4833299999999999E-3</v>
      </c>
      <c r="N979" s="46">
        <f t="shared" si="80"/>
        <v>8.1890050976999991</v>
      </c>
      <c r="O979" s="16"/>
      <c r="P979" s="63">
        <f t="shared" si="82"/>
        <v>379.54743750000006</v>
      </c>
      <c r="Q979" s="16"/>
      <c r="R979" s="48">
        <f t="shared" si="78"/>
        <v>14.233521825</v>
      </c>
    </row>
    <row r="980" spans="1:18">
      <c r="A980" s="18" t="s">
        <v>66</v>
      </c>
      <c r="B980" s="15" t="s">
        <v>383</v>
      </c>
      <c r="C980" s="15" t="s">
        <v>384</v>
      </c>
      <c r="D980" s="14" t="s">
        <v>385</v>
      </c>
      <c r="E980" s="15" t="s">
        <v>386</v>
      </c>
      <c r="F980" s="14" t="s">
        <v>387</v>
      </c>
      <c r="G980" s="15" t="s">
        <v>23</v>
      </c>
      <c r="H980" s="15"/>
      <c r="I980" s="15">
        <v>201407</v>
      </c>
      <c r="J980" s="16">
        <v>210094.06</v>
      </c>
      <c r="K980" s="44">
        <f t="shared" si="79"/>
        <v>41944</v>
      </c>
      <c r="L980" s="45">
        <f t="shared" si="81"/>
        <v>7</v>
      </c>
      <c r="M980" s="17">
        <v>2.23333E-3</v>
      </c>
      <c r="N980" s="46">
        <f t="shared" si="80"/>
        <v>3284.4655691386001</v>
      </c>
      <c r="O980" s="16"/>
      <c r="P980" s="63">
        <f t="shared" si="82"/>
        <v>101107.76637500001</v>
      </c>
      <c r="Q980" s="16"/>
      <c r="R980" s="48">
        <f t="shared" si="78"/>
        <v>3791.6725478500002</v>
      </c>
    </row>
    <row r="981" spans="1:18">
      <c r="A981" s="18" t="s">
        <v>66</v>
      </c>
      <c r="B981" s="15" t="s">
        <v>499</v>
      </c>
      <c r="C981" s="15" t="s">
        <v>500</v>
      </c>
      <c r="D981" s="14" t="s">
        <v>385</v>
      </c>
      <c r="E981" s="15" t="s">
        <v>501</v>
      </c>
      <c r="F981" s="14" t="s">
        <v>387</v>
      </c>
      <c r="G981" s="15" t="s">
        <v>23</v>
      </c>
      <c r="H981" s="15"/>
      <c r="I981" s="15">
        <v>201407</v>
      </c>
      <c r="J981" s="16">
        <v>62917.75</v>
      </c>
      <c r="K981" s="44">
        <f t="shared" si="79"/>
        <v>41944</v>
      </c>
      <c r="L981" s="45">
        <f t="shared" si="81"/>
        <v>7</v>
      </c>
      <c r="M981" s="17">
        <v>2.23333E-3</v>
      </c>
      <c r="N981" s="46">
        <f t="shared" si="80"/>
        <v>983.6126902525001</v>
      </c>
      <c r="O981" s="16"/>
      <c r="P981" s="63">
        <f t="shared" si="82"/>
        <v>30279.167187500003</v>
      </c>
      <c r="Q981" s="16"/>
      <c r="R981" s="48">
        <f t="shared" si="78"/>
        <v>1135.508093125</v>
      </c>
    </row>
    <row r="982" spans="1:18">
      <c r="A982" s="18" t="s">
        <v>66</v>
      </c>
      <c r="B982" s="15" t="s">
        <v>674</v>
      </c>
      <c r="C982" s="15" t="s">
        <v>675</v>
      </c>
      <c r="D982" s="14" t="s">
        <v>385</v>
      </c>
      <c r="E982" s="15" t="s">
        <v>676</v>
      </c>
      <c r="F982" s="14" t="s">
        <v>387</v>
      </c>
      <c r="G982" s="15" t="s">
        <v>23</v>
      </c>
      <c r="H982" s="15"/>
      <c r="I982" s="15">
        <v>201407</v>
      </c>
      <c r="J982" s="16">
        <v>60292.23</v>
      </c>
      <c r="K982" s="44">
        <f t="shared" si="79"/>
        <v>41944</v>
      </c>
      <c r="L982" s="45">
        <f t="shared" si="81"/>
        <v>7</v>
      </c>
      <c r="M982" s="17">
        <v>2.23333E-3</v>
      </c>
      <c r="N982" s="46">
        <f t="shared" si="80"/>
        <v>942.56712218130008</v>
      </c>
      <c r="O982" s="16"/>
      <c r="P982" s="63">
        <f t="shared" si="82"/>
        <v>29015.635687500006</v>
      </c>
      <c r="Q982" s="16"/>
      <c r="R982" s="48">
        <f t="shared" si="78"/>
        <v>1088.1240209250002</v>
      </c>
    </row>
    <row r="983" spans="1:18">
      <c r="A983" s="18" t="s">
        <v>66</v>
      </c>
      <c r="B983" s="15" t="s">
        <v>388</v>
      </c>
      <c r="C983" s="15" t="s">
        <v>389</v>
      </c>
      <c r="D983" s="14" t="s">
        <v>385</v>
      </c>
      <c r="E983" s="15" t="s">
        <v>390</v>
      </c>
      <c r="F983" s="14" t="s">
        <v>387</v>
      </c>
      <c r="G983" s="15" t="s">
        <v>23</v>
      </c>
      <c r="H983" s="15"/>
      <c r="I983" s="15">
        <v>201407</v>
      </c>
      <c r="J983" s="16">
        <v>69242.179999999993</v>
      </c>
      <c r="K983" s="44">
        <f t="shared" si="79"/>
        <v>41944</v>
      </c>
      <c r="L983" s="45">
        <f t="shared" si="81"/>
        <v>7</v>
      </c>
      <c r="M983" s="17">
        <v>2.23333E-3</v>
      </c>
      <c r="N983" s="46">
        <f t="shared" si="80"/>
        <v>1082.4844650158</v>
      </c>
      <c r="O983" s="16"/>
      <c r="P983" s="63">
        <f t="shared" si="82"/>
        <v>33322.799124999998</v>
      </c>
      <c r="Q983" s="16"/>
      <c r="R983" s="48">
        <f t="shared" si="78"/>
        <v>1249.64824355</v>
      </c>
    </row>
    <row r="984" spans="1:18">
      <c r="A984" s="18" t="s">
        <v>66</v>
      </c>
      <c r="B984" s="15" t="s">
        <v>599</v>
      </c>
      <c r="C984" s="15" t="s">
        <v>600</v>
      </c>
      <c r="D984" s="14" t="s">
        <v>385</v>
      </c>
      <c r="E984" s="15" t="s">
        <v>601</v>
      </c>
      <c r="F984" s="14" t="s">
        <v>387</v>
      </c>
      <c r="G984" s="15" t="s">
        <v>23</v>
      </c>
      <c r="H984" s="15"/>
      <c r="I984" s="15">
        <v>201407</v>
      </c>
      <c r="J984" s="16">
        <v>15168.69</v>
      </c>
      <c r="K984" s="44">
        <f t="shared" si="79"/>
        <v>41944</v>
      </c>
      <c r="L984" s="45">
        <f t="shared" si="81"/>
        <v>7</v>
      </c>
      <c r="M984" s="17">
        <v>2.23333E-3</v>
      </c>
      <c r="N984" s="46">
        <f t="shared" si="80"/>
        <v>237.13683306390001</v>
      </c>
      <c r="O984" s="16"/>
      <c r="P984" s="63">
        <f t="shared" si="82"/>
        <v>7299.9320625000009</v>
      </c>
      <c r="Q984" s="16"/>
      <c r="R984" s="48">
        <f t="shared" si="78"/>
        <v>273.75693277500005</v>
      </c>
    </row>
    <row r="985" spans="1:18">
      <c r="A985" s="14" t="s">
        <v>54</v>
      </c>
      <c r="B985" s="15" t="s">
        <v>719</v>
      </c>
      <c r="C985" s="15" t="s">
        <v>720</v>
      </c>
      <c r="D985" s="14" t="s">
        <v>721</v>
      </c>
      <c r="E985" s="15" t="s">
        <v>27</v>
      </c>
      <c r="F985" s="14" t="s">
        <v>28</v>
      </c>
      <c r="G985" s="15" t="s">
        <v>23</v>
      </c>
      <c r="H985" s="15"/>
      <c r="I985" s="15">
        <v>201407</v>
      </c>
      <c r="J985" s="16">
        <v>1656.49</v>
      </c>
      <c r="K985" s="44">
        <f t="shared" si="79"/>
        <v>41944</v>
      </c>
      <c r="L985" s="45">
        <f t="shared" si="81"/>
        <v>7</v>
      </c>
      <c r="M985" s="17">
        <v>1.4833299999999999E-3</v>
      </c>
      <c r="N985" s="46">
        <f t="shared" si="80"/>
        <v>17.199849181899999</v>
      </c>
      <c r="O985" s="16"/>
      <c r="P985" s="63">
        <f t="shared" si="82"/>
        <v>797.18581250000011</v>
      </c>
      <c r="Q985" s="16"/>
      <c r="R985" s="48">
        <f t="shared" si="78"/>
        <v>29.895503275000003</v>
      </c>
    </row>
    <row r="986" spans="1:18">
      <c r="A986" s="14" t="s">
        <v>17</v>
      </c>
      <c r="B986" s="15" t="s">
        <v>471</v>
      </c>
      <c r="C986" s="15" t="s">
        <v>472</v>
      </c>
      <c r="D986" s="14" t="s">
        <v>473</v>
      </c>
      <c r="E986" s="15" t="s">
        <v>27</v>
      </c>
      <c r="F986" s="14" t="s">
        <v>28</v>
      </c>
      <c r="G986" s="15" t="s">
        <v>23</v>
      </c>
      <c r="H986" s="15"/>
      <c r="I986" s="15">
        <v>201407</v>
      </c>
      <c r="J986" s="16">
        <v>244.92</v>
      </c>
      <c r="K986" s="44">
        <f t="shared" si="79"/>
        <v>41944</v>
      </c>
      <c r="L986" s="45">
        <f t="shared" si="81"/>
        <v>7</v>
      </c>
      <c r="M986" s="17">
        <v>1.4833299999999999E-3</v>
      </c>
      <c r="N986" s="46">
        <f t="shared" si="80"/>
        <v>2.5430802851999998</v>
      </c>
      <c r="O986" s="16"/>
      <c r="P986" s="63">
        <f t="shared" si="82"/>
        <v>117.86775000000002</v>
      </c>
      <c r="Q986" s="16"/>
      <c r="R986" s="48">
        <f t="shared" si="78"/>
        <v>4.4201937000000004</v>
      </c>
    </row>
    <row r="987" spans="1:18">
      <c r="A987" s="14" t="s">
        <v>17</v>
      </c>
      <c r="B987" s="15" t="s">
        <v>105</v>
      </c>
      <c r="C987" s="15" t="s">
        <v>106</v>
      </c>
      <c r="D987" s="14" t="s">
        <v>107</v>
      </c>
      <c r="E987" s="15" t="s">
        <v>108</v>
      </c>
      <c r="F987" s="14" t="s">
        <v>28</v>
      </c>
      <c r="G987" s="15" t="s">
        <v>23</v>
      </c>
      <c r="H987" s="15"/>
      <c r="I987" s="15">
        <v>201407</v>
      </c>
      <c r="J987" s="16">
        <v>-1279.1600000000001</v>
      </c>
      <c r="K987" s="44">
        <f t="shared" si="79"/>
        <v>41944</v>
      </c>
      <c r="L987" s="45">
        <f t="shared" si="81"/>
        <v>7</v>
      </c>
      <c r="M987" s="17">
        <v>1.4833299999999999E-3</v>
      </c>
      <c r="N987" s="46">
        <f t="shared" si="80"/>
        <v>-13.281914819600001</v>
      </c>
      <c r="O987" s="16"/>
      <c r="P987" s="63">
        <f t="shared" si="82"/>
        <v>-615.59575000000018</v>
      </c>
      <c r="Q987" s="16"/>
      <c r="R987" s="48">
        <f t="shared" si="78"/>
        <v>-23.085640100000003</v>
      </c>
    </row>
    <row r="988" spans="1:18">
      <c r="A988" s="14" t="s">
        <v>17</v>
      </c>
      <c r="B988" s="15" t="s">
        <v>508</v>
      </c>
      <c r="C988" s="15" t="s">
        <v>509</v>
      </c>
      <c r="D988" s="14" t="s">
        <v>510</v>
      </c>
      <c r="E988" s="15" t="s">
        <v>27</v>
      </c>
      <c r="F988" s="14" t="s">
        <v>28</v>
      </c>
      <c r="G988" s="15" t="s">
        <v>23</v>
      </c>
      <c r="H988" s="15"/>
      <c r="I988" s="15">
        <v>201407</v>
      </c>
      <c r="J988" s="16">
        <v>443.02</v>
      </c>
      <c r="K988" s="44">
        <f t="shared" si="79"/>
        <v>41944</v>
      </c>
      <c r="L988" s="45">
        <f t="shared" si="81"/>
        <v>7</v>
      </c>
      <c r="M988" s="17">
        <v>1.4833299999999999E-3</v>
      </c>
      <c r="N988" s="46">
        <f t="shared" si="80"/>
        <v>4.6000139961999995</v>
      </c>
      <c r="O988" s="16"/>
      <c r="P988" s="63">
        <f t="shared" si="82"/>
        <v>213.20337500000002</v>
      </c>
      <c r="Q988" s="16"/>
      <c r="R988" s="48">
        <f t="shared" si="78"/>
        <v>7.9954034500000004</v>
      </c>
    </row>
    <row r="989" spans="1:18">
      <c r="A989" s="14" t="s">
        <v>17</v>
      </c>
      <c r="B989" s="15" t="s">
        <v>801</v>
      </c>
      <c r="C989" s="15" t="s">
        <v>802</v>
      </c>
      <c r="D989" s="14" t="s">
        <v>803</v>
      </c>
      <c r="E989" s="15" t="s">
        <v>440</v>
      </c>
      <c r="F989" s="14" t="s">
        <v>28</v>
      </c>
      <c r="G989" s="15" t="s">
        <v>23</v>
      </c>
      <c r="H989" s="15"/>
      <c r="I989" s="15">
        <v>201407</v>
      </c>
      <c r="J989" s="16">
        <v>187.95</v>
      </c>
      <c r="K989" s="44">
        <f t="shared" si="79"/>
        <v>41944</v>
      </c>
      <c r="L989" s="45">
        <f t="shared" si="81"/>
        <v>7</v>
      </c>
      <c r="M989" s="17">
        <v>1.4833299999999999E-3</v>
      </c>
      <c r="N989" s="46">
        <f t="shared" si="80"/>
        <v>1.9515431144999997</v>
      </c>
      <c r="O989" s="16"/>
      <c r="P989" s="63">
        <f t="shared" si="82"/>
        <v>90.450937500000009</v>
      </c>
      <c r="Q989" s="16"/>
      <c r="R989" s="48">
        <f t="shared" si="78"/>
        <v>3.3920276249999999</v>
      </c>
    </row>
    <row r="990" spans="1:18">
      <c r="A990" s="14" t="s">
        <v>17</v>
      </c>
      <c r="B990" s="15" t="s">
        <v>437</v>
      </c>
      <c r="C990" s="15" t="s">
        <v>438</v>
      </c>
      <c r="D990" s="14" t="s">
        <v>439</v>
      </c>
      <c r="E990" s="15" t="s">
        <v>440</v>
      </c>
      <c r="F990" s="14" t="s">
        <v>28</v>
      </c>
      <c r="G990" s="15" t="s">
        <v>23</v>
      </c>
      <c r="H990" s="15"/>
      <c r="I990" s="15">
        <v>201407</v>
      </c>
      <c r="J990" s="16">
        <v>297.79000000000002</v>
      </c>
      <c r="K990" s="44">
        <f t="shared" si="79"/>
        <v>41944</v>
      </c>
      <c r="L990" s="45">
        <f t="shared" si="81"/>
        <v>7</v>
      </c>
      <c r="M990" s="17">
        <v>1.4833299999999999E-3</v>
      </c>
      <c r="N990" s="46">
        <f t="shared" si="80"/>
        <v>3.0920458849000001</v>
      </c>
      <c r="O990" s="16"/>
      <c r="P990" s="63">
        <f t="shared" si="82"/>
        <v>143.31143750000004</v>
      </c>
      <c r="Q990" s="16"/>
      <c r="R990" s="48">
        <f t="shared" si="78"/>
        <v>5.3743650250000004</v>
      </c>
    </row>
    <row r="991" spans="1:18">
      <c r="A991" s="14" t="s">
        <v>17</v>
      </c>
      <c r="B991" s="15" t="s">
        <v>807</v>
      </c>
      <c r="C991" s="15" t="s">
        <v>808</v>
      </c>
      <c r="D991" s="14" t="s">
        <v>809</v>
      </c>
      <c r="E991" s="15" t="s">
        <v>108</v>
      </c>
      <c r="F991" s="14" t="s">
        <v>28</v>
      </c>
      <c r="G991" s="15" t="s">
        <v>23</v>
      </c>
      <c r="H991" s="15"/>
      <c r="I991" s="15">
        <v>201407</v>
      </c>
      <c r="J991" s="16">
        <v>772.21</v>
      </c>
      <c r="K991" s="44">
        <f t="shared" si="79"/>
        <v>41944</v>
      </c>
      <c r="L991" s="45">
        <f t="shared" si="81"/>
        <v>7</v>
      </c>
      <c r="M991" s="17">
        <v>1.4833299999999999E-3</v>
      </c>
      <c r="N991" s="46">
        <f t="shared" si="80"/>
        <v>8.0180958151000006</v>
      </c>
      <c r="O991" s="16"/>
      <c r="P991" s="63">
        <f t="shared" si="82"/>
        <v>371.62606250000005</v>
      </c>
      <c r="Q991" s="16"/>
      <c r="R991" s="48">
        <f t="shared" si="78"/>
        <v>13.936459975000002</v>
      </c>
    </row>
    <row r="992" spans="1:18">
      <c r="A992" s="14" t="s">
        <v>17</v>
      </c>
      <c r="B992" s="15" t="s">
        <v>447</v>
      </c>
      <c r="C992" s="15" t="s">
        <v>448</v>
      </c>
      <c r="D992" s="14" t="s">
        <v>449</v>
      </c>
      <c r="E992" s="15" t="s">
        <v>296</v>
      </c>
      <c r="F992" s="14" t="s">
        <v>28</v>
      </c>
      <c r="G992" s="15" t="s">
        <v>23</v>
      </c>
      <c r="H992" s="15"/>
      <c r="I992" s="15">
        <v>201407</v>
      </c>
      <c r="J992" s="16">
        <v>322.16000000000003</v>
      </c>
      <c r="K992" s="44">
        <f t="shared" si="79"/>
        <v>41944</v>
      </c>
      <c r="L992" s="45">
        <f t="shared" si="81"/>
        <v>7</v>
      </c>
      <c r="M992" s="17">
        <v>1.4833299999999999E-3</v>
      </c>
      <c r="N992" s="46">
        <f t="shared" si="80"/>
        <v>3.3450871496000003</v>
      </c>
      <c r="O992" s="16"/>
      <c r="P992" s="63">
        <f t="shared" si="82"/>
        <v>155.03950000000003</v>
      </c>
      <c r="Q992" s="16"/>
      <c r="R992" s="48">
        <f t="shared" si="78"/>
        <v>5.8141826000000005</v>
      </c>
    </row>
    <row r="993" spans="1:18">
      <c r="A993" s="14" t="s">
        <v>17</v>
      </c>
      <c r="B993" s="15" t="s">
        <v>293</v>
      </c>
      <c r="C993" s="15" t="s">
        <v>294</v>
      </c>
      <c r="D993" s="14" t="s">
        <v>295</v>
      </c>
      <c r="E993" s="15" t="s">
        <v>296</v>
      </c>
      <c r="F993" s="14" t="s">
        <v>28</v>
      </c>
      <c r="G993" s="15" t="s">
        <v>23</v>
      </c>
      <c r="H993" s="15"/>
      <c r="I993" s="15">
        <v>201407</v>
      </c>
      <c r="J993" s="16">
        <v>83.37</v>
      </c>
      <c r="K993" s="44">
        <f t="shared" si="79"/>
        <v>41944</v>
      </c>
      <c r="L993" s="45">
        <f t="shared" si="81"/>
        <v>7</v>
      </c>
      <c r="M993" s="17">
        <v>1.4833299999999999E-3</v>
      </c>
      <c r="N993" s="46">
        <f t="shared" si="80"/>
        <v>0.86565655470000002</v>
      </c>
      <c r="O993" s="16"/>
      <c r="P993" s="63">
        <f t="shared" si="82"/>
        <v>40.121812500000004</v>
      </c>
      <c r="Q993" s="16"/>
      <c r="R993" s="48">
        <f t="shared" si="78"/>
        <v>1.5046200750000003</v>
      </c>
    </row>
    <row r="994" spans="1:18">
      <c r="A994" s="14" t="s">
        <v>17</v>
      </c>
      <c r="B994" s="15" t="s">
        <v>664</v>
      </c>
      <c r="C994" s="15" t="s">
        <v>665</v>
      </c>
      <c r="D994" s="14" t="s">
        <v>666</v>
      </c>
      <c r="E994" s="15" t="s">
        <v>667</v>
      </c>
      <c r="F994" s="14" t="s">
        <v>28</v>
      </c>
      <c r="G994" s="15" t="s">
        <v>23</v>
      </c>
      <c r="H994" s="15"/>
      <c r="I994" s="15">
        <v>201407</v>
      </c>
      <c r="J994" s="16">
        <v>151.9</v>
      </c>
      <c r="K994" s="44">
        <f t="shared" si="79"/>
        <v>41944</v>
      </c>
      <c r="L994" s="45">
        <f t="shared" si="81"/>
        <v>7</v>
      </c>
      <c r="M994" s="17">
        <v>1.4833299999999999E-3</v>
      </c>
      <c r="N994" s="46">
        <f t="shared" si="80"/>
        <v>1.577224789</v>
      </c>
      <c r="O994" s="16"/>
      <c r="P994" s="63">
        <f t="shared" si="82"/>
        <v>73.101875000000007</v>
      </c>
      <c r="Q994" s="16"/>
      <c r="R994" s="48">
        <f t="shared" si="78"/>
        <v>2.7414152500000002</v>
      </c>
    </row>
    <row r="995" spans="1:18">
      <c r="A995" s="14" t="s">
        <v>17</v>
      </c>
      <c r="B995" s="15" t="s">
        <v>1435</v>
      </c>
      <c r="C995" s="15" t="s">
        <v>1436</v>
      </c>
      <c r="D995" s="14" t="s">
        <v>1437</v>
      </c>
      <c r="E995" s="15" t="s">
        <v>667</v>
      </c>
      <c r="F995" s="14" t="s">
        <v>28</v>
      </c>
      <c r="G995" s="15" t="s">
        <v>23</v>
      </c>
      <c r="H995" s="15"/>
      <c r="I995" s="15">
        <v>201407</v>
      </c>
      <c r="J995" s="16">
        <v>239.02</v>
      </c>
      <c r="K995" s="44">
        <f t="shared" si="79"/>
        <v>41944</v>
      </c>
      <c r="L995" s="45">
        <f t="shared" si="81"/>
        <v>7</v>
      </c>
      <c r="M995" s="17">
        <v>1.4833299999999999E-3</v>
      </c>
      <c r="N995" s="46">
        <f t="shared" si="80"/>
        <v>2.4818187562</v>
      </c>
      <c r="O995" s="16"/>
      <c r="P995" s="63">
        <f t="shared" si="82"/>
        <v>115.02837500000003</v>
      </c>
      <c r="Q995" s="16"/>
      <c r="R995" s="48">
        <f t="shared" si="78"/>
        <v>4.3137134500000007</v>
      </c>
    </row>
    <row r="996" spans="1:18">
      <c r="A996" s="14" t="s">
        <v>17</v>
      </c>
      <c r="B996" s="15" t="s">
        <v>312</v>
      </c>
      <c r="C996" s="15" t="s">
        <v>313</v>
      </c>
      <c r="D996" s="14" t="s">
        <v>314</v>
      </c>
      <c r="E996" s="15" t="s">
        <v>176</v>
      </c>
      <c r="F996" s="14" t="s">
        <v>28</v>
      </c>
      <c r="G996" s="15" t="s">
        <v>23</v>
      </c>
      <c r="H996" s="15"/>
      <c r="I996" s="15">
        <v>201407</v>
      </c>
      <c r="J996" s="16">
        <v>160.02000000000001</v>
      </c>
      <c r="K996" s="44">
        <f t="shared" si="79"/>
        <v>41944</v>
      </c>
      <c r="L996" s="45">
        <f t="shared" si="81"/>
        <v>7</v>
      </c>
      <c r="M996" s="17">
        <v>1.4833299999999999E-3</v>
      </c>
      <c r="N996" s="46">
        <f t="shared" si="80"/>
        <v>1.6615372662000001</v>
      </c>
      <c r="O996" s="16"/>
      <c r="P996" s="63">
        <f t="shared" si="82"/>
        <v>77.009625000000014</v>
      </c>
      <c r="Q996" s="16"/>
      <c r="R996" s="48">
        <f t="shared" si="78"/>
        <v>2.8879609500000005</v>
      </c>
    </row>
    <row r="997" spans="1:18">
      <c r="A997" s="14" t="s">
        <v>17</v>
      </c>
      <c r="B997" s="15" t="s">
        <v>173</v>
      </c>
      <c r="C997" s="15" t="s">
        <v>174</v>
      </c>
      <c r="D997" s="14" t="s">
        <v>175</v>
      </c>
      <c r="E997" s="15" t="s">
        <v>176</v>
      </c>
      <c r="F997" s="14" t="s">
        <v>28</v>
      </c>
      <c r="G997" s="15" t="s">
        <v>23</v>
      </c>
      <c r="H997" s="15"/>
      <c r="I997" s="15">
        <v>201407</v>
      </c>
      <c r="J997" s="16">
        <v>0</v>
      </c>
      <c r="K997" s="44">
        <f t="shared" si="79"/>
        <v>41944</v>
      </c>
      <c r="L997" s="45">
        <f t="shared" si="81"/>
        <v>7</v>
      </c>
      <c r="M997" s="17">
        <v>1.4833299999999999E-3</v>
      </c>
      <c r="N997" s="46">
        <f t="shared" si="80"/>
        <v>0</v>
      </c>
      <c r="O997" s="16"/>
      <c r="P997" s="63">
        <f t="shared" si="82"/>
        <v>0</v>
      </c>
      <c r="Q997" s="16"/>
      <c r="R997" s="48">
        <f t="shared" si="78"/>
        <v>0</v>
      </c>
    </row>
    <row r="998" spans="1:18">
      <c r="A998" s="14" t="s">
        <v>17</v>
      </c>
      <c r="B998" s="15" t="s">
        <v>177</v>
      </c>
      <c r="C998" s="15" t="s">
        <v>178</v>
      </c>
      <c r="D998" s="14" t="s">
        <v>179</v>
      </c>
      <c r="E998" s="15" t="s">
        <v>176</v>
      </c>
      <c r="F998" s="14" t="s">
        <v>28</v>
      </c>
      <c r="G998" s="15" t="s">
        <v>23</v>
      </c>
      <c r="H998" s="15"/>
      <c r="I998" s="15">
        <v>201407</v>
      </c>
      <c r="J998" s="16">
        <v>958.07</v>
      </c>
      <c r="K998" s="44">
        <f t="shared" si="79"/>
        <v>41944</v>
      </c>
      <c r="L998" s="45">
        <f t="shared" si="81"/>
        <v>7</v>
      </c>
      <c r="M998" s="17">
        <v>1.4833299999999999E-3</v>
      </c>
      <c r="N998" s="46">
        <f t="shared" si="80"/>
        <v>9.947937811700001</v>
      </c>
      <c r="O998" s="16"/>
      <c r="P998" s="63">
        <f t="shared" si="82"/>
        <v>461.07118750000006</v>
      </c>
      <c r="Q998" s="16"/>
      <c r="R998" s="48">
        <f t="shared" si="78"/>
        <v>17.290768325000002</v>
      </c>
    </row>
    <row r="999" spans="1:18">
      <c r="A999" s="14" t="s">
        <v>17</v>
      </c>
      <c r="B999" s="15" t="s">
        <v>795</v>
      </c>
      <c r="C999" s="15" t="s">
        <v>796</v>
      </c>
      <c r="D999" s="14" t="s">
        <v>797</v>
      </c>
      <c r="E999" s="15" t="s">
        <v>176</v>
      </c>
      <c r="F999" s="14" t="s">
        <v>28</v>
      </c>
      <c r="G999" s="15" t="s">
        <v>23</v>
      </c>
      <c r="H999" s="15"/>
      <c r="I999" s="15">
        <v>201407</v>
      </c>
      <c r="J999" s="16">
        <v>279.99</v>
      </c>
      <c r="K999" s="44">
        <f t="shared" si="79"/>
        <v>41944</v>
      </c>
      <c r="L999" s="45">
        <f t="shared" si="81"/>
        <v>7</v>
      </c>
      <c r="M999" s="17">
        <v>1.4833299999999999E-3</v>
      </c>
      <c r="N999" s="46">
        <f t="shared" si="80"/>
        <v>2.9072229669</v>
      </c>
      <c r="O999" s="16"/>
      <c r="P999" s="63">
        <f t="shared" si="82"/>
        <v>134.74518750000001</v>
      </c>
      <c r="Q999" s="16"/>
      <c r="R999" s="48">
        <f t="shared" si="78"/>
        <v>5.0531195250000005</v>
      </c>
    </row>
    <row r="1000" spans="1:18">
      <c r="A1000" s="14" t="s">
        <v>17</v>
      </c>
      <c r="B1000" s="15" t="s">
        <v>116</v>
      </c>
      <c r="C1000" s="15" t="s">
        <v>117</v>
      </c>
      <c r="D1000" s="14" t="s">
        <v>118</v>
      </c>
      <c r="E1000" s="15" t="s">
        <v>27</v>
      </c>
      <c r="F1000" s="14" t="s">
        <v>28</v>
      </c>
      <c r="G1000" s="15" t="s">
        <v>23</v>
      </c>
      <c r="H1000" s="15"/>
      <c r="I1000" s="15">
        <v>201407</v>
      </c>
      <c r="J1000" s="16">
        <v>0</v>
      </c>
      <c r="K1000" s="44">
        <f t="shared" si="79"/>
        <v>41944</v>
      </c>
      <c r="L1000" s="45">
        <f t="shared" si="81"/>
        <v>7</v>
      </c>
      <c r="M1000" s="17">
        <v>1.4833299999999999E-3</v>
      </c>
      <c r="N1000" s="46">
        <f t="shared" si="80"/>
        <v>0</v>
      </c>
      <c r="O1000" s="16"/>
      <c r="P1000" s="63">
        <f t="shared" si="82"/>
        <v>0</v>
      </c>
      <c r="Q1000" s="16"/>
      <c r="R1000" s="48">
        <f t="shared" si="78"/>
        <v>0</v>
      </c>
    </row>
    <row r="1001" spans="1:18">
      <c r="A1001" s="14" t="s">
        <v>17</v>
      </c>
      <c r="B1001" s="15" t="s">
        <v>571</v>
      </c>
      <c r="C1001" s="15" t="s">
        <v>572</v>
      </c>
      <c r="D1001" s="14" t="s">
        <v>573</v>
      </c>
      <c r="E1001" s="15" t="s">
        <v>574</v>
      </c>
      <c r="F1001" s="14" t="s">
        <v>28</v>
      </c>
      <c r="G1001" s="15" t="s">
        <v>23</v>
      </c>
      <c r="H1001" s="15"/>
      <c r="I1001" s="15">
        <v>201407</v>
      </c>
      <c r="J1001" s="16">
        <v>32.340000000000003</v>
      </c>
      <c r="K1001" s="44">
        <f t="shared" si="79"/>
        <v>41944</v>
      </c>
      <c r="L1001" s="45">
        <f t="shared" si="81"/>
        <v>7</v>
      </c>
      <c r="M1001" s="17">
        <v>1.4833299999999999E-3</v>
      </c>
      <c r="N1001" s="46">
        <f t="shared" si="80"/>
        <v>0.33579624540000003</v>
      </c>
      <c r="O1001" s="16"/>
      <c r="P1001" s="63">
        <f t="shared" si="82"/>
        <v>15.563625000000004</v>
      </c>
      <c r="Q1001" s="16"/>
      <c r="R1001" s="48">
        <f t="shared" si="78"/>
        <v>0.58365615000000004</v>
      </c>
    </row>
    <row r="1002" spans="1:18">
      <c r="A1002" s="14" t="s">
        <v>17</v>
      </c>
      <c r="B1002" s="15" t="s">
        <v>849</v>
      </c>
      <c r="C1002" s="15" t="s">
        <v>850</v>
      </c>
      <c r="D1002" s="14" t="s">
        <v>851</v>
      </c>
      <c r="E1002" s="15" t="s">
        <v>27</v>
      </c>
      <c r="F1002" s="14" t="s">
        <v>28</v>
      </c>
      <c r="G1002" s="15" t="s">
        <v>23</v>
      </c>
      <c r="H1002" s="15"/>
      <c r="I1002" s="15">
        <v>201407</v>
      </c>
      <c r="J1002" s="16">
        <v>-712.05</v>
      </c>
      <c r="K1002" s="44">
        <f t="shared" si="79"/>
        <v>41944</v>
      </c>
      <c r="L1002" s="45">
        <f t="shared" si="81"/>
        <v>7</v>
      </c>
      <c r="M1002" s="17">
        <v>1.4833299999999999E-3</v>
      </c>
      <c r="N1002" s="46">
        <f t="shared" si="80"/>
        <v>-7.3934358854999997</v>
      </c>
      <c r="O1002" s="16"/>
      <c r="P1002" s="63">
        <f t="shared" si="82"/>
        <v>-342.67406250000005</v>
      </c>
      <c r="Q1002" s="16"/>
      <c r="R1002" s="48">
        <f t="shared" si="78"/>
        <v>-12.850722375</v>
      </c>
    </row>
    <row r="1003" spans="1:18">
      <c r="A1003" s="14" t="s">
        <v>17</v>
      </c>
      <c r="B1003" s="15" t="s">
        <v>697</v>
      </c>
      <c r="C1003" s="15" t="s">
        <v>698</v>
      </c>
      <c r="D1003" s="14" t="s">
        <v>699</v>
      </c>
      <c r="E1003" s="15" t="s">
        <v>108</v>
      </c>
      <c r="F1003" s="14" t="s">
        <v>28</v>
      </c>
      <c r="G1003" s="15" t="s">
        <v>23</v>
      </c>
      <c r="H1003" s="15"/>
      <c r="I1003" s="15">
        <v>201407</v>
      </c>
      <c r="J1003" s="16">
        <v>0.06</v>
      </c>
      <c r="K1003" s="44">
        <f t="shared" si="79"/>
        <v>41944</v>
      </c>
      <c r="L1003" s="45">
        <f t="shared" si="81"/>
        <v>7</v>
      </c>
      <c r="M1003" s="17">
        <v>1.4833299999999999E-3</v>
      </c>
      <c r="N1003" s="46">
        <f t="shared" si="80"/>
        <v>6.2299859999999992E-4</v>
      </c>
      <c r="O1003" s="16"/>
      <c r="P1003" s="63">
        <f t="shared" si="82"/>
        <v>2.8875000000000001E-2</v>
      </c>
      <c r="Q1003" s="16"/>
      <c r="R1003" s="48">
        <f t="shared" si="78"/>
        <v>1.08285E-3</v>
      </c>
    </row>
    <row r="1004" spans="1:18">
      <c r="A1004" s="14" t="s">
        <v>17</v>
      </c>
      <c r="B1004" s="15" t="s">
        <v>24</v>
      </c>
      <c r="C1004" s="15" t="s">
        <v>25</v>
      </c>
      <c r="D1004" s="14" t="s">
        <v>26</v>
      </c>
      <c r="E1004" s="15" t="s">
        <v>27</v>
      </c>
      <c r="F1004" s="14" t="s">
        <v>28</v>
      </c>
      <c r="G1004" s="15" t="s">
        <v>23</v>
      </c>
      <c r="H1004" s="15"/>
      <c r="I1004" s="15">
        <v>201407</v>
      </c>
      <c r="J1004" s="16">
        <v>230.7</v>
      </c>
      <c r="K1004" s="44">
        <f t="shared" si="79"/>
        <v>41944</v>
      </c>
      <c r="L1004" s="45">
        <f t="shared" si="81"/>
        <v>7</v>
      </c>
      <c r="M1004" s="17">
        <v>1.4833299999999999E-3</v>
      </c>
      <c r="N1004" s="46">
        <f t="shared" si="80"/>
        <v>2.395429617</v>
      </c>
      <c r="O1004" s="16"/>
      <c r="P1004" s="63">
        <f t="shared" si="82"/>
        <v>111.02437500000001</v>
      </c>
      <c r="Q1004" s="16"/>
      <c r="R1004" s="48">
        <f t="shared" si="78"/>
        <v>4.1635582500000003</v>
      </c>
    </row>
    <row r="1005" spans="1:18">
      <c r="A1005" s="14" t="s">
        <v>54</v>
      </c>
      <c r="B1005" s="15" t="s">
        <v>870</v>
      </c>
      <c r="C1005" s="15" t="s">
        <v>871</v>
      </c>
      <c r="D1005" s="14" t="s">
        <v>872</v>
      </c>
      <c r="E1005" s="15" t="s">
        <v>108</v>
      </c>
      <c r="F1005" s="14" t="s">
        <v>28</v>
      </c>
      <c r="G1005" s="15" t="s">
        <v>23</v>
      </c>
      <c r="H1005" s="15"/>
      <c r="I1005" s="15">
        <v>201407</v>
      </c>
      <c r="J1005" s="16">
        <v>0</v>
      </c>
      <c r="K1005" s="44">
        <f t="shared" si="79"/>
        <v>41944</v>
      </c>
      <c r="L1005" s="45">
        <f t="shared" si="81"/>
        <v>7</v>
      </c>
      <c r="M1005" s="17">
        <v>1.4833299999999999E-3</v>
      </c>
      <c r="N1005" s="46">
        <f t="shared" si="80"/>
        <v>0</v>
      </c>
      <c r="O1005" s="16"/>
      <c r="P1005" s="63">
        <f t="shared" si="82"/>
        <v>0</v>
      </c>
      <c r="Q1005" s="16"/>
      <c r="R1005" s="48">
        <f t="shared" si="78"/>
        <v>0</v>
      </c>
    </row>
    <row r="1006" spans="1:18">
      <c r="A1006" s="14" t="s">
        <v>17</v>
      </c>
      <c r="B1006" s="15" t="s">
        <v>350</v>
      </c>
      <c r="C1006" s="15" t="s">
        <v>351</v>
      </c>
      <c r="D1006" s="14" t="s">
        <v>352</v>
      </c>
      <c r="E1006" s="15" t="s">
        <v>108</v>
      </c>
      <c r="F1006" s="14" t="s">
        <v>28</v>
      </c>
      <c r="G1006" s="15" t="s">
        <v>23</v>
      </c>
      <c r="H1006" s="15"/>
      <c r="I1006" s="15">
        <v>201407</v>
      </c>
      <c r="J1006" s="16">
        <v>416.3</v>
      </c>
      <c r="K1006" s="44">
        <f t="shared" si="79"/>
        <v>41944</v>
      </c>
      <c r="L1006" s="45">
        <f t="shared" si="81"/>
        <v>7</v>
      </c>
      <c r="M1006" s="17">
        <v>1.4833299999999999E-3</v>
      </c>
      <c r="N1006" s="46">
        <f t="shared" si="80"/>
        <v>4.3225719529999997</v>
      </c>
      <c r="O1006" s="16"/>
      <c r="P1006" s="63">
        <f t="shared" si="82"/>
        <v>200.34437500000004</v>
      </c>
      <c r="Q1006" s="16"/>
      <c r="R1006" s="48">
        <f t="shared" si="78"/>
        <v>7.5131742500000005</v>
      </c>
    </row>
    <row r="1007" spans="1:18">
      <c r="A1007" s="14" t="s">
        <v>17</v>
      </c>
      <c r="B1007" s="15" t="s">
        <v>186</v>
      </c>
      <c r="C1007" s="15" t="s">
        <v>187</v>
      </c>
      <c r="D1007" s="14" t="s">
        <v>188</v>
      </c>
      <c r="E1007" s="15" t="s">
        <v>108</v>
      </c>
      <c r="F1007" s="14" t="s">
        <v>28</v>
      </c>
      <c r="G1007" s="15" t="s">
        <v>23</v>
      </c>
      <c r="H1007" s="15"/>
      <c r="I1007" s="15">
        <v>201407</v>
      </c>
      <c r="J1007" s="16">
        <v>903.66</v>
      </c>
      <c r="K1007" s="44">
        <f t="shared" si="79"/>
        <v>41944</v>
      </c>
      <c r="L1007" s="45">
        <f t="shared" si="81"/>
        <v>7</v>
      </c>
      <c r="M1007" s="17">
        <v>1.4833299999999999E-3</v>
      </c>
      <c r="N1007" s="46">
        <f t="shared" si="80"/>
        <v>9.3829819146000002</v>
      </c>
      <c r="O1007" s="16"/>
      <c r="P1007" s="63">
        <f t="shared" si="82"/>
        <v>434.88637500000004</v>
      </c>
      <c r="Q1007" s="16"/>
      <c r="R1007" s="48">
        <f t="shared" si="78"/>
        <v>16.30880385</v>
      </c>
    </row>
    <row r="1008" spans="1:18">
      <c r="A1008" s="14" t="s">
        <v>17</v>
      </c>
      <c r="B1008" s="15" t="s">
        <v>658</v>
      </c>
      <c r="C1008" s="15" t="s">
        <v>659</v>
      </c>
      <c r="D1008" s="14" t="s">
        <v>660</v>
      </c>
      <c r="E1008" s="15" t="s">
        <v>440</v>
      </c>
      <c r="F1008" s="14" t="s">
        <v>28</v>
      </c>
      <c r="G1008" s="15" t="s">
        <v>23</v>
      </c>
      <c r="H1008" s="15"/>
      <c r="I1008" s="15">
        <v>201407</v>
      </c>
      <c r="J1008" s="16">
        <v>389.63</v>
      </c>
      <c r="K1008" s="44">
        <f t="shared" si="79"/>
        <v>41944</v>
      </c>
      <c r="L1008" s="45">
        <f t="shared" si="81"/>
        <v>7</v>
      </c>
      <c r="M1008" s="17">
        <v>1.4833299999999999E-3</v>
      </c>
      <c r="N1008" s="46">
        <f t="shared" si="80"/>
        <v>4.0456490753000001</v>
      </c>
      <c r="O1008" s="16"/>
      <c r="P1008" s="63">
        <f t="shared" si="82"/>
        <v>187.50943750000002</v>
      </c>
      <c r="Q1008" s="16"/>
      <c r="R1008" s="48">
        <f t="shared" si="78"/>
        <v>7.0318474250000005</v>
      </c>
    </row>
    <row r="1009" spans="1:18">
      <c r="A1009" s="14" t="s">
        <v>17</v>
      </c>
      <c r="B1009" s="15" t="s">
        <v>628</v>
      </c>
      <c r="C1009" s="15" t="s">
        <v>629</v>
      </c>
      <c r="D1009" s="14" t="s">
        <v>630</v>
      </c>
      <c r="E1009" s="15" t="s">
        <v>440</v>
      </c>
      <c r="F1009" s="14" t="s">
        <v>28</v>
      </c>
      <c r="G1009" s="15" t="s">
        <v>23</v>
      </c>
      <c r="H1009" s="15"/>
      <c r="I1009" s="15">
        <v>201407</v>
      </c>
      <c r="J1009" s="16">
        <v>836.7</v>
      </c>
      <c r="K1009" s="44">
        <f t="shared" si="79"/>
        <v>41944</v>
      </c>
      <c r="L1009" s="45">
        <f t="shared" si="81"/>
        <v>7</v>
      </c>
      <c r="M1009" s="17">
        <v>1.4833299999999999E-3</v>
      </c>
      <c r="N1009" s="46">
        <f t="shared" si="80"/>
        <v>8.6877154770000011</v>
      </c>
      <c r="O1009" s="16"/>
      <c r="P1009" s="63">
        <f t="shared" si="82"/>
        <v>402.66187500000007</v>
      </c>
      <c r="Q1009" s="16"/>
      <c r="R1009" s="48">
        <f t="shared" si="78"/>
        <v>15.100343250000002</v>
      </c>
    </row>
    <row r="1010" spans="1:18">
      <c r="A1010" s="14" t="s">
        <v>17</v>
      </c>
      <c r="B1010" s="15" t="s">
        <v>894</v>
      </c>
      <c r="C1010" s="15" t="s">
        <v>895</v>
      </c>
      <c r="D1010" s="14" t="s">
        <v>896</v>
      </c>
      <c r="E1010" s="15" t="s">
        <v>440</v>
      </c>
      <c r="F1010" s="14" t="s">
        <v>28</v>
      </c>
      <c r="G1010" s="15" t="s">
        <v>23</v>
      </c>
      <c r="H1010" s="15"/>
      <c r="I1010" s="15">
        <v>201407</v>
      </c>
      <c r="J1010" s="16">
        <v>10209.4</v>
      </c>
      <c r="K1010" s="44">
        <f t="shared" si="79"/>
        <v>41944</v>
      </c>
      <c r="L1010" s="45">
        <f t="shared" si="81"/>
        <v>7</v>
      </c>
      <c r="M1010" s="17">
        <v>1.4833299999999999E-3</v>
      </c>
      <c r="N1010" s="46">
        <f t="shared" si="80"/>
        <v>106.007365114</v>
      </c>
      <c r="O1010" s="16"/>
      <c r="P1010" s="63">
        <f t="shared" si="82"/>
        <v>4913.2737500000003</v>
      </c>
      <c r="Q1010" s="16"/>
      <c r="R1010" s="48">
        <f t="shared" si="78"/>
        <v>184.25414649999999</v>
      </c>
    </row>
    <row r="1011" spans="1:18">
      <c r="A1011" s="14" t="s">
        <v>17</v>
      </c>
      <c r="B1011" s="15" t="s">
        <v>477</v>
      </c>
      <c r="C1011" s="15" t="s">
        <v>478</v>
      </c>
      <c r="D1011" s="14" t="s">
        <v>479</v>
      </c>
      <c r="E1011" s="15" t="s">
        <v>440</v>
      </c>
      <c r="F1011" s="14" t="s">
        <v>28</v>
      </c>
      <c r="G1011" s="15" t="s">
        <v>23</v>
      </c>
      <c r="H1011" s="15"/>
      <c r="I1011" s="15">
        <v>201407</v>
      </c>
      <c r="J1011" s="16">
        <v>222.13</v>
      </c>
      <c r="K1011" s="44">
        <f t="shared" si="79"/>
        <v>41944</v>
      </c>
      <c r="L1011" s="45">
        <f t="shared" si="81"/>
        <v>7</v>
      </c>
      <c r="M1011" s="17">
        <v>1.4833299999999999E-3</v>
      </c>
      <c r="N1011" s="46">
        <f t="shared" si="80"/>
        <v>2.3064446503</v>
      </c>
      <c r="O1011" s="16"/>
      <c r="P1011" s="63">
        <f t="shared" si="82"/>
        <v>106.90006250000002</v>
      </c>
      <c r="Q1011" s="16"/>
      <c r="R1011" s="48">
        <f t="shared" si="78"/>
        <v>4.0088911750000005</v>
      </c>
    </row>
    <row r="1012" spans="1:18">
      <c r="A1012" s="14" t="s">
        <v>17</v>
      </c>
      <c r="B1012" s="15" t="s">
        <v>158</v>
      </c>
      <c r="C1012" s="15" t="s">
        <v>159</v>
      </c>
      <c r="D1012" s="14" t="s">
        <v>160</v>
      </c>
      <c r="E1012" s="15" t="s">
        <v>108</v>
      </c>
      <c r="F1012" s="14" t="s">
        <v>28</v>
      </c>
      <c r="G1012" s="15" t="s">
        <v>23</v>
      </c>
      <c r="H1012" s="15"/>
      <c r="I1012" s="15">
        <v>201407</v>
      </c>
      <c r="J1012" s="16">
        <v>0.2</v>
      </c>
      <c r="K1012" s="44">
        <f t="shared" si="79"/>
        <v>41944</v>
      </c>
      <c r="L1012" s="45">
        <f t="shared" si="81"/>
        <v>7</v>
      </c>
      <c r="M1012" s="17">
        <v>1.4833299999999999E-3</v>
      </c>
      <c r="N1012" s="46">
        <f t="shared" si="80"/>
        <v>2.076662E-3</v>
      </c>
      <c r="O1012" s="16"/>
      <c r="P1012" s="63">
        <f t="shared" si="82"/>
        <v>9.6250000000000016E-2</v>
      </c>
      <c r="Q1012" s="16"/>
      <c r="R1012" s="48">
        <f t="shared" si="78"/>
        <v>3.6095000000000003E-3</v>
      </c>
    </row>
    <row r="1013" spans="1:18">
      <c r="A1013" s="14" t="s">
        <v>17</v>
      </c>
      <c r="B1013" s="15" t="s">
        <v>329</v>
      </c>
      <c r="C1013" s="15" t="s">
        <v>330</v>
      </c>
      <c r="D1013" s="14" t="s">
        <v>331</v>
      </c>
      <c r="E1013" s="15" t="s">
        <v>108</v>
      </c>
      <c r="F1013" s="14" t="s">
        <v>28</v>
      </c>
      <c r="G1013" s="15" t="s">
        <v>23</v>
      </c>
      <c r="H1013" s="15"/>
      <c r="I1013" s="15">
        <v>201407</v>
      </c>
      <c r="J1013" s="16">
        <v>762.25</v>
      </c>
      <c r="K1013" s="44">
        <f t="shared" si="79"/>
        <v>41944</v>
      </c>
      <c r="L1013" s="45">
        <f t="shared" si="81"/>
        <v>7</v>
      </c>
      <c r="M1013" s="17">
        <v>1.4833299999999999E-3</v>
      </c>
      <c r="N1013" s="46">
        <f t="shared" si="80"/>
        <v>7.9146780474999998</v>
      </c>
      <c r="O1013" s="16"/>
      <c r="P1013" s="63">
        <f t="shared" si="82"/>
        <v>366.83281250000005</v>
      </c>
      <c r="Q1013" s="16"/>
      <c r="R1013" s="48">
        <f t="shared" si="78"/>
        <v>13.756706875000001</v>
      </c>
    </row>
    <row r="1014" spans="1:18">
      <c r="A1014" s="18" t="s">
        <v>66</v>
      </c>
      <c r="B1014" s="15" t="s">
        <v>463</v>
      </c>
      <c r="C1014" s="15" t="s">
        <v>464</v>
      </c>
      <c r="D1014" s="14" t="s">
        <v>465</v>
      </c>
      <c r="E1014" s="15" t="s">
        <v>466</v>
      </c>
      <c r="F1014" s="14" t="s">
        <v>467</v>
      </c>
      <c r="G1014" s="15" t="s">
        <v>23</v>
      </c>
      <c r="H1014" s="15"/>
      <c r="I1014" s="15">
        <v>201407</v>
      </c>
      <c r="J1014" s="16">
        <v>0</v>
      </c>
      <c r="K1014" s="44">
        <f t="shared" si="79"/>
        <v>41944</v>
      </c>
      <c r="L1014" s="45">
        <f t="shared" si="81"/>
        <v>7</v>
      </c>
      <c r="M1014" s="17">
        <v>2.23333E-3</v>
      </c>
      <c r="N1014" s="46">
        <f t="shared" si="80"/>
        <v>0</v>
      </c>
      <c r="O1014" s="16"/>
      <c r="P1014" s="63">
        <f t="shared" si="82"/>
        <v>0</v>
      </c>
      <c r="Q1014" s="16"/>
      <c r="R1014" s="48">
        <f t="shared" si="78"/>
        <v>0</v>
      </c>
    </row>
    <row r="1015" spans="1:18">
      <c r="A1015" s="18" t="s">
        <v>66</v>
      </c>
      <c r="B1015" s="15" t="s">
        <v>620</v>
      </c>
      <c r="C1015" s="15" t="s">
        <v>621</v>
      </c>
      <c r="D1015" s="14" t="s">
        <v>622</v>
      </c>
      <c r="E1015" s="15" t="s">
        <v>623</v>
      </c>
      <c r="F1015" s="14" t="s">
        <v>624</v>
      </c>
      <c r="G1015" s="15" t="s">
        <v>23</v>
      </c>
      <c r="H1015" s="15"/>
      <c r="I1015" s="15">
        <v>201407</v>
      </c>
      <c r="J1015" s="16">
        <v>112.29</v>
      </c>
      <c r="K1015" s="44">
        <f t="shared" si="79"/>
        <v>41944</v>
      </c>
      <c r="L1015" s="45">
        <f t="shared" si="81"/>
        <v>7</v>
      </c>
      <c r="M1015" s="17">
        <v>2.23333E-3</v>
      </c>
      <c r="N1015" s="46">
        <f t="shared" si="80"/>
        <v>1.7554643799000003</v>
      </c>
      <c r="O1015" s="16"/>
      <c r="P1015" s="63">
        <f t="shared" si="82"/>
        <v>54.039562500000009</v>
      </c>
      <c r="Q1015" s="16"/>
      <c r="R1015" s="48">
        <f t="shared" si="78"/>
        <v>2.0265537750000004</v>
      </c>
    </row>
    <row r="1016" spans="1:18">
      <c r="A1016" s="18" t="s">
        <v>66</v>
      </c>
      <c r="B1016" s="15" t="s">
        <v>734</v>
      </c>
      <c r="C1016" s="15" t="s">
        <v>735</v>
      </c>
      <c r="D1016" s="14" t="s">
        <v>736</v>
      </c>
      <c r="E1016" s="15" t="s">
        <v>737</v>
      </c>
      <c r="F1016" s="14" t="s">
        <v>624</v>
      </c>
      <c r="G1016" s="15" t="s">
        <v>23</v>
      </c>
      <c r="H1016" s="15"/>
      <c r="I1016" s="15">
        <v>201407</v>
      </c>
      <c r="J1016" s="16">
        <v>530.62</v>
      </c>
      <c r="K1016" s="44">
        <f t="shared" si="79"/>
        <v>41944</v>
      </c>
      <c r="L1016" s="45">
        <f t="shared" si="81"/>
        <v>7</v>
      </c>
      <c r="M1016" s="17">
        <v>2.23333E-3</v>
      </c>
      <c r="N1016" s="46">
        <f t="shared" si="80"/>
        <v>8.295346952200001</v>
      </c>
      <c r="O1016" s="16"/>
      <c r="P1016" s="63">
        <f t="shared" si="82"/>
        <v>255.36087500000005</v>
      </c>
      <c r="Q1016" s="16"/>
      <c r="R1016" s="48">
        <f t="shared" si="78"/>
        <v>9.5763644499999998</v>
      </c>
    </row>
    <row r="1017" spans="1:18">
      <c r="A1017" s="18" t="s">
        <v>66</v>
      </c>
      <c r="B1017" s="15" t="s">
        <v>839</v>
      </c>
      <c r="C1017" s="15" t="s">
        <v>840</v>
      </c>
      <c r="D1017" s="14" t="s">
        <v>841</v>
      </c>
      <c r="E1017" s="15" t="s">
        <v>842</v>
      </c>
      <c r="F1017" s="14" t="s">
        <v>624</v>
      </c>
      <c r="G1017" s="15" t="s">
        <v>23</v>
      </c>
      <c r="H1017" s="15"/>
      <c r="I1017" s="15">
        <v>201407</v>
      </c>
      <c r="J1017" s="16">
        <v>532.51</v>
      </c>
      <c r="K1017" s="44">
        <f t="shared" si="79"/>
        <v>41944</v>
      </c>
      <c r="L1017" s="45">
        <f t="shared" si="81"/>
        <v>7</v>
      </c>
      <c r="M1017" s="17">
        <v>2.23333E-3</v>
      </c>
      <c r="N1017" s="46">
        <f t="shared" si="80"/>
        <v>8.3248939081</v>
      </c>
      <c r="O1017" s="16"/>
      <c r="P1017" s="63">
        <f t="shared" si="82"/>
        <v>256.27043750000001</v>
      </c>
      <c r="Q1017" s="16"/>
      <c r="R1017" s="48">
        <f t="shared" si="78"/>
        <v>9.6104742250000008</v>
      </c>
    </row>
    <row r="1018" spans="1:18">
      <c r="A1018" s="18" t="s">
        <v>66</v>
      </c>
      <c r="B1018" s="15" t="s">
        <v>587</v>
      </c>
      <c r="C1018" s="15" t="s">
        <v>588</v>
      </c>
      <c r="D1018" s="14" t="s">
        <v>589</v>
      </c>
      <c r="E1018" s="15" t="s">
        <v>590</v>
      </c>
      <c r="F1018" s="14" t="s">
        <v>591</v>
      </c>
      <c r="G1018" s="15" t="s">
        <v>23</v>
      </c>
      <c r="H1018" s="15"/>
      <c r="I1018" s="15">
        <v>201407</v>
      </c>
      <c r="J1018" s="16">
        <v>2.0699999999999998</v>
      </c>
      <c r="K1018" s="44">
        <f t="shared" si="79"/>
        <v>41944</v>
      </c>
      <c r="L1018" s="45">
        <f t="shared" si="81"/>
        <v>7</v>
      </c>
      <c r="M1018" s="17">
        <v>2.23333E-3</v>
      </c>
      <c r="N1018" s="46">
        <f t="shared" si="80"/>
        <v>3.2360951700000001E-2</v>
      </c>
      <c r="O1018" s="16"/>
      <c r="P1018" s="63">
        <f t="shared" si="82"/>
        <v>0.99618750000000011</v>
      </c>
      <c r="Q1018" s="16"/>
      <c r="R1018" s="48">
        <f t="shared" si="78"/>
        <v>3.7358324999999998E-2</v>
      </c>
    </row>
    <row r="1019" spans="1:18">
      <c r="A1019" s="18" t="s">
        <v>66</v>
      </c>
      <c r="B1019" s="15" t="s">
        <v>81</v>
      </c>
      <c r="C1019" s="15" t="s">
        <v>82</v>
      </c>
      <c r="D1019" s="14" t="s">
        <v>83</v>
      </c>
      <c r="E1019" s="15" t="s">
        <v>84</v>
      </c>
      <c r="F1019" s="14" t="s">
        <v>85</v>
      </c>
      <c r="G1019" s="15" t="s">
        <v>23</v>
      </c>
      <c r="H1019" s="15"/>
      <c r="I1019" s="15">
        <v>201407</v>
      </c>
      <c r="J1019" s="16">
        <v>114794.98</v>
      </c>
      <c r="K1019" s="44">
        <f t="shared" si="79"/>
        <v>41944</v>
      </c>
      <c r="L1019" s="45">
        <f t="shared" si="81"/>
        <v>7</v>
      </c>
      <c r="M1019" s="17">
        <v>2.23333E-3</v>
      </c>
      <c r="N1019" s="46">
        <f t="shared" si="80"/>
        <v>1794.6255087838001</v>
      </c>
      <c r="O1019" s="16"/>
      <c r="P1019" s="63">
        <f t="shared" si="82"/>
        <v>55245.084125000008</v>
      </c>
      <c r="Q1019" s="16"/>
      <c r="R1019" s="48">
        <f t="shared" si="78"/>
        <v>2071.76240155</v>
      </c>
    </row>
    <row r="1020" spans="1:18">
      <c r="A1020" s="18" t="s">
        <v>66</v>
      </c>
      <c r="B1020" s="15" t="s">
        <v>223</v>
      </c>
      <c r="C1020" s="15" t="s">
        <v>224</v>
      </c>
      <c r="D1020" s="14" t="s">
        <v>88</v>
      </c>
      <c r="E1020" s="15" t="s">
        <v>225</v>
      </c>
      <c r="F1020" s="14" t="s">
        <v>85</v>
      </c>
      <c r="G1020" s="15" t="s">
        <v>23</v>
      </c>
      <c r="H1020" s="15"/>
      <c r="I1020" s="15">
        <v>201407</v>
      </c>
      <c r="J1020" s="16">
        <v>21147.119999999999</v>
      </c>
      <c r="K1020" s="44">
        <f t="shared" si="79"/>
        <v>41944</v>
      </c>
      <c r="L1020" s="45">
        <f t="shared" si="81"/>
        <v>7</v>
      </c>
      <c r="M1020" s="17">
        <v>2.23333E-3</v>
      </c>
      <c r="N1020" s="46">
        <f t="shared" si="80"/>
        <v>330.59948256720003</v>
      </c>
      <c r="O1020" s="16"/>
      <c r="P1020" s="63">
        <f t="shared" si="82"/>
        <v>10177.051500000001</v>
      </c>
      <c r="Q1020" s="16"/>
      <c r="R1020" s="48">
        <f t="shared" si="78"/>
        <v>381.65264819999999</v>
      </c>
    </row>
    <row r="1021" spans="1:18">
      <c r="A1021" s="18" t="s">
        <v>66</v>
      </c>
      <c r="B1021" s="15" t="s">
        <v>86</v>
      </c>
      <c r="C1021" s="15" t="s">
        <v>87</v>
      </c>
      <c r="D1021" s="14" t="s">
        <v>88</v>
      </c>
      <c r="E1021" s="15" t="s">
        <v>89</v>
      </c>
      <c r="F1021" s="14" t="s">
        <v>85</v>
      </c>
      <c r="G1021" s="15" t="s">
        <v>23</v>
      </c>
      <c r="H1021" s="15"/>
      <c r="I1021" s="15">
        <v>201407</v>
      </c>
      <c r="J1021" s="16">
        <v>6372.71</v>
      </c>
      <c r="K1021" s="44">
        <f t="shared" si="79"/>
        <v>41944</v>
      </c>
      <c r="L1021" s="45">
        <f t="shared" si="81"/>
        <v>7</v>
      </c>
      <c r="M1021" s="17">
        <v>2.23333E-3</v>
      </c>
      <c r="N1021" s="46">
        <f t="shared" si="80"/>
        <v>99.626550970100013</v>
      </c>
      <c r="O1021" s="16"/>
      <c r="P1021" s="63">
        <f t="shared" si="82"/>
        <v>3066.8666875000004</v>
      </c>
      <c r="Q1021" s="16"/>
      <c r="R1021" s="48">
        <f t="shared" si="78"/>
        <v>115.01148372500001</v>
      </c>
    </row>
    <row r="1022" spans="1:18">
      <c r="A1022" s="18" t="s">
        <v>66</v>
      </c>
      <c r="B1022" s="15" t="s">
        <v>371</v>
      </c>
      <c r="C1022" s="15" t="s">
        <v>372</v>
      </c>
      <c r="D1022" s="14" t="s">
        <v>88</v>
      </c>
      <c r="E1022" s="15" t="s">
        <v>373</v>
      </c>
      <c r="F1022" s="14" t="s">
        <v>85</v>
      </c>
      <c r="G1022" s="15" t="s">
        <v>23</v>
      </c>
      <c r="H1022" s="15"/>
      <c r="I1022" s="15">
        <v>201407</v>
      </c>
      <c r="J1022" s="16">
        <v>51945.94</v>
      </c>
      <c r="K1022" s="44">
        <f t="shared" si="79"/>
        <v>41944</v>
      </c>
      <c r="L1022" s="45">
        <f t="shared" si="81"/>
        <v>7</v>
      </c>
      <c r="M1022" s="17">
        <v>2.23333E-3</v>
      </c>
      <c r="N1022" s="46">
        <f t="shared" si="80"/>
        <v>812.08698326140006</v>
      </c>
      <c r="O1022" s="16"/>
      <c r="P1022" s="63">
        <f t="shared" si="82"/>
        <v>24998.983625000004</v>
      </c>
      <c r="Q1022" s="16"/>
      <c r="R1022" s="48">
        <f t="shared" si="78"/>
        <v>937.49435215000005</v>
      </c>
    </row>
    <row r="1023" spans="1:18">
      <c r="A1023" s="18" t="s">
        <v>66</v>
      </c>
      <c r="B1023" s="15" t="s">
        <v>67</v>
      </c>
      <c r="C1023" s="15" t="s">
        <v>68</v>
      </c>
      <c r="D1023" s="14" t="s">
        <v>69</v>
      </c>
      <c r="E1023" s="15" t="s">
        <v>70</v>
      </c>
      <c r="F1023" s="14" t="s">
        <v>71</v>
      </c>
      <c r="G1023" s="15" t="s">
        <v>23</v>
      </c>
      <c r="H1023" s="15"/>
      <c r="I1023" s="15">
        <v>201407</v>
      </c>
      <c r="J1023" s="16">
        <v>-100.35</v>
      </c>
      <c r="K1023" s="44">
        <f t="shared" si="79"/>
        <v>41944</v>
      </c>
      <c r="L1023" s="45">
        <f t="shared" si="81"/>
        <v>7</v>
      </c>
      <c r="M1023" s="17">
        <v>2.23333E-3</v>
      </c>
      <c r="N1023" s="46">
        <f t="shared" si="80"/>
        <v>-1.5688026585000001</v>
      </c>
      <c r="O1023" s="16"/>
      <c r="P1023" s="63">
        <f t="shared" si="82"/>
        <v>-48.293437500000003</v>
      </c>
      <c r="Q1023" s="16"/>
      <c r="R1023" s="48">
        <f t="shared" si="78"/>
        <v>-1.811066625</v>
      </c>
    </row>
    <row r="1024" spans="1:18">
      <c r="A1024" s="18" t="s">
        <v>66</v>
      </c>
      <c r="B1024" s="15" t="s">
        <v>72</v>
      </c>
      <c r="C1024" s="15" t="s">
        <v>73</v>
      </c>
      <c r="D1024" s="14" t="s">
        <v>74</v>
      </c>
      <c r="E1024" s="15" t="s">
        <v>75</v>
      </c>
      <c r="F1024" s="14" t="s">
        <v>71</v>
      </c>
      <c r="G1024" s="15" t="s">
        <v>23</v>
      </c>
      <c r="H1024" s="15"/>
      <c r="I1024" s="15">
        <v>201407</v>
      </c>
      <c r="J1024" s="16">
        <v>21076.95</v>
      </c>
      <c r="K1024" s="44">
        <f t="shared" si="79"/>
        <v>41944</v>
      </c>
      <c r="L1024" s="45">
        <f t="shared" si="81"/>
        <v>7</v>
      </c>
      <c r="M1024" s="17">
        <v>2.23333E-3</v>
      </c>
      <c r="N1024" s="46">
        <f t="shared" si="80"/>
        <v>329.50249320450001</v>
      </c>
      <c r="O1024" s="16"/>
      <c r="P1024" s="63">
        <f t="shared" si="82"/>
        <v>10143.282187500001</v>
      </c>
      <c r="Q1024" s="16"/>
      <c r="R1024" s="48">
        <f t="shared" si="78"/>
        <v>380.38625512500005</v>
      </c>
    </row>
    <row r="1025" spans="1:18">
      <c r="A1025" s="18" t="s">
        <v>66</v>
      </c>
      <c r="B1025" s="15" t="s">
        <v>197</v>
      </c>
      <c r="C1025" s="15" t="s">
        <v>198</v>
      </c>
      <c r="D1025" s="14" t="s">
        <v>69</v>
      </c>
      <c r="E1025" s="15" t="s">
        <v>199</v>
      </c>
      <c r="F1025" s="14" t="s">
        <v>71</v>
      </c>
      <c r="G1025" s="15" t="s">
        <v>23</v>
      </c>
      <c r="H1025" s="15"/>
      <c r="I1025" s="15">
        <v>201407</v>
      </c>
      <c r="J1025" s="16">
        <v>4300.68</v>
      </c>
      <c r="K1025" s="44">
        <f t="shared" si="79"/>
        <v>41944</v>
      </c>
      <c r="L1025" s="45">
        <f t="shared" si="81"/>
        <v>7</v>
      </c>
      <c r="M1025" s="17">
        <v>2.23333E-3</v>
      </c>
      <c r="N1025" s="46">
        <f t="shared" si="80"/>
        <v>67.233863650800004</v>
      </c>
      <c r="O1025" s="16"/>
      <c r="P1025" s="63">
        <f t="shared" si="82"/>
        <v>2069.7022500000003</v>
      </c>
      <c r="Q1025" s="16"/>
      <c r="R1025" s="48">
        <f t="shared" si="78"/>
        <v>77.616522300000014</v>
      </c>
    </row>
    <row r="1026" spans="1:18">
      <c r="A1026" s="18" t="s">
        <v>66</v>
      </c>
      <c r="B1026" s="15" t="s">
        <v>741</v>
      </c>
      <c r="C1026" s="15" t="s">
        <v>742</v>
      </c>
      <c r="D1026" s="14" t="s">
        <v>69</v>
      </c>
      <c r="E1026" s="15" t="s">
        <v>70</v>
      </c>
      <c r="F1026" s="14" t="s">
        <v>71</v>
      </c>
      <c r="G1026" s="15" t="s">
        <v>23</v>
      </c>
      <c r="H1026" s="15"/>
      <c r="I1026" s="15">
        <v>201407</v>
      </c>
      <c r="J1026" s="16">
        <v>4010.69</v>
      </c>
      <c r="K1026" s="44">
        <f t="shared" si="79"/>
        <v>41944</v>
      </c>
      <c r="L1026" s="45">
        <f t="shared" si="81"/>
        <v>7</v>
      </c>
      <c r="M1026" s="17">
        <v>2.23333E-3</v>
      </c>
      <c r="N1026" s="46">
        <f t="shared" si="80"/>
        <v>62.700360083900001</v>
      </c>
      <c r="O1026" s="16"/>
      <c r="P1026" s="63">
        <f t="shared" si="82"/>
        <v>1930.1445625000003</v>
      </c>
      <c r="Q1026" s="16"/>
      <c r="R1026" s="48">
        <f t="shared" si="78"/>
        <v>72.382927774999999</v>
      </c>
    </row>
    <row r="1027" spans="1:18">
      <c r="A1027" s="18" t="s">
        <v>66</v>
      </c>
      <c r="B1027" s="15" t="s">
        <v>379</v>
      </c>
      <c r="C1027" s="15" t="s">
        <v>380</v>
      </c>
      <c r="D1027" s="14" t="s">
        <v>381</v>
      </c>
      <c r="E1027" s="15" t="s">
        <v>382</v>
      </c>
      <c r="F1027" s="14" t="s">
        <v>212</v>
      </c>
      <c r="G1027" s="15" t="s">
        <v>23</v>
      </c>
      <c r="H1027" s="15"/>
      <c r="I1027" s="15">
        <v>201407</v>
      </c>
      <c r="J1027" s="16">
        <v>63243.95</v>
      </c>
      <c r="K1027" s="44">
        <f t="shared" si="79"/>
        <v>41944</v>
      </c>
      <c r="L1027" s="45">
        <f t="shared" si="81"/>
        <v>7</v>
      </c>
      <c r="M1027" s="17">
        <v>2.23333E-3</v>
      </c>
      <c r="N1027" s="46">
        <f t="shared" si="80"/>
        <v>988.71227597450002</v>
      </c>
      <c r="O1027" s="16"/>
      <c r="P1027" s="63">
        <f t="shared" si="82"/>
        <v>30436.150937500002</v>
      </c>
      <c r="Q1027" s="16"/>
      <c r="R1027" s="48">
        <f t="shared" si="78"/>
        <v>1141.3951876250001</v>
      </c>
    </row>
    <row r="1028" spans="1:18">
      <c r="A1028" s="18" t="s">
        <v>66</v>
      </c>
      <c r="B1028" s="15" t="s">
        <v>208</v>
      </c>
      <c r="C1028" s="15" t="s">
        <v>209</v>
      </c>
      <c r="D1028" s="14" t="s">
        <v>210</v>
      </c>
      <c r="E1028" s="15" t="s">
        <v>211</v>
      </c>
      <c r="F1028" s="14" t="s">
        <v>212</v>
      </c>
      <c r="G1028" s="15" t="s">
        <v>23</v>
      </c>
      <c r="H1028" s="15"/>
      <c r="I1028" s="15">
        <v>201407</v>
      </c>
      <c r="J1028" s="16">
        <v>411.64</v>
      </c>
      <c r="K1028" s="44">
        <f t="shared" si="79"/>
        <v>41944</v>
      </c>
      <c r="L1028" s="45">
        <f t="shared" si="81"/>
        <v>7</v>
      </c>
      <c r="M1028" s="17">
        <v>2.23333E-3</v>
      </c>
      <c r="N1028" s="46">
        <f t="shared" si="80"/>
        <v>6.4352957283999999</v>
      </c>
      <c r="O1028" s="16"/>
      <c r="P1028" s="63">
        <f t="shared" si="82"/>
        <v>198.10175000000001</v>
      </c>
      <c r="Q1028" s="16"/>
      <c r="R1028" s="48">
        <f t="shared" si="78"/>
        <v>7.4290729000000004</v>
      </c>
    </row>
    <row r="1029" spans="1:18">
      <c r="A1029" s="18" t="s">
        <v>66</v>
      </c>
      <c r="B1029" s="15" t="s">
        <v>592</v>
      </c>
      <c r="C1029" s="15" t="s">
        <v>593</v>
      </c>
      <c r="D1029" s="14" t="s">
        <v>381</v>
      </c>
      <c r="E1029" s="15" t="s">
        <v>594</v>
      </c>
      <c r="F1029" s="14" t="s">
        <v>212</v>
      </c>
      <c r="G1029" s="15" t="s">
        <v>23</v>
      </c>
      <c r="H1029" s="15"/>
      <c r="I1029" s="15">
        <v>201407</v>
      </c>
      <c r="J1029" s="16">
        <v>645.48</v>
      </c>
      <c r="K1029" s="44">
        <f t="shared" si="79"/>
        <v>41944</v>
      </c>
      <c r="L1029" s="45">
        <f t="shared" si="81"/>
        <v>7</v>
      </c>
      <c r="M1029" s="17">
        <v>2.23333E-3</v>
      </c>
      <c r="N1029" s="46">
        <f t="shared" si="80"/>
        <v>10.090988938800001</v>
      </c>
      <c r="O1029" s="16"/>
      <c r="P1029" s="63">
        <f t="shared" si="82"/>
        <v>310.63725000000005</v>
      </c>
      <c r="Q1029" s="16"/>
      <c r="R1029" s="48">
        <f t="shared" si="78"/>
        <v>11.6493003</v>
      </c>
    </row>
    <row r="1030" spans="1:18">
      <c r="A1030" s="18" t="s">
        <v>66</v>
      </c>
      <c r="B1030" s="15" t="s">
        <v>595</v>
      </c>
      <c r="C1030" s="15" t="s">
        <v>596</v>
      </c>
      <c r="D1030" s="14" t="s">
        <v>597</v>
      </c>
      <c r="E1030" s="15" t="s">
        <v>598</v>
      </c>
      <c r="F1030" s="14" t="s">
        <v>212</v>
      </c>
      <c r="G1030" s="15" t="s">
        <v>23</v>
      </c>
      <c r="H1030" s="15"/>
      <c r="I1030" s="15">
        <v>201407</v>
      </c>
      <c r="J1030" s="16">
        <v>189798.07</v>
      </c>
      <c r="K1030" s="44">
        <f t="shared" si="79"/>
        <v>41944</v>
      </c>
      <c r="L1030" s="45">
        <f t="shared" si="81"/>
        <v>7</v>
      </c>
      <c r="M1030" s="17">
        <v>2.23333E-3</v>
      </c>
      <c r="N1030" s="46">
        <f t="shared" si="80"/>
        <v>2967.1720657117003</v>
      </c>
      <c r="O1030" s="16"/>
      <c r="P1030" s="63">
        <f t="shared" si="82"/>
        <v>91340.321187500012</v>
      </c>
      <c r="Q1030" s="16"/>
      <c r="R1030" s="48">
        <f t="shared" ref="R1030:R1093" si="83">$R$4*(J1030*0.5)*$T$9</f>
        <v>3425.3806683250004</v>
      </c>
    </row>
    <row r="1031" spans="1:18">
      <c r="A1031" s="18" t="s">
        <v>66</v>
      </c>
      <c r="B1031" s="15" t="s">
        <v>93</v>
      </c>
      <c r="C1031" s="15" t="s">
        <v>94</v>
      </c>
      <c r="D1031" s="14" t="s">
        <v>95</v>
      </c>
      <c r="E1031" s="15" t="s">
        <v>96</v>
      </c>
      <c r="F1031" s="14" t="s">
        <v>97</v>
      </c>
      <c r="G1031" s="15" t="s">
        <v>23</v>
      </c>
      <c r="H1031" s="15"/>
      <c r="I1031" s="15">
        <v>201407</v>
      </c>
      <c r="J1031" s="16">
        <v>0.55000000000000004</v>
      </c>
      <c r="K1031" s="44">
        <f t="shared" ref="K1031:K1094" si="84">+K1030</f>
        <v>41944</v>
      </c>
      <c r="L1031" s="45">
        <f t="shared" si="81"/>
        <v>7</v>
      </c>
      <c r="M1031" s="17">
        <v>2.23333E-3</v>
      </c>
      <c r="N1031" s="46">
        <f t="shared" si="80"/>
        <v>8.598320500000001E-3</v>
      </c>
      <c r="O1031" s="16"/>
      <c r="P1031" s="63">
        <f t="shared" si="82"/>
        <v>0.26468750000000008</v>
      </c>
      <c r="Q1031" s="16"/>
      <c r="R1031" s="48">
        <f t="shared" si="83"/>
        <v>9.9261250000000009E-3</v>
      </c>
    </row>
    <row r="1032" spans="1:18">
      <c r="A1032" s="18" t="s">
        <v>66</v>
      </c>
      <c r="B1032" s="15" t="s">
        <v>671</v>
      </c>
      <c r="C1032" s="15" t="s">
        <v>672</v>
      </c>
      <c r="D1032" s="14" t="s">
        <v>206</v>
      </c>
      <c r="E1032" s="15" t="s">
        <v>673</v>
      </c>
      <c r="F1032" s="14" t="s">
        <v>97</v>
      </c>
      <c r="G1032" s="15" t="s">
        <v>23</v>
      </c>
      <c r="H1032" s="15"/>
      <c r="I1032" s="15">
        <v>201407</v>
      </c>
      <c r="J1032" s="16">
        <v>2190.04</v>
      </c>
      <c r="K1032" s="44">
        <f t="shared" si="84"/>
        <v>41944</v>
      </c>
      <c r="L1032" s="45">
        <f t="shared" si="81"/>
        <v>7</v>
      </c>
      <c r="M1032" s="17">
        <v>2.23333E-3</v>
      </c>
      <c r="N1032" s="46">
        <f t="shared" si="80"/>
        <v>34.2375742324</v>
      </c>
      <c r="O1032" s="16"/>
      <c r="P1032" s="63">
        <f t="shared" si="82"/>
        <v>1053.9567500000001</v>
      </c>
      <c r="Q1032" s="16"/>
      <c r="R1032" s="48">
        <f t="shared" si="83"/>
        <v>39.524746900000004</v>
      </c>
    </row>
    <row r="1033" spans="1:18">
      <c r="A1033" s="18" t="s">
        <v>66</v>
      </c>
      <c r="B1033" s="15" t="s">
        <v>204</v>
      </c>
      <c r="C1033" s="15" t="s">
        <v>205</v>
      </c>
      <c r="D1033" s="14" t="s">
        <v>206</v>
      </c>
      <c r="E1033" s="15" t="s">
        <v>207</v>
      </c>
      <c r="F1033" s="14" t="s">
        <v>97</v>
      </c>
      <c r="G1033" s="15" t="s">
        <v>23</v>
      </c>
      <c r="H1033" s="15"/>
      <c r="I1033" s="15">
        <v>201407</v>
      </c>
      <c r="J1033" s="16">
        <v>0.04</v>
      </c>
      <c r="K1033" s="44">
        <f t="shared" si="84"/>
        <v>41944</v>
      </c>
      <c r="L1033" s="45">
        <f t="shared" si="81"/>
        <v>7</v>
      </c>
      <c r="M1033" s="17">
        <v>2.23333E-3</v>
      </c>
      <c r="N1033" s="46">
        <f t="shared" si="80"/>
        <v>6.2533240000000006E-4</v>
      </c>
      <c r="O1033" s="16"/>
      <c r="P1033" s="63">
        <f t="shared" si="82"/>
        <v>1.9250000000000003E-2</v>
      </c>
      <c r="Q1033" s="16"/>
      <c r="R1033" s="48">
        <f t="shared" si="83"/>
        <v>7.2190000000000004E-4</v>
      </c>
    </row>
    <row r="1034" spans="1:18">
      <c r="A1034" s="18" t="s">
        <v>66</v>
      </c>
      <c r="B1034" s="15" t="s">
        <v>753</v>
      </c>
      <c r="C1034" s="15" t="s">
        <v>754</v>
      </c>
      <c r="D1034" s="14" t="s">
        <v>206</v>
      </c>
      <c r="E1034" s="15" t="s">
        <v>755</v>
      </c>
      <c r="F1034" s="14" t="s">
        <v>97</v>
      </c>
      <c r="G1034" s="15" t="s">
        <v>23</v>
      </c>
      <c r="H1034" s="15"/>
      <c r="I1034" s="15">
        <v>201407</v>
      </c>
      <c r="J1034" s="16">
        <v>-81801.59</v>
      </c>
      <c r="K1034" s="44">
        <f t="shared" si="84"/>
        <v>41944</v>
      </c>
      <c r="L1034" s="45">
        <f t="shared" si="81"/>
        <v>7</v>
      </c>
      <c r="M1034" s="17">
        <v>2.23333E-3</v>
      </c>
      <c r="N1034" s="46">
        <f t="shared" si="80"/>
        <v>-1278.8296149629</v>
      </c>
      <c r="O1034" s="16"/>
      <c r="P1034" s="63">
        <f t="shared" si="82"/>
        <v>-39367.015187500001</v>
      </c>
      <c r="Q1034" s="16"/>
      <c r="R1034" s="48">
        <f t="shared" si="83"/>
        <v>-1476.3141955250001</v>
      </c>
    </row>
    <row r="1035" spans="1:18">
      <c r="A1035" s="18" t="s">
        <v>66</v>
      </c>
      <c r="B1035" s="15" t="s">
        <v>489</v>
      </c>
      <c r="C1035" s="15" t="s">
        <v>490</v>
      </c>
      <c r="D1035" s="14" t="s">
        <v>491</v>
      </c>
      <c r="E1035" s="15" t="s">
        <v>492</v>
      </c>
      <c r="F1035" s="14" t="s">
        <v>378</v>
      </c>
      <c r="G1035" s="15" t="s">
        <v>23</v>
      </c>
      <c r="H1035" s="15"/>
      <c r="I1035" s="15">
        <v>201407</v>
      </c>
      <c r="J1035" s="16">
        <v>2.2599999999999998</v>
      </c>
      <c r="K1035" s="44">
        <f t="shared" si="84"/>
        <v>41944</v>
      </c>
      <c r="L1035" s="45">
        <f t="shared" si="81"/>
        <v>7</v>
      </c>
      <c r="M1035" s="17">
        <v>2.23333E-3</v>
      </c>
      <c r="N1035" s="46">
        <f t="shared" si="80"/>
        <v>3.5331280600000001E-2</v>
      </c>
      <c r="O1035" s="16"/>
      <c r="P1035" s="63">
        <f t="shared" si="82"/>
        <v>1.0876250000000001</v>
      </c>
      <c r="Q1035" s="16"/>
      <c r="R1035" s="48">
        <f t="shared" si="83"/>
        <v>4.078735E-2</v>
      </c>
    </row>
    <row r="1036" spans="1:18">
      <c r="A1036" s="18" t="s">
        <v>66</v>
      </c>
      <c r="B1036" s="15" t="s">
        <v>374</v>
      </c>
      <c r="C1036" s="15" t="s">
        <v>375</v>
      </c>
      <c r="D1036" s="14" t="s">
        <v>376</v>
      </c>
      <c r="E1036" s="15" t="s">
        <v>377</v>
      </c>
      <c r="F1036" s="14" t="s">
        <v>378</v>
      </c>
      <c r="G1036" s="15" t="s">
        <v>23</v>
      </c>
      <c r="H1036" s="15"/>
      <c r="I1036" s="15">
        <v>201407</v>
      </c>
      <c r="J1036" s="16">
        <v>19787.18</v>
      </c>
      <c r="K1036" s="44">
        <f t="shared" si="84"/>
        <v>41944</v>
      </c>
      <c r="L1036" s="45">
        <f t="shared" si="81"/>
        <v>7</v>
      </c>
      <c r="M1036" s="17">
        <v>2.23333E-3</v>
      </c>
      <c r="N1036" s="46">
        <f t="shared" ref="N1036:N1099" si="85">M1036*L1036*J1036</f>
        <v>309.33911896580003</v>
      </c>
      <c r="O1036" s="16"/>
      <c r="P1036" s="63">
        <f t="shared" si="82"/>
        <v>9522.5803750000014</v>
      </c>
      <c r="Q1036" s="16"/>
      <c r="R1036" s="48">
        <f t="shared" si="83"/>
        <v>357.10913105000003</v>
      </c>
    </row>
    <row r="1037" spans="1:18">
      <c r="A1037" s="18" t="s">
        <v>66</v>
      </c>
      <c r="B1037" s="15" t="s">
        <v>496</v>
      </c>
      <c r="C1037" s="15" t="s">
        <v>497</v>
      </c>
      <c r="D1037" s="14" t="s">
        <v>376</v>
      </c>
      <c r="E1037" s="15" t="s">
        <v>498</v>
      </c>
      <c r="F1037" s="14" t="s">
        <v>378</v>
      </c>
      <c r="G1037" s="15" t="s">
        <v>23</v>
      </c>
      <c r="H1037" s="15"/>
      <c r="I1037" s="15">
        <v>201407</v>
      </c>
      <c r="J1037" s="16">
        <v>142179.04</v>
      </c>
      <c r="K1037" s="44">
        <f t="shared" si="84"/>
        <v>41944</v>
      </c>
      <c r="L1037" s="45">
        <f t="shared" ref="L1037:L1099" si="86">((YEAR($L$1)-YEAR(K1037))*12+MONTH($L$1)-MONTH(K1037))</f>
        <v>7</v>
      </c>
      <c r="M1037" s="17">
        <v>2.23333E-3</v>
      </c>
      <c r="N1037" s="46">
        <f t="shared" si="85"/>
        <v>2222.7290078224005</v>
      </c>
      <c r="O1037" s="16"/>
      <c r="P1037" s="63">
        <f t="shared" ref="P1037:P1099" si="87">$P$4*J1037</f>
        <v>68423.663000000015</v>
      </c>
      <c r="Q1037" s="16"/>
      <c r="R1037" s="48">
        <f t="shared" si="83"/>
        <v>2565.9762244000003</v>
      </c>
    </row>
    <row r="1038" spans="1:18">
      <c r="A1038" s="18" t="s">
        <v>66</v>
      </c>
      <c r="B1038" s="15" t="s">
        <v>200</v>
      </c>
      <c r="C1038" s="15" t="s">
        <v>201</v>
      </c>
      <c r="D1038" s="14" t="s">
        <v>202</v>
      </c>
      <c r="E1038" s="15" t="s">
        <v>203</v>
      </c>
      <c r="F1038" s="14" t="s">
        <v>80</v>
      </c>
      <c r="G1038" s="15" t="s">
        <v>23</v>
      </c>
      <c r="H1038" s="15"/>
      <c r="I1038" s="15">
        <v>201407</v>
      </c>
      <c r="J1038" s="16">
        <v>49918.23</v>
      </c>
      <c r="K1038" s="44">
        <f t="shared" si="84"/>
        <v>41944</v>
      </c>
      <c r="L1038" s="45">
        <f t="shared" si="86"/>
        <v>7</v>
      </c>
      <c r="M1038" s="17">
        <v>2.23333E-3</v>
      </c>
      <c r="N1038" s="46">
        <f t="shared" si="85"/>
        <v>780.38716424130007</v>
      </c>
      <c r="O1038" s="16"/>
      <c r="P1038" s="63">
        <f t="shared" si="87"/>
        <v>24023.148187500006</v>
      </c>
      <c r="Q1038" s="16"/>
      <c r="R1038" s="48">
        <f t="shared" si="83"/>
        <v>900.89925592500015</v>
      </c>
    </row>
    <row r="1039" spans="1:18">
      <c r="A1039" s="18" t="s">
        <v>66</v>
      </c>
      <c r="B1039" s="15" t="s">
        <v>743</v>
      </c>
      <c r="C1039" s="15" t="s">
        <v>744</v>
      </c>
      <c r="D1039" s="14" t="s">
        <v>745</v>
      </c>
      <c r="E1039" s="15" t="s">
        <v>746</v>
      </c>
      <c r="F1039" s="14" t="s">
        <v>80</v>
      </c>
      <c r="G1039" s="15" t="s">
        <v>23</v>
      </c>
      <c r="H1039" s="15"/>
      <c r="I1039" s="15">
        <v>201407</v>
      </c>
      <c r="J1039" s="16">
        <v>63913.99</v>
      </c>
      <c r="K1039" s="44">
        <f t="shared" si="84"/>
        <v>41944</v>
      </c>
      <c r="L1039" s="45">
        <f t="shared" si="86"/>
        <v>7</v>
      </c>
      <c r="M1039" s="17">
        <v>2.23333E-3</v>
      </c>
      <c r="N1039" s="46">
        <f t="shared" si="85"/>
        <v>999.18721900690002</v>
      </c>
      <c r="O1039" s="16"/>
      <c r="P1039" s="63">
        <f t="shared" si="87"/>
        <v>30758.607687500004</v>
      </c>
      <c r="Q1039" s="16"/>
      <c r="R1039" s="48">
        <f t="shared" si="83"/>
        <v>1153.487734525</v>
      </c>
    </row>
    <row r="1040" spans="1:18">
      <c r="A1040" s="18" t="s">
        <v>66</v>
      </c>
      <c r="B1040" s="15" t="s">
        <v>226</v>
      </c>
      <c r="C1040" s="15" t="s">
        <v>227</v>
      </c>
      <c r="D1040" s="14" t="s">
        <v>78</v>
      </c>
      <c r="E1040" s="15" t="s">
        <v>228</v>
      </c>
      <c r="F1040" s="14" t="s">
        <v>80</v>
      </c>
      <c r="G1040" s="15" t="s">
        <v>23</v>
      </c>
      <c r="H1040" s="15"/>
      <c r="I1040" s="15">
        <v>201407</v>
      </c>
      <c r="J1040" s="16">
        <v>1528.63</v>
      </c>
      <c r="K1040" s="44">
        <f t="shared" si="84"/>
        <v>41944</v>
      </c>
      <c r="L1040" s="45">
        <f t="shared" si="86"/>
        <v>7</v>
      </c>
      <c r="M1040" s="17">
        <v>2.23333E-3</v>
      </c>
      <c r="N1040" s="46">
        <f t="shared" si="85"/>
        <v>23.897546665300002</v>
      </c>
      <c r="O1040" s="16"/>
      <c r="P1040" s="63">
        <f t="shared" si="87"/>
        <v>735.65318750000017</v>
      </c>
      <c r="Q1040" s="16"/>
      <c r="R1040" s="48">
        <f t="shared" si="83"/>
        <v>27.587949925000004</v>
      </c>
    </row>
    <row r="1041" spans="1:18">
      <c r="A1041" s="18" t="s">
        <v>66</v>
      </c>
      <c r="B1041" s="15" t="s">
        <v>747</v>
      </c>
      <c r="C1041" s="15" t="s">
        <v>748</v>
      </c>
      <c r="D1041" s="14" t="s">
        <v>78</v>
      </c>
      <c r="E1041" s="15" t="s">
        <v>749</v>
      </c>
      <c r="F1041" s="14" t="s">
        <v>80</v>
      </c>
      <c r="G1041" s="15" t="s">
        <v>23</v>
      </c>
      <c r="H1041" s="15"/>
      <c r="I1041" s="15">
        <v>201407</v>
      </c>
      <c r="J1041" s="16">
        <v>58437.51</v>
      </c>
      <c r="K1041" s="44">
        <f t="shared" si="84"/>
        <v>41944</v>
      </c>
      <c r="L1041" s="45">
        <f t="shared" si="86"/>
        <v>7</v>
      </c>
      <c r="M1041" s="17">
        <v>2.23333E-3</v>
      </c>
      <c r="N1041" s="46">
        <f t="shared" si="85"/>
        <v>913.57170945810003</v>
      </c>
      <c r="O1041" s="16"/>
      <c r="P1041" s="63">
        <f t="shared" si="87"/>
        <v>28123.051687500007</v>
      </c>
      <c r="Q1041" s="16"/>
      <c r="R1041" s="48">
        <f t="shared" si="83"/>
        <v>1054.6509617250001</v>
      </c>
    </row>
    <row r="1042" spans="1:18">
      <c r="A1042" s="18" t="s">
        <v>66</v>
      </c>
      <c r="B1042" s="15" t="s">
        <v>90</v>
      </c>
      <c r="C1042" s="15" t="s">
        <v>91</v>
      </c>
      <c r="D1042" s="14" t="s">
        <v>78</v>
      </c>
      <c r="E1042" s="15" t="s">
        <v>92</v>
      </c>
      <c r="F1042" s="14" t="s">
        <v>80</v>
      </c>
      <c r="G1042" s="15" t="s">
        <v>23</v>
      </c>
      <c r="H1042" s="15"/>
      <c r="I1042" s="15">
        <v>201407</v>
      </c>
      <c r="J1042" s="16">
        <v>6166.45</v>
      </c>
      <c r="K1042" s="44">
        <f t="shared" si="84"/>
        <v>41944</v>
      </c>
      <c r="L1042" s="45">
        <f t="shared" si="86"/>
        <v>7</v>
      </c>
      <c r="M1042" s="17">
        <v>2.23333E-3</v>
      </c>
      <c r="N1042" s="46">
        <f t="shared" si="85"/>
        <v>96.402024449500004</v>
      </c>
      <c r="O1042" s="16"/>
      <c r="P1042" s="63">
        <f t="shared" si="87"/>
        <v>2967.6040625000005</v>
      </c>
      <c r="Q1042" s="16"/>
      <c r="R1042" s="48">
        <f t="shared" si="83"/>
        <v>111.289006375</v>
      </c>
    </row>
    <row r="1043" spans="1:18">
      <c r="A1043" s="18" t="s">
        <v>66</v>
      </c>
      <c r="B1043" s="15" t="s">
        <v>229</v>
      </c>
      <c r="C1043" s="15" t="s">
        <v>230</v>
      </c>
      <c r="D1043" s="14" t="s">
        <v>78</v>
      </c>
      <c r="E1043" s="15" t="s">
        <v>231</v>
      </c>
      <c r="F1043" s="14" t="s">
        <v>80</v>
      </c>
      <c r="G1043" s="15" t="s">
        <v>23</v>
      </c>
      <c r="H1043" s="15"/>
      <c r="I1043" s="15">
        <v>201407</v>
      </c>
      <c r="J1043" s="16">
        <v>2202.79</v>
      </c>
      <c r="K1043" s="44">
        <f t="shared" si="84"/>
        <v>41944</v>
      </c>
      <c r="L1043" s="45">
        <f t="shared" si="86"/>
        <v>7</v>
      </c>
      <c r="M1043" s="17">
        <v>2.23333E-3</v>
      </c>
      <c r="N1043" s="46">
        <f t="shared" si="85"/>
        <v>34.4368989349</v>
      </c>
      <c r="O1043" s="16"/>
      <c r="P1043" s="63">
        <f t="shared" si="87"/>
        <v>1060.0926875000002</v>
      </c>
      <c r="Q1043" s="16"/>
      <c r="R1043" s="48">
        <f t="shared" si="83"/>
        <v>39.754852525000004</v>
      </c>
    </row>
    <row r="1044" spans="1:18">
      <c r="A1044" s="18" t="s">
        <v>66</v>
      </c>
      <c r="B1044" s="15" t="s">
        <v>76</v>
      </c>
      <c r="C1044" s="15" t="s">
        <v>77</v>
      </c>
      <c r="D1044" s="14" t="s">
        <v>78</v>
      </c>
      <c r="E1044" s="15" t="s">
        <v>79</v>
      </c>
      <c r="F1044" s="14" t="s">
        <v>80</v>
      </c>
      <c r="G1044" s="15" t="s">
        <v>23</v>
      </c>
      <c r="H1044" s="15"/>
      <c r="I1044" s="15">
        <v>201407</v>
      </c>
      <c r="J1044" s="16">
        <v>6596.09</v>
      </c>
      <c r="K1044" s="44">
        <f t="shared" si="84"/>
        <v>41944</v>
      </c>
      <c r="L1044" s="45">
        <f t="shared" si="86"/>
        <v>7</v>
      </c>
      <c r="M1044" s="17">
        <v>2.23333E-3</v>
      </c>
      <c r="N1044" s="46">
        <f t="shared" si="85"/>
        <v>103.11871975790001</v>
      </c>
      <c r="O1044" s="16"/>
      <c r="P1044" s="63">
        <f t="shared" si="87"/>
        <v>3174.3683125000007</v>
      </c>
      <c r="Q1044" s="16"/>
      <c r="R1044" s="48">
        <f t="shared" si="83"/>
        <v>119.04293427500001</v>
      </c>
    </row>
    <row r="1045" spans="1:18">
      <c r="A1045" s="18" t="s">
        <v>66</v>
      </c>
      <c r="B1045" s="15" t="s">
        <v>750</v>
      </c>
      <c r="C1045" s="15" t="s">
        <v>751</v>
      </c>
      <c r="D1045" s="14" t="s">
        <v>78</v>
      </c>
      <c r="E1045" s="15" t="s">
        <v>752</v>
      </c>
      <c r="F1045" s="14" t="s">
        <v>80</v>
      </c>
      <c r="G1045" s="15" t="s">
        <v>23</v>
      </c>
      <c r="H1045" s="15"/>
      <c r="I1045" s="15">
        <v>201407</v>
      </c>
      <c r="J1045" s="16">
        <v>35.94</v>
      </c>
      <c r="K1045" s="44">
        <f t="shared" si="84"/>
        <v>41944</v>
      </c>
      <c r="L1045" s="45">
        <f t="shared" si="86"/>
        <v>7</v>
      </c>
      <c r="M1045" s="17">
        <v>2.23333E-3</v>
      </c>
      <c r="N1045" s="46">
        <f t="shared" si="85"/>
        <v>0.56186116139999998</v>
      </c>
      <c r="O1045" s="16"/>
      <c r="P1045" s="63">
        <f t="shared" si="87"/>
        <v>17.296125</v>
      </c>
      <c r="Q1045" s="16"/>
      <c r="R1045" s="48">
        <f t="shared" si="83"/>
        <v>0.64862715000000004</v>
      </c>
    </row>
    <row r="1046" spans="1:18">
      <c r="A1046" s="14" t="s">
        <v>238</v>
      </c>
      <c r="B1046" s="15" t="s">
        <v>762</v>
      </c>
      <c r="C1046" s="15" t="s">
        <v>763</v>
      </c>
      <c r="D1046" s="14" t="s">
        <v>764</v>
      </c>
      <c r="E1046" s="15" t="s">
        <v>168</v>
      </c>
      <c r="F1046" s="14" t="s">
        <v>169</v>
      </c>
      <c r="G1046" s="15" t="s">
        <v>23</v>
      </c>
      <c r="H1046" s="15"/>
      <c r="I1046" s="15">
        <v>201407</v>
      </c>
      <c r="J1046" s="16">
        <v>515.4</v>
      </c>
      <c r="K1046" s="44">
        <f t="shared" si="84"/>
        <v>41944</v>
      </c>
      <c r="L1046" s="45">
        <f t="shared" si="86"/>
        <v>7</v>
      </c>
      <c r="M1046" s="17">
        <v>2.3833299999999999E-3</v>
      </c>
      <c r="N1046" s="46">
        <f t="shared" si="85"/>
        <v>8.5985779739999995</v>
      </c>
      <c r="O1046" s="16"/>
      <c r="P1046" s="63">
        <f t="shared" si="87"/>
        <v>248.03625000000002</v>
      </c>
      <c r="Q1046" s="16"/>
      <c r="R1046" s="48">
        <f t="shared" si="83"/>
        <v>9.3016815000000008</v>
      </c>
    </row>
    <row r="1047" spans="1:18">
      <c r="A1047" s="14" t="s">
        <v>238</v>
      </c>
      <c r="B1047" s="15" t="s">
        <v>680</v>
      </c>
      <c r="C1047" s="15" t="s">
        <v>681</v>
      </c>
      <c r="D1047" s="14" t="s">
        <v>682</v>
      </c>
      <c r="E1047" s="15" t="s">
        <v>683</v>
      </c>
      <c r="F1047" s="14" t="s">
        <v>684</v>
      </c>
      <c r="G1047" s="15" t="s">
        <v>23</v>
      </c>
      <c r="H1047" s="15"/>
      <c r="I1047" s="15">
        <v>201407</v>
      </c>
      <c r="J1047" s="16">
        <v>0.21</v>
      </c>
      <c r="K1047" s="44">
        <f t="shared" si="84"/>
        <v>41944</v>
      </c>
      <c r="L1047" s="45">
        <f t="shared" si="86"/>
        <v>7</v>
      </c>
      <c r="M1047" s="17">
        <v>2.3833299999999999E-3</v>
      </c>
      <c r="N1047" s="46">
        <f t="shared" si="85"/>
        <v>3.5034950999999997E-3</v>
      </c>
      <c r="O1047" s="16"/>
      <c r="P1047" s="63">
        <f t="shared" si="87"/>
        <v>0.10106250000000001</v>
      </c>
      <c r="Q1047" s="16"/>
      <c r="R1047" s="48">
        <f t="shared" si="83"/>
        <v>3.7899750000000001E-3</v>
      </c>
    </row>
    <row r="1048" spans="1:18">
      <c r="A1048" s="14" t="s">
        <v>238</v>
      </c>
      <c r="B1048" s="15" t="s">
        <v>401</v>
      </c>
      <c r="C1048" s="15" t="s">
        <v>402</v>
      </c>
      <c r="D1048" s="14" t="s">
        <v>403</v>
      </c>
      <c r="E1048" s="15" t="s">
        <v>168</v>
      </c>
      <c r="F1048" s="14" t="s">
        <v>169</v>
      </c>
      <c r="G1048" s="15" t="s">
        <v>23</v>
      </c>
      <c r="H1048" s="15"/>
      <c r="I1048" s="15">
        <v>201407</v>
      </c>
      <c r="J1048" s="16">
        <v>265.35000000000002</v>
      </c>
      <c r="K1048" s="44">
        <f t="shared" si="84"/>
        <v>41944</v>
      </c>
      <c r="L1048" s="45">
        <f t="shared" si="86"/>
        <v>7</v>
      </c>
      <c r="M1048" s="17">
        <v>2.3833299999999999E-3</v>
      </c>
      <c r="N1048" s="46">
        <f t="shared" si="85"/>
        <v>4.4269163085000001</v>
      </c>
      <c r="O1048" s="16"/>
      <c r="P1048" s="63">
        <f t="shared" si="87"/>
        <v>127.69968750000002</v>
      </c>
      <c r="Q1048" s="16"/>
      <c r="R1048" s="48">
        <f t="shared" si="83"/>
        <v>4.7889041250000011</v>
      </c>
    </row>
    <row r="1049" spans="1:18">
      <c r="A1049" s="14" t="s">
        <v>238</v>
      </c>
      <c r="B1049" s="15" t="s">
        <v>356</v>
      </c>
      <c r="C1049" s="15" t="s">
        <v>357</v>
      </c>
      <c r="D1049" s="14" t="s">
        <v>358</v>
      </c>
      <c r="E1049" s="15" t="s">
        <v>168</v>
      </c>
      <c r="F1049" s="14" t="s">
        <v>169</v>
      </c>
      <c r="G1049" s="15" t="s">
        <v>23</v>
      </c>
      <c r="H1049" s="15"/>
      <c r="I1049" s="15">
        <v>201407</v>
      </c>
      <c r="J1049" s="16">
        <v>683.14</v>
      </c>
      <c r="K1049" s="44">
        <f t="shared" si="84"/>
        <v>41944</v>
      </c>
      <c r="L1049" s="45">
        <f t="shared" si="86"/>
        <v>7</v>
      </c>
      <c r="M1049" s="17">
        <v>2.3833299999999999E-3</v>
      </c>
      <c r="N1049" s="46">
        <f t="shared" si="85"/>
        <v>11.397036393400001</v>
      </c>
      <c r="O1049" s="16"/>
      <c r="P1049" s="63">
        <f t="shared" si="87"/>
        <v>328.76112500000005</v>
      </c>
      <c r="Q1049" s="16"/>
      <c r="R1049" s="48">
        <f t="shared" si="83"/>
        <v>12.328969150000001</v>
      </c>
    </row>
    <row r="1050" spans="1:18">
      <c r="A1050" s="14" t="s">
        <v>164</v>
      </c>
      <c r="B1050" s="15" t="s">
        <v>165</v>
      </c>
      <c r="C1050" s="15" t="s">
        <v>166</v>
      </c>
      <c r="D1050" s="14" t="s">
        <v>167</v>
      </c>
      <c r="E1050" s="15" t="s">
        <v>168</v>
      </c>
      <c r="F1050" s="14" t="s">
        <v>169</v>
      </c>
      <c r="G1050" s="15" t="s">
        <v>23</v>
      </c>
      <c r="H1050" s="15"/>
      <c r="I1050" s="15">
        <v>201407</v>
      </c>
      <c r="J1050" s="16">
        <v>105.36</v>
      </c>
      <c r="K1050" s="44">
        <f t="shared" si="84"/>
        <v>41944</v>
      </c>
      <c r="L1050" s="45">
        <f t="shared" si="86"/>
        <v>7</v>
      </c>
      <c r="M1050" s="17">
        <v>2.1916700000000002E-3</v>
      </c>
      <c r="N1050" s="46">
        <f t="shared" si="85"/>
        <v>1.6164004584000002</v>
      </c>
      <c r="O1050" s="16"/>
      <c r="P1050" s="63">
        <f t="shared" si="87"/>
        <v>50.70450000000001</v>
      </c>
      <c r="Q1050" s="16"/>
      <c r="R1050" s="48">
        <f t="shared" si="83"/>
        <v>1.9014846000000001</v>
      </c>
    </row>
    <row r="1051" spans="1:18">
      <c r="A1051" s="14" t="s">
        <v>238</v>
      </c>
      <c r="B1051" s="15" t="s">
        <v>771</v>
      </c>
      <c r="C1051" s="15" t="s">
        <v>772</v>
      </c>
      <c r="D1051" s="14" t="s">
        <v>773</v>
      </c>
      <c r="E1051" s="15" t="s">
        <v>168</v>
      </c>
      <c r="F1051" s="14" t="s">
        <v>169</v>
      </c>
      <c r="G1051" s="15" t="s">
        <v>23</v>
      </c>
      <c r="H1051" s="15"/>
      <c r="I1051" s="15">
        <v>201407</v>
      </c>
      <c r="J1051" s="16">
        <v>888.14</v>
      </c>
      <c r="K1051" s="44">
        <f t="shared" si="84"/>
        <v>41944</v>
      </c>
      <c r="L1051" s="45">
        <f t="shared" si="86"/>
        <v>7</v>
      </c>
      <c r="M1051" s="17">
        <v>2.3833299999999999E-3</v>
      </c>
      <c r="N1051" s="46">
        <f t="shared" si="85"/>
        <v>14.8171149434</v>
      </c>
      <c r="O1051" s="16"/>
      <c r="P1051" s="63">
        <f t="shared" si="87"/>
        <v>427.41737500000005</v>
      </c>
      <c r="Q1051" s="16"/>
      <c r="R1051" s="48">
        <f t="shared" si="83"/>
        <v>16.02870665</v>
      </c>
    </row>
    <row r="1052" spans="1:18">
      <c r="A1052" s="14" t="s">
        <v>238</v>
      </c>
      <c r="B1052" s="15" t="s">
        <v>239</v>
      </c>
      <c r="C1052" s="15" t="s">
        <v>240</v>
      </c>
      <c r="D1052" s="14" t="s">
        <v>241</v>
      </c>
      <c r="E1052" s="15" t="s">
        <v>168</v>
      </c>
      <c r="F1052" s="14" t="s">
        <v>169</v>
      </c>
      <c r="G1052" s="15" t="s">
        <v>23</v>
      </c>
      <c r="H1052" s="15"/>
      <c r="I1052" s="15">
        <v>201407</v>
      </c>
      <c r="J1052" s="16">
        <v>167.92</v>
      </c>
      <c r="K1052" s="44">
        <f t="shared" si="84"/>
        <v>41944</v>
      </c>
      <c r="L1052" s="45">
        <f t="shared" si="86"/>
        <v>7</v>
      </c>
      <c r="M1052" s="17">
        <v>2.3833299999999999E-3</v>
      </c>
      <c r="N1052" s="46">
        <f t="shared" si="85"/>
        <v>2.8014614151999999</v>
      </c>
      <c r="O1052" s="16"/>
      <c r="P1052" s="63">
        <f t="shared" si="87"/>
        <v>80.811500000000009</v>
      </c>
      <c r="Q1052" s="16"/>
      <c r="R1052" s="48">
        <f t="shared" si="83"/>
        <v>3.0305361999999998</v>
      </c>
    </row>
    <row r="1053" spans="1:18">
      <c r="A1053" s="14" t="s">
        <v>164</v>
      </c>
      <c r="B1053" s="15" t="s">
        <v>341</v>
      </c>
      <c r="C1053" s="15" t="s">
        <v>342</v>
      </c>
      <c r="D1053" s="14" t="s">
        <v>343</v>
      </c>
      <c r="E1053" s="15" t="s">
        <v>168</v>
      </c>
      <c r="F1053" s="14" t="s">
        <v>169</v>
      </c>
      <c r="G1053" s="15" t="s">
        <v>23</v>
      </c>
      <c r="H1053" s="15"/>
      <c r="I1053" s="15">
        <v>201407</v>
      </c>
      <c r="J1053" s="16">
        <v>0</v>
      </c>
      <c r="K1053" s="44">
        <f t="shared" si="84"/>
        <v>41944</v>
      </c>
      <c r="L1053" s="45">
        <f t="shared" si="86"/>
        <v>7</v>
      </c>
      <c r="M1053" s="17">
        <v>2.1916700000000002E-3</v>
      </c>
      <c r="N1053" s="46">
        <f t="shared" si="85"/>
        <v>0</v>
      </c>
      <c r="O1053" s="16"/>
      <c r="P1053" s="63">
        <f t="shared" si="87"/>
        <v>0</v>
      </c>
      <c r="Q1053" s="16"/>
      <c r="R1053" s="48">
        <f t="shared" si="83"/>
        <v>0</v>
      </c>
    </row>
    <row r="1054" spans="1:18">
      <c r="A1054" s="14" t="s">
        <v>238</v>
      </c>
      <c r="B1054" s="15" t="s">
        <v>774</v>
      </c>
      <c r="C1054" s="15" t="s">
        <v>775</v>
      </c>
      <c r="D1054" s="14" t="s">
        <v>776</v>
      </c>
      <c r="E1054" s="15" t="s">
        <v>168</v>
      </c>
      <c r="F1054" s="14" t="s">
        <v>169</v>
      </c>
      <c r="G1054" s="15" t="s">
        <v>23</v>
      </c>
      <c r="H1054" s="15"/>
      <c r="I1054" s="15">
        <v>201407</v>
      </c>
      <c r="J1054" s="16">
        <v>166.87</v>
      </c>
      <c r="K1054" s="44">
        <f t="shared" si="84"/>
        <v>41944</v>
      </c>
      <c r="L1054" s="45">
        <f t="shared" si="86"/>
        <v>7</v>
      </c>
      <c r="M1054" s="17">
        <v>2.3833299999999999E-3</v>
      </c>
      <c r="N1054" s="46">
        <f t="shared" si="85"/>
        <v>2.7839439396999999</v>
      </c>
      <c r="O1054" s="16"/>
      <c r="P1054" s="63">
        <f t="shared" si="87"/>
        <v>80.306187500000007</v>
      </c>
      <c r="Q1054" s="16"/>
      <c r="R1054" s="48">
        <f t="shared" si="83"/>
        <v>3.0115863250000001</v>
      </c>
    </row>
    <row r="1055" spans="1:18">
      <c r="A1055" s="14" t="s">
        <v>17</v>
      </c>
      <c r="B1055" s="15" t="s">
        <v>505</v>
      </c>
      <c r="C1055" s="15" t="s">
        <v>506</v>
      </c>
      <c r="D1055" s="14" t="s">
        <v>507</v>
      </c>
      <c r="E1055" s="15" t="s">
        <v>104</v>
      </c>
      <c r="F1055" s="14" t="s">
        <v>41</v>
      </c>
      <c r="G1055" s="15" t="s">
        <v>23</v>
      </c>
      <c r="H1055" s="15"/>
      <c r="I1055" s="15">
        <v>201407</v>
      </c>
      <c r="J1055" s="16">
        <v>0.03</v>
      </c>
      <c r="K1055" s="44">
        <f t="shared" si="84"/>
        <v>41944</v>
      </c>
      <c r="L1055" s="45">
        <f t="shared" si="86"/>
        <v>7</v>
      </c>
      <c r="M1055" s="17">
        <v>1.4833299999999999E-3</v>
      </c>
      <c r="N1055" s="46">
        <f t="shared" si="85"/>
        <v>3.1149929999999996E-4</v>
      </c>
      <c r="O1055" s="16"/>
      <c r="P1055" s="63">
        <f t="shared" si="87"/>
        <v>1.4437500000000001E-2</v>
      </c>
      <c r="Q1055" s="16"/>
      <c r="R1055" s="48">
        <f t="shared" si="83"/>
        <v>5.41425E-4</v>
      </c>
    </row>
    <row r="1056" spans="1:18">
      <c r="A1056" s="14" t="s">
        <v>17</v>
      </c>
      <c r="B1056" s="15" t="s">
        <v>768</v>
      </c>
      <c r="C1056" s="15" t="s">
        <v>769</v>
      </c>
      <c r="D1056" s="14" t="s">
        <v>770</v>
      </c>
      <c r="E1056" s="15" t="s">
        <v>104</v>
      </c>
      <c r="F1056" s="14" t="s">
        <v>41</v>
      </c>
      <c r="G1056" s="15" t="s">
        <v>23</v>
      </c>
      <c r="H1056" s="15"/>
      <c r="I1056" s="15">
        <v>201407</v>
      </c>
      <c r="J1056" s="16">
        <v>351.32</v>
      </c>
      <c r="K1056" s="44">
        <f t="shared" si="84"/>
        <v>41944</v>
      </c>
      <c r="L1056" s="45">
        <f t="shared" si="86"/>
        <v>7</v>
      </c>
      <c r="M1056" s="17">
        <v>1.4833299999999999E-3</v>
      </c>
      <c r="N1056" s="46">
        <f t="shared" si="85"/>
        <v>3.6478644692</v>
      </c>
      <c r="O1056" s="16"/>
      <c r="P1056" s="63">
        <f t="shared" si="87"/>
        <v>169.07275000000001</v>
      </c>
      <c r="Q1056" s="16"/>
      <c r="R1056" s="48">
        <f t="shared" si="83"/>
        <v>6.3404477000000004</v>
      </c>
    </row>
    <row r="1057" spans="1:18">
      <c r="A1057" s="14" t="s">
        <v>17</v>
      </c>
      <c r="B1057" s="15" t="s">
        <v>398</v>
      </c>
      <c r="C1057" s="15" t="s">
        <v>399</v>
      </c>
      <c r="D1057" s="14" t="s">
        <v>400</v>
      </c>
      <c r="E1057" s="15" t="s">
        <v>104</v>
      </c>
      <c r="F1057" s="14" t="s">
        <v>41</v>
      </c>
      <c r="G1057" s="15" t="s">
        <v>23</v>
      </c>
      <c r="H1057" s="15"/>
      <c r="I1057" s="15">
        <v>201407</v>
      </c>
      <c r="J1057" s="16">
        <v>-91.59</v>
      </c>
      <c r="K1057" s="44">
        <f t="shared" si="84"/>
        <v>41944</v>
      </c>
      <c r="L1057" s="45">
        <f t="shared" si="86"/>
        <v>7</v>
      </c>
      <c r="M1057" s="17">
        <v>1.4833299999999999E-3</v>
      </c>
      <c r="N1057" s="46">
        <f t="shared" si="85"/>
        <v>-0.95100736289999999</v>
      </c>
      <c r="O1057" s="16"/>
      <c r="P1057" s="63">
        <f t="shared" si="87"/>
        <v>-44.07768750000001</v>
      </c>
      <c r="Q1057" s="16"/>
      <c r="R1057" s="48">
        <f t="shared" si="83"/>
        <v>-1.6529705250000002</v>
      </c>
    </row>
    <row r="1058" spans="1:18">
      <c r="A1058" s="14" t="s">
        <v>54</v>
      </c>
      <c r="B1058" s="15" t="s">
        <v>731</v>
      </c>
      <c r="C1058" s="15" t="s">
        <v>732</v>
      </c>
      <c r="D1058" s="14" t="s">
        <v>733</v>
      </c>
      <c r="E1058" s="15" t="s">
        <v>104</v>
      </c>
      <c r="F1058" s="14" t="s">
        <v>41</v>
      </c>
      <c r="G1058" s="15" t="s">
        <v>23</v>
      </c>
      <c r="H1058" s="15"/>
      <c r="I1058" s="15">
        <v>201407</v>
      </c>
      <c r="J1058" s="16">
        <v>41302.519999999997</v>
      </c>
      <c r="K1058" s="44">
        <f t="shared" si="84"/>
        <v>41944</v>
      </c>
      <c r="L1058" s="45">
        <f t="shared" si="86"/>
        <v>7</v>
      </c>
      <c r="M1058" s="17">
        <v>1.4833299999999999E-3</v>
      </c>
      <c r="N1058" s="46">
        <f t="shared" si="85"/>
        <v>428.85686894119993</v>
      </c>
      <c r="O1058" s="16"/>
      <c r="P1058" s="63">
        <f t="shared" si="87"/>
        <v>19876.837750000002</v>
      </c>
      <c r="Q1058" s="16"/>
      <c r="R1058" s="48">
        <f t="shared" si="83"/>
        <v>745.40722970000002</v>
      </c>
    </row>
    <row r="1059" spans="1:18">
      <c r="A1059" s="14" t="s">
        <v>17</v>
      </c>
      <c r="B1059" s="15" t="s">
        <v>413</v>
      </c>
      <c r="C1059" s="15" t="s">
        <v>414</v>
      </c>
      <c r="D1059" s="14" t="s">
        <v>415</v>
      </c>
      <c r="E1059" s="15" t="s">
        <v>104</v>
      </c>
      <c r="F1059" s="14" t="s">
        <v>41</v>
      </c>
      <c r="G1059" s="15" t="s">
        <v>23</v>
      </c>
      <c r="H1059" s="15"/>
      <c r="I1059" s="15">
        <v>201407</v>
      </c>
      <c r="J1059" s="16">
        <v>1304.19</v>
      </c>
      <c r="K1059" s="44">
        <f t="shared" si="84"/>
        <v>41944</v>
      </c>
      <c r="L1059" s="45">
        <f t="shared" si="86"/>
        <v>7</v>
      </c>
      <c r="M1059" s="17">
        <v>1.4833299999999999E-3</v>
      </c>
      <c r="N1059" s="46">
        <f t="shared" si="85"/>
        <v>13.541809068900001</v>
      </c>
      <c r="O1059" s="16"/>
      <c r="P1059" s="63">
        <f t="shared" si="87"/>
        <v>627.64143750000017</v>
      </c>
      <c r="Q1059" s="16"/>
      <c r="R1059" s="48">
        <f t="shared" si="83"/>
        <v>23.537369025000004</v>
      </c>
    </row>
    <row r="1060" spans="1:18">
      <c r="A1060" s="14" t="s">
        <v>17</v>
      </c>
      <c r="B1060" s="15" t="s">
        <v>502</v>
      </c>
      <c r="C1060" s="15" t="s">
        <v>503</v>
      </c>
      <c r="D1060" s="14" t="s">
        <v>504</v>
      </c>
      <c r="E1060" s="15" t="s">
        <v>40</v>
      </c>
      <c r="F1060" s="14" t="s">
        <v>41</v>
      </c>
      <c r="G1060" s="15" t="s">
        <v>23</v>
      </c>
      <c r="H1060" s="15"/>
      <c r="I1060" s="15">
        <v>201407</v>
      </c>
      <c r="J1060" s="16">
        <v>0.02</v>
      </c>
      <c r="K1060" s="44">
        <f t="shared" si="84"/>
        <v>41944</v>
      </c>
      <c r="L1060" s="45">
        <f t="shared" si="86"/>
        <v>7</v>
      </c>
      <c r="M1060" s="17">
        <v>1.4833299999999999E-3</v>
      </c>
      <c r="N1060" s="46">
        <f t="shared" si="85"/>
        <v>2.076662E-4</v>
      </c>
      <c r="O1060" s="16"/>
      <c r="P1060" s="63">
        <f t="shared" si="87"/>
        <v>9.6250000000000016E-3</v>
      </c>
      <c r="Q1060" s="16"/>
      <c r="R1060" s="48">
        <f t="shared" si="83"/>
        <v>3.6095000000000002E-4</v>
      </c>
    </row>
    <row r="1061" spans="1:18">
      <c r="A1061" s="14" t="s">
        <v>17</v>
      </c>
      <c r="B1061" s="15" t="s">
        <v>232</v>
      </c>
      <c r="C1061" s="15" t="s">
        <v>233</v>
      </c>
      <c r="D1061" s="14" t="s">
        <v>234</v>
      </c>
      <c r="E1061" s="15" t="s">
        <v>40</v>
      </c>
      <c r="F1061" s="14" t="s">
        <v>41</v>
      </c>
      <c r="G1061" s="15" t="s">
        <v>23</v>
      </c>
      <c r="H1061" s="15"/>
      <c r="I1061" s="15">
        <v>201407</v>
      </c>
      <c r="J1061" s="16">
        <v>595.59</v>
      </c>
      <c r="K1061" s="44">
        <f t="shared" si="84"/>
        <v>41944</v>
      </c>
      <c r="L1061" s="45">
        <f t="shared" si="86"/>
        <v>7</v>
      </c>
      <c r="M1061" s="17">
        <v>1.4833299999999999E-3</v>
      </c>
      <c r="N1061" s="46">
        <f t="shared" si="85"/>
        <v>6.1841956029</v>
      </c>
      <c r="O1061" s="16"/>
      <c r="P1061" s="63">
        <f t="shared" si="87"/>
        <v>286.62768750000004</v>
      </c>
      <c r="Q1061" s="16"/>
      <c r="R1061" s="48">
        <f t="shared" si="83"/>
        <v>10.748910525000001</v>
      </c>
    </row>
    <row r="1062" spans="1:18">
      <c r="A1062" s="14" t="s">
        <v>17</v>
      </c>
      <c r="B1062" s="15" t="s">
        <v>685</v>
      </c>
      <c r="C1062" s="15" t="s">
        <v>686</v>
      </c>
      <c r="D1062" s="14" t="s">
        <v>687</v>
      </c>
      <c r="E1062" s="15" t="s">
        <v>40</v>
      </c>
      <c r="F1062" s="14" t="s">
        <v>41</v>
      </c>
      <c r="G1062" s="15" t="s">
        <v>23</v>
      </c>
      <c r="H1062" s="15"/>
      <c r="I1062" s="15">
        <v>201407</v>
      </c>
      <c r="J1062" s="16">
        <v>-41.04</v>
      </c>
      <c r="K1062" s="44">
        <f t="shared" si="84"/>
        <v>41944</v>
      </c>
      <c r="L1062" s="45">
        <f t="shared" si="86"/>
        <v>7</v>
      </c>
      <c r="M1062" s="17">
        <v>1.4833299999999999E-3</v>
      </c>
      <c r="N1062" s="46">
        <f t="shared" si="85"/>
        <v>-0.42613104239999999</v>
      </c>
      <c r="O1062" s="16"/>
      <c r="P1062" s="63">
        <f t="shared" si="87"/>
        <v>-19.750500000000002</v>
      </c>
      <c r="Q1062" s="16"/>
      <c r="R1062" s="48">
        <f t="shared" si="83"/>
        <v>-0.74066940000000003</v>
      </c>
    </row>
    <row r="1063" spans="1:18">
      <c r="A1063" s="14" t="s">
        <v>17</v>
      </c>
      <c r="B1063" s="15" t="s">
        <v>652</v>
      </c>
      <c r="C1063" s="15" t="s">
        <v>653</v>
      </c>
      <c r="D1063" s="14" t="s">
        <v>654</v>
      </c>
      <c r="E1063" s="15" t="s">
        <v>40</v>
      </c>
      <c r="F1063" s="14" t="s">
        <v>41</v>
      </c>
      <c r="G1063" s="15" t="s">
        <v>23</v>
      </c>
      <c r="H1063" s="15"/>
      <c r="I1063" s="15">
        <v>201407</v>
      </c>
      <c r="J1063" s="16">
        <v>-1737.31</v>
      </c>
      <c r="K1063" s="44">
        <f t="shared" si="84"/>
        <v>41944</v>
      </c>
      <c r="L1063" s="45">
        <f t="shared" si="86"/>
        <v>7</v>
      </c>
      <c r="M1063" s="17">
        <v>1.4833299999999999E-3</v>
      </c>
      <c r="N1063" s="46">
        <f t="shared" si="85"/>
        <v>-18.0390282961</v>
      </c>
      <c r="O1063" s="16"/>
      <c r="P1063" s="63">
        <f t="shared" si="87"/>
        <v>-836.08043750000013</v>
      </c>
      <c r="Q1063" s="16"/>
      <c r="R1063" s="48">
        <f t="shared" si="83"/>
        <v>-31.354102225000002</v>
      </c>
    </row>
    <row r="1064" spans="1:18">
      <c r="A1064" s="14" t="s">
        <v>17</v>
      </c>
      <c r="B1064" s="15" t="s">
        <v>281</v>
      </c>
      <c r="C1064" s="15" t="s">
        <v>282</v>
      </c>
      <c r="D1064" s="14" t="s">
        <v>283</v>
      </c>
      <c r="E1064" s="15" t="s">
        <v>40</v>
      </c>
      <c r="F1064" s="14" t="s">
        <v>41</v>
      </c>
      <c r="G1064" s="15" t="s">
        <v>23</v>
      </c>
      <c r="H1064" s="15"/>
      <c r="I1064" s="15">
        <v>201407</v>
      </c>
      <c r="J1064" s="16">
        <v>182515.69</v>
      </c>
      <c r="K1064" s="44">
        <f t="shared" si="84"/>
        <v>41944</v>
      </c>
      <c r="L1064" s="45">
        <f t="shared" si="86"/>
        <v>7</v>
      </c>
      <c r="M1064" s="17">
        <v>1.4833299999999999E-3</v>
      </c>
      <c r="N1064" s="46">
        <f t="shared" si="85"/>
        <v>1895.1169891339</v>
      </c>
      <c r="O1064" s="16"/>
      <c r="P1064" s="63">
        <f t="shared" si="87"/>
        <v>87835.67581250002</v>
      </c>
      <c r="Q1064" s="16"/>
      <c r="R1064" s="48">
        <f t="shared" si="83"/>
        <v>3293.9519152750004</v>
      </c>
    </row>
    <row r="1065" spans="1:18">
      <c r="A1065" s="14" t="s">
        <v>17</v>
      </c>
      <c r="B1065" s="15" t="s">
        <v>275</v>
      </c>
      <c r="C1065" s="15" t="s">
        <v>276</v>
      </c>
      <c r="D1065" s="14" t="s">
        <v>277</v>
      </c>
      <c r="E1065" s="15" t="s">
        <v>40</v>
      </c>
      <c r="F1065" s="14" t="s">
        <v>41</v>
      </c>
      <c r="G1065" s="15" t="s">
        <v>23</v>
      </c>
      <c r="H1065" s="15"/>
      <c r="I1065" s="15">
        <v>201407</v>
      </c>
      <c r="J1065" s="16">
        <v>-8946.32</v>
      </c>
      <c r="K1065" s="44">
        <f t="shared" si="84"/>
        <v>41944</v>
      </c>
      <c r="L1065" s="45">
        <f t="shared" si="86"/>
        <v>7</v>
      </c>
      <c r="M1065" s="17">
        <v>1.4833299999999999E-3</v>
      </c>
      <c r="N1065" s="46">
        <f t="shared" si="85"/>
        <v>-92.892413919199996</v>
      </c>
      <c r="O1065" s="16"/>
      <c r="P1065" s="63">
        <f t="shared" si="87"/>
        <v>-4305.4165000000003</v>
      </c>
      <c r="Q1065" s="16"/>
      <c r="R1065" s="48">
        <f t="shared" si="83"/>
        <v>-161.45871020000001</v>
      </c>
    </row>
    <row r="1066" spans="1:18">
      <c r="A1066" s="14" t="s">
        <v>54</v>
      </c>
      <c r="B1066" s="15" t="s">
        <v>275</v>
      </c>
      <c r="C1066" s="15" t="s">
        <v>276</v>
      </c>
      <c r="D1066" s="14" t="s">
        <v>277</v>
      </c>
      <c r="E1066" s="15" t="s">
        <v>40</v>
      </c>
      <c r="F1066" s="14" t="s">
        <v>41</v>
      </c>
      <c r="G1066" s="15" t="s">
        <v>23</v>
      </c>
      <c r="H1066" s="15"/>
      <c r="I1066" s="15">
        <v>201407</v>
      </c>
      <c r="J1066" s="16">
        <v>11040.61</v>
      </c>
      <c r="K1066" s="44">
        <f t="shared" si="84"/>
        <v>41944</v>
      </c>
      <c r="L1066" s="45">
        <f t="shared" si="86"/>
        <v>7</v>
      </c>
      <c r="M1066" s="17">
        <v>1.4833299999999999E-3</v>
      </c>
      <c r="N1066" s="46">
        <f t="shared" si="85"/>
        <v>114.6380762191</v>
      </c>
      <c r="O1066" s="16"/>
      <c r="P1066" s="63">
        <f t="shared" si="87"/>
        <v>5313.2935625000009</v>
      </c>
      <c r="Q1066" s="16"/>
      <c r="R1066" s="48">
        <f t="shared" si="83"/>
        <v>199.25540897500002</v>
      </c>
    </row>
    <row r="1067" spans="1:18">
      <c r="A1067" s="18" t="s">
        <v>66</v>
      </c>
      <c r="B1067" s="15" t="s">
        <v>833</v>
      </c>
      <c r="C1067" s="15" t="s">
        <v>834</v>
      </c>
      <c r="D1067" s="14" t="s">
        <v>835</v>
      </c>
      <c r="E1067" s="15" t="s">
        <v>40</v>
      </c>
      <c r="F1067" s="14" t="s">
        <v>41</v>
      </c>
      <c r="G1067" s="15" t="s">
        <v>23</v>
      </c>
      <c r="H1067" s="15"/>
      <c r="I1067" s="15">
        <v>201407</v>
      </c>
      <c r="J1067" s="16">
        <v>871.91</v>
      </c>
      <c r="K1067" s="44">
        <f t="shared" si="84"/>
        <v>41944</v>
      </c>
      <c r="L1067" s="45">
        <f t="shared" si="86"/>
        <v>7</v>
      </c>
      <c r="M1067" s="17">
        <v>2.23333E-3</v>
      </c>
      <c r="N1067" s="46">
        <f t="shared" si="85"/>
        <v>13.6308393221</v>
      </c>
      <c r="O1067" s="16"/>
      <c r="P1067" s="63">
        <f t="shared" si="87"/>
        <v>419.60668750000002</v>
      </c>
      <c r="Q1067" s="16"/>
      <c r="R1067" s="48">
        <f t="shared" si="83"/>
        <v>15.735795725000001</v>
      </c>
    </row>
    <row r="1068" spans="1:18">
      <c r="A1068" s="14" t="s">
        <v>17</v>
      </c>
      <c r="B1068" s="15" t="s">
        <v>407</v>
      </c>
      <c r="C1068" s="15" t="s">
        <v>408</v>
      </c>
      <c r="D1068" s="14" t="s">
        <v>409</v>
      </c>
      <c r="E1068" s="15" t="s">
        <v>53</v>
      </c>
      <c r="F1068" s="14" t="s">
        <v>41</v>
      </c>
      <c r="G1068" s="15" t="s">
        <v>23</v>
      </c>
      <c r="H1068" s="15"/>
      <c r="I1068" s="15">
        <v>201407</v>
      </c>
      <c r="J1068" s="16">
        <v>0.17</v>
      </c>
      <c r="K1068" s="44">
        <f t="shared" si="84"/>
        <v>41944</v>
      </c>
      <c r="L1068" s="45">
        <f t="shared" si="86"/>
        <v>7</v>
      </c>
      <c r="M1068" s="17">
        <v>1.4833299999999999E-3</v>
      </c>
      <c r="N1068" s="46">
        <f t="shared" si="85"/>
        <v>1.7651627E-3</v>
      </c>
      <c r="O1068" s="16"/>
      <c r="P1068" s="63">
        <f t="shared" si="87"/>
        <v>8.1812500000000024E-2</v>
      </c>
      <c r="Q1068" s="16"/>
      <c r="R1068" s="48">
        <f t="shared" si="83"/>
        <v>3.0680750000000004E-3</v>
      </c>
    </row>
    <row r="1069" spans="1:18">
      <c r="A1069" s="14" t="s">
        <v>17</v>
      </c>
      <c r="B1069" s="15" t="s">
        <v>344</v>
      </c>
      <c r="C1069" s="15" t="s">
        <v>345</v>
      </c>
      <c r="D1069" s="14" t="s">
        <v>346</v>
      </c>
      <c r="E1069" s="15" t="s">
        <v>53</v>
      </c>
      <c r="F1069" s="14" t="s">
        <v>41</v>
      </c>
      <c r="G1069" s="15" t="s">
        <v>23</v>
      </c>
      <c r="H1069" s="15"/>
      <c r="I1069" s="15">
        <v>201407</v>
      </c>
      <c r="J1069" s="16">
        <v>449.37</v>
      </c>
      <c r="K1069" s="44">
        <f t="shared" si="84"/>
        <v>41944</v>
      </c>
      <c r="L1069" s="45">
        <f t="shared" si="86"/>
        <v>7</v>
      </c>
      <c r="M1069" s="17">
        <v>1.4833299999999999E-3</v>
      </c>
      <c r="N1069" s="46">
        <f t="shared" si="85"/>
        <v>4.6659480146999996</v>
      </c>
      <c r="O1069" s="16"/>
      <c r="P1069" s="63">
        <f t="shared" si="87"/>
        <v>216.25931250000002</v>
      </c>
      <c r="Q1069" s="16"/>
      <c r="R1069" s="48">
        <f t="shared" si="83"/>
        <v>8.1100050750000001</v>
      </c>
    </row>
    <row r="1070" spans="1:18">
      <c r="A1070" s="14" t="s">
        <v>17</v>
      </c>
      <c r="B1070" s="15" t="s">
        <v>152</v>
      </c>
      <c r="C1070" s="15" t="s">
        <v>153</v>
      </c>
      <c r="D1070" s="14" t="s">
        <v>154</v>
      </c>
      <c r="E1070" s="15" t="s">
        <v>53</v>
      </c>
      <c r="F1070" s="14" t="s">
        <v>41</v>
      </c>
      <c r="G1070" s="15" t="s">
        <v>23</v>
      </c>
      <c r="H1070" s="15"/>
      <c r="I1070" s="15">
        <v>201407</v>
      </c>
      <c r="J1070" s="16">
        <v>155.51</v>
      </c>
      <c r="K1070" s="44">
        <f t="shared" si="84"/>
        <v>41944</v>
      </c>
      <c r="L1070" s="45">
        <f t="shared" si="86"/>
        <v>7</v>
      </c>
      <c r="M1070" s="17">
        <v>1.4833299999999999E-3</v>
      </c>
      <c r="N1070" s="46">
        <f t="shared" si="85"/>
        <v>1.6147085380999999</v>
      </c>
      <c r="O1070" s="16"/>
      <c r="P1070" s="63">
        <f t="shared" si="87"/>
        <v>74.839187500000008</v>
      </c>
      <c r="Q1070" s="16"/>
      <c r="R1070" s="48">
        <f t="shared" si="83"/>
        <v>2.8065667250000002</v>
      </c>
    </row>
    <row r="1071" spans="1:18">
      <c r="A1071" s="14" t="s">
        <v>54</v>
      </c>
      <c r="B1071" s="15" t="s">
        <v>879</v>
      </c>
      <c r="C1071" s="15" t="s">
        <v>880</v>
      </c>
      <c r="D1071" s="14" t="s">
        <v>881</v>
      </c>
      <c r="E1071" s="15" t="s">
        <v>53</v>
      </c>
      <c r="F1071" s="14" t="s">
        <v>41</v>
      </c>
      <c r="G1071" s="15" t="s">
        <v>23</v>
      </c>
      <c r="H1071" s="15"/>
      <c r="I1071" s="15">
        <v>201407</v>
      </c>
      <c r="J1071" s="16">
        <v>15693.94</v>
      </c>
      <c r="K1071" s="44">
        <f t="shared" si="84"/>
        <v>41944</v>
      </c>
      <c r="L1071" s="45">
        <f t="shared" si="86"/>
        <v>7</v>
      </c>
      <c r="M1071" s="17">
        <v>1.4833299999999999E-3</v>
      </c>
      <c r="N1071" s="46">
        <f t="shared" si="85"/>
        <v>162.95504414140001</v>
      </c>
      <c r="O1071" s="16"/>
      <c r="P1071" s="63">
        <f t="shared" si="87"/>
        <v>7552.7086250000011</v>
      </c>
      <c r="Q1071" s="16"/>
      <c r="R1071" s="48">
        <f t="shared" si="83"/>
        <v>283.23638215</v>
      </c>
    </row>
    <row r="1072" spans="1:18">
      <c r="A1072" s="14" t="s">
        <v>17</v>
      </c>
      <c r="B1072" s="15" t="s">
        <v>537</v>
      </c>
      <c r="C1072" s="15" t="s">
        <v>538</v>
      </c>
      <c r="D1072" s="14" t="s">
        <v>539</v>
      </c>
      <c r="E1072" s="15" t="s">
        <v>53</v>
      </c>
      <c r="F1072" s="14" t="s">
        <v>41</v>
      </c>
      <c r="G1072" s="15" t="s">
        <v>23</v>
      </c>
      <c r="H1072" s="15"/>
      <c r="I1072" s="15">
        <v>201407</v>
      </c>
      <c r="J1072" s="16">
        <v>642.95000000000005</v>
      </c>
      <c r="K1072" s="44">
        <f t="shared" si="84"/>
        <v>41944</v>
      </c>
      <c r="L1072" s="45">
        <f t="shared" si="86"/>
        <v>7</v>
      </c>
      <c r="M1072" s="17">
        <v>1.4833299999999999E-3</v>
      </c>
      <c r="N1072" s="46">
        <f t="shared" si="85"/>
        <v>6.6759491645000004</v>
      </c>
      <c r="O1072" s="16"/>
      <c r="P1072" s="63">
        <f t="shared" si="87"/>
        <v>309.41968750000007</v>
      </c>
      <c r="Q1072" s="16"/>
      <c r="R1072" s="48">
        <f t="shared" si="83"/>
        <v>11.603640125000002</v>
      </c>
    </row>
    <row r="1073" spans="1:18">
      <c r="A1073" s="14" t="s">
        <v>17</v>
      </c>
      <c r="B1073" s="15" t="s">
        <v>183</v>
      </c>
      <c r="C1073" s="15" t="s">
        <v>184</v>
      </c>
      <c r="D1073" s="14" t="s">
        <v>185</v>
      </c>
      <c r="E1073" s="15" t="s">
        <v>53</v>
      </c>
      <c r="F1073" s="14" t="s">
        <v>41</v>
      </c>
      <c r="G1073" s="15" t="s">
        <v>23</v>
      </c>
      <c r="H1073" s="15"/>
      <c r="I1073" s="15">
        <v>201407</v>
      </c>
      <c r="J1073" s="16">
        <v>413.63</v>
      </c>
      <c r="K1073" s="44">
        <f t="shared" si="84"/>
        <v>41944</v>
      </c>
      <c r="L1073" s="45">
        <f t="shared" si="86"/>
        <v>7</v>
      </c>
      <c r="M1073" s="17">
        <v>1.4833299999999999E-3</v>
      </c>
      <c r="N1073" s="46">
        <f t="shared" si="85"/>
        <v>4.2948485153</v>
      </c>
      <c r="O1073" s="16"/>
      <c r="P1073" s="63">
        <f t="shared" si="87"/>
        <v>199.05943750000003</v>
      </c>
      <c r="Q1073" s="16"/>
      <c r="R1073" s="48">
        <f t="shared" si="83"/>
        <v>7.4649874250000003</v>
      </c>
    </row>
    <row r="1074" spans="1:18">
      <c r="A1074" s="14" t="s">
        <v>17</v>
      </c>
      <c r="B1074" s="15" t="s">
        <v>910</v>
      </c>
      <c r="C1074" s="15" t="s">
        <v>911</v>
      </c>
      <c r="D1074" s="14" t="s">
        <v>912</v>
      </c>
      <c r="E1074" s="15" t="s">
        <v>362</v>
      </c>
      <c r="F1074" s="14" t="s">
        <v>41</v>
      </c>
      <c r="G1074" s="15" t="s">
        <v>23</v>
      </c>
      <c r="H1074" s="15"/>
      <c r="I1074" s="15">
        <v>201407</v>
      </c>
      <c r="J1074" s="16">
        <v>3154.69</v>
      </c>
      <c r="K1074" s="44">
        <f t="shared" si="84"/>
        <v>41944</v>
      </c>
      <c r="L1074" s="45">
        <f t="shared" si="86"/>
        <v>7</v>
      </c>
      <c r="M1074" s="17">
        <v>1.4833299999999999E-3</v>
      </c>
      <c r="N1074" s="46">
        <f t="shared" si="85"/>
        <v>32.756124223900002</v>
      </c>
      <c r="O1074" s="16"/>
      <c r="P1074" s="63">
        <f t="shared" si="87"/>
        <v>1518.1945625000003</v>
      </c>
      <c r="Q1074" s="16"/>
      <c r="R1074" s="48">
        <f t="shared" si="83"/>
        <v>56.934267775000002</v>
      </c>
    </row>
    <row r="1075" spans="1:18">
      <c r="A1075" s="14" t="s">
        <v>54</v>
      </c>
      <c r="B1075" s="15" t="s">
        <v>359</v>
      </c>
      <c r="C1075" s="15" t="s">
        <v>360</v>
      </c>
      <c r="D1075" s="14" t="s">
        <v>361</v>
      </c>
      <c r="E1075" s="15" t="s">
        <v>362</v>
      </c>
      <c r="F1075" s="14" t="s">
        <v>41</v>
      </c>
      <c r="G1075" s="15" t="s">
        <v>23</v>
      </c>
      <c r="H1075" s="15"/>
      <c r="I1075" s="15">
        <v>201407</v>
      </c>
      <c r="J1075" s="16">
        <v>1606.9</v>
      </c>
      <c r="K1075" s="44">
        <f t="shared" si="84"/>
        <v>41944</v>
      </c>
      <c r="L1075" s="45">
        <f t="shared" si="86"/>
        <v>7</v>
      </c>
      <c r="M1075" s="17">
        <v>1.4833299999999999E-3</v>
      </c>
      <c r="N1075" s="46">
        <f t="shared" si="85"/>
        <v>16.684940838999999</v>
      </c>
      <c r="O1075" s="16"/>
      <c r="P1075" s="63">
        <f t="shared" si="87"/>
        <v>773.32062500000018</v>
      </c>
      <c r="Q1075" s="16"/>
      <c r="R1075" s="48">
        <f t="shared" si="83"/>
        <v>29.000527750000003</v>
      </c>
    </row>
    <row r="1076" spans="1:18">
      <c r="A1076" s="14" t="s">
        <v>17</v>
      </c>
      <c r="B1076" s="15" t="s">
        <v>640</v>
      </c>
      <c r="C1076" s="15" t="s">
        <v>641</v>
      </c>
      <c r="D1076" s="14" t="s">
        <v>642</v>
      </c>
      <c r="E1076" s="15" t="s">
        <v>362</v>
      </c>
      <c r="F1076" s="14" t="s">
        <v>41</v>
      </c>
      <c r="G1076" s="15" t="s">
        <v>23</v>
      </c>
      <c r="H1076" s="15"/>
      <c r="I1076" s="15">
        <v>201407</v>
      </c>
      <c r="J1076" s="16">
        <v>0.12</v>
      </c>
      <c r="K1076" s="44">
        <f t="shared" si="84"/>
        <v>41944</v>
      </c>
      <c r="L1076" s="45">
        <f t="shared" si="86"/>
        <v>7</v>
      </c>
      <c r="M1076" s="17">
        <v>1.4833299999999999E-3</v>
      </c>
      <c r="N1076" s="46">
        <f t="shared" si="85"/>
        <v>1.2459971999999998E-3</v>
      </c>
      <c r="O1076" s="16"/>
      <c r="P1076" s="63">
        <f t="shared" si="87"/>
        <v>5.7750000000000003E-2</v>
      </c>
      <c r="Q1076" s="16"/>
      <c r="R1076" s="48">
        <f t="shared" si="83"/>
        <v>2.1657E-3</v>
      </c>
    </row>
    <row r="1077" spans="1:18">
      <c r="A1077" s="14" t="s">
        <v>17</v>
      </c>
      <c r="B1077" s="15" t="s">
        <v>716</v>
      </c>
      <c r="C1077" s="15" t="s">
        <v>717</v>
      </c>
      <c r="D1077" s="14" t="s">
        <v>718</v>
      </c>
      <c r="E1077" s="15" t="s">
        <v>104</v>
      </c>
      <c r="F1077" s="14" t="s">
        <v>41</v>
      </c>
      <c r="G1077" s="15" t="s">
        <v>23</v>
      </c>
      <c r="H1077" s="15"/>
      <c r="I1077" s="15">
        <v>201407</v>
      </c>
      <c r="J1077" s="16">
        <v>486.71</v>
      </c>
      <c r="K1077" s="44">
        <f t="shared" si="84"/>
        <v>41944</v>
      </c>
      <c r="L1077" s="45">
        <f t="shared" si="86"/>
        <v>7</v>
      </c>
      <c r="M1077" s="17">
        <v>1.4833299999999999E-3</v>
      </c>
      <c r="N1077" s="46">
        <f t="shared" si="85"/>
        <v>5.0536608100999993</v>
      </c>
      <c r="O1077" s="16"/>
      <c r="P1077" s="63">
        <f t="shared" si="87"/>
        <v>234.22918750000002</v>
      </c>
      <c r="Q1077" s="16"/>
      <c r="R1077" s="48">
        <f t="shared" si="83"/>
        <v>8.7838987250000002</v>
      </c>
    </row>
    <row r="1078" spans="1:18">
      <c r="A1078" s="14" t="s">
        <v>17</v>
      </c>
      <c r="B1078" s="15" t="s">
        <v>266</v>
      </c>
      <c r="C1078" s="15" t="s">
        <v>267</v>
      </c>
      <c r="D1078" s="14" t="s">
        <v>268</v>
      </c>
      <c r="E1078" s="15" t="s">
        <v>104</v>
      </c>
      <c r="F1078" s="14" t="s">
        <v>41</v>
      </c>
      <c r="G1078" s="15" t="s">
        <v>23</v>
      </c>
      <c r="H1078" s="15"/>
      <c r="I1078" s="15">
        <v>201407</v>
      </c>
      <c r="J1078" s="16">
        <v>76.459999999999994</v>
      </c>
      <c r="K1078" s="44">
        <f t="shared" si="84"/>
        <v>41944</v>
      </c>
      <c r="L1078" s="45">
        <f t="shared" si="86"/>
        <v>7</v>
      </c>
      <c r="M1078" s="17">
        <v>1.4833299999999999E-3</v>
      </c>
      <c r="N1078" s="46">
        <f t="shared" si="85"/>
        <v>0.79390788259999989</v>
      </c>
      <c r="O1078" s="16"/>
      <c r="P1078" s="63">
        <f t="shared" si="87"/>
        <v>36.796375000000005</v>
      </c>
      <c r="Q1078" s="16"/>
      <c r="R1078" s="48">
        <f t="shared" si="83"/>
        <v>1.3799118500000001</v>
      </c>
    </row>
    <row r="1079" spans="1:18">
      <c r="A1079" s="14" t="s">
        <v>17</v>
      </c>
      <c r="B1079" s="15" t="s">
        <v>425</v>
      </c>
      <c r="C1079" s="15" t="s">
        <v>426</v>
      </c>
      <c r="D1079" s="14" t="s">
        <v>427</v>
      </c>
      <c r="E1079" s="15" t="s">
        <v>104</v>
      </c>
      <c r="F1079" s="14" t="s">
        <v>41</v>
      </c>
      <c r="G1079" s="15" t="s">
        <v>23</v>
      </c>
      <c r="H1079" s="15"/>
      <c r="I1079" s="15">
        <v>201407</v>
      </c>
      <c r="J1079" s="16">
        <v>160.25</v>
      </c>
      <c r="K1079" s="44">
        <f t="shared" si="84"/>
        <v>41944</v>
      </c>
      <c r="L1079" s="45">
        <f t="shared" si="86"/>
        <v>7</v>
      </c>
      <c r="M1079" s="17">
        <v>1.4833299999999999E-3</v>
      </c>
      <c r="N1079" s="46">
        <f t="shared" si="85"/>
        <v>1.6639254274999999</v>
      </c>
      <c r="O1079" s="16"/>
      <c r="P1079" s="63">
        <f t="shared" si="87"/>
        <v>77.120312500000011</v>
      </c>
      <c r="Q1079" s="16"/>
      <c r="R1079" s="48">
        <f t="shared" si="83"/>
        <v>2.8921118750000003</v>
      </c>
    </row>
    <row r="1080" spans="1:18">
      <c r="A1080" s="14" t="s">
        <v>54</v>
      </c>
      <c r="B1080" s="15" t="s">
        <v>649</v>
      </c>
      <c r="C1080" s="15" t="s">
        <v>650</v>
      </c>
      <c r="D1080" s="14" t="s">
        <v>651</v>
      </c>
      <c r="E1080" s="15" t="s">
        <v>104</v>
      </c>
      <c r="F1080" s="14" t="s">
        <v>41</v>
      </c>
      <c r="G1080" s="15" t="s">
        <v>23</v>
      </c>
      <c r="H1080" s="15"/>
      <c r="I1080" s="15">
        <v>201407</v>
      </c>
      <c r="J1080" s="16">
        <v>567.86</v>
      </c>
      <c r="K1080" s="44">
        <f t="shared" si="84"/>
        <v>41944</v>
      </c>
      <c r="L1080" s="45">
        <f t="shared" si="86"/>
        <v>7</v>
      </c>
      <c r="M1080" s="17">
        <v>1.4833299999999999E-3</v>
      </c>
      <c r="N1080" s="46">
        <f t="shared" si="85"/>
        <v>5.8962664165999996</v>
      </c>
      <c r="O1080" s="16"/>
      <c r="P1080" s="63">
        <f t="shared" si="87"/>
        <v>273.28262500000005</v>
      </c>
      <c r="Q1080" s="16"/>
      <c r="R1080" s="48">
        <f t="shared" si="83"/>
        <v>10.24845335</v>
      </c>
    </row>
    <row r="1081" spans="1:18">
      <c r="A1081" s="14" t="s">
        <v>17</v>
      </c>
      <c r="B1081" s="15" t="s">
        <v>810</v>
      </c>
      <c r="C1081" s="15" t="s">
        <v>811</v>
      </c>
      <c r="D1081" s="14" t="s">
        <v>812</v>
      </c>
      <c r="E1081" s="15" t="s">
        <v>104</v>
      </c>
      <c r="F1081" s="14" t="s">
        <v>41</v>
      </c>
      <c r="G1081" s="15" t="s">
        <v>23</v>
      </c>
      <c r="H1081" s="15"/>
      <c r="I1081" s="15">
        <v>201407</v>
      </c>
      <c r="J1081" s="16">
        <v>690.53</v>
      </c>
      <c r="K1081" s="44">
        <f t="shared" si="84"/>
        <v>41944</v>
      </c>
      <c r="L1081" s="45">
        <f t="shared" si="86"/>
        <v>7</v>
      </c>
      <c r="M1081" s="17">
        <v>1.4833299999999999E-3</v>
      </c>
      <c r="N1081" s="46">
        <f t="shared" si="85"/>
        <v>7.1699870542999999</v>
      </c>
      <c r="O1081" s="16"/>
      <c r="P1081" s="63">
        <f t="shared" si="87"/>
        <v>332.31756250000001</v>
      </c>
      <c r="Q1081" s="16"/>
      <c r="R1081" s="48">
        <f t="shared" si="83"/>
        <v>12.462340175</v>
      </c>
    </row>
    <row r="1082" spans="1:18">
      <c r="A1082" s="14" t="s">
        <v>54</v>
      </c>
      <c r="B1082" s="15" t="s">
        <v>303</v>
      </c>
      <c r="C1082" s="15" t="s">
        <v>304</v>
      </c>
      <c r="D1082" s="14" t="s">
        <v>305</v>
      </c>
      <c r="E1082" s="15" t="s">
        <v>104</v>
      </c>
      <c r="F1082" s="14" t="s">
        <v>41</v>
      </c>
      <c r="G1082" s="15" t="s">
        <v>23</v>
      </c>
      <c r="H1082" s="15"/>
      <c r="I1082" s="15">
        <v>201407</v>
      </c>
      <c r="J1082" s="16">
        <v>614.51</v>
      </c>
      <c r="K1082" s="44">
        <f t="shared" si="84"/>
        <v>41944</v>
      </c>
      <c r="L1082" s="45">
        <f t="shared" si="86"/>
        <v>7</v>
      </c>
      <c r="M1082" s="17">
        <v>1.4833299999999999E-3</v>
      </c>
      <c r="N1082" s="46">
        <f t="shared" si="85"/>
        <v>6.3806478280999999</v>
      </c>
      <c r="O1082" s="16"/>
      <c r="P1082" s="63">
        <f t="shared" si="87"/>
        <v>295.73293750000005</v>
      </c>
      <c r="Q1082" s="16"/>
      <c r="R1082" s="48">
        <f t="shared" si="83"/>
        <v>11.090369225</v>
      </c>
    </row>
    <row r="1083" spans="1:18">
      <c r="A1083" s="18" t="s">
        <v>66</v>
      </c>
      <c r="B1083" s="15" t="s">
        <v>941</v>
      </c>
      <c r="C1083" s="15" t="s">
        <v>942</v>
      </c>
      <c r="D1083" s="14" t="s">
        <v>943</v>
      </c>
      <c r="E1083" s="15" t="s">
        <v>369</v>
      </c>
      <c r="F1083" s="14" t="s">
        <v>41</v>
      </c>
      <c r="G1083" s="15" t="s">
        <v>23</v>
      </c>
      <c r="H1083" s="15"/>
      <c r="I1083" s="15">
        <v>201407</v>
      </c>
      <c r="J1083" s="16">
        <v>1424.21</v>
      </c>
      <c r="K1083" s="44">
        <f t="shared" si="84"/>
        <v>41944</v>
      </c>
      <c r="L1083" s="45">
        <f t="shared" si="86"/>
        <v>7</v>
      </c>
      <c r="M1083" s="17">
        <v>2.23333E-3</v>
      </c>
      <c r="N1083" s="46">
        <f t="shared" si="85"/>
        <v>22.265116435100001</v>
      </c>
      <c r="O1083" s="16"/>
      <c r="P1083" s="63">
        <f t="shared" si="87"/>
        <v>685.40106250000008</v>
      </c>
      <c r="Q1083" s="16"/>
      <c r="R1083" s="48">
        <f t="shared" si="83"/>
        <v>25.703429975000002</v>
      </c>
    </row>
    <row r="1084" spans="1:18">
      <c r="A1084" s="14" t="s">
        <v>17</v>
      </c>
      <c r="B1084" s="15" t="s">
        <v>101</v>
      </c>
      <c r="C1084" s="15" t="s">
        <v>102</v>
      </c>
      <c r="D1084" s="14" t="s">
        <v>103</v>
      </c>
      <c r="E1084" s="15" t="s">
        <v>104</v>
      </c>
      <c r="F1084" s="14" t="s">
        <v>41</v>
      </c>
      <c r="G1084" s="15" t="s">
        <v>23</v>
      </c>
      <c r="H1084" s="15"/>
      <c r="I1084" s="15">
        <v>201407</v>
      </c>
      <c r="J1084" s="16">
        <v>-182.31</v>
      </c>
      <c r="K1084" s="44">
        <f t="shared" si="84"/>
        <v>41944</v>
      </c>
      <c r="L1084" s="45">
        <f t="shared" si="86"/>
        <v>7</v>
      </c>
      <c r="M1084" s="17">
        <v>1.4833299999999999E-3</v>
      </c>
      <c r="N1084" s="46">
        <f t="shared" si="85"/>
        <v>-1.8929812461</v>
      </c>
      <c r="O1084" s="16"/>
      <c r="P1084" s="63">
        <f t="shared" si="87"/>
        <v>-87.736687500000016</v>
      </c>
      <c r="Q1084" s="16"/>
      <c r="R1084" s="48">
        <f t="shared" si="83"/>
        <v>-3.2902397250000002</v>
      </c>
    </row>
    <row r="1085" spans="1:18">
      <c r="A1085" s="14" t="s">
        <v>17</v>
      </c>
      <c r="B1085" s="15" t="s">
        <v>474</v>
      </c>
      <c r="C1085" s="15" t="s">
        <v>475</v>
      </c>
      <c r="D1085" s="14" t="s">
        <v>476</v>
      </c>
      <c r="E1085" s="15" t="s">
        <v>40</v>
      </c>
      <c r="F1085" s="14" t="s">
        <v>41</v>
      </c>
      <c r="G1085" s="15" t="s">
        <v>23</v>
      </c>
      <c r="H1085" s="15"/>
      <c r="I1085" s="15">
        <v>201407</v>
      </c>
      <c r="J1085" s="16">
        <v>1043.07</v>
      </c>
      <c r="K1085" s="44">
        <f t="shared" si="84"/>
        <v>41944</v>
      </c>
      <c r="L1085" s="45">
        <f t="shared" si="86"/>
        <v>7</v>
      </c>
      <c r="M1085" s="17">
        <v>1.4833299999999999E-3</v>
      </c>
      <c r="N1085" s="46">
        <f t="shared" si="85"/>
        <v>10.8305191617</v>
      </c>
      <c r="O1085" s="16"/>
      <c r="P1085" s="63">
        <f t="shared" si="87"/>
        <v>501.97743750000006</v>
      </c>
      <c r="Q1085" s="16"/>
      <c r="R1085" s="48">
        <f t="shared" si="83"/>
        <v>18.824805824999999</v>
      </c>
    </row>
    <row r="1086" spans="1:18">
      <c r="A1086" s="14" t="s">
        <v>17</v>
      </c>
      <c r="B1086" s="15" t="s">
        <v>37</v>
      </c>
      <c r="C1086" s="15" t="s">
        <v>38</v>
      </c>
      <c r="D1086" s="14" t="s">
        <v>39</v>
      </c>
      <c r="E1086" s="15" t="s">
        <v>40</v>
      </c>
      <c r="F1086" s="14" t="s">
        <v>41</v>
      </c>
      <c r="G1086" s="15" t="s">
        <v>23</v>
      </c>
      <c r="H1086" s="15"/>
      <c r="I1086" s="15">
        <v>201407</v>
      </c>
      <c r="J1086" s="16">
        <v>260.77999999999997</v>
      </c>
      <c r="K1086" s="44">
        <f t="shared" si="84"/>
        <v>41944</v>
      </c>
      <c r="L1086" s="45">
        <f t="shared" si="86"/>
        <v>7</v>
      </c>
      <c r="M1086" s="17">
        <v>1.4833299999999999E-3</v>
      </c>
      <c r="N1086" s="46">
        <f t="shared" si="85"/>
        <v>2.7077595817999995</v>
      </c>
      <c r="O1086" s="16"/>
      <c r="P1086" s="63">
        <f t="shared" si="87"/>
        <v>125.50037500000001</v>
      </c>
      <c r="Q1086" s="16"/>
      <c r="R1086" s="48">
        <f t="shared" si="83"/>
        <v>4.7064270499999994</v>
      </c>
    </row>
    <row r="1087" spans="1:18">
      <c r="A1087" s="14" t="s">
        <v>17</v>
      </c>
      <c r="B1087" s="15" t="s">
        <v>614</v>
      </c>
      <c r="C1087" s="15" t="s">
        <v>615</v>
      </c>
      <c r="D1087" s="14" t="s">
        <v>616</v>
      </c>
      <c r="E1087" s="15" t="s">
        <v>40</v>
      </c>
      <c r="F1087" s="14" t="s">
        <v>41</v>
      </c>
      <c r="G1087" s="15" t="s">
        <v>23</v>
      </c>
      <c r="H1087" s="15"/>
      <c r="I1087" s="15">
        <v>201407</v>
      </c>
      <c r="J1087" s="16">
        <v>486.09</v>
      </c>
      <c r="K1087" s="44">
        <f t="shared" si="84"/>
        <v>41944</v>
      </c>
      <c r="L1087" s="45">
        <f t="shared" si="86"/>
        <v>7</v>
      </c>
      <c r="M1087" s="17">
        <v>1.4833299999999999E-3</v>
      </c>
      <c r="N1087" s="46">
        <f t="shared" si="85"/>
        <v>5.0472231578999995</v>
      </c>
      <c r="O1087" s="16"/>
      <c r="P1087" s="63">
        <f t="shared" si="87"/>
        <v>233.93081250000003</v>
      </c>
      <c r="Q1087" s="16"/>
      <c r="R1087" s="48">
        <f t="shared" si="83"/>
        <v>8.7727092750000004</v>
      </c>
    </row>
    <row r="1088" spans="1:18">
      <c r="A1088" s="14" t="s">
        <v>54</v>
      </c>
      <c r="B1088" s="15" t="s">
        <v>722</v>
      </c>
      <c r="C1088" s="15" t="s">
        <v>723</v>
      </c>
      <c r="D1088" s="14" t="s">
        <v>724</v>
      </c>
      <c r="E1088" s="15" t="s">
        <v>40</v>
      </c>
      <c r="F1088" s="14" t="s">
        <v>41</v>
      </c>
      <c r="G1088" s="15" t="s">
        <v>23</v>
      </c>
      <c r="H1088" s="15"/>
      <c r="I1088" s="15">
        <v>201407</v>
      </c>
      <c r="J1088" s="16">
        <v>21710.33</v>
      </c>
      <c r="K1088" s="44">
        <f t="shared" si="84"/>
        <v>41944</v>
      </c>
      <c r="L1088" s="45">
        <f t="shared" si="86"/>
        <v>7</v>
      </c>
      <c r="M1088" s="17">
        <v>1.4833299999999999E-3</v>
      </c>
      <c r="N1088" s="46">
        <f t="shared" si="85"/>
        <v>225.4250865923</v>
      </c>
      <c r="O1088" s="16"/>
      <c r="P1088" s="63">
        <f t="shared" si="87"/>
        <v>10448.096312500002</v>
      </c>
      <c r="Q1088" s="16"/>
      <c r="R1088" s="48">
        <f t="shared" si="83"/>
        <v>391.81718067500003</v>
      </c>
    </row>
    <row r="1089" spans="1:18">
      <c r="A1089" s="14" t="s">
        <v>17</v>
      </c>
      <c r="B1089" s="15" t="s">
        <v>661</v>
      </c>
      <c r="C1089" s="15" t="s">
        <v>662</v>
      </c>
      <c r="D1089" s="14" t="s">
        <v>663</v>
      </c>
      <c r="E1089" s="15" t="s">
        <v>40</v>
      </c>
      <c r="F1089" s="14" t="s">
        <v>41</v>
      </c>
      <c r="G1089" s="15" t="s">
        <v>23</v>
      </c>
      <c r="H1089" s="15"/>
      <c r="I1089" s="15">
        <v>201407</v>
      </c>
      <c r="J1089" s="16">
        <v>425.17</v>
      </c>
      <c r="K1089" s="44">
        <f t="shared" si="84"/>
        <v>41944</v>
      </c>
      <c r="L1089" s="45">
        <f t="shared" si="86"/>
        <v>7</v>
      </c>
      <c r="M1089" s="17">
        <v>1.4833299999999999E-3</v>
      </c>
      <c r="N1089" s="46">
        <f t="shared" si="85"/>
        <v>4.4146719127000003</v>
      </c>
      <c r="O1089" s="16"/>
      <c r="P1089" s="63">
        <f t="shared" si="87"/>
        <v>204.61306250000004</v>
      </c>
      <c r="Q1089" s="16"/>
      <c r="R1089" s="48">
        <f t="shared" si="83"/>
        <v>7.6732555750000007</v>
      </c>
    </row>
    <row r="1090" spans="1:18">
      <c r="A1090" s="14" t="s">
        <v>17</v>
      </c>
      <c r="B1090" s="15" t="s">
        <v>149</v>
      </c>
      <c r="C1090" s="15" t="s">
        <v>150</v>
      </c>
      <c r="D1090" s="14" t="s">
        <v>151</v>
      </c>
      <c r="E1090" s="15" t="s">
        <v>40</v>
      </c>
      <c r="F1090" s="14" t="s">
        <v>41</v>
      </c>
      <c r="G1090" s="15" t="s">
        <v>23</v>
      </c>
      <c r="H1090" s="15"/>
      <c r="I1090" s="15">
        <v>201407</v>
      </c>
      <c r="J1090" s="16">
        <v>117.48</v>
      </c>
      <c r="K1090" s="44">
        <f t="shared" si="84"/>
        <v>41944</v>
      </c>
      <c r="L1090" s="45">
        <f t="shared" si="86"/>
        <v>7</v>
      </c>
      <c r="M1090" s="17">
        <v>1.4833299999999999E-3</v>
      </c>
      <c r="N1090" s="46">
        <f t="shared" si="85"/>
        <v>1.2198312588</v>
      </c>
      <c r="O1090" s="16"/>
      <c r="P1090" s="63">
        <f t="shared" si="87"/>
        <v>56.537250000000007</v>
      </c>
      <c r="Q1090" s="16"/>
      <c r="R1090" s="48">
        <f t="shared" si="83"/>
        <v>2.1202203000000002</v>
      </c>
    </row>
    <row r="1091" spans="1:18">
      <c r="A1091" s="14" t="s">
        <v>54</v>
      </c>
      <c r="B1091" s="15" t="s">
        <v>549</v>
      </c>
      <c r="C1091" s="15" t="s">
        <v>550</v>
      </c>
      <c r="D1091" s="14" t="s">
        <v>551</v>
      </c>
      <c r="E1091" s="15" t="s">
        <v>136</v>
      </c>
      <c r="F1091" s="14" t="s">
        <v>137</v>
      </c>
      <c r="G1091" s="15" t="s">
        <v>23</v>
      </c>
      <c r="H1091" s="15"/>
      <c r="I1091" s="15">
        <v>201407</v>
      </c>
      <c r="J1091" s="16">
        <v>3734.54</v>
      </c>
      <c r="K1091" s="44">
        <f t="shared" si="84"/>
        <v>41944</v>
      </c>
      <c r="L1091" s="45">
        <f t="shared" si="86"/>
        <v>7</v>
      </c>
      <c r="M1091" s="17">
        <v>1.4833299999999999E-3</v>
      </c>
      <c r="N1091" s="46">
        <f t="shared" si="85"/>
        <v>38.776886527400002</v>
      </c>
      <c r="O1091" s="16"/>
      <c r="P1091" s="63">
        <f t="shared" si="87"/>
        <v>1797.2473750000001</v>
      </c>
      <c r="Q1091" s="16"/>
      <c r="R1091" s="48">
        <f t="shared" si="83"/>
        <v>67.399110649999997</v>
      </c>
    </row>
    <row r="1092" spans="1:18">
      <c r="A1092" s="14" t="s">
        <v>17</v>
      </c>
      <c r="B1092" s="15" t="s">
        <v>637</v>
      </c>
      <c r="C1092" s="15" t="s">
        <v>638</v>
      </c>
      <c r="D1092" s="14" t="s">
        <v>639</v>
      </c>
      <c r="E1092" s="15" t="s">
        <v>136</v>
      </c>
      <c r="F1092" s="14" t="s">
        <v>137</v>
      </c>
      <c r="G1092" s="15" t="s">
        <v>23</v>
      </c>
      <c r="H1092" s="15"/>
      <c r="I1092" s="15">
        <v>201407</v>
      </c>
      <c r="J1092" s="16">
        <v>342.44</v>
      </c>
      <c r="K1092" s="44">
        <f t="shared" si="84"/>
        <v>41944</v>
      </c>
      <c r="L1092" s="45">
        <f t="shared" si="86"/>
        <v>7</v>
      </c>
      <c r="M1092" s="17">
        <v>1.4833299999999999E-3</v>
      </c>
      <c r="N1092" s="46">
        <f t="shared" si="85"/>
        <v>3.5556606764000001</v>
      </c>
      <c r="O1092" s="16"/>
      <c r="P1092" s="63">
        <f t="shared" si="87"/>
        <v>164.79925000000003</v>
      </c>
      <c r="Q1092" s="16"/>
      <c r="R1092" s="48">
        <f t="shared" si="83"/>
        <v>6.1801859000000006</v>
      </c>
    </row>
    <row r="1093" spans="1:18">
      <c r="A1093" s="14" t="s">
        <v>17</v>
      </c>
      <c r="B1093" s="15" t="s">
        <v>578</v>
      </c>
      <c r="C1093" s="15" t="s">
        <v>579</v>
      </c>
      <c r="D1093" s="14" t="s">
        <v>580</v>
      </c>
      <c r="E1093" s="15" t="s">
        <v>136</v>
      </c>
      <c r="F1093" s="14" t="s">
        <v>137</v>
      </c>
      <c r="G1093" s="15" t="s">
        <v>23</v>
      </c>
      <c r="H1093" s="15"/>
      <c r="I1093" s="15">
        <v>201407</v>
      </c>
      <c r="J1093" s="16">
        <v>-11802.07</v>
      </c>
      <c r="K1093" s="44">
        <f t="shared" si="84"/>
        <v>41944</v>
      </c>
      <c r="L1093" s="45">
        <f t="shared" si="86"/>
        <v>7</v>
      </c>
      <c r="M1093" s="17">
        <v>1.4833299999999999E-3</v>
      </c>
      <c r="N1093" s="46">
        <f t="shared" si="85"/>
        <v>-122.54455145169999</v>
      </c>
      <c r="O1093" s="16"/>
      <c r="P1093" s="63">
        <f t="shared" si="87"/>
        <v>-5679.7461875000008</v>
      </c>
      <c r="Q1093" s="16"/>
      <c r="R1093" s="48">
        <f t="shared" si="83"/>
        <v>-212.99785832500001</v>
      </c>
    </row>
    <row r="1094" spans="1:18">
      <c r="A1094" s="14" t="s">
        <v>54</v>
      </c>
      <c r="B1094" s="15" t="s">
        <v>578</v>
      </c>
      <c r="C1094" s="15" t="s">
        <v>579</v>
      </c>
      <c r="D1094" s="14" t="s">
        <v>580</v>
      </c>
      <c r="E1094" s="15" t="s">
        <v>136</v>
      </c>
      <c r="F1094" s="14" t="s">
        <v>137</v>
      </c>
      <c r="G1094" s="15" t="s">
        <v>23</v>
      </c>
      <c r="H1094" s="15"/>
      <c r="I1094" s="15">
        <v>201407</v>
      </c>
      <c r="J1094" s="16">
        <v>12845.46</v>
      </c>
      <c r="K1094" s="44">
        <f t="shared" si="84"/>
        <v>41944</v>
      </c>
      <c r="L1094" s="45">
        <f t="shared" si="86"/>
        <v>7</v>
      </c>
      <c r="M1094" s="17">
        <v>1.4833299999999999E-3</v>
      </c>
      <c r="N1094" s="46">
        <f t="shared" si="85"/>
        <v>133.37839327259999</v>
      </c>
      <c r="O1094" s="16"/>
      <c r="P1094" s="63">
        <f t="shared" si="87"/>
        <v>6181.8776250000001</v>
      </c>
      <c r="Q1094" s="16"/>
      <c r="R1094" s="48">
        <f t="shared" ref="R1094:R1157" si="88">$R$4*(J1094*0.5)*$T$9</f>
        <v>231.82843935</v>
      </c>
    </row>
    <row r="1095" spans="1:18">
      <c r="A1095" s="14" t="s">
        <v>17</v>
      </c>
      <c r="B1095" s="15" t="s">
        <v>634</v>
      </c>
      <c r="C1095" s="15" t="s">
        <v>635</v>
      </c>
      <c r="D1095" s="14" t="s">
        <v>636</v>
      </c>
      <c r="E1095" s="15" t="s">
        <v>567</v>
      </c>
      <c r="F1095" s="14" t="s">
        <v>137</v>
      </c>
      <c r="G1095" s="15" t="s">
        <v>23</v>
      </c>
      <c r="H1095" s="15"/>
      <c r="I1095" s="15">
        <v>201407</v>
      </c>
      <c r="J1095" s="16">
        <v>9733.49</v>
      </c>
      <c r="K1095" s="44">
        <f t="shared" ref="K1095:K1158" si="89">+K1094</f>
        <v>41944</v>
      </c>
      <c r="L1095" s="45">
        <f t="shared" si="86"/>
        <v>7</v>
      </c>
      <c r="M1095" s="17">
        <v>1.4833299999999999E-3</v>
      </c>
      <c r="N1095" s="46">
        <f t="shared" si="85"/>
        <v>101.0658440519</v>
      </c>
      <c r="O1095" s="16"/>
      <c r="P1095" s="63">
        <f t="shared" si="87"/>
        <v>4684.2420625000004</v>
      </c>
      <c r="Q1095" s="16"/>
      <c r="R1095" s="48">
        <f t="shared" si="88"/>
        <v>175.665160775</v>
      </c>
    </row>
    <row r="1096" spans="1:18">
      <c r="A1096" s="14" t="s">
        <v>17</v>
      </c>
      <c r="B1096" s="15" t="s">
        <v>564</v>
      </c>
      <c r="C1096" s="15" t="s">
        <v>565</v>
      </c>
      <c r="D1096" s="14" t="s">
        <v>566</v>
      </c>
      <c r="E1096" s="15" t="s">
        <v>567</v>
      </c>
      <c r="F1096" s="14" t="s">
        <v>137</v>
      </c>
      <c r="G1096" s="15" t="s">
        <v>23</v>
      </c>
      <c r="H1096" s="15"/>
      <c r="I1096" s="15">
        <v>201407</v>
      </c>
      <c r="J1096" s="16">
        <v>980.7</v>
      </c>
      <c r="K1096" s="44">
        <f t="shared" si="89"/>
        <v>41944</v>
      </c>
      <c r="L1096" s="45">
        <f t="shared" si="86"/>
        <v>7</v>
      </c>
      <c r="M1096" s="17">
        <v>1.4833299999999999E-3</v>
      </c>
      <c r="N1096" s="46">
        <f t="shared" si="85"/>
        <v>10.182912117000001</v>
      </c>
      <c r="O1096" s="16"/>
      <c r="P1096" s="63">
        <f t="shared" si="87"/>
        <v>471.96187500000008</v>
      </c>
      <c r="Q1096" s="16"/>
      <c r="R1096" s="48">
        <f t="shared" si="88"/>
        <v>17.699183250000001</v>
      </c>
    </row>
    <row r="1097" spans="1:18">
      <c r="A1097" s="14" t="s">
        <v>17</v>
      </c>
      <c r="B1097" s="15" t="s">
        <v>391</v>
      </c>
      <c r="C1097" s="15" t="s">
        <v>392</v>
      </c>
      <c r="D1097" s="14" t="s">
        <v>393</v>
      </c>
      <c r="E1097" s="15" t="s">
        <v>394</v>
      </c>
      <c r="F1097" s="14" t="s">
        <v>137</v>
      </c>
      <c r="G1097" s="15" t="s">
        <v>23</v>
      </c>
      <c r="H1097" s="15"/>
      <c r="I1097" s="15">
        <v>201407</v>
      </c>
      <c r="J1097" s="16">
        <v>64.69</v>
      </c>
      <c r="K1097" s="44">
        <f t="shared" si="89"/>
        <v>41944</v>
      </c>
      <c r="L1097" s="45">
        <f t="shared" si="86"/>
        <v>7</v>
      </c>
      <c r="M1097" s="17">
        <v>1.4833299999999999E-3</v>
      </c>
      <c r="N1097" s="46">
        <f t="shared" si="85"/>
        <v>0.6716963239</v>
      </c>
      <c r="O1097" s="16"/>
      <c r="P1097" s="63">
        <f t="shared" si="87"/>
        <v>31.132062500000004</v>
      </c>
      <c r="Q1097" s="16"/>
      <c r="R1097" s="48">
        <f t="shared" si="88"/>
        <v>1.1674927749999999</v>
      </c>
    </row>
    <row r="1098" spans="1:18">
      <c r="A1098" s="14" t="s">
        <v>17</v>
      </c>
      <c r="B1098" s="15" t="s">
        <v>468</v>
      </c>
      <c r="C1098" s="15" t="s">
        <v>469</v>
      </c>
      <c r="D1098" s="14" t="s">
        <v>470</v>
      </c>
      <c r="E1098" s="15" t="s">
        <v>136</v>
      </c>
      <c r="F1098" s="14" t="s">
        <v>137</v>
      </c>
      <c r="G1098" s="15" t="s">
        <v>23</v>
      </c>
      <c r="H1098" s="15"/>
      <c r="I1098" s="15">
        <v>201407</v>
      </c>
      <c r="J1098" s="16">
        <v>-57377.64</v>
      </c>
      <c r="K1098" s="44">
        <f t="shared" si="89"/>
        <v>41944</v>
      </c>
      <c r="L1098" s="45">
        <f t="shared" si="86"/>
        <v>7</v>
      </c>
      <c r="M1098" s="17">
        <v>1.4833299999999999E-3</v>
      </c>
      <c r="N1098" s="46">
        <f t="shared" si="85"/>
        <v>-595.76982318839998</v>
      </c>
      <c r="O1098" s="16"/>
      <c r="P1098" s="63">
        <f t="shared" si="87"/>
        <v>-27612.989250000002</v>
      </c>
      <c r="Q1098" s="16"/>
      <c r="R1098" s="48">
        <f t="shared" si="88"/>
        <v>-1035.5229578999999</v>
      </c>
    </row>
    <row r="1099" spans="1:18">
      <c r="A1099" s="14" t="s">
        <v>54</v>
      </c>
      <c r="B1099" s="15" t="s">
        <v>468</v>
      </c>
      <c r="C1099" s="15" t="s">
        <v>469</v>
      </c>
      <c r="D1099" s="14" t="s">
        <v>470</v>
      </c>
      <c r="E1099" s="15" t="s">
        <v>136</v>
      </c>
      <c r="F1099" s="14" t="s">
        <v>137</v>
      </c>
      <c r="G1099" s="15" t="s">
        <v>23</v>
      </c>
      <c r="H1099" s="15"/>
      <c r="I1099" s="15">
        <v>201407</v>
      </c>
      <c r="J1099" s="16">
        <v>59028.14</v>
      </c>
      <c r="K1099" s="44">
        <f t="shared" si="89"/>
        <v>41944</v>
      </c>
      <c r="L1099" s="45">
        <f t="shared" si="86"/>
        <v>7</v>
      </c>
      <c r="M1099" s="17">
        <v>1.4833299999999999E-3</v>
      </c>
      <c r="N1099" s="46">
        <f t="shared" si="85"/>
        <v>612.90747634339994</v>
      </c>
      <c r="O1099" s="16"/>
      <c r="P1099" s="63">
        <f t="shared" si="87"/>
        <v>28407.292375000005</v>
      </c>
      <c r="Q1099" s="16"/>
      <c r="R1099" s="48">
        <f t="shared" si="88"/>
        <v>1065.3103566500001</v>
      </c>
    </row>
    <row r="1100" spans="1:18">
      <c r="A1100" s="14" t="s">
        <v>17</v>
      </c>
      <c r="B1100" s="15" t="s">
        <v>122</v>
      </c>
      <c r="C1100" s="15" t="s">
        <v>123</v>
      </c>
      <c r="D1100" s="14" t="s">
        <v>124</v>
      </c>
      <c r="E1100" s="15" t="s">
        <v>125</v>
      </c>
      <c r="F1100" s="14" t="s">
        <v>126</v>
      </c>
      <c r="G1100" s="15" t="s">
        <v>23</v>
      </c>
      <c r="H1100" s="15"/>
      <c r="I1100" s="15">
        <v>201408</v>
      </c>
      <c r="J1100" s="70">
        <v>2.4500000000000002</v>
      </c>
      <c r="K1100" s="44">
        <f t="shared" si="89"/>
        <v>41944</v>
      </c>
      <c r="L1100" s="45">
        <f>((YEAR($L$1)-YEAR(K1100))*12+MONTH($L$1)-MONTH(K1100))</f>
        <v>7</v>
      </c>
      <c r="M1100" s="17">
        <v>1.4833299999999999E-3</v>
      </c>
      <c r="N1100" s="46">
        <f t="shared" ref="N1100:N1163" si="90">M1100*L1100*J1100</f>
        <v>2.5439109500000001E-2</v>
      </c>
      <c r="O1100" s="16"/>
      <c r="P1100" s="63">
        <f t="shared" ref="P1100:P1163" si="91">$P$4*J1100</f>
        <v>1.1790625000000003</v>
      </c>
      <c r="Q1100" s="16"/>
      <c r="R1100" s="48">
        <f t="shared" si="88"/>
        <v>4.4216375000000009E-2</v>
      </c>
    </row>
    <row r="1101" spans="1:18">
      <c r="A1101" s="14" t="s">
        <v>17</v>
      </c>
      <c r="B1101" s="15" t="s">
        <v>321</v>
      </c>
      <c r="C1101" s="15" t="s">
        <v>322</v>
      </c>
      <c r="D1101" s="14" t="s">
        <v>323</v>
      </c>
      <c r="E1101" s="15" t="s">
        <v>324</v>
      </c>
      <c r="F1101" s="14" t="s">
        <v>325</v>
      </c>
      <c r="G1101" s="15" t="s">
        <v>23</v>
      </c>
      <c r="H1101" s="15"/>
      <c r="I1101" s="15">
        <v>201408</v>
      </c>
      <c r="J1101" s="70">
        <v>-94.83</v>
      </c>
      <c r="K1101" s="44">
        <f t="shared" si="89"/>
        <v>41944</v>
      </c>
      <c r="L1101" s="45">
        <f t="shared" ref="L1101:L1164" si="92">((YEAR($L$1)-YEAR(K1101))*12+MONTH($L$1)-MONTH(K1101))</f>
        <v>7</v>
      </c>
      <c r="M1101" s="17">
        <v>1.4833299999999999E-3</v>
      </c>
      <c r="N1101" s="46">
        <f t="shared" si="90"/>
        <v>-0.98464928730000001</v>
      </c>
      <c r="O1101" s="16"/>
      <c r="P1101" s="63">
        <f t="shared" si="91"/>
        <v>-45.636937500000009</v>
      </c>
      <c r="Q1101" s="16"/>
      <c r="R1101" s="48">
        <f t="shared" si="88"/>
        <v>-1.711444425</v>
      </c>
    </row>
    <row r="1102" spans="1:18">
      <c r="A1102" s="14" t="s">
        <v>17</v>
      </c>
      <c r="B1102" s="15" t="s">
        <v>347</v>
      </c>
      <c r="C1102" s="15" t="s">
        <v>348</v>
      </c>
      <c r="D1102" s="14" t="s">
        <v>349</v>
      </c>
      <c r="E1102" s="15" t="s">
        <v>324</v>
      </c>
      <c r="F1102" s="14" t="s">
        <v>325</v>
      </c>
      <c r="G1102" s="15" t="s">
        <v>23</v>
      </c>
      <c r="H1102" s="15"/>
      <c r="I1102" s="15">
        <v>201408</v>
      </c>
      <c r="J1102" s="70">
        <v>119.52</v>
      </c>
      <c r="K1102" s="44">
        <f t="shared" si="89"/>
        <v>41944</v>
      </c>
      <c r="L1102" s="45">
        <f t="shared" si="92"/>
        <v>7</v>
      </c>
      <c r="M1102" s="17">
        <v>1.4833299999999999E-3</v>
      </c>
      <c r="N1102" s="46">
        <f t="shared" si="90"/>
        <v>1.2410132111999999</v>
      </c>
      <c r="O1102" s="16"/>
      <c r="P1102" s="63">
        <f t="shared" si="91"/>
        <v>57.519000000000005</v>
      </c>
      <c r="Q1102" s="16"/>
      <c r="R1102" s="48">
        <f t="shared" si="88"/>
        <v>2.1570372</v>
      </c>
    </row>
    <row r="1103" spans="1:18">
      <c r="A1103" s="14" t="s">
        <v>17</v>
      </c>
      <c r="B1103" s="15" t="s">
        <v>483</v>
      </c>
      <c r="C1103" s="15" t="s">
        <v>484</v>
      </c>
      <c r="D1103" s="14" t="s">
        <v>485</v>
      </c>
      <c r="E1103" s="15" t="s">
        <v>324</v>
      </c>
      <c r="F1103" s="14" t="s">
        <v>325</v>
      </c>
      <c r="G1103" s="15" t="s">
        <v>23</v>
      </c>
      <c r="H1103" s="15"/>
      <c r="I1103" s="15">
        <v>201408</v>
      </c>
      <c r="J1103" s="70">
        <v>-63.53</v>
      </c>
      <c r="K1103" s="44">
        <f t="shared" si="89"/>
        <v>41944</v>
      </c>
      <c r="L1103" s="45">
        <f t="shared" si="92"/>
        <v>7</v>
      </c>
      <c r="M1103" s="17">
        <v>1.4833299999999999E-3</v>
      </c>
      <c r="N1103" s="46">
        <f t="shared" si="90"/>
        <v>-0.65965168429999999</v>
      </c>
      <c r="O1103" s="16"/>
      <c r="P1103" s="63">
        <f t="shared" si="91"/>
        <v>-30.573812500000006</v>
      </c>
      <c r="Q1103" s="16"/>
      <c r="R1103" s="48">
        <f t="shared" si="88"/>
        <v>-1.1465576750000002</v>
      </c>
    </row>
    <row r="1104" spans="1:18">
      <c r="A1104" s="14" t="s">
        <v>17</v>
      </c>
      <c r="B1104" s="15" t="s">
        <v>511</v>
      </c>
      <c r="C1104" s="15" t="s">
        <v>512</v>
      </c>
      <c r="D1104" s="14" t="s">
        <v>513</v>
      </c>
      <c r="E1104" s="15" t="s">
        <v>324</v>
      </c>
      <c r="F1104" s="14" t="s">
        <v>325</v>
      </c>
      <c r="G1104" s="15" t="s">
        <v>23</v>
      </c>
      <c r="H1104" s="15"/>
      <c r="I1104" s="15">
        <v>201408</v>
      </c>
      <c r="J1104" s="70">
        <v>7225.96</v>
      </c>
      <c r="K1104" s="44">
        <f t="shared" si="89"/>
        <v>41944</v>
      </c>
      <c r="L1104" s="45">
        <f t="shared" si="92"/>
        <v>7</v>
      </c>
      <c r="M1104" s="17">
        <v>1.4833299999999999E-3</v>
      </c>
      <c r="N1104" s="46">
        <f t="shared" si="90"/>
        <v>75.029382727599994</v>
      </c>
      <c r="O1104" s="16"/>
      <c r="P1104" s="63">
        <f t="shared" si="91"/>
        <v>3477.4932500000004</v>
      </c>
      <c r="Q1104" s="16"/>
      <c r="R1104" s="48">
        <f t="shared" si="88"/>
        <v>130.4105131</v>
      </c>
    </row>
    <row r="1105" spans="1:18">
      <c r="A1105" s="14" t="s">
        <v>17</v>
      </c>
      <c r="B1105" s="15" t="s">
        <v>517</v>
      </c>
      <c r="C1105" s="15" t="s">
        <v>518</v>
      </c>
      <c r="D1105" s="14" t="s">
        <v>519</v>
      </c>
      <c r="E1105" s="15" t="s">
        <v>125</v>
      </c>
      <c r="F1105" s="14" t="s">
        <v>126</v>
      </c>
      <c r="G1105" s="15" t="s">
        <v>23</v>
      </c>
      <c r="H1105" s="15"/>
      <c r="I1105" s="15">
        <v>201408</v>
      </c>
      <c r="J1105" s="70">
        <v>15.29</v>
      </c>
      <c r="K1105" s="44">
        <f t="shared" si="89"/>
        <v>41944</v>
      </c>
      <c r="L1105" s="45">
        <f t="shared" si="92"/>
        <v>7</v>
      </c>
      <c r="M1105" s="17">
        <v>1.4833299999999999E-3</v>
      </c>
      <c r="N1105" s="46">
        <f t="shared" si="90"/>
        <v>0.15876080989999999</v>
      </c>
      <c r="O1105" s="16"/>
      <c r="P1105" s="63">
        <f t="shared" si="91"/>
        <v>7.3583125000000003</v>
      </c>
      <c r="Q1105" s="16"/>
      <c r="R1105" s="48">
        <f t="shared" si="88"/>
        <v>0.27594627500000002</v>
      </c>
    </row>
    <row r="1106" spans="1:18">
      <c r="A1106" s="14" t="s">
        <v>17</v>
      </c>
      <c r="B1106" s="15" t="s">
        <v>520</v>
      </c>
      <c r="C1106" s="15" t="s">
        <v>521</v>
      </c>
      <c r="D1106" s="14" t="s">
        <v>522</v>
      </c>
      <c r="E1106" s="15" t="s">
        <v>125</v>
      </c>
      <c r="F1106" s="14" t="s">
        <v>126</v>
      </c>
      <c r="G1106" s="15" t="s">
        <v>23</v>
      </c>
      <c r="H1106" s="15"/>
      <c r="I1106" s="15">
        <v>201408</v>
      </c>
      <c r="J1106" s="70">
        <v>58.92</v>
      </c>
      <c r="K1106" s="44">
        <f t="shared" si="89"/>
        <v>41944</v>
      </c>
      <c r="L1106" s="45">
        <f t="shared" si="92"/>
        <v>7</v>
      </c>
      <c r="M1106" s="17">
        <v>1.4833299999999999E-3</v>
      </c>
      <c r="N1106" s="46">
        <f t="shared" si="90"/>
        <v>0.61178462519999999</v>
      </c>
      <c r="O1106" s="16"/>
      <c r="P1106" s="63">
        <f t="shared" si="91"/>
        <v>28.355250000000005</v>
      </c>
      <c r="Q1106" s="16"/>
      <c r="R1106" s="48">
        <f t="shared" si="88"/>
        <v>1.0633587</v>
      </c>
    </row>
    <row r="1107" spans="1:18">
      <c r="A1107" s="14" t="s">
        <v>17</v>
      </c>
      <c r="B1107" s="15" t="s">
        <v>532</v>
      </c>
      <c r="C1107" s="15" t="s">
        <v>533</v>
      </c>
      <c r="D1107" s="14" t="s">
        <v>534</v>
      </c>
      <c r="E1107" s="15" t="s">
        <v>535</v>
      </c>
      <c r="F1107" s="14" t="s">
        <v>536</v>
      </c>
      <c r="G1107" s="15" t="s">
        <v>23</v>
      </c>
      <c r="H1107" s="15"/>
      <c r="I1107" s="15">
        <v>201408</v>
      </c>
      <c r="J1107" s="70">
        <v>3171.29</v>
      </c>
      <c r="K1107" s="44">
        <f t="shared" si="89"/>
        <v>41944</v>
      </c>
      <c r="L1107" s="45">
        <f t="shared" si="92"/>
        <v>7</v>
      </c>
      <c r="M1107" s="17">
        <v>1.4833299999999999E-3</v>
      </c>
      <c r="N1107" s="46">
        <f t="shared" si="90"/>
        <v>32.928487169900002</v>
      </c>
      <c r="O1107" s="16"/>
      <c r="P1107" s="63">
        <f t="shared" si="91"/>
        <v>1526.1833125000003</v>
      </c>
      <c r="Q1107" s="16"/>
      <c r="R1107" s="48">
        <f t="shared" si="88"/>
        <v>57.233856275000001</v>
      </c>
    </row>
    <row r="1108" spans="1:18">
      <c r="A1108" s="14" t="s">
        <v>17</v>
      </c>
      <c r="B1108" s="15" t="s">
        <v>568</v>
      </c>
      <c r="C1108" s="15" t="s">
        <v>569</v>
      </c>
      <c r="D1108" s="14" t="s">
        <v>570</v>
      </c>
      <c r="E1108" s="15" t="s">
        <v>324</v>
      </c>
      <c r="F1108" s="14" t="s">
        <v>325</v>
      </c>
      <c r="G1108" s="15" t="s">
        <v>23</v>
      </c>
      <c r="H1108" s="15"/>
      <c r="I1108" s="15">
        <v>201408</v>
      </c>
      <c r="J1108" s="70">
        <v>-30.21</v>
      </c>
      <c r="K1108" s="44">
        <f t="shared" si="89"/>
        <v>41944</v>
      </c>
      <c r="L1108" s="45">
        <f t="shared" si="92"/>
        <v>7</v>
      </c>
      <c r="M1108" s="17">
        <v>1.4833299999999999E-3</v>
      </c>
      <c r="N1108" s="46">
        <f t="shared" si="90"/>
        <v>-0.31367979509999999</v>
      </c>
      <c r="O1108" s="16"/>
      <c r="P1108" s="63">
        <f t="shared" si="91"/>
        <v>-14.538562500000003</v>
      </c>
      <c r="Q1108" s="16"/>
      <c r="R1108" s="48">
        <f t="shared" si="88"/>
        <v>-0.54521497500000005</v>
      </c>
    </row>
    <row r="1109" spans="1:18">
      <c r="A1109" s="14" t="s">
        <v>17</v>
      </c>
      <c r="B1109" s="15" t="s">
        <v>611</v>
      </c>
      <c r="C1109" s="15" t="s">
        <v>612</v>
      </c>
      <c r="D1109" s="14" t="s">
        <v>613</v>
      </c>
      <c r="E1109" s="15" t="s">
        <v>324</v>
      </c>
      <c r="F1109" s="14" t="s">
        <v>325</v>
      </c>
      <c r="G1109" s="15" t="s">
        <v>23</v>
      </c>
      <c r="H1109" s="15"/>
      <c r="I1109" s="15">
        <v>201408</v>
      </c>
      <c r="J1109" s="70">
        <v>8453.24</v>
      </c>
      <c r="K1109" s="44">
        <f t="shared" si="89"/>
        <v>41944</v>
      </c>
      <c r="L1109" s="45">
        <f t="shared" si="92"/>
        <v>7</v>
      </c>
      <c r="M1109" s="17">
        <v>1.4833299999999999E-3</v>
      </c>
      <c r="N1109" s="46">
        <f t="shared" si="90"/>
        <v>87.772611424399997</v>
      </c>
      <c r="O1109" s="16"/>
      <c r="P1109" s="63">
        <f t="shared" si="91"/>
        <v>4068.1217500000002</v>
      </c>
      <c r="Q1109" s="16"/>
      <c r="R1109" s="48">
        <f t="shared" si="88"/>
        <v>152.55984889999999</v>
      </c>
    </row>
    <row r="1110" spans="1:18">
      <c r="A1110" s="14" t="s">
        <v>217</v>
      </c>
      <c r="B1110" s="15" t="s">
        <v>218</v>
      </c>
      <c r="C1110" s="15" t="s">
        <v>219</v>
      </c>
      <c r="D1110" s="14" t="s">
        <v>220</v>
      </c>
      <c r="E1110" s="15" t="s">
        <v>221</v>
      </c>
      <c r="F1110" s="14" t="s">
        <v>222</v>
      </c>
      <c r="G1110" s="15" t="s">
        <v>23</v>
      </c>
      <c r="H1110" s="15"/>
      <c r="I1110" s="15">
        <v>201408</v>
      </c>
      <c r="J1110" s="70">
        <v>102020.07</v>
      </c>
      <c r="K1110" s="44">
        <f t="shared" si="89"/>
        <v>41944</v>
      </c>
      <c r="L1110" s="45">
        <f t="shared" si="92"/>
        <v>7</v>
      </c>
      <c r="M1110" s="17">
        <v>1.4833299999999999E-3</v>
      </c>
      <c r="N1110" s="46">
        <f t="shared" si="90"/>
        <v>1059.3060130317001</v>
      </c>
      <c r="O1110" s="16"/>
      <c r="P1110" s="63">
        <f t="shared" si="91"/>
        <v>49097.158687500007</v>
      </c>
      <c r="Q1110" s="16"/>
      <c r="R1110" s="48">
        <f t="shared" si="88"/>
        <v>1841.2072133250003</v>
      </c>
    </row>
    <row r="1111" spans="1:18">
      <c r="A1111" s="14" t="s">
        <v>17</v>
      </c>
      <c r="B1111" s="15" t="s">
        <v>37</v>
      </c>
      <c r="C1111" s="15" t="s">
        <v>38</v>
      </c>
      <c r="D1111" s="14" t="s">
        <v>39</v>
      </c>
      <c r="E1111" s="15" t="s">
        <v>40</v>
      </c>
      <c r="F1111" s="14" t="s">
        <v>41</v>
      </c>
      <c r="G1111" s="15" t="s">
        <v>23</v>
      </c>
      <c r="H1111" s="15"/>
      <c r="I1111" s="15">
        <v>201408</v>
      </c>
      <c r="J1111" s="70">
        <v>26.95</v>
      </c>
      <c r="K1111" s="44">
        <f t="shared" si="89"/>
        <v>41944</v>
      </c>
      <c r="L1111" s="45">
        <f t="shared" si="92"/>
        <v>7</v>
      </c>
      <c r="M1111" s="17">
        <v>1.4833299999999999E-3</v>
      </c>
      <c r="N1111" s="46">
        <f t="shared" si="90"/>
        <v>0.27983020450000001</v>
      </c>
      <c r="O1111" s="16"/>
      <c r="P1111" s="63">
        <f t="shared" si="91"/>
        <v>12.969687500000001</v>
      </c>
      <c r="Q1111" s="16"/>
      <c r="R1111" s="48">
        <f t="shared" si="88"/>
        <v>0.486380125</v>
      </c>
    </row>
    <row r="1112" spans="1:18">
      <c r="A1112" s="14" t="s">
        <v>17</v>
      </c>
      <c r="B1112" s="15" t="s">
        <v>101</v>
      </c>
      <c r="C1112" s="15" t="s">
        <v>102</v>
      </c>
      <c r="D1112" s="14" t="s">
        <v>103</v>
      </c>
      <c r="E1112" s="15" t="s">
        <v>104</v>
      </c>
      <c r="F1112" s="14" t="s">
        <v>41</v>
      </c>
      <c r="G1112" s="15" t="s">
        <v>23</v>
      </c>
      <c r="H1112" s="15"/>
      <c r="I1112" s="15">
        <v>201408</v>
      </c>
      <c r="J1112" s="70">
        <v>-30.48</v>
      </c>
      <c r="K1112" s="44">
        <f t="shared" si="89"/>
        <v>41944</v>
      </c>
      <c r="L1112" s="45">
        <f t="shared" si="92"/>
        <v>7</v>
      </c>
      <c r="M1112" s="17">
        <v>1.4833299999999999E-3</v>
      </c>
      <c r="N1112" s="46">
        <f t="shared" si="90"/>
        <v>-0.31648328879999998</v>
      </c>
      <c r="O1112" s="16"/>
      <c r="P1112" s="63">
        <f t="shared" si="91"/>
        <v>-14.668500000000002</v>
      </c>
      <c r="Q1112" s="16"/>
      <c r="R1112" s="48">
        <f t="shared" si="88"/>
        <v>-0.55008780000000002</v>
      </c>
    </row>
    <row r="1113" spans="1:18">
      <c r="A1113" s="14" t="s">
        <v>17</v>
      </c>
      <c r="B1113" s="15" t="s">
        <v>133</v>
      </c>
      <c r="C1113" s="15" t="s">
        <v>134</v>
      </c>
      <c r="D1113" s="14" t="s">
        <v>135</v>
      </c>
      <c r="E1113" s="15" t="s">
        <v>136</v>
      </c>
      <c r="F1113" s="14" t="s">
        <v>137</v>
      </c>
      <c r="G1113" s="15" t="s">
        <v>23</v>
      </c>
      <c r="H1113" s="15"/>
      <c r="I1113" s="15">
        <v>201408</v>
      </c>
      <c r="J1113" s="70">
        <v>170782.41</v>
      </c>
      <c r="K1113" s="44">
        <f t="shared" si="89"/>
        <v>41944</v>
      </c>
      <c r="L1113" s="45">
        <f t="shared" si="92"/>
        <v>7</v>
      </c>
      <c r="M1113" s="17">
        <v>1.4833299999999999E-3</v>
      </c>
      <c r="N1113" s="46">
        <f t="shared" si="90"/>
        <v>1773.2867055771001</v>
      </c>
      <c r="O1113" s="16"/>
      <c r="P1113" s="63">
        <f t="shared" si="91"/>
        <v>82189.034812500016</v>
      </c>
      <c r="Q1113" s="16"/>
      <c r="R1113" s="48">
        <f t="shared" si="88"/>
        <v>3082.1955444750001</v>
      </c>
    </row>
    <row r="1114" spans="1:18">
      <c r="A1114" s="14" t="s">
        <v>17</v>
      </c>
      <c r="B1114" s="15" t="s">
        <v>149</v>
      </c>
      <c r="C1114" s="15" t="s">
        <v>150</v>
      </c>
      <c r="D1114" s="14" t="s">
        <v>151</v>
      </c>
      <c r="E1114" s="15" t="s">
        <v>40</v>
      </c>
      <c r="F1114" s="14" t="s">
        <v>41</v>
      </c>
      <c r="G1114" s="15" t="s">
        <v>23</v>
      </c>
      <c r="H1114" s="15"/>
      <c r="I1114" s="15">
        <v>201408</v>
      </c>
      <c r="J1114" s="70">
        <v>-297.47000000000003</v>
      </c>
      <c r="K1114" s="44">
        <f t="shared" si="89"/>
        <v>41944</v>
      </c>
      <c r="L1114" s="45">
        <f t="shared" si="92"/>
        <v>7</v>
      </c>
      <c r="M1114" s="17">
        <v>1.4833299999999999E-3</v>
      </c>
      <c r="N1114" s="46">
        <f t="shared" si="90"/>
        <v>-3.0887232257000004</v>
      </c>
      <c r="O1114" s="16"/>
      <c r="P1114" s="63">
        <f t="shared" si="91"/>
        <v>-143.15743750000004</v>
      </c>
      <c r="Q1114" s="16"/>
      <c r="R1114" s="48">
        <f t="shared" si="88"/>
        <v>-5.3685898250000008</v>
      </c>
    </row>
    <row r="1115" spans="1:18">
      <c r="A1115" s="14" t="s">
        <v>17</v>
      </c>
      <c r="B1115" s="15" t="s">
        <v>152</v>
      </c>
      <c r="C1115" s="15" t="s">
        <v>153</v>
      </c>
      <c r="D1115" s="14" t="s">
        <v>154</v>
      </c>
      <c r="E1115" s="15" t="s">
        <v>53</v>
      </c>
      <c r="F1115" s="14" t="s">
        <v>41</v>
      </c>
      <c r="G1115" s="15" t="s">
        <v>23</v>
      </c>
      <c r="H1115" s="15"/>
      <c r="I1115" s="15">
        <v>201408</v>
      </c>
      <c r="J1115" s="70">
        <v>2.44</v>
      </c>
      <c r="K1115" s="44">
        <f t="shared" si="89"/>
        <v>41944</v>
      </c>
      <c r="L1115" s="45">
        <f t="shared" si="92"/>
        <v>7</v>
      </c>
      <c r="M1115" s="17">
        <v>1.4833299999999999E-3</v>
      </c>
      <c r="N1115" s="46">
        <f t="shared" si="90"/>
        <v>2.5335276399999999E-2</v>
      </c>
      <c r="O1115" s="16"/>
      <c r="P1115" s="63">
        <f t="shared" si="91"/>
        <v>1.1742500000000002</v>
      </c>
      <c r="Q1115" s="16"/>
      <c r="R1115" s="48">
        <f t="shared" si="88"/>
        <v>4.4035900000000003E-2</v>
      </c>
    </row>
    <row r="1116" spans="1:18">
      <c r="A1116" s="14" t="s">
        <v>17</v>
      </c>
      <c r="B1116" s="15" t="s">
        <v>180</v>
      </c>
      <c r="C1116" s="15" t="s">
        <v>181</v>
      </c>
      <c r="D1116" s="14" t="s">
        <v>182</v>
      </c>
      <c r="E1116" s="15" t="s">
        <v>53</v>
      </c>
      <c r="F1116" s="14" t="s">
        <v>41</v>
      </c>
      <c r="G1116" s="15" t="s">
        <v>23</v>
      </c>
      <c r="H1116" s="15"/>
      <c r="I1116" s="15">
        <v>201408</v>
      </c>
      <c r="J1116" s="70">
        <v>12770.6</v>
      </c>
      <c r="K1116" s="44">
        <f t="shared" si="89"/>
        <v>41944</v>
      </c>
      <c r="L1116" s="45">
        <f t="shared" si="92"/>
        <v>7</v>
      </c>
      <c r="M1116" s="17">
        <v>1.4833299999999999E-3</v>
      </c>
      <c r="N1116" s="46">
        <f t="shared" si="90"/>
        <v>132.601098686</v>
      </c>
      <c r="O1116" s="16"/>
      <c r="P1116" s="63">
        <f t="shared" si="91"/>
        <v>6145.8512500000006</v>
      </c>
      <c r="Q1116" s="16"/>
      <c r="R1116" s="48">
        <f t="shared" si="88"/>
        <v>230.47740350000001</v>
      </c>
    </row>
    <row r="1117" spans="1:18">
      <c r="A1117" s="14" t="s">
        <v>17</v>
      </c>
      <c r="B1117" s="15" t="s">
        <v>183</v>
      </c>
      <c r="C1117" s="15" t="s">
        <v>184</v>
      </c>
      <c r="D1117" s="14" t="s">
        <v>185</v>
      </c>
      <c r="E1117" s="15" t="s">
        <v>53</v>
      </c>
      <c r="F1117" s="14" t="s">
        <v>41</v>
      </c>
      <c r="G1117" s="15" t="s">
        <v>23</v>
      </c>
      <c r="H1117" s="15"/>
      <c r="I1117" s="15">
        <v>201408</v>
      </c>
      <c r="J1117" s="70">
        <v>-388.8</v>
      </c>
      <c r="K1117" s="44">
        <f t="shared" si="89"/>
        <v>41944</v>
      </c>
      <c r="L1117" s="45">
        <f t="shared" si="92"/>
        <v>7</v>
      </c>
      <c r="M1117" s="17">
        <v>1.4833299999999999E-3</v>
      </c>
      <c r="N1117" s="46">
        <f t="shared" si="90"/>
        <v>-4.0370309280000001</v>
      </c>
      <c r="O1117" s="16"/>
      <c r="P1117" s="63">
        <f t="shared" si="91"/>
        <v>-187.11000000000004</v>
      </c>
      <c r="Q1117" s="16"/>
      <c r="R1117" s="48">
        <f t="shared" si="88"/>
        <v>-7.0168680000000005</v>
      </c>
    </row>
    <row r="1118" spans="1:18">
      <c r="A1118" s="14" t="s">
        <v>17</v>
      </c>
      <c r="B1118" s="15" t="s">
        <v>232</v>
      </c>
      <c r="C1118" s="15" t="s">
        <v>233</v>
      </c>
      <c r="D1118" s="14" t="s">
        <v>234</v>
      </c>
      <c r="E1118" s="15" t="s">
        <v>40</v>
      </c>
      <c r="F1118" s="14" t="s">
        <v>41</v>
      </c>
      <c r="G1118" s="15" t="s">
        <v>23</v>
      </c>
      <c r="H1118" s="15"/>
      <c r="I1118" s="15">
        <v>201408</v>
      </c>
      <c r="J1118" s="70">
        <v>65.349999999999994</v>
      </c>
      <c r="K1118" s="44">
        <f t="shared" si="89"/>
        <v>41944</v>
      </c>
      <c r="L1118" s="45">
        <f t="shared" si="92"/>
        <v>7</v>
      </c>
      <c r="M1118" s="17">
        <v>1.4833299999999999E-3</v>
      </c>
      <c r="N1118" s="46">
        <f t="shared" si="90"/>
        <v>0.67854930849999995</v>
      </c>
      <c r="O1118" s="16"/>
      <c r="P1118" s="63">
        <f t="shared" si="91"/>
        <v>31.449687500000003</v>
      </c>
      <c r="Q1118" s="16"/>
      <c r="R1118" s="48">
        <f t="shared" si="88"/>
        <v>1.179404125</v>
      </c>
    </row>
    <row r="1119" spans="1:18">
      <c r="A1119" s="14" t="s">
        <v>17</v>
      </c>
      <c r="B1119" s="15" t="s">
        <v>266</v>
      </c>
      <c r="C1119" s="15" t="s">
        <v>267</v>
      </c>
      <c r="D1119" s="14" t="s">
        <v>268</v>
      </c>
      <c r="E1119" s="15" t="s">
        <v>104</v>
      </c>
      <c r="F1119" s="14" t="s">
        <v>41</v>
      </c>
      <c r="G1119" s="15" t="s">
        <v>23</v>
      </c>
      <c r="H1119" s="15"/>
      <c r="I1119" s="15">
        <v>201408</v>
      </c>
      <c r="J1119" s="70">
        <v>7.86</v>
      </c>
      <c r="K1119" s="44">
        <f t="shared" si="89"/>
        <v>41944</v>
      </c>
      <c r="L1119" s="45">
        <f t="shared" si="92"/>
        <v>7</v>
      </c>
      <c r="M1119" s="17">
        <v>1.4833299999999999E-3</v>
      </c>
      <c r="N1119" s="46">
        <f t="shared" si="90"/>
        <v>8.1612816599999999E-2</v>
      </c>
      <c r="O1119" s="16"/>
      <c r="P1119" s="63">
        <f t="shared" si="91"/>
        <v>3.7826250000000008</v>
      </c>
      <c r="Q1119" s="16"/>
      <c r="R1119" s="48">
        <f t="shared" si="88"/>
        <v>0.14185335000000002</v>
      </c>
    </row>
    <row r="1120" spans="1:18">
      <c r="A1120" s="14" t="s">
        <v>17</v>
      </c>
      <c r="B1120" s="15" t="s">
        <v>275</v>
      </c>
      <c r="C1120" s="15" t="s">
        <v>276</v>
      </c>
      <c r="D1120" s="14" t="s">
        <v>277</v>
      </c>
      <c r="E1120" s="15" t="s">
        <v>40</v>
      </c>
      <c r="F1120" s="14" t="s">
        <v>41</v>
      </c>
      <c r="G1120" s="15" t="s">
        <v>23</v>
      </c>
      <c r="H1120" s="15"/>
      <c r="I1120" s="15">
        <v>201408</v>
      </c>
      <c r="J1120" s="70">
        <v>-448.9</v>
      </c>
      <c r="K1120" s="44">
        <f t="shared" si="89"/>
        <v>41944</v>
      </c>
      <c r="L1120" s="45">
        <f t="shared" si="92"/>
        <v>7</v>
      </c>
      <c r="M1120" s="17">
        <v>1.4833299999999999E-3</v>
      </c>
      <c r="N1120" s="46">
        <f t="shared" si="90"/>
        <v>-4.6610678590000001</v>
      </c>
      <c r="O1120" s="16"/>
      <c r="P1120" s="63">
        <f t="shared" si="91"/>
        <v>-216.03312500000001</v>
      </c>
      <c r="Q1120" s="16"/>
      <c r="R1120" s="48">
        <f t="shared" si="88"/>
        <v>-8.1015227500000009</v>
      </c>
    </row>
    <row r="1121" spans="1:18">
      <c r="A1121" s="14" t="s">
        <v>17</v>
      </c>
      <c r="B1121" s="15" t="s">
        <v>278</v>
      </c>
      <c r="C1121" s="15" t="s">
        <v>279</v>
      </c>
      <c r="D1121" s="14" t="s">
        <v>280</v>
      </c>
      <c r="E1121" s="15" t="s">
        <v>104</v>
      </c>
      <c r="F1121" s="14" t="s">
        <v>41</v>
      </c>
      <c r="G1121" s="15" t="s">
        <v>23</v>
      </c>
      <c r="H1121" s="15"/>
      <c r="I1121" s="15">
        <v>201408</v>
      </c>
      <c r="J1121" s="70">
        <v>2026.15</v>
      </c>
      <c r="K1121" s="44">
        <f t="shared" si="89"/>
        <v>41944</v>
      </c>
      <c r="L1121" s="45">
        <f t="shared" si="92"/>
        <v>7</v>
      </c>
      <c r="M1121" s="17">
        <v>1.4833299999999999E-3</v>
      </c>
      <c r="N1121" s="46">
        <f t="shared" si="90"/>
        <v>21.0381435565</v>
      </c>
      <c r="O1121" s="16"/>
      <c r="P1121" s="63">
        <f t="shared" si="91"/>
        <v>975.0846875000002</v>
      </c>
      <c r="Q1121" s="16"/>
      <c r="R1121" s="48">
        <f t="shared" si="88"/>
        <v>36.566942125000004</v>
      </c>
    </row>
    <row r="1122" spans="1:18">
      <c r="A1122" s="14" t="s">
        <v>17</v>
      </c>
      <c r="B1122" s="15" t="s">
        <v>281</v>
      </c>
      <c r="C1122" s="15" t="s">
        <v>282</v>
      </c>
      <c r="D1122" s="14" t="s">
        <v>283</v>
      </c>
      <c r="E1122" s="15" t="s">
        <v>40</v>
      </c>
      <c r="F1122" s="14" t="s">
        <v>41</v>
      </c>
      <c r="G1122" s="15" t="s">
        <v>23</v>
      </c>
      <c r="H1122" s="15"/>
      <c r="I1122" s="15">
        <v>201408</v>
      </c>
      <c r="J1122" s="70">
        <v>-1017.49</v>
      </c>
      <c r="K1122" s="44">
        <f t="shared" si="89"/>
        <v>41944</v>
      </c>
      <c r="L1122" s="45">
        <f t="shared" si="92"/>
        <v>7</v>
      </c>
      <c r="M1122" s="17">
        <v>1.4833299999999999E-3</v>
      </c>
      <c r="N1122" s="46">
        <f t="shared" si="90"/>
        <v>-10.5649140919</v>
      </c>
      <c r="O1122" s="16"/>
      <c r="P1122" s="63">
        <f t="shared" si="91"/>
        <v>-489.6670625000001</v>
      </c>
      <c r="Q1122" s="16"/>
      <c r="R1122" s="48">
        <f t="shared" si="88"/>
        <v>-18.363150775000001</v>
      </c>
    </row>
    <row r="1123" spans="1:18">
      <c r="A1123" s="14" t="s">
        <v>17</v>
      </c>
      <c r="B1123" s="15" t="s">
        <v>344</v>
      </c>
      <c r="C1123" s="15" t="s">
        <v>345</v>
      </c>
      <c r="D1123" s="14" t="s">
        <v>346</v>
      </c>
      <c r="E1123" s="15" t="s">
        <v>53</v>
      </c>
      <c r="F1123" s="14" t="s">
        <v>41</v>
      </c>
      <c r="G1123" s="15" t="s">
        <v>23</v>
      </c>
      <c r="H1123" s="15"/>
      <c r="I1123" s="15">
        <v>201408</v>
      </c>
      <c r="J1123" s="70">
        <v>-604.88</v>
      </c>
      <c r="K1123" s="44">
        <f t="shared" si="89"/>
        <v>41944</v>
      </c>
      <c r="L1123" s="45">
        <f t="shared" si="92"/>
        <v>7</v>
      </c>
      <c r="M1123" s="17">
        <v>1.4833299999999999E-3</v>
      </c>
      <c r="N1123" s="46">
        <f t="shared" si="90"/>
        <v>-6.2806565528</v>
      </c>
      <c r="O1123" s="16"/>
      <c r="P1123" s="63">
        <f t="shared" si="91"/>
        <v>-291.09850000000006</v>
      </c>
      <c r="Q1123" s="16"/>
      <c r="R1123" s="48">
        <f t="shared" si="88"/>
        <v>-10.9165718</v>
      </c>
    </row>
    <row r="1124" spans="1:18">
      <c r="A1124" s="14" t="s">
        <v>17</v>
      </c>
      <c r="B1124" s="15" t="s">
        <v>391</v>
      </c>
      <c r="C1124" s="15" t="s">
        <v>392</v>
      </c>
      <c r="D1124" s="14" t="s">
        <v>393</v>
      </c>
      <c r="E1124" s="15" t="s">
        <v>394</v>
      </c>
      <c r="F1124" s="14" t="s">
        <v>137</v>
      </c>
      <c r="G1124" s="15" t="s">
        <v>23</v>
      </c>
      <c r="H1124" s="15"/>
      <c r="I1124" s="15">
        <v>201408</v>
      </c>
      <c r="J1124" s="70">
        <v>-139.74</v>
      </c>
      <c r="K1124" s="44">
        <f t="shared" si="89"/>
        <v>41944</v>
      </c>
      <c r="L1124" s="45">
        <f t="shared" si="92"/>
        <v>7</v>
      </c>
      <c r="M1124" s="17">
        <v>1.4833299999999999E-3</v>
      </c>
      <c r="N1124" s="46">
        <f t="shared" si="90"/>
        <v>-1.4509637394000001</v>
      </c>
      <c r="O1124" s="16"/>
      <c r="P1124" s="63">
        <f t="shared" si="91"/>
        <v>-67.249875000000017</v>
      </c>
      <c r="Q1124" s="16"/>
      <c r="R1124" s="48">
        <f t="shared" si="88"/>
        <v>-2.5219576500000005</v>
      </c>
    </row>
    <row r="1125" spans="1:18">
      <c r="A1125" s="14" t="s">
        <v>17</v>
      </c>
      <c r="B1125" s="15" t="s">
        <v>398</v>
      </c>
      <c r="C1125" s="15" t="s">
        <v>399</v>
      </c>
      <c r="D1125" s="14" t="s">
        <v>400</v>
      </c>
      <c r="E1125" s="15" t="s">
        <v>104</v>
      </c>
      <c r="F1125" s="14" t="s">
        <v>41</v>
      </c>
      <c r="G1125" s="15" t="s">
        <v>23</v>
      </c>
      <c r="H1125" s="15"/>
      <c r="I1125" s="15">
        <v>201408</v>
      </c>
      <c r="J1125" s="70">
        <v>-4.43</v>
      </c>
      <c r="K1125" s="44">
        <f t="shared" si="89"/>
        <v>41944</v>
      </c>
      <c r="L1125" s="45">
        <f t="shared" si="92"/>
        <v>7</v>
      </c>
      <c r="M1125" s="17">
        <v>1.4833299999999999E-3</v>
      </c>
      <c r="N1125" s="46">
        <f t="shared" si="90"/>
        <v>-4.5998063299999996E-2</v>
      </c>
      <c r="O1125" s="16"/>
      <c r="P1125" s="63">
        <f t="shared" si="91"/>
        <v>-2.1319375000000003</v>
      </c>
      <c r="Q1125" s="16"/>
      <c r="R1125" s="48">
        <f t="shared" si="88"/>
        <v>-7.9950425000000006E-2</v>
      </c>
    </row>
    <row r="1126" spans="1:18">
      <c r="A1126" s="14" t="s">
        <v>17</v>
      </c>
      <c r="B1126" s="15" t="s">
        <v>407</v>
      </c>
      <c r="C1126" s="15" t="s">
        <v>408</v>
      </c>
      <c r="D1126" s="14" t="s">
        <v>409</v>
      </c>
      <c r="E1126" s="15" t="s">
        <v>53</v>
      </c>
      <c r="F1126" s="14" t="s">
        <v>41</v>
      </c>
      <c r="G1126" s="15" t="s">
        <v>23</v>
      </c>
      <c r="H1126" s="15"/>
      <c r="I1126" s="15">
        <v>201408</v>
      </c>
      <c r="J1126" s="70">
        <v>-68.44</v>
      </c>
      <c r="K1126" s="44">
        <f t="shared" si="89"/>
        <v>41944</v>
      </c>
      <c r="L1126" s="45">
        <f t="shared" si="92"/>
        <v>7</v>
      </c>
      <c r="M1126" s="17">
        <v>1.4833299999999999E-3</v>
      </c>
      <c r="N1126" s="46">
        <f t="shared" si="90"/>
        <v>-0.71063373639999994</v>
      </c>
      <c r="O1126" s="16"/>
      <c r="P1126" s="63">
        <f t="shared" si="91"/>
        <v>-32.936750000000004</v>
      </c>
      <c r="Q1126" s="16"/>
      <c r="R1126" s="48">
        <f t="shared" si="88"/>
        <v>-1.2351709</v>
      </c>
    </row>
    <row r="1127" spans="1:18">
      <c r="A1127" s="14" t="s">
        <v>17</v>
      </c>
      <c r="B1127" s="15" t="s">
        <v>413</v>
      </c>
      <c r="C1127" s="15" t="s">
        <v>414</v>
      </c>
      <c r="D1127" s="14" t="s">
        <v>415</v>
      </c>
      <c r="E1127" s="15" t="s">
        <v>104</v>
      </c>
      <c r="F1127" s="14" t="s">
        <v>41</v>
      </c>
      <c r="G1127" s="15" t="s">
        <v>23</v>
      </c>
      <c r="H1127" s="15"/>
      <c r="I1127" s="15">
        <v>201408</v>
      </c>
      <c r="J1127" s="70">
        <v>53.58</v>
      </c>
      <c r="K1127" s="44">
        <f t="shared" si="89"/>
        <v>41944</v>
      </c>
      <c r="L1127" s="45">
        <f t="shared" si="92"/>
        <v>7</v>
      </c>
      <c r="M1127" s="17">
        <v>1.4833299999999999E-3</v>
      </c>
      <c r="N1127" s="46">
        <f t="shared" si="90"/>
        <v>0.55633774979999995</v>
      </c>
      <c r="O1127" s="16"/>
      <c r="P1127" s="63">
        <f t="shared" si="91"/>
        <v>25.785375000000002</v>
      </c>
      <c r="Q1127" s="16"/>
      <c r="R1127" s="48">
        <f t="shared" si="88"/>
        <v>0.96698505000000001</v>
      </c>
    </row>
    <row r="1128" spans="1:18">
      <c r="A1128" s="14" t="s">
        <v>17</v>
      </c>
      <c r="B1128" s="15" t="s">
        <v>425</v>
      </c>
      <c r="C1128" s="15" t="s">
        <v>426</v>
      </c>
      <c r="D1128" s="14" t="s">
        <v>427</v>
      </c>
      <c r="E1128" s="15" t="s">
        <v>104</v>
      </c>
      <c r="F1128" s="14" t="s">
        <v>41</v>
      </c>
      <c r="G1128" s="15" t="s">
        <v>23</v>
      </c>
      <c r="H1128" s="15"/>
      <c r="I1128" s="15">
        <v>201408</v>
      </c>
      <c r="J1128" s="70">
        <v>14.97</v>
      </c>
      <c r="K1128" s="44">
        <f t="shared" si="89"/>
        <v>41944</v>
      </c>
      <c r="L1128" s="45">
        <f t="shared" si="92"/>
        <v>7</v>
      </c>
      <c r="M1128" s="17">
        <v>1.4833299999999999E-3</v>
      </c>
      <c r="N1128" s="46">
        <f t="shared" si="90"/>
        <v>0.1554381507</v>
      </c>
      <c r="O1128" s="16"/>
      <c r="P1128" s="63">
        <f t="shared" si="91"/>
        <v>7.2043125000000012</v>
      </c>
      <c r="Q1128" s="16"/>
      <c r="R1128" s="48">
        <f t="shared" si="88"/>
        <v>0.27017107500000004</v>
      </c>
    </row>
    <row r="1129" spans="1:18">
      <c r="A1129" s="14" t="s">
        <v>17</v>
      </c>
      <c r="B1129" s="15" t="s">
        <v>474</v>
      </c>
      <c r="C1129" s="15" t="s">
        <v>475</v>
      </c>
      <c r="D1129" s="14" t="s">
        <v>476</v>
      </c>
      <c r="E1129" s="15" t="s">
        <v>40</v>
      </c>
      <c r="F1129" s="14" t="s">
        <v>41</v>
      </c>
      <c r="G1129" s="15" t="s">
        <v>23</v>
      </c>
      <c r="H1129" s="15"/>
      <c r="I1129" s="15">
        <v>201408</v>
      </c>
      <c r="J1129" s="70">
        <v>-291.66000000000003</v>
      </c>
      <c r="K1129" s="44">
        <f t="shared" si="89"/>
        <v>41944</v>
      </c>
      <c r="L1129" s="45">
        <f t="shared" si="92"/>
        <v>7</v>
      </c>
      <c r="M1129" s="17">
        <v>1.4833299999999999E-3</v>
      </c>
      <c r="N1129" s="46">
        <f t="shared" si="90"/>
        <v>-3.0283961946</v>
      </c>
      <c r="O1129" s="16"/>
      <c r="P1129" s="63">
        <f t="shared" si="91"/>
        <v>-140.36137500000004</v>
      </c>
      <c r="Q1129" s="16"/>
      <c r="R1129" s="48">
        <f t="shared" si="88"/>
        <v>-5.2637338500000004</v>
      </c>
    </row>
    <row r="1130" spans="1:18">
      <c r="A1130" s="14" t="s">
        <v>17</v>
      </c>
      <c r="B1130" s="15" t="s">
        <v>502</v>
      </c>
      <c r="C1130" s="15" t="s">
        <v>503</v>
      </c>
      <c r="D1130" s="14" t="s">
        <v>504</v>
      </c>
      <c r="E1130" s="15" t="s">
        <v>40</v>
      </c>
      <c r="F1130" s="14" t="s">
        <v>41</v>
      </c>
      <c r="G1130" s="15" t="s">
        <v>23</v>
      </c>
      <c r="H1130" s="15"/>
      <c r="I1130" s="15">
        <v>201408</v>
      </c>
      <c r="J1130" s="70">
        <v>-10.220000000000001</v>
      </c>
      <c r="K1130" s="44">
        <f t="shared" si="89"/>
        <v>41944</v>
      </c>
      <c r="L1130" s="45">
        <f t="shared" si="92"/>
        <v>7</v>
      </c>
      <c r="M1130" s="17">
        <v>1.4833299999999999E-3</v>
      </c>
      <c r="N1130" s="46">
        <f t="shared" si="90"/>
        <v>-0.1061174282</v>
      </c>
      <c r="O1130" s="16"/>
      <c r="P1130" s="63">
        <f t="shared" si="91"/>
        <v>-4.9183750000000011</v>
      </c>
      <c r="Q1130" s="16"/>
      <c r="R1130" s="48">
        <f t="shared" si="88"/>
        <v>-0.18444545000000001</v>
      </c>
    </row>
    <row r="1131" spans="1:18">
      <c r="A1131" s="14" t="s">
        <v>17</v>
      </c>
      <c r="B1131" s="15" t="s">
        <v>505</v>
      </c>
      <c r="C1131" s="15" t="s">
        <v>506</v>
      </c>
      <c r="D1131" s="14" t="s">
        <v>507</v>
      </c>
      <c r="E1131" s="15" t="s">
        <v>104</v>
      </c>
      <c r="F1131" s="14" t="s">
        <v>41</v>
      </c>
      <c r="G1131" s="15" t="s">
        <v>23</v>
      </c>
      <c r="H1131" s="15"/>
      <c r="I1131" s="15">
        <v>201408</v>
      </c>
      <c r="J1131" s="70">
        <v>-9.7200000000000006</v>
      </c>
      <c r="K1131" s="44">
        <f t="shared" si="89"/>
        <v>41944</v>
      </c>
      <c r="L1131" s="45">
        <f t="shared" si="92"/>
        <v>7</v>
      </c>
      <c r="M1131" s="17">
        <v>1.4833299999999999E-3</v>
      </c>
      <c r="N1131" s="46">
        <f t="shared" si="90"/>
        <v>-0.1009257732</v>
      </c>
      <c r="O1131" s="16"/>
      <c r="P1131" s="63">
        <f t="shared" si="91"/>
        <v>-4.6777500000000005</v>
      </c>
      <c r="Q1131" s="16"/>
      <c r="R1131" s="48">
        <f t="shared" si="88"/>
        <v>-0.17542170000000001</v>
      </c>
    </row>
    <row r="1132" spans="1:18">
      <c r="A1132" s="14" t="s">
        <v>17</v>
      </c>
      <c r="B1132" s="15" t="s">
        <v>526</v>
      </c>
      <c r="C1132" s="15" t="s">
        <v>527</v>
      </c>
      <c r="D1132" s="14" t="s">
        <v>528</v>
      </c>
      <c r="E1132" s="15" t="s">
        <v>53</v>
      </c>
      <c r="F1132" s="14" t="s">
        <v>41</v>
      </c>
      <c r="G1132" s="15" t="s">
        <v>23</v>
      </c>
      <c r="H1132" s="15"/>
      <c r="I1132" s="15">
        <v>201408</v>
      </c>
      <c r="J1132" s="70">
        <v>262776.23</v>
      </c>
      <c r="K1132" s="44">
        <f t="shared" si="89"/>
        <v>41944</v>
      </c>
      <c r="L1132" s="45">
        <f t="shared" si="92"/>
        <v>7</v>
      </c>
      <c r="M1132" s="17">
        <v>1.4833299999999999E-3</v>
      </c>
      <c r="N1132" s="46">
        <f t="shared" si="90"/>
        <v>2728.4870567212997</v>
      </c>
      <c r="O1132" s="16"/>
      <c r="P1132" s="63">
        <f t="shared" si="91"/>
        <v>126461.06068750001</v>
      </c>
      <c r="Q1132" s="16"/>
      <c r="R1132" s="48">
        <f t="shared" si="88"/>
        <v>4742.4540109250001</v>
      </c>
    </row>
    <row r="1133" spans="1:18">
      <c r="A1133" s="14" t="s">
        <v>17</v>
      </c>
      <c r="B1133" s="15" t="s">
        <v>537</v>
      </c>
      <c r="C1133" s="15" t="s">
        <v>538</v>
      </c>
      <c r="D1133" s="14" t="s">
        <v>539</v>
      </c>
      <c r="E1133" s="15" t="s">
        <v>53</v>
      </c>
      <c r="F1133" s="14" t="s">
        <v>41</v>
      </c>
      <c r="G1133" s="15" t="s">
        <v>23</v>
      </c>
      <c r="H1133" s="15"/>
      <c r="I1133" s="15">
        <v>201408</v>
      </c>
      <c r="J1133" s="70">
        <v>-48.63</v>
      </c>
      <c r="K1133" s="44">
        <f t="shared" si="89"/>
        <v>41944</v>
      </c>
      <c r="L1133" s="45">
        <f t="shared" si="92"/>
        <v>7</v>
      </c>
      <c r="M1133" s="17">
        <v>1.4833299999999999E-3</v>
      </c>
      <c r="N1133" s="46">
        <f t="shared" si="90"/>
        <v>-0.50494036529999997</v>
      </c>
      <c r="O1133" s="16"/>
      <c r="P1133" s="63">
        <f t="shared" si="91"/>
        <v>-23.403187500000005</v>
      </c>
      <c r="Q1133" s="16"/>
      <c r="R1133" s="48">
        <f t="shared" si="88"/>
        <v>-0.87764992500000005</v>
      </c>
    </row>
    <row r="1134" spans="1:18">
      <c r="A1134" s="14" t="s">
        <v>17</v>
      </c>
      <c r="B1134" s="15" t="s">
        <v>564</v>
      </c>
      <c r="C1134" s="15" t="s">
        <v>565</v>
      </c>
      <c r="D1134" s="14" t="s">
        <v>566</v>
      </c>
      <c r="E1134" s="15" t="s">
        <v>567</v>
      </c>
      <c r="F1134" s="14" t="s">
        <v>137</v>
      </c>
      <c r="G1134" s="15" t="s">
        <v>23</v>
      </c>
      <c r="H1134" s="15"/>
      <c r="I1134" s="15">
        <v>201408</v>
      </c>
      <c r="J1134" s="70">
        <v>92.11</v>
      </c>
      <c r="K1134" s="44">
        <f t="shared" si="89"/>
        <v>41944</v>
      </c>
      <c r="L1134" s="45">
        <f t="shared" si="92"/>
        <v>7</v>
      </c>
      <c r="M1134" s="17">
        <v>1.4833299999999999E-3</v>
      </c>
      <c r="N1134" s="46">
        <f t="shared" si="90"/>
        <v>0.95640668409999996</v>
      </c>
      <c r="O1134" s="16"/>
      <c r="P1134" s="63">
        <f t="shared" si="91"/>
        <v>44.327937500000004</v>
      </c>
      <c r="Q1134" s="16"/>
      <c r="R1134" s="48">
        <f t="shared" si="88"/>
        <v>1.662355225</v>
      </c>
    </row>
    <row r="1135" spans="1:18">
      <c r="A1135" s="14" t="s">
        <v>17</v>
      </c>
      <c r="B1135" s="15" t="s">
        <v>614</v>
      </c>
      <c r="C1135" s="15" t="s">
        <v>615</v>
      </c>
      <c r="D1135" s="14" t="s">
        <v>616</v>
      </c>
      <c r="E1135" s="15" t="s">
        <v>40</v>
      </c>
      <c r="F1135" s="14" t="s">
        <v>41</v>
      </c>
      <c r="G1135" s="15" t="s">
        <v>23</v>
      </c>
      <c r="H1135" s="15"/>
      <c r="I1135" s="15">
        <v>201408</v>
      </c>
      <c r="J1135" s="70">
        <v>41.09</v>
      </c>
      <c r="K1135" s="44">
        <f t="shared" si="89"/>
        <v>41944</v>
      </c>
      <c r="L1135" s="45">
        <f t="shared" si="92"/>
        <v>7</v>
      </c>
      <c r="M1135" s="17">
        <v>1.4833299999999999E-3</v>
      </c>
      <c r="N1135" s="46">
        <f t="shared" si="90"/>
        <v>0.42665020790000002</v>
      </c>
      <c r="O1135" s="16"/>
      <c r="P1135" s="63">
        <f t="shared" si="91"/>
        <v>19.774562500000005</v>
      </c>
      <c r="Q1135" s="16"/>
      <c r="R1135" s="48">
        <f t="shared" si="88"/>
        <v>0.74157177500000016</v>
      </c>
    </row>
    <row r="1136" spans="1:18">
      <c r="A1136" s="14" t="s">
        <v>17</v>
      </c>
      <c r="B1136" s="15" t="s">
        <v>634</v>
      </c>
      <c r="C1136" s="15" t="s">
        <v>635</v>
      </c>
      <c r="D1136" s="14" t="s">
        <v>636</v>
      </c>
      <c r="E1136" s="15" t="s">
        <v>567</v>
      </c>
      <c r="F1136" s="14" t="s">
        <v>137</v>
      </c>
      <c r="G1136" s="15" t="s">
        <v>23</v>
      </c>
      <c r="H1136" s="15"/>
      <c r="I1136" s="15">
        <v>201408</v>
      </c>
      <c r="J1136" s="70">
        <v>-3456.02</v>
      </c>
      <c r="K1136" s="44">
        <f t="shared" si="89"/>
        <v>41944</v>
      </c>
      <c r="L1136" s="45">
        <f t="shared" si="92"/>
        <v>7</v>
      </c>
      <c r="M1136" s="17">
        <v>1.4833299999999999E-3</v>
      </c>
      <c r="N1136" s="46">
        <f t="shared" si="90"/>
        <v>-35.884927026199996</v>
      </c>
      <c r="O1136" s="16"/>
      <c r="P1136" s="63">
        <f t="shared" si="91"/>
        <v>-1663.2096250000002</v>
      </c>
      <c r="Q1136" s="16"/>
      <c r="R1136" s="48">
        <f t="shared" si="88"/>
        <v>-62.372520950000002</v>
      </c>
    </row>
    <row r="1137" spans="1:18">
      <c r="A1137" s="14" t="s">
        <v>17</v>
      </c>
      <c r="B1137" s="15" t="s">
        <v>637</v>
      </c>
      <c r="C1137" s="15" t="s">
        <v>638</v>
      </c>
      <c r="D1137" s="14" t="s">
        <v>639</v>
      </c>
      <c r="E1137" s="15" t="s">
        <v>136</v>
      </c>
      <c r="F1137" s="14" t="s">
        <v>137</v>
      </c>
      <c r="G1137" s="15" t="s">
        <v>23</v>
      </c>
      <c r="H1137" s="15"/>
      <c r="I1137" s="15">
        <v>201408</v>
      </c>
      <c r="J1137" s="70">
        <v>-99.97</v>
      </c>
      <c r="K1137" s="44">
        <f t="shared" si="89"/>
        <v>41944</v>
      </c>
      <c r="L1137" s="45">
        <f t="shared" si="92"/>
        <v>7</v>
      </c>
      <c r="M1137" s="17">
        <v>1.4833299999999999E-3</v>
      </c>
      <c r="N1137" s="46">
        <f t="shared" si="90"/>
        <v>-1.0380195006999999</v>
      </c>
      <c r="O1137" s="16"/>
      <c r="P1137" s="63">
        <f t="shared" si="91"/>
        <v>-48.110562500000007</v>
      </c>
      <c r="Q1137" s="16"/>
      <c r="R1137" s="48">
        <f t="shared" si="88"/>
        <v>-1.8042085750000001</v>
      </c>
    </row>
    <row r="1138" spans="1:18">
      <c r="A1138" s="14" t="s">
        <v>17</v>
      </c>
      <c r="B1138" s="15" t="s">
        <v>640</v>
      </c>
      <c r="C1138" s="15" t="s">
        <v>641</v>
      </c>
      <c r="D1138" s="14" t="s">
        <v>642</v>
      </c>
      <c r="E1138" s="15" t="s">
        <v>362</v>
      </c>
      <c r="F1138" s="14" t="s">
        <v>41</v>
      </c>
      <c r="G1138" s="15" t="s">
        <v>23</v>
      </c>
      <c r="H1138" s="15"/>
      <c r="I1138" s="15">
        <v>201408</v>
      </c>
      <c r="J1138" s="70">
        <v>-41.22</v>
      </c>
      <c r="K1138" s="44">
        <f t="shared" si="89"/>
        <v>41944</v>
      </c>
      <c r="L1138" s="45">
        <f t="shared" si="92"/>
        <v>7</v>
      </c>
      <c r="M1138" s="17">
        <v>1.4833299999999999E-3</v>
      </c>
      <c r="N1138" s="46">
        <f t="shared" si="90"/>
        <v>-0.42800003819999999</v>
      </c>
      <c r="O1138" s="16"/>
      <c r="P1138" s="63">
        <f t="shared" si="91"/>
        <v>-19.837125000000004</v>
      </c>
      <c r="Q1138" s="16"/>
      <c r="R1138" s="48">
        <f t="shared" si="88"/>
        <v>-0.74391795000000005</v>
      </c>
    </row>
    <row r="1139" spans="1:18">
      <c r="A1139" s="14" t="s">
        <v>17</v>
      </c>
      <c r="B1139" s="15" t="s">
        <v>652</v>
      </c>
      <c r="C1139" s="15" t="s">
        <v>653</v>
      </c>
      <c r="D1139" s="14" t="s">
        <v>654</v>
      </c>
      <c r="E1139" s="15" t="s">
        <v>40</v>
      </c>
      <c r="F1139" s="14" t="s">
        <v>41</v>
      </c>
      <c r="G1139" s="15" t="s">
        <v>23</v>
      </c>
      <c r="H1139" s="15"/>
      <c r="I1139" s="15">
        <v>201408</v>
      </c>
      <c r="J1139" s="70">
        <v>-572.64</v>
      </c>
      <c r="K1139" s="44">
        <f t="shared" si="89"/>
        <v>41944</v>
      </c>
      <c r="L1139" s="45">
        <f t="shared" si="92"/>
        <v>7</v>
      </c>
      <c r="M1139" s="17">
        <v>1.4833299999999999E-3</v>
      </c>
      <c r="N1139" s="46">
        <f t="shared" si="90"/>
        <v>-5.9458986384000001</v>
      </c>
      <c r="O1139" s="16"/>
      <c r="P1139" s="63">
        <f t="shared" si="91"/>
        <v>-275.58300000000003</v>
      </c>
      <c r="Q1139" s="16"/>
      <c r="R1139" s="48">
        <f t="shared" si="88"/>
        <v>-10.3347204</v>
      </c>
    </row>
    <row r="1140" spans="1:18">
      <c r="A1140" s="14" t="s">
        <v>17</v>
      </c>
      <c r="B1140" s="15" t="s">
        <v>661</v>
      </c>
      <c r="C1140" s="15" t="s">
        <v>662</v>
      </c>
      <c r="D1140" s="14" t="s">
        <v>663</v>
      </c>
      <c r="E1140" s="15" t="s">
        <v>40</v>
      </c>
      <c r="F1140" s="14" t="s">
        <v>41</v>
      </c>
      <c r="G1140" s="15" t="s">
        <v>23</v>
      </c>
      <c r="H1140" s="15"/>
      <c r="I1140" s="15">
        <v>201408</v>
      </c>
      <c r="J1140" s="70">
        <v>-29.38</v>
      </c>
      <c r="K1140" s="44">
        <f t="shared" si="89"/>
        <v>41944</v>
      </c>
      <c r="L1140" s="45">
        <f t="shared" si="92"/>
        <v>7</v>
      </c>
      <c r="M1140" s="17">
        <v>1.4833299999999999E-3</v>
      </c>
      <c r="N1140" s="46">
        <f t="shared" si="90"/>
        <v>-0.3050616478</v>
      </c>
      <c r="O1140" s="16"/>
      <c r="P1140" s="63">
        <f t="shared" si="91"/>
        <v>-14.139125000000002</v>
      </c>
      <c r="Q1140" s="16"/>
      <c r="R1140" s="48">
        <f t="shared" si="88"/>
        <v>-0.53023555</v>
      </c>
    </row>
    <row r="1141" spans="1:18">
      <c r="A1141" s="14" t="s">
        <v>17</v>
      </c>
      <c r="B1141" s="15" t="s">
        <v>685</v>
      </c>
      <c r="C1141" s="15" t="s">
        <v>686</v>
      </c>
      <c r="D1141" s="14" t="s">
        <v>687</v>
      </c>
      <c r="E1141" s="15" t="s">
        <v>40</v>
      </c>
      <c r="F1141" s="14" t="s">
        <v>41</v>
      </c>
      <c r="G1141" s="15" t="s">
        <v>23</v>
      </c>
      <c r="H1141" s="15"/>
      <c r="I1141" s="15">
        <v>201408</v>
      </c>
      <c r="J1141" s="70">
        <v>2118.63</v>
      </c>
      <c r="K1141" s="44">
        <f t="shared" si="89"/>
        <v>41944</v>
      </c>
      <c r="L1141" s="45">
        <f t="shared" si="92"/>
        <v>7</v>
      </c>
      <c r="M1141" s="17">
        <v>1.4833299999999999E-3</v>
      </c>
      <c r="N1141" s="46">
        <f t="shared" si="90"/>
        <v>21.998392065299999</v>
      </c>
      <c r="O1141" s="16"/>
      <c r="P1141" s="63">
        <f t="shared" si="91"/>
        <v>1019.5906875000002</v>
      </c>
      <c r="Q1141" s="16"/>
      <c r="R1141" s="48">
        <f t="shared" si="88"/>
        <v>38.235974925000001</v>
      </c>
    </row>
    <row r="1142" spans="1:18">
      <c r="A1142" s="14" t="s">
        <v>17</v>
      </c>
      <c r="B1142" s="15" t="s">
        <v>716</v>
      </c>
      <c r="C1142" s="15" t="s">
        <v>717</v>
      </c>
      <c r="D1142" s="14" t="s">
        <v>718</v>
      </c>
      <c r="E1142" s="15" t="s">
        <v>104</v>
      </c>
      <c r="F1142" s="14" t="s">
        <v>41</v>
      </c>
      <c r="G1142" s="15" t="s">
        <v>23</v>
      </c>
      <c r="H1142" s="15"/>
      <c r="I1142" s="15">
        <v>201408</v>
      </c>
      <c r="J1142" s="70">
        <v>26.85</v>
      </c>
      <c r="K1142" s="44">
        <f t="shared" si="89"/>
        <v>41944</v>
      </c>
      <c r="L1142" s="45">
        <f t="shared" si="92"/>
        <v>7</v>
      </c>
      <c r="M1142" s="17">
        <v>1.4833299999999999E-3</v>
      </c>
      <c r="N1142" s="46">
        <f t="shared" si="90"/>
        <v>0.27879187350000001</v>
      </c>
      <c r="O1142" s="16"/>
      <c r="P1142" s="63">
        <f t="shared" si="91"/>
        <v>12.921562500000002</v>
      </c>
      <c r="Q1142" s="16"/>
      <c r="R1142" s="48">
        <f t="shared" si="88"/>
        <v>0.48457537500000003</v>
      </c>
    </row>
    <row r="1143" spans="1:18">
      <c r="A1143" s="14" t="s">
        <v>17</v>
      </c>
      <c r="B1143" s="15" t="s">
        <v>768</v>
      </c>
      <c r="C1143" s="15" t="s">
        <v>769</v>
      </c>
      <c r="D1143" s="14" t="s">
        <v>770</v>
      </c>
      <c r="E1143" s="15" t="s">
        <v>104</v>
      </c>
      <c r="F1143" s="14" t="s">
        <v>41</v>
      </c>
      <c r="G1143" s="15" t="s">
        <v>23</v>
      </c>
      <c r="H1143" s="15"/>
      <c r="I1143" s="15">
        <v>201408</v>
      </c>
      <c r="J1143" s="70">
        <v>-193.31</v>
      </c>
      <c r="K1143" s="44">
        <f t="shared" si="89"/>
        <v>41944</v>
      </c>
      <c r="L1143" s="45">
        <f t="shared" si="92"/>
        <v>7</v>
      </c>
      <c r="M1143" s="17">
        <v>1.4833299999999999E-3</v>
      </c>
      <c r="N1143" s="46">
        <f t="shared" si="90"/>
        <v>-2.0071976560999998</v>
      </c>
      <c r="O1143" s="16"/>
      <c r="P1143" s="63">
        <f t="shared" si="91"/>
        <v>-93.030437500000019</v>
      </c>
      <c r="Q1143" s="16"/>
      <c r="R1143" s="48">
        <f t="shared" si="88"/>
        <v>-3.4887622250000003</v>
      </c>
    </row>
    <row r="1144" spans="1:18">
      <c r="A1144" s="18" t="s">
        <v>17</v>
      </c>
      <c r="B1144" s="15" t="s">
        <v>819</v>
      </c>
      <c r="C1144" s="15" t="s">
        <v>820</v>
      </c>
      <c r="D1144" s="14" t="s">
        <v>821</v>
      </c>
      <c r="E1144" s="15" t="s">
        <v>822</v>
      </c>
      <c r="F1144" s="14" t="s">
        <v>823</v>
      </c>
      <c r="G1144" s="15" t="s">
        <v>23</v>
      </c>
      <c r="H1144" s="15"/>
      <c r="I1144" s="15">
        <v>201408</v>
      </c>
      <c r="J1144" s="70">
        <v>99971.18</v>
      </c>
      <c r="K1144" s="44">
        <f t="shared" si="89"/>
        <v>41944</v>
      </c>
      <c r="L1144" s="45">
        <f t="shared" si="92"/>
        <v>7</v>
      </c>
      <c r="M1144" s="17">
        <v>1.4833299999999999E-3</v>
      </c>
      <c r="N1144" s="46">
        <f t="shared" si="90"/>
        <v>1038.0317530057998</v>
      </c>
      <c r="O1144" s="16"/>
      <c r="P1144" s="63">
        <f t="shared" si="91"/>
        <v>48111.130375000001</v>
      </c>
      <c r="Q1144" s="16"/>
      <c r="R1144" s="48">
        <f t="shared" si="88"/>
        <v>1804.2298710499999</v>
      </c>
    </row>
    <row r="1145" spans="1:18">
      <c r="A1145" s="71" t="s">
        <v>17</v>
      </c>
      <c r="B1145" s="72" t="s">
        <v>819</v>
      </c>
      <c r="C1145" s="72" t="s">
        <v>820</v>
      </c>
      <c r="D1145" s="71" t="s">
        <v>1451</v>
      </c>
      <c r="E1145" s="72" t="s">
        <v>822</v>
      </c>
      <c r="F1145" s="71" t="s">
        <v>823</v>
      </c>
      <c r="G1145" s="72" t="s">
        <v>23</v>
      </c>
      <c r="H1145" s="72"/>
      <c r="I1145" s="72">
        <v>201408</v>
      </c>
      <c r="J1145" s="73">
        <v>-57068.67</v>
      </c>
      <c r="K1145" s="44">
        <f t="shared" si="89"/>
        <v>41944</v>
      </c>
      <c r="L1145" s="45">
        <f t="shared" si="92"/>
        <v>7</v>
      </c>
      <c r="M1145" s="74">
        <v>1.4833299999999999E-3</v>
      </c>
      <c r="N1145" s="46">
        <f t="shared" si="90"/>
        <v>-592.56169189769992</v>
      </c>
      <c r="O1145" s="16"/>
      <c r="P1145" s="63">
        <f t="shared" si="91"/>
        <v>-27464.297437500001</v>
      </c>
      <c r="Q1145" s="16"/>
      <c r="R1145" s="48">
        <f t="shared" si="88"/>
        <v>-1029.9468218249999</v>
      </c>
    </row>
    <row r="1146" spans="1:18">
      <c r="A1146" s="18" t="s">
        <v>17</v>
      </c>
      <c r="B1146" s="15" t="s">
        <v>910</v>
      </c>
      <c r="C1146" s="15" t="s">
        <v>911</v>
      </c>
      <c r="D1146" s="14" t="s">
        <v>912</v>
      </c>
      <c r="E1146" s="15" t="s">
        <v>362</v>
      </c>
      <c r="F1146" s="14" t="s">
        <v>41</v>
      </c>
      <c r="G1146" s="15" t="s">
        <v>23</v>
      </c>
      <c r="H1146" s="15"/>
      <c r="I1146" s="15">
        <v>201408</v>
      </c>
      <c r="J1146" s="70">
        <v>-28.44</v>
      </c>
      <c r="K1146" s="44">
        <f t="shared" si="89"/>
        <v>41944</v>
      </c>
      <c r="L1146" s="45">
        <f t="shared" si="92"/>
        <v>7</v>
      </c>
      <c r="M1146" s="17">
        <v>1.4833299999999999E-3</v>
      </c>
      <c r="N1146" s="46">
        <f t="shared" si="90"/>
        <v>-0.2953013364</v>
      </c>
      <c r="O1146" s="16"/>
      <c r="P1146" s="63">
        <f t="shared" si="91"/>
        <v>-13.686750000000002</v>
      </c>
      <c r="Q1146" s="16"/>
      <c r="R1146" s="48">
        <f t="shared" si="88"/>
        <v>-0.51327090000000009</v>
      </c>
    </row>
    <row r="1147" spans="1:18">
      <c r="A1147" s="18" t="s">
        <v>17</v>
      </c>
      <c r="B1147" s="15" t="s">
        <v>935</v>
      </c>
      <c r="C1147" s="15" t="s">
        <v>936</v>
      </c>
      <c r="D1147" s="14" t="s">
        <v>937</v>
      </c>
      <c r="E1147" s="15" t="s">
        <v>53</v>
      </c>
      <c r="F1147" s="14" t="s">
        <v>41</v>
      </c>
      <c r="G1147" s="15" t="s">
        <v>23</v>
      </c>
      <c r="H1147" s="15"/>
      <c r="I1147" s="15">
        <v>201408</v>
      </c>
      <c r="J1147" s="70">
        <v>9047.7099999999991</v>
      </c>
      <c r="K1147" s="44">
        <f t="shared" si="89"/>
        <v>41944</v>
      </c>
      <c r="L1147" s="45">
        <f t="shared" si="92"/>
        <v>7</v>
      </c>
      <c r="M1147" s="17">
        <v>1.4833299999999999E-3</v>
      </c>
      <c r="N1147" s="46">
        <f t="shared" si="90"/>
        <v>93.945177720099991</v>
      </c>
      <c r="O1147" s="16"/>
      <c r="P1147" s="63">
        <f t="shared" si="91"/>
        <v>4354.2104374999999</v>
      </c>
      <c r="Q1147" s="16"/>
      <c r="R1147" s="48">
        <f t="shared" si="88"/>
        <v>163.288546225</v>
      </c>
    </row>
    <row r="1148" spans="1:18">
      <c r="A1148" s="18" t="s">
        <v>17</v>
      </c>
      <c r="B1148" s="15" t="s">
        <v>953</v>
      </c>
      <c r="C1148" s="15" t="s">
        <v>954</v>
      </c>
      <c r="D1148" s="14" t="s">
        <v>955</v>
      </c>
      <c r="E1148" s="15" t="s">
        <v>40</v>
      </c>
      <c r="F1148" s="14" t="s">
        <v>41</v>
      </c>
      <c r="G1148" s="15" t="s">
        <v>23</v>
      </c>
      <c r="H1148" s="15"/>
      <c r="I1148" s="15">
        <v>201408</v>
      </c>
      <c r="J1148" s="70">
        <v>17331.669999999998</v>
      </c>
      <c r="K1148" s="44">
        <f t="shared" si="89"/>
        <v>41944</v>
      </c>
      <c r="L1148" s="45">
        <f t="shared" si="92"/>
        <v>7</v>
      </c>
      <c r="M1148" s="17">
        <v>1.4833299999999999E-3</v>
      </c>
      <c r="N1148" s="46">
        <f t="shared" si="90"/>
        <v>179.96010242769998</v>
      </c>
      <c r="O1148" s="16"/>
      <c r="P1148" s="63">
        <f t="shared" si="91"/>
        <v>8340.8661874999998</v>
      </c>
      <c r="Q1148" s="16"/>
      <c r="R1148" s="48">
        <f t="shared" si="88"/>
        <v>312.79331432499998</v>
      </c>
    </row>
    <row r="1149" spans="1:18">
      <c r="A1149" s="18" t="s">
        <v>17</v>
      </c>
      <c r="B1149" s="15" t="s">
        <v>956</v>
      </c>
      <c r="C1149" s="15" t="s">
        <v>957</v>
      </c>
      <c r="D1149" s="14" t="s">
        <v>958</v>
      </c>
      <c r="E1149" s="15" t="s">
        <v>40</v>
      </c>
      <c r="F1149" s="14" t="s">
        <v>41</v>
      </c>
      <c r="G1149" s="15" t="s">
        <v>23</v>
      </c>
      <c r="H1149" s="15"/>
      <c r="I1149" s="15">
        <v>201408</v>
      </c>
      <c r="J1149" s="70">
        <v>8127.71</v>
      </c>
      <c r="K1149" s="44">
        <f t="shared" si="89"/>
        <v>41944</v>
      </c>
      <c r="L1149" s="45">
        <f t="shared" si="92"/>
        <v>7</v>
      </c>
      <c r="M1149" s="17">
        <v>1.4833299999999999E-3</v>
      </c>
      <c r="N1149" s="46">
        <f t="shared" si="90"/>
        <v>84.392532520100005</v>
      </c>
      <c r="O1149" s="16"/>
      <c r="P1149" s="63">
        <f t="shared" si="91"/>
        <v>3911.4604375000004</v>
      </c>
      <c r="Q1149" s="16"/>
      <c r="R1149" s="48">
        <f t="shared" si="88"/>
        <v>146.684846225</v>
      </c>
    </row>
    <row r="1150" spans="1:18">
      <c r="A1150" s="14" t="s">
        <v>54</v>
      </c>
      <c r="B1150" s="15" t="s">
        <v>275</v>
      </c>
      <c r="C1150" s="15" t="s">
        <v>276</v>
      </c>
      <c r="D1150" s="14" t="s">
        <v>277</v>
      </c>
      <c r="E1150" s="15" t="s">
        <v>40</v>
      </c>
      <c r="F1150" s="14" t="s">
        <v>41</v>
      </c>
      <c r="G1150" s="15" t="s">
        <v>23</v>
      </c>
      <c r="H1150" s="15"/>
      <c r="I1150" s="15">
        <v>201408</v>
      </c>
      <c r="J1150" s="70">
        <v>-99.54</v>
      </c>
      <c r="K1150" s="44">
        <f t="shared" si="89"/>
        <v>41944</v>
      </c>
      <c r="L1150" s="45">
        <f t="shared" si="92"/>
        <v>7</v>
      </c>
      <c r="M1150" s="17">
        <v>1.4833299999999999E-3</v>
      </c>
      <c r="N1150" s="46">
        <f t="shared" si="90"/>
        <v>-1.0335546774</v>
      </c>
      <c r="O1150" s="16"/>
      <c r="P1150" s="63">
        <f t="shared" si="91"/>
        <v>-47.903625000000012</v>
      </c>
      <c r="Q1150" s="16"/>
      <c r="R1150" s="48">
        <f t="shared" si="88"/>
        <v>-1.7964481500000002</v>
      </c>
    </row>
    <row r="1151" spans="1:18">
      <c r="A1151" s="14" t="s">
        <v>54</v>
      </c>
      <c r="B1151" s="15" t="s">
        <v>303</v>
      </c>
      <c r="C1151" s="15" t="s">
        <v>304</v>
      </c>
      <c r="D1151" s="14" t="s">
        <v>305</v>
      </c>
      <c r="E1151" s="15" t="s">
        <v>104</v>
      </c>
      <c r="F1151" s="14" t="s">
        <v>41</v>
      </c>
      <c r="G1151" s="15" t="s">
        <v>23</v>
      </c>
      <c r="H1151" s="15"/>
      <c r="I1151" s="15">
        <v>201408</v>
      </c>
      <c r="J1151" s="70">
        <v>16.28</v>
      </c>
      <c r="K1151" s="44">
        <f t="shared" si="89"/>
        <v>41944</v>
      </c>
      <c r="L1151" s="45">
        <f t="shared" si="92"/>
        <v>7</v>
      </c>
      <c r="M1151" s="17">
        <v>1.4833299999999999E-3</v>
      </c>
      <c r="N1151" s="46">
        <f t="shared" si="90"/>
        <v>0.16904028679999999</v>
      </c>
      <c r="O1151" s="16"/>
      <c r="P1151" s="63">
        <f t="shared" si="91"/>
        <v>7.8347500000000014</v>
      </c>
      <c r="Q1151" s="16"/>
      <c r="R1151" s="48">
        <f t="shared" si="88"/>
        <v>0.29381330000000005</v>
      </c>
    </row>
    <row r="1152" spans="1:18">
      <c r="A1152" s="14" t="s">
        <v>54</v>
      </c>
      <c r="B1152" s="15" t="s">
        <v>359</v>
      </c>
      <c r="C1152" s="15" t="s">
        <v>360</v>
      </c>
      <c r="D1152" s="14" t="s">
        <v>361</v>
      </c>
      <c r="E1152" s="15" t="s">
        <v>362</v>
      </c>
      <c r="F1152" s="14" t="s">
        <v>41</v>
      </c>
      <c r="G1152" s="15" t="s">
        <v>23</v>
      </c>
      <c r="H1152" s="15"/>
      <c r="I1152" s="15">
        <v>201408</v>
      </c>
      <c r="J1152" s="70">
        <v>-5820.18</v>
      </c>
      <c r="K1152" s="44">
        <f t="shared" si="89"/>
        <v>41944</v>
      </c>
      <c r="L1152" s="45">
        <f t="shared" si="92"/>
        <v>7</v>
      </c>
      <c r="M1152" s="17">
        <v>1.4833299999999999E-3</v>
      </c>
      <c r="N1152" s="46">
        <f t="shared" si="90"/>
        <v>-60.432733195800004</v>
      </c>
      <c r="O1152" s="16"/>
      <c r="P1152" s="63">
        <f t="shared" si="91"/>
        <v>-2800.9616250000004</v>
      </c>
      <c r="Q1152" s="16"/>
      <c r="R1152" s="48">
        <f t="shared" si="88"/>
        <v>-105.03969855000001</v>
      </c>
    </row>
    <row r="1153" spans="1:18">
      <c r="A1153" s="14" t="s">
        <v>54</v>
      </c>
      <c r="B1153" s="15" t="s">
        <v>468</v>
      </c>
      <c r="C1153" s="15" t="s">
        <v>469</v>
      </c>
      <c r="D1153" s="14" t="s">
        <v>470</v>
      </c>
      <c r="E1153" s="15" t="s">
        <v>136</v>
      </c>
      <c r="F1153" s="14" t="s">
        <v>137</v>
      </c>
      <c r="G1153" s="15" t="s">
        <v>23</v>
      </c>
      <c r="H1153" s="15"/>
      <c r="I1153" s="15">
        <v>201408</v>
      </c>
      <c r="J1153" s="70">
        <v>3103.37</v>
      </c>
      <c r="K1153" s="44">
        <f t="shared" si="89"/>
        <v>41944</v>
      </c>
      <c r="L1153" s="45">
        <f t="shared" si="92"/>
        <v>7</v>
      </c>
      <c r="M1153" s="17">
        <v>1.4833299999999999E-3</v>
      </c>
      <c r="N1153" s="46">
        <f t="shared" si="90"/>
        <v>32.223252754699999</v>
      </c>
      <c r="O1153" s="16"/>
      <c r="P1153" s="63">
        <f t="shared" si="91"/>
        <v>1493.4968125000003</v>
      </c>
      <c r="Q1153" s="16"/>
      <c r="R1153" s="48">
        <f t="shared" si="88"/>
        <v>56.008070074999999</v>
      </c>
    </row>
    <row r="1154" spans="1:18">
      <c r="A1154" s="14" t="s">
        <v>54</v>
      </c>
      <c r="B1154" s="15" t="s">
        <v>549</v>
      </c>
      <c r="C1154" s="15" t="s">
        <v>550</v>
      </c>
      <c r="D1154" s="14" t="s">
        <v>551</v>
      </c>
      <c r="E1154" s="15" t="s">
        <v>136</v>
      </c>
      <c r="F1154" s="14" t="s">
        <v>137</v>
      </c>
      <c r="G1154" s="15" t="s">
        <v>23</v>
      </c>
      <c r="H1154" s="15"/>
      <c r="I1154" s="15">
        <v>201408</v>
      </c>
      <c r="J1154" s="70">
        <v>-2455.36</v>
      </c>
      <c r="K1154" s="44">
        <f t="shared" si="89"/>
        <v>41944</v>
      </c>
      <c r="L1154" s="45">
        <f t="shared" si="92"/>
        <v>7</v>
      </c>
      <c r="M1154" s="17">
        <v>1.4833299999999999E-3</v>
      </c>
      <c r="N1154" s="46">
        <f t="shared" si="90"/>
        <v>-25.4947640416</v>
      </c>
      <c r="O1154" s="16"/>
      <c r="P1154" s="63">
        <f t="shared" si="91"/>
        <v>-1181.6420000000003</v>
      </c>
      <c r="Q1154" s="16"/>
      <c r="R1154" s="48">
        <f t="shared" si="88"/>
        <v>-44.313109600000004</v>
      </c>
    </row>
    <row r="1155" spans="1:18">
      <c r="A1155" s="14" t="s">
        <v>54</v>
      </c>
      <c r="B1155" s="15" t="s">
        <v>578</v>
      </c>
      <c r="C1155" s="15" t="s">
        <v>579</v>
      </c>
      <c r="D1155" s="14" t="s">
        <v>580</v>
      </c>
      <c r="E1155" s="15" t="s">
        <v>136</v>
      </c>
      <c r="F1155" s="14" t="s">
        <v>137</v>
      </c>
      <c r="G1155" s="15" t="s">
        <v>23</v>
      </c>
      <c r="H1155" s="15"/>
      <c r="I1155" s="15">
        <v>201408</v>
      </c>
      <c r="J1155" s="70">
        <v>76.09</v>
      </c>
      <c r="K1155" s="44">
        <f t="shared" si="89"/>
        <v>41944</v>
      </c>
      <c r="L1155" s="45">
        <f t="shared" si="92"/>
        <v>7</v>
      </c>
      <c r="M1155" s="17">
        <v>1.4833299999999999E-3</v>
      </c>
      <c r="N1155" s="46">
        <f t="shared" si="90"/>
        <v>0.79006605790000006</v>
      </c>
      <c r="O1155" s="16"/>
      <c r="P1155" s="63">
        <f t="shared" si="91"/>
        <v>36.618312500000009</v>
      </c>
      <c r="Q1155" s="16"/>
      <c r="R1155" s="48">
        <f t="shared" si="88"/>
        <v>1.3732342750000002</v>
      </c>
    </row>
    <row r="1156" spans="1:18">
      <c r="A1156" s="14" t="s">
        <v>54</v>
      </c>
      <c r="B1156" s="15" t="s">
        <v>649</v>
      </c>
      <c r="C1156" s="15" t="s">
        <v>650</v>
      </c>
      <c r="D1156" s="14" t="s">
        <v>651</v>
      </c>
      <c r="E1156" s="15" t="s">
        <v>104</v>
      </c>
      <c r="F1156" s="14" t="s">
        <v>41</v>
      </c>
      <c r="G1156" s="15" t="s">
        <v>23</v>
      </c>
      <c r="H1156" s="15"/>
      <c r="I1156" s="15">
        <v>201408</v>
      </c>
      <c r="J1156" s="70">
        <v>20.05</v>
      </c>
      <c r="K1156" s="44">
        <f t="shared" si="89"/>
        <v>41944</v>
      </c>
      <c r="L1156" s="45">
        <f t="shared" si="92"/>
        <v>7</v>
      </c>
      <c r="M1156" s="17">
        <v>1.4833299999999999E-3</v>
      </c>
      <c r="N1156" s="46">
        <f t="shared" si="90"/>
        <v>0.2081853655</v>
      </c>
      <c r="O1156" s="16"/>
      <c r="P1156" s="63">
        <f t="shared" si="91"/>
        <v>9.6490625000000012</v>
      </c>
      <c r="Q1156" s="16"/>
      <c r="R1156" s="48">
        <f t="shared" si="88"/>
        <v>0.36185237500000006</v>
      </c>
    </row>
    <row r="1157" spans="1:18">
      <c r="A1157" s="14" t="s">
        <v>54</v>
      </c>
      <c r="B1157" s="15" t="s">
        <v>722</v>
      </c>
      <c r="C1157" s="15" t="s">
        <v>723</v>
      </c>
      <c r="D1157" s="14" t="s">
        <v>724</v>
      </c>
      <c r="E1157" s="15" t="s">
        <v>40</v>
      </c>
      <c r="F1157" s="14" t="s">
        <v>41</v>
      </c>
      <c r="G1157" s="15" t="s">
        <v>23</v>
      </c>
      <c r="H1157" s="15"/>
      <c r="I1157" s="15">
        <v>201408</v>
      </c>
      <c r="J1157" s="70">
        <v>-1656.31</v>
      </c>
      <c r="K1157" s="44">
        <f t="shared" si="89"/>
        <v>41944</v>
      </c>
      <c r="L1157" s="45">
        <f t="shared" si="92"/>
        <v>7</v>
      </c>
      <c r="M1157" s="17">
        <v>1.4833299999999999E-3</v>
      </c>
      <c r="N1157" s="46">
        <f t="shared" si="90"/>
        <v>-17.197980186100001</v>
      </c>
      <c r="O1157" s="16"/>
      <c r="P1157" s="63">
        <f t="shared" si="91"/>
        <v>-797.09918750000008</v>
      </c>
      <c r="Q1157" s="16"/>
      <c r="R1157" s="48">
        <f t="shared" si="88"/>
        <v>-29.892254725000001</v>
      </c>
    </row>
    <row r="1158" spans="1:18">
      <c r="A1158" s="14" t="s">
        <v>54</v>
      </c>
      <c r="B1158" s="15" t="s">
        <v>731</v>
      </c>
      <c r="C1158" s="15" t="s">
        <v>732</v>
      </c>
      <c r="D1158" s="14" t="s">
        <v>733</v>
      </c>
      <c r="E1158" s="15" t="s">
        <v>104</v>
      </c>
      <c r="F1158" s="14" t="s">
        <v>41</v>
      </c>
      <c r="G1158" s="15" t="s">
        <v>23</v>
      </c>
      <c r="H1158" s="15"/>
      <c r="I1158" s="15">
        <v>201408</v>
      </c>
      <c r="J1158" s="70">
        <v>-1198.7</v>
      </c>
      <c r="K1158" s="44">
        <f t="shared" si="89"/>
        <v>41944</v>
      </c>
      <c r="L1158" s="45">
        <f t="shared" si="92"/>
        <v>7</v>
      </c>
      <c r="M1158" s="17">
        <v>1.4833299999999999E-3</v>
      </c>
      <c r="N1158" s="46">
        <f t="shared" si="90"/>
        <v>-12.446473697</v>
      </c>
      <c r="O1158" s="16"/>
      <c r="P1158" s="63">
        <f t="shared" si="91"/>
        <v>-576.8743750000001</v>
      </c>
      <c r="Q1158" s="16"/>
      <c r="R1158" s="48">
        <f t="shared" ref="R1158:R1221" si="93">$R$4*(J1158*0.5)*$T$9</f>
        <v>-21.633538250000001</v>
      </c>
    </row>
    <row r="1159" spans="1:18">
      <c r="A1159" s="18" t="s">
        <v>54</v>
      </c>
      <c r="B1159" s="15" t="s">
        <v>879</v>
      </c>
      <c r="C1159" s="15" t="s">
        <v>880</v>
      </c>
      <c r="D1159" s="14" t="s">
        <v>881</v>
      </c>
      <c r="E1159" s="15" t="s">
        <v>53</v>
      </c>
      <c r="F1159" s="14" t="s">
        <v>41</v>
      </c>
      <c r="G1159" s="15" t="s">
        <v>23</v>
      </c>
      <c r="H1159" s="15"/>
      <c r="I1159" s="15">
        <v>201408</v>
      </c>
      <c r="J1159" s="70">
        <v>6704.92</v>
      </c>
      <c r="K1159" s="44">
        <f t="shared" ref="K1159:K1222" si="94">+K1158</f>
        <v>41944</v>
      </c>
      <c r="L1159" s="45">
        <f t="shared" si="92"/>
        <v>7</v>
      </c>
      <c r="M1159" s="17">
        <v>1.4833299999999999E-3</v>
      </c>
      <c r="N1159" s="46">
        <f t="shared" si="90"/>
        <v>69.619262885200001</v>
      </c>
      <c r="O1159" s="16"/>
      <c r="P1159" s="63">
        <f t="shared" si="91"/>
        <v>3226.7427500000003</v>
      </c>
      <c r="Q1159" s="16"/>
      <c r="R1159" s="48">
        <f t="shared" si="93"/>
        <v>121.00704370000001</v>
      </c>
    </row>
    <row r="1160" spans="1:18">
      <c r="A1160" s="18" t="s">
        <v>54</v>
      </c>
      <c r="B1160" s="15" t="s">
        <v>965</v>
      </c>
      <c r="C1160" s="15" t="s">
        <v>966</v>
      </c>
      <c r="D1160" s="14" t="s">
        <v>967</v>
      </c>
      <c r="E1160" s="15" t="s">
        <v>53</v>
      </c>
      <c r="F1160" s="14" t="s">
        <v>41</v>
      </c>
      <c r="G1160" s="15" t="s">
        <v>23</v>
      </c>
      <c r="H1160" s="15"/>
      <c r="I1160" s="15">
        <v>201408</v>
      </c>
      <c r="J1160" s="70">
        <v>62778.55</v>
      </c>
      <c r="K1160" s="44">
        <f t="shared" si="94"/>
        <v>41944</v>
      </c>
      <c r="L1160" s="45">
        <f t="shared" si="92"/>
        <v>7</v>
      </c>
      <c r="M1160" s="17">
        <v>1.4833299999999999E-3</v>
      </c>
      <c r="N1160" s="46">
        <f t="shared" si="90"/>
        <v>651.84914600050001</v>
      </c>
      <c r="O1160" s="16"/>
      <c r="P1160" s="63">
        <f t="shared" si="91"/>
        <v>30212.177187500005</v>
      </c>
      <c r="Q1160" s="16"/>
      <c r="R1160" s="48">
        <f t="shared" si="93"/>
        <v>1132.9958811250001</v>
      </c>
    </row>
    <row r="1161" spans="1:18">
      <c r="A1161" s="18" t="s">
        <v>66</v>
      </c>
      <c r="B1161" s="15" t="s">
        <v>833</v>
      </c>
      <c r="C1161" s="15" t="s">
        <v>834</v>
      </c>
      <c r="D1161" s="14" t="s">
        <v>835</v>
      </c>
      <c r="E1161" s="15" t="s">
        <v>40</v>
      </c>
      <c r="F1161" s="14" t="s">
        <v>41</v>
      </c>
      <c r="G1161" s="15" t="s">
        <v>23</v>
      </c>
      <c r="H1161" s="15"/>
      <c r="I1161" s="15">
        <v>201408</v>
      </c>
      <c r="J1161" s="70">
        <v>-163.65</v>
      </c>
      <c r="K1161" s="44">
        <f t="shared" si="94"/>
        <v>41944</v>
      </c>
      <c r="L1161" s="45">
        <f t="shared" si="92"/>
        <v>7</v>
      </c>
      <c r="M1161" s="17">
        <v>2.23333E-3</v>
      </c>
      <c r="N1161" s="46">
        <f t="shared" si="90"/>
        <v>-2.5583911815000002</v>
      </c>
      <c r="O1161" s="16"/>
      <c r="P1161" s="63">
        <f t="shared" si="91"/>
        <v>-78.756562500000015</v>
      </c>
      <c r="Q1161" s="16"/>
      <c r="R1161" s="48">
        <f t="shared" si="93"/>
        <v>-2.9534733750000002</v>
      </c>
    </row>
    <row r="1162" spans="1:18">
      <c r="A1162" s="14" t="s">
        <v>17</v>
      </c>
      <c r="B1162" s="15" t="s">
        <v>18</v>
      </c>
      <c r="C1162" s="15" t="s">
        <v>19</v>
      </c>
      <c r="D1162" s="14" t="s">
        <v>20</v>
      </c>
      <c r="E1162" s="15" t="s">
        <v>21</v>
      </c>
      <c r="F1162" s="14" t="s">
        <v>22</v>
      </c>
      <c r="G1162" s="15" t="s">
        <v>23</v>
      </c>
      <c r="H1162" s="15"/>
      <c r="I1162" s="15">
        <v>201408</v>
      </c>
      <c r="J1162" s="70">
        <v>-276.06</v>
      </c>
      <c r="K1162" s="44">
        <f t="shared" si="94"/>
        <v>41944</v>
      </c>
      <c r="L1162" s="45">
        <f t="shared" si="92"/>
        <v>7</v>
      </c>
      <c r="M1162" s="17">
        <v>1.4833299999999999E-3</v>
      </c>
      <c r="N1162" s="46">
        <f t="shared" si="90"/>
        <v>-2.8664165586000001</v>
      </c>
      <c r="O1162" s="16"/>
      <c r="P1162" s="63">
        <f t="shared" si="91"/>
        <v>-132.85387500000002</v>
      </c>
      <c r="Q1162" s="16"/>
      <c r="R1162" s="48">
        <f t="shared" si="93"/>
        <v>-4.9821928500000006</v>
      </c>
    </row>
    <row r="1163" spans="1:18">
      <c r="A1163" s="14" t="s">
        <v>17</v>
      </c>
      <c r="B1163" s="15" t="s">
        <v>24</v>
      </c>
      <c r="C1163" s="15" t="s">
        <v>25</v>
      </c>
      <c r="D1163" s="14" t="s">
        <v>26</v>
      </c>
      <c r="E1163" s="15" t="s">
        <v>27</v>
      </c>
      <c r="F1163" s="14" t="s">
        <v>28</v>
      </c>
      <c r="G1163" s="15" t="s">
        <v>23</v>
      </c>
      <c r="H1163" s="15"/>
      <c r="I1163" s="15">
        <v>201408</v>
      </c>
      <c r="J1163" s="70">
        <v>21.47</v>
      </c>
      <c r="K1163" s="44">
        <f t="shared" si="94"/>
        <v>41944</v>
      </c>
      <c r="L1163" s="45">
        <f t="shared" si="92"/>
        <v>7</v>
      </c>
      <c r="M1163" s="17">
        <v>1.4833299999999999E-3</v>
      </c>
      <c r="N1163" s="46">
        <f t="shared" si="90"/>
        <v>0.22292966569999997</v>
      </c>
      <c r="O1163" s="16"/>
      <c r="P1163" s="63">
        <f t="shared" si="91"/>
        <v>10.332437500000001</v>
      </c>
      <c r="Q1163" s="16"/>
      <c r="R1163" s="48">
        <f t="shared" si="93"/>
        <v>0.387479825</v>
      </c>
    </row>
    <row r="1164" spans="1:18">
      <c r="A1164" s="14" t="s">
        <v>17</v>
      </c>
      <c r="B1164" s="15" t="s">
        <v>29</v>
      </c>
      <c r="C1164" s="15" t="s">
        <v>30</v>
      </c>
      <c r="D1164" s="14" t="s">
        <v>31</v>
      </c>
      <c r="E1164" s="15" t="s">
        <v>32</v>
      </c>
      <c r="F1164" s="14" t="s">
        <v>22</v>
      </c>
      <c r="G1164" s="15" t="s">
        <v>23</v>
      </c>
      <c r="H1164" s="15"/>
      <c r="I1164" s="15">
        <v>201408</v>
      </c>
      <c r="J1164" s="70">
        <v>20.88</v>
      </c>
      <c r="K1164" s="44">
        <f t="shared" si="94"/>
        <v>41944</v>
      </c>
      <c r="L1164" s="45">
        <f t="shared" si="92"/>
        <v>7</v>
      </c>
      <c r="M1164" s="17">
        <v>1.4833299999999999E-3</v>
      </c>
      <c r="N1164" s="46">
        <f t="shared" ref="N1164:N1227" si="95">M1164*L1164*J1164</f>
        <v>0.21680351279999999</v>
      </c>
      <c r="O1164" s="16"/>
      <c r="P1164" s="63">
        <f t="shared" ref="P1164:P1227" si="96">$P$4*J1164</f>
        <v>10.048500000000001</v>
      </c>
      <c r="Q1164" s="16"/>
      <c r="R1164" s="48">
        <f t="shared" si="93"/>
        <v>0.37683179999999999</v>
      </c>
    </row>
    <row r="1165" spans="1:18">
      <c r="A1165" s="14" t="s">
        <v>17</v>
      </c>
      <c r="B1165" s="15" t="s">
        <v>33</v>
      </c>
      <c r="C1165" s="15" t="s">
        <v>34</v>
      </c>
      <c r="D1165" s="14" t="s">
        <v>35</v>
      </c>
      <c r="E1165" s="15" t="s">
        <v>36</v>
      </c>
      <c r="F1165" s="14" t="s">
        <v>22</v>
      </c>
      <c r="G1165" s="15" t="s">
        <v>23</v>
      </c>
      <c r="H1165" s="15"/>
      <c r="I1165" s="15">
        <v>201408</v>
      </c>
      <c r="J1165" s="70">
        <v>-117.97</v>
      </c>
      <c r="K1165" s="44">
        <f t="shared" si="94"/>
        <v>41944</v>
      </c>
      <c r="L1165" s="45">
        <f t="shared" ref="L1165:L1228" si="97">((YEAR($L$1)-YEAR(K1165))*12+MONTH($L$1)-MONTH(K1165))</f>
        <v>7</v>
      </c>
      <c r="M1165" s="17">
        <v>1.4833299999999999E-3</v>
      </c>
      <c r="N1165" s="46">
        <f t="shared" si="95"/>
        <v>-1.2249190806999999</v>
      </c>
      <c r="O1165" s="16"/>
      <c r="P1165" s="63">
        <f t="shared" si="96"/>
        <v>-56.773062500000009</v>
      </c>
      <c r="Q1165" s="16"/>
      <c r="R1165" s="48">
        <f t="shared" si="93"/>
        <v>-2.129063575</v>
      </c>
    </row>
    <row r="1166" spans="1:18">
      <c r="A1166" s="14" t="s">
        <v>17</v>
      </c>
      <c r="B1166" s="15" t="s">
        <v>42</v>
      </c>
      <c r="C1166" s="15" t="s">
        <v>43</v>
      </c>
      <c r="D1166" s="14" t="s">
        <v>44</v>
      </c>
      <c r="E1166" s="15" t="s">
        <v>45</v>
      </c>
      <c r="F1166" s="14" t="s">
        <v>22</v>
      </c>
      <c r="G1166" s="15" t="s">
        <v>23</v>
      </c>
      <c r="H1166" s="15"/>
      <c r="I1166" s="15">
        <v>201408</v>
      </c>
      <c r="J1166" s="70">
        <v>37.28</v>
      </c>
      <c r="K1166" s="44">
        <f t="shared" si="94"/>
        <v>41944</v>
      </c>
      <c r="L1166" s="45">
        <f t="shared" si="97"/>
        <v>7</v>
      </c>
      <c r="M1166" s="17">
        <v>1.4833299999999999E-3</v>
      </c>
      <c r="N1166" s="46">
        <f t="shared" si="95"/>
        <v>0.3870897968</v>
      </c>
      <c r="O1166" s="16"/>
      <c r="P1166" s="63">
        <f t="shared" si="96"/>
        <v>17.941000000000003</v>
      </c>
      <c r="Q1166" s="16"/>
      <c r="R1166" s="48">
        <f t="shared" si="93"/>
        <v>0.67281080000000004</v>
      </c>
    </row>
    <row r="1167" spans="1:18">
      <c r="A1167" s="14" t="s">
        <v>17</v>
      </c>
      <c r="B1167" s="15" t="s">
        <v>46</v>
      </c>
      <c r="C1167" s="15" t="s">
        <v>47</v>
      </c>
      <c r="D1167" s="14" t="s">
        <v>48</v>
      </c>
      <c r="E1167" s="15" t="s">
        <v>49</v>
      </c>
      <c r="F1167" s="14" t="s">
        <v>22</v>
      </c>
      <c r="G1167" s="15" t="s">
        <v>23</v>
      </c>
      <c r="H1167" s="15"/>
      <c r="I1167" s="15">
        <v>201408</v>
      </c>
      <c r="J1167" s="70">
        <v>41.15</v>
      </c>
      <c r="K1167" s="44">
        <f t="shared" si="94"/>
        <v>41944</v>
      </c>
      <c r="L1167" s="45">
        <f t="shared" si="97"/>
        <v>7</v>
      </c>
      <c r="M1167" s="17">
        <v>1.4833299999999999E-3</v>
      </c>
      <c r="N1167" s="46">
        <f t="shared" si="95"/>
        <v>0.4272732065</v>
      </c>
      <c r="O1167" s="16"/>
      <c r="P1167" s="63">
        <f t="shared" si="96"/>
        <v>19.803437500000001</v>
      </c>
      <c r="Q1167" s="16"/>
      <c r="R1167" s="48">
        <f t="shared" si="93"/>
        <v>0.74265462500000001</v>
      </c>
    </row>
    <row r="1168" spans="1:18">
      <c r="A1168" s="14" t="s">
        <v>17</v>
      </c>
      <c r="B1168" s="15" t="s">
        <v>63</v>
      </c>
      <c r="C1168" s="15" t="s">
        <v>64</v>
      </c>
      <c r="D1168" s="14" t="s">
        <v>65</v>
      </c>
      <c r="E1168" s="15" t="s">
        <v>32</v>
      </c>
      <c r="F1168" s="14" t="s">
        <v>22</v>
      </c>
      <c r="G1168" s="15" t="s">
        <v>23</v>
      </c>
      <c r="H1168" s="15"/>
      <c r="I1168" s="15">
        <v>201408</v>
      </c>
      <c r="J1168" s="70">
        <v>64.489999999999995</v>
      </c>
      <c r="K1168" s="44">
        <f t="shared" si="94"/>
        <v>41944</v>
      </c>
      <c r="L1168" s="45">
        <f t="shared" si="97"/>
        <v>7</v>
      </c>
      <c r="M1168" s="17">
        <v>1.4833299999999999E-3</v>
      </c>
      <c r="N1168" s="46">
        <f t="shared" si="95"/>
        <v>0.66961966189999989</v>
      </c>
      <c r="O1168" s="16"/>
      <c r="P1168" s="63">
        <f t="shared" si="96"/>
        <v>31.035812500000002</v>
      </c>
      <c r="Q1168" s="16"/>
      <c r="R1168" s="48">
        <f t="shared" si="93"/>
        <v>1.1638832749999999</v>
      </c>
    </row>
    <row r="1169" spans="1:18">
      <c r="A1169" s="14" t="s">
        <v>17</v>
      </c>
      <c r="B1169" s="15" t="s">
        <v>98</v>
      </c>
      <c r="C1169" s="15" t="s">
        <v>99</v>
      </c>
      <c r="D1169" s="14" t="s">
        <v>100</v>
      </c>
      <c r="E1169" s="15" t="s">
        <v>62</v>
      </c>
      <c r="F1169" s="14" t="s">
        <v>22</v>
      </c>
      <c r="G1169" s="15" t="s">
        <v>23</v>
      </c>
      <c r="H1169" s="15"/>
      <c r="I1169" s="15">
        <v>201408</v>
      </c>
      <c r="J1169" s="70">
        <v>48.44</v>
      </c>
      <c r="K1169" s="44">
        <f t="shared" si="94"/>
        <v>41944</v>
      </c>
      <c r="L1169" s="45">
        <f t="shared" si="97"/>
        <v>7</v>
      </c>
      <c r="M1169" s="17">
        <v>1.4833299999999999E-3</v>
      </c>
      <c r="N1169" s="46">
        <f t="shared" si="95"/>
        <v>0.50296753639999991</v>
      </c>
      <c r="O1169" s="16"/>
      <c r="P1169" s="63">
        <f t="shared" si="96"/>
        <v>23.311750000000004</v>
      </c>
      <c r="Q1169" s="16"/>
      <c r="R1169" s="48">
        <f t="shared" si="93"/>
        <v>0.87422089999999997</v>
      </c>
    </row>
    <row r="1170" spans="1:18">
      <c r="A1170" s="14" t="s">
        <v>17</v>
      </c>
      <c r="B1170" s="15" t="s">
        <v>105</v>
      </c>
      <c r="C1170" s="15" t="s">
        <v>106</v>
      </c>
      <c r="D1170" s="14" t="s">
        <v>107</v>
      </c>
      <c r="E1170" s="15" t="s">
        <v>108</v>
      </c>
      <c r="F1170" s="14" t="s">
        <v>28</v>
      </c>
      <c r="G1170" s="15" t="s">
        <v>23</v>
      </c>
      <c r="H1170" s="15"/>
      <c r="I1170" s="15">
        <v>201408</v>
      </c>
      <c r="J1170" s="70">
        <v>-3496.03</v>
      </c>
      <c r="K1170" s="44">
        <f t="shared" si="94"/>
        <v>41944</v>
      </c>
      <c r="L1170" s="45">
        <f t="shared" si="97"/>
        <v>7</v>
      </c>
      <c r="M1170" s="17">
        <v>1.4833299999999999E-3</v>
      </c>
      <c r="N1170" s="46">
        <f t="shared" si="95"/>
        <v>-36.300363259299999</v>
      </c>
      <c r="O1170" s="16"/>
      <c r="P1170" s="63">
        <f t="shared" si="96"/>
        <v>-1682.4644375000003</v>
      </c>
      <c r="Q1170" s="16"/>
      <c r="R1170" s="48">
        <f t="shared" si="93"/>
        <v>-63.094601425000008</v>
      </c>
    </row>
    <row r="1171" spans="1:18">
      <c r="A1171" s="14" t="s">
        <v>17</v>
      </c>
      <c r="B1171" s="15" t="s">
        <v>109</v>
      </c>
      <c r="C1171" s="15" t="s">
        <v>110</v>
      </c>
      <c r="D1171" s="14" t="s">
        <v>111</v>
      </c>
      <c r="E1171" s="15" t="s">
        <v>112</v>
      </c>
      <c r="F1171" s="14" t="s">
        <v>22</v>
      </c>
      <c r="G1171" s="15" t="s">
        <v>23</v>
      </c>
      <c r="H1171" s="15"/>
      <c r="I1171" s="15">
        <v>201408</v>
      </c>
      <c r="J1171" s="70">
        <v>-23.11</v>
      </c>
      <c r="K1171" s="44">
        <f t="shared" si="94"/>
        <v>41944</v>
      </c>
      <c r="L1171" s="45">
        <f t="shared" si="97"/>
        <v>7</v>
      </c>
      <c r="M1171" s="17">
        <v>1.4833299999999999E-3</v>
      </c>
      <c r="N1171" s="46">
        <f t="shared" si="95"/>
        <v>-0.2399582941</v>
      </c>
      <c r="O1171" s="16"/>
      <c r="P1171" s="63">
        <f t="shared" si="96"/>
        <v>-11.121687500000002</v>
      </c>
      <c r="Q1171" s="16"/>
      <c r="R1171" s="48">
        <f t="shared" si="93"/>
        <v>-0.41707772500000001</v>
      </c>
    </row>
    <row r="1172" spans="1:18">
      <c r="A1172" s="14" t="s">
        <v>17</v>
      </c>
      <c r="B1172" s="15" t="s">
        <v>113</v>
      </c>
      <c r="C1172" s="15" t="s">
        <v>114</v>
      </c>
      <c r="D1172" s="14" t="s">
        <v>115</v>
      </c>
      <c r="E1172" s="15" t="s">
        <v>58</v>
      </c>
      <c r="F1172" s="14" t="s">
        <v>22</v>
      </c>
      <c r="G1172" s="15" t="s">
        <v>23</v>
      </c>
      <c r="H1172" s="15"/>
      <c r="I1172" s="15">
        <v>201408</v>
      </c>
      <c r="J1172" s="70">
        <v>-61.05</v>
      </c>
      <c r="K1172" s="44">
        <f t="shared" si="94"/>
        <v>41944</v>
      </c>
      <c r="L1172" s="45">
        <f t="shared" si="97"/>
        <v>7</v>
      </c>
      <c r="M1172" s="17">
        <v>1.4833299999999999E-3</v>
      </c>
      <c r="N1172" s="46">
        <f t="shared" si="95"/>
        <v>-0.63390107549999997</v>
      </c>
      <c r="O1172" s="16"/>
      <c r="P1172" s="63">
        <f t="shared" si="96"/>
        <v>-29.380312500000002</v>
      </c>
      <c r="Q1172" s="16"/>
      <c r="R1172" s="48">
        <f t="shared" si="93"/>
        <v>-1.101799875</v>
      </c>
    </row>
    <row r="1173" spans="1:18">
      <c r="A1173" s="14" t="s">
        <v>17</v>
      </c>
      <c r="B1173" s="15" t="s">
        <v>116</v>
      </c>
      <c r="C1173" s="15" t="s">
        <v>117</v>
      </c>
      <c r="D1173" s="14" t="s">
        <v>118</v>
      </c>
      <c r="E1173" s="15" t="s">
        <v>27</v>
      </c>
      <c r="F1173" s="14" t="s">
        <v>28</v>
      </c>
      <c r="G1173" s="15" t="s">
        <v>23</v>
      </c>
      <c r="H1173" s="15"/>
      <c r="I1173" s="15">
        <v>201408</v>
      </c>
      <c r="J1173" s="70">
        <v>-174.38</v>
      </c>
      <c r="K1173" s="44">
        <f t="shared" si="94"/>
        <v>41944</v>
      </c>
      <c r="L1173" s="45">
        <f t="shared" si="97"/>
        <v>7</v>
      </c>
      <c r="M1173" s="17">
        <v>1.4833299999999999E-3</v>
      </c>
      <c r="N1173" s="46">
        <f t="shared" si="95"/>
        <v>-1.8106415977999999</v>
      </c>
      <c r="O1173" s="16"/>
      <c r="P1173" s="63">
        <f t="shared" si="96"/>
        <v>-83.920375000000007</v>
      </c>
      <c r="Q1173" s="16"/>
      <c r="R1173" s="48">
        <f t="shared" si="93"/>
        <v>-3.1471230500000003</v>
      </c>
    </row>
    <row r="1174" spans="1:18">
      <c r="A1174" s="14" t="s">
        <v>17</v>
      </c>
      <c r="B1174" s="15" t="s">
        <v>119</v>
      </c>
      <c r="C1174" s="15" t="s">
        <v>120</v>
      </c>
      <c r="D1174" s="14" t="s">
        <v>121</v>
      </c>
      <c r="E1174" s="15" t="s">
        <v>32</v>
      </c>
      <c r="F1174" s="14" t="s">
        <v>22</v>
      </c>
      <c r="G1174" s="15" t="s">
        <v>23</v>
      </c>
      <c r="H1174" s="15"/>
      <c r="I1174" s="15">
        <v>201408</v>
      </c>
      <c r="J1174" s="70">
        <v>-12.17</v>
      </c>
      <c r="K1174" s="44">
        <f t="shared" si="94"/>
        <v>41944</v>
      </c>
      <c r="L1174" s="45">
        <f t="shared" si="97"/>
        <v>7</v>
      </c>
      <c r="M1174" s="17">
        <v>1.4833299999999999E-3</v>
      </c>
      <c r="N1174" s="46">
        <f t="shared" si="95"/>
        <v>-0.12636488269999999</v>
      </c>
      <c r="O1174" s="16"/>
      <c r="P1174" s="63">
        <f t="shared" si="96"/>
        <v>-5.8568125000000011</v>
      </c>
      <c r="Q1174" s="16"/>
      <c r="R1174" s="48">
        <f t="shared" si="93"/>
        <v>-0.21963807500000002</v>
      </c>
    </row>
    <row r="1175" spans="1:18">
      <c r="A1175" s="14" t="s">
        <v>17</v>
      </c>
      <c r="B1175" s="15" t="s">
        <v>127</v>
      </c>
      <c r="C1175" s="15" t="s">
        <v>128</v>
      </c>
      <c r="D1175" s="14" t="s">
        <v>129</v>
      </c>
      <c r="E1175" s="15" t="s">
        <v>62</v>
      </c>
      <c r="F1175" s="14" t="s">
        <v>22</v>
      </c>
      <c r="G1175" s="15" t="s">
        <v>23</v>
      </c>
      <c r="H1175" s="15"/>
      <c r="I1175" s="15">
        <v>201408</v>
      </c>
      <c r="J1175" s="70">
        <v>-376.29</v>
      </c>
      <c r="K1175" s="44">
        <f t="shared" si="94"/>
        <v>41944</v>
      </c>
      <c r="L1175" s="45">
        <f t="shared" si="97"/>
        <v>7</v>
      </c>
      <c r="M1175" s="17">
        <v>1.4833299999999999E-3</v>
      </c>
      <c r="N1175" s="46">
        <f t="shared" si="95"/>
        <v>-3.9071357199000003</v>
      </c>
      <c r="O1175" s="16"/>
      <c r="P1175" s="63">
        <f t="shared" si="96"/>
        <v>-181.08956250000003</v>
      </c>
      <c r="Q1175" s="16"/>
      <c r="R1175" s="48">
        <f t="shared" si="93"/>
        <v>-6.7910937750000011</v>
      </c>
    </row>
    <row r="1176" spans="1:18">
      <c r="A1176" s="14" t="s">
        <v>17</v>
      </c>
      <c r="B1176" s="15" t="s">
        <v>130</v>
      </c>
      <c r="C1176" s="15" t="s">
        <v>131</v>
      </c>
      <c r="D1176" s="14" t="s">
        <v>132</v>
      </c>
      <c r="E1176" s="15" t="s">
        <v>36</v>
      </c>
      <c r="F1176" s="14" t="s">
        <v>22</v>
      </c>
      <c r="G1176" s="15" t="s">
        <v>23</v>
      </c>
      <c r="H1176" s="15"/>
      <c r="I1176" s="15">
        <v>201408</v>
      </c>
      <c r="J1176" s="70">
        <v>-49.16</v>
      </c>
      <c r="K1176" s="44">
        <f t="shared" si="94"/>
        <v>41944</v>
      </c>
      <c r="L1176" s="45">
        <f t="shared" si="97"/>
        <v>7</v>
      </c>
      <c r="M1176" s="17">
        <v>1.4833299999999999E-3</v>
      </c>
      <c r="N1176" s="46">
        <f t="shared" si="95"/>
        <v>-0.51044351960000001</v>
      </c>
      <c r="O1176" s="16"/>
      <c r="P1176" s="63">
        <f t="shared" si="96"/>
        <v>-23.658250000000002</v>
      </c>
      <c r="Q1176" s="16"/>
      <c r="R1176" s="48">
        <f t="shared" si="93"/>
        <v>-0.88721510000000003</v>
      </c>
    </row>
    <row r="1177" spans="1:18">
      <c r="A1177" s="14" t="s">
        <v>17</v>
      </c>
      <c r="B1177" s="15" t="s">
        <v>143</v>
      </c>
      <c r="C1177" s="15" t="s">
        <v>144</v>
      </c>
      <c r="D1177" s="14" t="s">
        <v>145</v>
      </c>
      <c r="E1177" s="15" t="s">
        <v>62</v>
      </c>
      <c r="F1177" s="14" t="s">
        <v>22</v>
      </c>
      <c r="G1177" s="15" t="s">
        <v>23</v>
      </c>
      <c r="H1177" s="15"/>
      <c r="I1177" s="15">
        <v>201408</v>
      </c>
      <c r="J1177" s="70">
        <v>-82.96</v>
      </c>
      <c r="K1177" s="44">
        <f t="shared" si="94"/>
        <v>41944</v>
      </c>
      <c r="L1177" s="45">
        <f t="shared" si="97"/>
        <v>7</v>
      </c>
      <c r="M1177" s="17">
        <v>1.4833299999999999E-3</v>
      </c>
      <c r="N1177" s="46">
        <f t="shared" si="95"/>
        <v>-0.86139939759999995</v>
      </c>
      <c r="O1177" s="16"/>
      <c r="P1177" s="63">
        <f t="shared" si="96"/>
        <v>-39.924500000000002</v>
      </c>
      <c r="Q1177" s="16"/>
      <c r="R1177" s="48">
        <f t="shared" si="93"/>
        <v>-1.4972205999999999</v>
      </c>
    </row>
    <row r="1178" spans="1:18">
      <c r="A1178" s="14" t="s">
        <v>17</v>
      </c>
      <c r="B1178" s="15" t="s">
        <v>155</v>
      </c>
      <c r="C1178" s="15" t="s">
        <v>156</v>
      </c>
      <c r="D1178" s="14" t="s">
        <v>157</v>
      </c>
      <c r="E1178" s="15" t="s">
        <v>32</v>
      </c>
      <c r="F1178" s="14" t="s">
        <v>22</v>
      </c>
      <c r="G1178" s="15" t="s">
        <v>23</v>
      </c>
      <c r="H1178" s="15"/>
      <c r="I1178" s="15">
        <v>201408</v>
      </c>
      <c r="J1178" s="70">
        <v>-106.97</v>
      </c>
      <c r="K1178" s="44">
        <f t="shared" si="94"/>
        <v>41944</v>
      </c>
      <c r="L1178" s="45">
        <f t="shared" si="97"/>
        <v>7</v>
      </c>
      <c r="M1178" s="17">
        <v>1.4833299999999999E-3</v>
      </c>
      <c r="N1178" s="46">
        <f t="shared" si="95"/>
        <v>-1.1107026707000001</v>
      </c>
      <c r="O1178" s="16"/>
      <c r="P1178" s="63">
        <f t="shared" si="96"/>
        <v>-51.479312500000006</v>
      </c>
      <c r="Q1178" s="16"/>
      <c r="R1178" s="48">
        <f t="shared" si="93"/>
        <v>-1.9305410750000001</v>
      </c>
    </row>
    <row r="1179" spans="1:18">
      <c r="A1179" s="14" t="s">
        <v>17</v>
      </c>
      <c r="B1179" s="15" t="s">
        <v>158</v>
      </c>
      <c r="C1179" s="15" t="s">
        <v>159</v>
      </c>
      <c r="D1179" s="14" t="s">
        <v>160</v>
      </c>
      <c r="E1179" s="15" t="s">
        <v>108</v>
      </c>
      <c r="F1179" s="14" t="s">
        <v>28</v>
      </c>
      <c r="G1179" s="15" t="s">
        <v>23</v>
      </c>
      <c r="H1179" s="15"/>
      <c r="I1179" s="15">
        <v>201408</v>
      </c>
      <c r="J1179" s="70">
        <v>-77.849999999999994</v>
      </c>
      <c r="K1179" s="44">
        <f t="shared" si="94"/>
        <v>41944</v>
      </c>
      <c r="L1179" s="45">
        <f t="shared" si="97"/>
        <v>7</v>
      </c>
      <c r="M1179" s="17">
        <v>1.4833299999999999E-3</v>
      </c>
      <c r="N1179" s="46">
        <f t="shared" si="95"/>
        <v>-0.80834068349999988</v>
      </c>
      <c r="O1179" s="16"/>
      <c r="P1179" s="63">
        <f t="shared" si="96"/>
        <v>-37.465312500000003</v>
      </c>
      <c r="Q1179" s="16"/>
      <c r="R1179" s="48">
        <f t="shared" si="93"/>
        <v>-1.4049978750000001</v>
      </c>
    </row>
    <row r="1180" spans="1:18">
      <c r="A1180" s="14" t="s">
        <v>17</v>
      </c>
      <c r="B1180" s="15" t="s">
        <v>161</v>
      </c>
      <c r="C1180" s="15" t="s">
        <v>162</v>
      </c>
      <c r="D1180" s="14" t="s">
        <v>163</v>
      </c>
      <c r="E1180" s="15" t="s">
        <v>62</v>
      </c>
      <c r="F1180" s="14" t="s">
        <v>22</v>
      </c>
      <c r="G1180" s="15" t="s">
        <v>23</v>
      </c>
      <c r="H1180" s="15"/>
      <c r="I1180" s="15">
        <v>201408</v>
      </c>
      <c r="J1180" s="70">
        <v>-59.5</v>
      </c>
      <c r="K1180" s="44">
        <f t="shared" si="94"/>
        <v>41944</v>
      </c>
      <c r="L1180" s="45">
        <f t="shared" si="97"/>
        <v>7</v>
      </c>
      <c r="M1180" s="17">
        <v>1.4833299999999999E-3</v>
      </c>
      <c r="N1180" s="46">
        <f t="shared" si="95"/>
        <v>-0.617806945</v>
      </c>
      <c r="O1180" s="16"/>
      <c r="P1180" s="63">
        <f t="shared" si="96"/>
        <v>-28.634375000000006</v>
      </c>
      <c r="Q1180" s="16"/>
      <c r="R1180" s="48">
        <f t="shared" si="93"/>
        <v>-1.07382625</v>
      </c>
    </row>
    <row r="1181" spans="1:18">
      <c r="A1181" s="14" t="s">
        <v>17</v>
      </c>
      <c r="B1181" s="15" t="s">
        <v>170</v>
      </c>
      <c r="C1181" s="15" t="s">
        <v>171</v>
      </c>
      <c r="D1181" s="14" t="s">
        <v>172</v>
      </c>
      <c r="E1181" s="15" t="s">
        <v>62</v>
      </c>
      <c r="F1181" s="14" t="s">
        <v>22</v>
      </c>
      <c r="G1181" s="15" t="s">
        <v>23</v>
      </c>
      <c r="H1181" s="15"/>
      <c r="I1181" s="15">
        <v>201408</v>
      </c>
      <c r="J1181" s="70">
        <v>-1338.68</v>
      </c>
      <c r="K1181" s="44">
        <f t="shared" si="94"/>
        <v>41944</v>
      </c>
      <c r="L1181" s="45">
        <f t="shared" si="97"/>
        <v>7</v>
      </c>
      <c r="M1181" s="17">
        <v>1.4833299999999999E-3</v>
      </c>
      <c r="N1181" s="46">
        <f t="shared" si="95"/>
        <v>-13.8999294308</v>
      </c>
      <c r="O1181" s="16"/>
      <c r="P1181" s="63">
        <f t="shared" si="96"/>
        <v>-644.23975000000007</v>
      </c>
      <c r="Q1181" s="16"/>
      <c r="R1181" s="48">
        <f t="shared" si="93"/>
        <v>-24.159827300000003</v>
      </c>
    </row>
    <row r="1182" spans="1:18">
      <c r="A1182" s="14" t="s">
        <v>17</v>
      </c>
      <c r="B1182" s="15" t="s">
        <v>173</v>
      </c>
      <c r="C1182" s="15" t="s">
        <v>174</v>
      </c>
      <c r="D1182" s="14" t="s">
        <v>175</v>
      </c>
      <c r="E1182" s="15" t="s">
        <v>176</v>
      </c>
      <c r="F1182" s="14" t="s">
        <v>28</v>
      </c>
      <c r="G1182" s="15" t="s">
        <v>23</v>
      </c>
      <c r="H1182" s="15"/>
      <c r="I1182" s="15">
        <v>201408</v>
      </c>
      <c r="J1182" s="70">
        <v>60.54</v>
      </c>
      <c r="K1182" s="44">
        <f t="shared" si="94"/>
        <v>41944</v>
      </c>
      <c r="L1182" s="45">
        <f t="shared" si="97"/>
        <v>7</v>
      </c>
      <c r="M1182" s="17">
        <v>1.4833299999999999E-3</v>
      </c>
      <c r="N1182" s="46">
        <f t="shared" si="95"/>
        <v>0.62860558739999994</v>
      </c>
      <c r="O1182" s="16"/>
      <c r="P1182" s="63">
        <f t="shared" si="96"/>
        <v>29.134875000000005</v>
      </c>
      <c r="Q1182" s="16"/>
      <c r="R1182" s="48">
        <f t="shared" si="93"/>
        <v>1.09259565</v>
      </c>
    </row>
    <row r="1183" spans="1:18">
      <c r="A1183" s="14" t="s">
        <v>17</v>
      </c>
      <c r="B1183" s="15" t="s">
        <v>177</v>
      </c>
      <c r="C1183" s="15" t="s">
        <v>178</v>
      </c>
      <c r="D1183" s="14" t="s">
        <v>179</v>
      </c>
      <c r="E1183" s="15" t="s">
        <v>176</v>
      </c>
      <c r="F1183" s="14" t="s">
        <v>28</v>
      </c>
      <c r="G1183" s="15" t="s">
        <v>23</v>
      </c>
      <c r="H1183" s="15"/>
      <c r="I1183" s="15">
        <v>201408</v>
      </c>
      <c r="J1183" s="70">
        <v>95.4</v>
      </c>
      <c r="K1183" s="44">
        <f t="shared" si="94"/>
        <v>41944</v>
      </c>
      <c r="L1183" s="45">
        <f t="shared" si="97"/>
        <v>7</v>
      </c>
      <c r="M1183" s="17">
        <v>1.4833299999999999E-3</v>
      </c>
      <c r="N1183" s="46">
        <f t="shared" si="95"/>
        <v>0.99056777400000007</v>
      </c>
      <c r="O1183" s="16"/>
      <c r="P1183" s="63">
        <f t="shared" si="96"/>
        <v>45.91125000000001</v>
      </c>
      <c r="Q1183" s="16"/>
      <c r="R1183" s="48">
        <f t="shared" si="93"/>
        <v>1.7217315000000002</v>
      </c>
    </row>
    <row r="1184" spans="1:18">
      <c r="A1184" s="14" t="s">
        <v>17</v>
      </c>
      <c r="B1184" s="15" t="s">
        <v>186</v>
      </c>
      <c r="C1184" s="15" t="s">
        <v>187</v>
      </c>
      <c r="D1184" s="14" t="s">
        <v>188</v>
      </c>
      <c r="E1184" s="15" t="s">
        <v>108</v>
      </c>
      <c r="F1184" s="14" t="s">
        <v>28</v>
      </c>
      <c r="G1184" s="15" t="s">
        <v>23</v>
      </c>
      <c r="H1184" s="15"/>
      <c r="I1184" s="15">
        <v>201408</v>
      </c>
      <c r="J1184" s="70">
        <v>72.11</v>
      </c>
      <c r="K1184" s="44">
        <f t="shared" si="94"/>
        <v>41944</v>
      </c>
      <c r="L1184" s="45">
        <f t="shared" si="97"/>
        <v>7</v>
      </c>
      <c r="M1184" s="17">
        <v>1.4833299999999999E-3</v>
      </c>
      <c r="N1184" s="46">
        <f t="shared" si="95"/>
        <v>0.74874048409999994</v>
      </c>
      <c r="O1184" s="16"/>
      <c r="P1184" s="63">
        <f t="shared" si="96"/>
        <v>34.702937500000004</v>
      </c>
      <c r="Q1184" s="16"/>
      <c r="R1184" s="48">
        <f t="shared" si="93"/>
        <v>1.3014052250000001</v>
      </c>
    </row>
    <row r="1185" spans="1:18">
      <c r="A1185" s="14" t="s">
        <v>17</v>
      </c>
      <c r="B1185" s="15" t="s">
        <v>189</v>
      </c>
      <c r="C1185" s="15" t="s">
        <v>190</v>
      </c>
      <c r="D1185" s="14" t="s">
        <v>191</v>
      </c>
      <c r="E1185" s="15" t="s">
        <v>62</v>
      </c>
      <c r="F1185" s="14" t="s">
        <v>22</v>
      </c>
      <c r="G1185" s="15" t="s">
        <v>23</v>
      </c>
      <c r="H1185" s="15"/>
      <c r="I1185" s="15">
        <v>201408</v>
      </c>
      <c r="J1185" s="70">
        <v>24698.7</v>
      </c>
      <c r="K1185" s="44">
        <f t="shared" si="94"/>
        <v>41944</v>
      </c>
      <c r="L1185" s="45">
        <f t="shared" si="97"/>
        <v>7</v>
      </c>
      <c r="M1185" s="17">
        <v>1.4833299999999999E-3</v>
      </c>
      <c r="N1185" s="46">
        <f t="shared" si="95"/>
        <v>256.454258697</v>
      </c>
      <c r="O1185" s="16"/>
      <c r="P1185" s="63">
        <f t="shared" si="96"/>
        <v>11886.249375000001</v>
      </c>
      <c r="Q1185" s="16"/>
      <c r="R1185" s="48">
        <f t="shared" si="93"/>
        <v>445.74978825000005</v>
      </c>
    </row>
    <row r="1186" spans="1:18">
      <c r="A1186" s="14" t="s">
        <v>17</v>
      </c>
      <c r="B1186" s="15" t="s">
        <v>213</v>
      </c>
      <c r="C1186" s="15" t="s">
        <v>214</v>
      </c>
      <c r="D1186" s="14" t="s">
        <v>215</v>
      </c>
      <c r="E1186" s="15" t="s">
        <v>216</v>
      </c>
      <c r="F1186" s="14" t="s">
        <v>22</v>
      </c>
      <c r="G1186" s="15" t="s">
        <v>23</v>
      </c>
      <c r="H1186" s="15"/>
      <c r="I1186" s="15">
        <v>201408</v>
      </c>
      <c r="J1186" s="70">
        <v>-223.7</v>
      </c>
      <c r="K1186" s="44">
        <f t="shared" si="94"/>
        <v>41944</v>
      </c>
      <c r="L1186" s="45">
        <f t="shared" si="97"/>
        <v>7</v>
      </c>
      <c r="M1186" s="17">
        <v>1.4833299999999999E-3</v>
      </c>
      <c r="N1186" s="46">
        <f t="shared" si="95"/>
        <v>-2.3227464469999997</v>
      </c>
      <c r="O1186" s="16"/>
      <c r="P1186" s="63">
        <f t="shared" si="96"/>
        <v>-107.65562500000001</v>
      </c>
      <c r="Q1186" s="16"/>
      <c r="R1186" s="48">
        <f t="shared" si="93"/>
        <v>-4.0372257500000002</v>
      </c>
    </row>
    <row r="1187" spans="1:18">
      <c r="A1187" s="14" t="s">
        <v>17</v>
      </c>
      <c r="B1187" s="15" t="s">
        <v>235</v>
      </c>
      <c r="C1187" s="15" t="s">
        <v>236</v>
      </c>
      <c r="D1187" s="14" t="s">
        <v>237</v>
      </c>
      <c r="E1187" s="15" t="s">
        <v>62</v>
      </c>
      <c r="F1187" s="14" t="s">
        <v>22</v>
      </c>
      <c r="G1187" s="15" t="s">
        <v>23</v>
      </c>
      <c r="H1187" s="15"/>
      <c r="I1187" s="15">
        <v>201408</v>
      </c>
      <c r="J1187" s="70">
        <v>5.91</v>
      </c>
      <c r="K1187" s="44">
        <f t="shared" si="94"/>
        <v>41944</v>
      </c>
      <c r="L1187" s="45">
        <f t="shared" si="97"/>
        <v>7</v>
      </c>
      <c r="M1187" s="17">
        <v>1.4833299999999999E-3</v>
      </c>
      <c r="N1187" s="46">
        <f t="shared" si="95"/>
        <v>6.1365362100000001E-2</v>
      </c>
      <c r="O1187" s="16"/>
      <c r="P1187" s="63">
        <f t="shared" si="96"/>
        <v>2.8441875000000003</v>
      </c>
      <c r="Q1187" s="16"/>
      <c r="R1187" s="48">
        <f t="shared" si="93"/>
        <v>0.10666072500000001</v>
      </c>
    </row>
    <row r="1188" spans="1:18">
      <c r="A1188" s="14" t="s">
        <v>17</v>
      </c>
      <c r="B1188" s="15" t="s">
        <v>251</v>
      </c>
      <c r="C1188" s="15" t="s">
        <v>249</v>
      </c>
      <c r="D1188" s="14" t="s">
        <v>250</v>
      </c>
      <c r="E1188" s="15" t="s">
        <v>62</v>
      </c>
      <c r="F1188" s="14" t="s">
        <v>22</v>
      </c>
      <c r="G1188" s="15" t="s">
        <v>23</v>
      </c>
      <c r="H1188" s="15"/>
      <c r="I1188" s="15">
        <v>201408</v>
      </c>
      <c r="J1188" s="70">
        <v>-246.32</v>
      </c>
      <c r="K1188" s="44">
        <f t="shared" si="94"/>
        <v>41944</v>
      </c>
      <c r="L1188" s="45">
        <f t="shared" si="97"/>
        <v>7</v>
      </c>
      <c r="M1188" s="17">
        <v>1.4833299999999999E-3</v>
      </c>
      <c r="N1188" s="46">
        <f t="shared" si="95"/>
        <v>-2.5576169192</v>
      </c>
      <c r="O1188" s="16"/>
      <c r="P1188" s="63">
        <f t="shared" si="96"/>
        <v>-118.54150000000001</v>
      </c>
      <c r="Q1188" s="16"/>
      <c r="R1188" s="48">
        <f t="shared" si="93"/>
        <v>-4.4454602000000003</v>
      </c>
    </row>
    <row r="1189" spans="1:18">
      <c r="A1189" s="14" t="s">
        <v>17</v>
      </c>
      <c r="B1189" s="15" t="s">
        <v>248</v>
      </c>
      <c r="C1189" s="15" t="s">
        <v>249</v>
      </c>
      <c r="D1189" s="14" t="s">
        <v>250</v>
      </c>
      <c r="E1189" s="15" t="s">
        <v>62</v>
      </c>
      <c r="F1189" s="14" t="s">
        <v>22</v>
      </c>
      <c r="G1189" s="15" t="s">
        <v>23</v>
      </c>
      <c r="H1189" s="15"/>
      <c r="I1189" s="15">
        <v>201408</v>
      </c>
      <c r="J1189" s="70">
        <v>-0.27</v>
      </c>
      <c r="K1189" s="44">
        <f t="shared" si="94"/>
        <v>41944</v>
      </c>
      <c r="L1189" s="45">
        <f t="shared" si="97"/>
        <v>7</v>
      </c>
      <c r="M1189" s="17">
        <v>1.4833299999999999E-3</v>
      </c>
      <c r="N1189" s="46">
        <f t="shared" si="95"/>
        <v>-2.8034937E-3</v>
      </c>
      <c r="O1189" s="16"/>
      <c r="P1189" s="63">
        <f t="shared" si="96"/>
        <v>-0.12993750000000004</v>
      </c>
      <c r="Q1189" s="16"/>
      <c r="R1189" s="48">
        <f t="shared" si="93"/>
        <v>-4.8728250000000008E-3</v>
      </c>
    </row>
    <row r="1190" spans="1:18">
      <c r="A1190" s="14" t="s">
        <v>17</v>
      </c>
      <c r="B1190" s="15" t="s">
        <v>252</v>
      </c>
      <c r="C1190" s="15" t="s">
        <v>253</v>
      </c>
      <c r="D1190" s="14" t="s">
        <v>254</v>
      </c>
      <c r="E1190" s="15" t="s">
        <v>141</v>
      </c>
      <c r="F1190" s="14" t="s">
        <v>142</v>
      </c>
      <c r="G1190" s="15" t="s">
        <v>23</v>
      </c>
      <c r="H1190" s="15"/>
      <c r="I1190" s="15">
        <v>201408</v>
      </c>
      <c r="J1190" s="70">
        <v>-66.11</v>
      </c>
      <c r="K1190" s="44">
        <f t="shared" si="94"/>
        <v>41944</v>
      </c>
      <c r="L1190" s="45">
        <f t="shared" si="97"/>
        <v>7</v>
      </c>
      <c r="M1190" s="17">
        <v>1.4833299999999999E-3</v>
      </c>
      <c r="N1190" s="46">
        <f t="shared" si="95"/>
        <v>-0.68644062409999995</v>
      </c>
      <c r="O1190" s="16"/>
      <c r="P1190" s="63">
        <f t="shared" si="96"/>
        <v>-31.815437500000005</v>
      </c>
      <c r="Q1190" s="16"/>
      <c r="R1190" s="48">
        <f t="shared" si="93"/>
        <v>-1.1931202250000001</v>
      </c>
    </row>
    <row r="1191" spans="1:18">
      <c r="A1191" s="14" t="s">
        <v>17</v>
      </c>
      <c r="B1191" s="15" t="s">
        <v>255</v>
      </c>
      <c r="C1191" s="15" t="s">
        <v>256</v>
      </c>
      <c r="D1191" s="14" t="s">
        <v>257</v>
      </c>
      <c r="E1191" s="15" t="s">
        <v>258</v>
      </c>
      <c r="F1191" s="14" t="s">
        <v>259</v>
      </c>
      <c r="G1191" s="15" t="s">
        <v>23</v>
      </c>
      <c r="H1191" s="15"/>
      <c r="I1191" s="15">
        <v>201408</v>
      </c>
      <c r="J1191" s="70">
        <v>-81.38</v>
      </c>
      <c r="K1191" s="44">
        <f t="shared" si="94"/>
        <v>41944</v>
      </c>
      <c r="L1191" s="45">
        <f t="shared" si="97"/>
        <v>7</v>
      </c>
      <c r="M1191" s="17">
        <v>1.4833299999999999E-3</v>
      </c>
      <c r="N1191" s="46">
        <f t="shared" si="95"/>
        <v>-0.84499376779999991</v>
      </c>
      <c r="O1191" s="16"/>
      <c r="P1191" s="63">
        <f t="shared" si="96"/>
        <v>-39.164125000000006</v>
      </c>
      <c r="Q1191" s="16"/>
      <c r="R1191" s="48">
        <f t="shared" si="93"/>
        <v>-1.4687055499999999</v>
      </c>
    </row>
    <row r="1192" spans="1:18">
      <c r="A1192" s="14" t="s">
        <v>17</v>
      </c>
      <c r="B1192" s="15" t="s">
        <v>260</v>
      </c>
      <c r="C1192" s="15" t="s">
        <v>261</v>
      </c>
      <c r="D1192" s="14" t="s">
        <v>262</v>
      </c>
      <c r="E1192" s="15" t="s">
        <v>258</v>
      </c>
      <c r="F1192" s="14" t="s">
        <v>259</v>
      </c>
      <c r="G1192" s="15" t="s">
        <v>23</v>
      </c>
      <c r="H1192" s="15"/>
      <c r="I1192" s="15">
        <v>201408</v>
      </c>
      <c r="J1192" s="70">
        <v>-59.49</v>
      </c>
      <c r="K1192" s="44">
        <f t="shared" si="94"/>
        <v>41944</v>
      </c>
      <c r="L1192" s="45">
        <f t="shared" si="97"/>
        <v>7</v>
      </c>
      <c r="M1192" s="17">
        <v>1.4833299999999999E-3</v>
      </c>
      <c r="N1192" s="46">
        <f t="shared" si="95"/>
        <v>-0.61770311190000005</v>
      </c>
      <c r="O1192" s="16"/>
      <c r="P1192" s="63">
        <f t="shared" si="96"/>
        <v>-28.629562500000006</v>
      </c>
      <c r="Q1192" s="16"/>
      <c r="R1192" s="48">
        <f t="shared" si="93"/>
        <v>-1.0736457750000001</v>
      </c>
    </row>
    <row r="1193" spans="1:18">
      <c r="A1193" s="14" t="s">
        <v>17</v>
      </c>
      <c r="B1193" s="15" t="s">
        <v>263</v>
      </c>
      <c r="C1193" s="15" t="s">
        <v>264</v>
      </c>
      <c r="D1193" s="14" t="s">
        <v>265</v>
      </c>
      <c r="E1193" s="15" t="s">
        <v>62</v>
      </c>
      <c r="F1193" s="14" t="s">
        <v>22</v>
      </c>
      <c r="G1193" s="15" t="s">
        <v>23</v>
      </c>
      <c r="H1193" s="15"/>
      <c r="I1193" s="15">
        <v>201408</v>
      </c>
      <c r="J1193" s="70">
        <v>-131.19</v>
      </c>
      <c r="K1193" s="44">
        <f t="shared" si="94"/>
        <v>41944</v>
      </c>
      <c r="L1193" s="45">
        <f t="shared" si="97"/>
        <v>7</v>
      </c>
      <c r="M1193" s="17">
        <v>1.4833299999999999E-3</v>
      </c>
      <c r="N1193" s="46">
        <f t="shared" si="95"/>
        <v>-1.3621864389</v>
      </c>
      <c r="O1193" s="16"/>
      <c r="P1193" s="63">
        <f t="shared" si="96"/>
        <v>-63.135187500000008</v>
      </c>
      <c r="Q1193" s="16"/>
      <c r="R1193" s="48">
        <f t="shared" si="93"/>
        <v>-2.3676515250000003</v>
      </c>
    </row>
    <row r="1194" spans="1:18">
      <c r="A1194" s="14" t="s">
        <v>17</v>
      </c>
      <c r="B1194" s="15" t="s">
        <v>269</v>
      </c>
      <c r="C1194" s="15" t="s">
        <v>270</v>
      </c>
      <c r="D1194" s="14" t="s">
        <v>271</v>
      </c>
      <c r="E1194" s="15" t="s">
        <v>62</v>
      </c>
      <c r="F1194" s="14" t="s">
        <v>22</v>
      </c>
      <c r="G1194" s="15" t="s">
        <v>23</v>
      </c>
      <c r="H1194" s="15"/>
      <c r="I1194" s="15">
        <v>201408</v>
      </c>
      <c r="J1194" s="70">
        <v>37.49</v>
      </c>
      <c r="K1194" s="44">
        <f t="shared" si="94"/>
        <v>41944</v>
      </c>
      <c r="L1194" s="45">
        <f t="shared" si="97"/>
        <v>7</v>
      </c>
      <c r="M1194" s="17">
        <v>1.4833299999999999E-3</v>
      </c>
      <c r="N1194" s="46">
        <f t="shared" si="95"/>
        <v>0.38927029190000001</v>
      </c>
      <c r="O1194" s="16"/>
      <c r="P1194" s="63">
        <f t="shared" si="96"/>
        <v>18.042062500000004</v>
      </c>
      <c r="Q1194" s="16"/>
      <c r="R1194" s="48">
        <f t="shared" si="93"/>
        <v>0.67660077500000004</v>
      </c>
    </row>
    <row r="1195" spans="1:18">
      <c r="A1195" s="14" t="s">
        <v>17</v>
      </c>
      <c r="B1195" s="15" t="s">
        <v>272</v>
      </c>
      <c r="C1195" s="15" t="s">
        <v>273</v>
      </c>
      <c r="D1195" s="14" t="s">
        <v>274</v>
      </c>
      <c r="E1195" s="15" t="s">
        <v>36</v>
      </c>
      <c r="F1195" s="14" t="s">
        <v>22</v>
      </c>
      <c r="G1195" s="15" t="s">
        <v>23</v>
      </c>
      <c r="H1195" s="15"/>
      <c r="I1195" s="15">
        <v>201408</v>
      </c>
      <c r="J1195" s="70">
        <v>182.1</v>
      </c>
      <c r="K1195" s="44">
        <f t="shared" si="94"/>
        <v>41944</v>
      </c>
      <c r="L1195" s="45">
        <f t="shared" si="97"/>
        <v>7</v>
      </c>
      <c r="M1195" s="17">
        <v>1.4833299999999999E-3</v>
      </c>
      <c r="N1195" s="46">
        <f t="shared" si="95"/>
        <v>1.890800751</v>
      </c>
      <c r="O1195" s="16"/>
      <c r="P1195" s="63">
        <f t="shared" si="96"/>
        <v>87.635625000000005</v>
      </c>
      <c r="Q1195" s="16"/>
      <c r="R1195" s="48">
        <f t="shared" si="93"/>
        <v>3.2864497500000001</v>
      </c>
    </row>
    <row r="1196" spans="1:18">
      <c r="A1196" s="14" t="s">
        <v>17</v>
      </c>
      <c r="B1196" s="15" t="s">
        <v>287</v>
      </c>
      <c r="C1196" s="15" t="s">
        <v>288</v>
      </c>
      <c r="D1196" s="14" t="s">
        <v>289</v>
      </c>
      <c r="E1196" s="15" t="s">
        <v>21</v>
      </c>
      <c r="F1196" s="14" t="s">
        <v>22</v>
      </c>
      <c r="G1196" s="15" t="s">
        <v>23</v>
      </c>
      <c r="H1196" s="15"/>
      <c r="I1196" s="15">
        <v>201408</v>
      </c>
      <c r="J1196" s="70">
        <v>-88.6</v>
      </c>
      <c r="K1196" s="44">
        <f t="shared" si="94"/>
        <v>41944</v>
      </c>
      <c r="L1196" s="45">
        <f t="shared" si="97"/>
        <v>7</v>
      </c>
      <c r="M1196" s="17">
        <v>1.4833299999999999E-3</v>
      </c>
      <c r="N1196" s="46">
        <f t="shared" si="95"/>
        <v>-0.91996126599999994</v>
      </c>
      <c r="O1196" s="16"/>
      <c r="P1196" s="63">
        <f t="shared" si="96"/>
        <v>-42.638750000000002</v>
      </c>
      <c r="Q1196" s="16"/>
      <c r="R1196" s="48">
        <f t="shared" si="93"/>
        <v>-1.5990085000000001</v>
      </c>
    </row>
    <row r="1197" spans="1:18">
      <c r="A1197" s="14" t="s">
        <v>17</v>
      </c>
      <c r="B1197" s="15" t="s">
        <v>290</v>
      </c>
      <c r="C1197" s="15" t="s">
        <v>291</v>
      </c>
      <c r="D1197" s="14" t="s">
        <v>292</v>
      </c>
      <c r="E1197" s="15" t="s">
        <v>62</v>
      </c>
      <c r="F1197" s="14" t="s">
        <v>22</v>
      </c>
      <c r="G1197" s="15" t="s">
        <v>23</v>
      </c>
      <c r="H1197" s="15"/>
      <c r="I1197" s="15">
        <v>201408</v>
      </c>
      <c r="J1197" s="70">
        <v>-110.75</v>
      </c>
      <c r="K1197" s="44">
        <f t="shared" si="94"/>
        <v>41944</v>
      </c>
      <c r="L1197" s="45">
        <f t="shared" si="97"/>
        <v>7</v>
      </c>
      <c r="M1197" s="17">
        <v>1.4833299999999999E-3</v>
      </c>
      <c r="N1197" s="46">
        <f t="shared" si="95"/>
        <v>-1.1499515825</v>
      </c>
      <c r="O1197" s="16"/>
      <c r="P1197" s="63">
        <f t="shared" si="96"/>
        <v>-53.298437500000006</v>
      </c>
      <c r="Q1197" s="16"/>
      <c r="R1197" s="48">
        <f t="shared" si="93"/>
        <v>-1.9987606250000001</v>
      </c>
    </row>
    <row r="1198" spans="1:18">
      <c r="A1198" s="14" t="s">
        <v>17</v>
      </c>
      <c r="B1198" s="15" t="s">
        <v>293</v>
      </c>
      <c r="C1198" s="15" t="s">
        <v>294</v>
      </c>
      <c r="D1198" s="14" t="s">
        <v>295</v>
      </c>
      <c r="E1198" s="15" t="s">
        <v>296</v>
      </c>
      <c r="F1198" s="14" t="s">
        <v>28</v>
      </c>
      <c r="G1198" s="15" t="s">
        <v>23</v>
      </c>
      <c r="H1198" s="15"/>
      <c r="I1198" s="15">
        <v>201408</v>
      </c>
      <c r="J1198" s="70">
        <v>-20.89</v>
      </c>
      <c r="K1198" s="44">
        <f t="shared" si="94"/>
        <v>41944</v>
      </c>
      <c r="L1198" s="45">
        <f t="shared" si="97"/>
        <v>7</v>
      </c>
      <c r="M1198" s="17">
        <v>1.4833299999999999E-3</v>
      </c>
      <c r="N1198" s="46">
        <f t="shared" si="95"/>
        <v>-0.21690734589999999</v>
      </c>
      <c r="O1198" s="16"/>
      <c r="P1198" s="63">
        <f t="shared" si="96"/>
        <v>-10.053312500000002</v>
      </c>
      <c r="Q1198" s="16"/>
      <c r="R1198" s="48">
        <f t="shared" si="93"/>
        <v>-0.37701227500000001</v>
      </c>
    </row>
    <row r="1199" spans="1:18">
      <c r="A1199" s="14" t="s">
        <v>17</v>
      </c>
      <c r="B1199" s="15" t="s">
        <v>297</v>
      </c>
      <c r="C1199" s="15" t="s">
        <v>298</v>
      </c>
      <c r="D1199" s="14" t="s">
        <v>299</v>
      </c>
      <c r="E1199" s="15" t="s">
        <v>21</v>
      </c>
      <c r="F1199" s="14" t="s">
        <v>22</v>
      </c>
      <c r="G1199" s="15" t="s">
        <v>23</v>
      </c>
      <c r="H1199" s="15"/>
      <c r="I1199" s="15">
        <v>201408</v>
      </c>
      <c r="J1199" s="70">
        <v>-347.5</v>
      </c>
      <c r="K1199" s="44">
        <f t="shared" si="94"/>
        <v>41944</v>
      </c>
      <c r="L1199" s="45">
        <f t="shared" si="97"/>
        <v>7</v>
      </c>
      <c r="M1199" s="17">
        <v>1.4833299999999999E-3</v>
      </c>
      <c r="N1199" s="46">
        <f t="shared" si="95"/>
        <v>-3.608200225</v>
      </c>
      <c r="O1199" s="16"/>
      <c r="P1199" s="63">
        <f t="shared" si="96"/>
        <v>-167.23437500000003</v>
      </c>
      <c r="Q1199" s="16"/>
      <c r="R1199" s="48">
        <f t="shared" si="93"/>
        <v>-6.2715062500000007</v>
      </c>
    </row>
    <row r="1200" spans="1:18">
      <c r="A1200" s="14" t="s">
        <v>17</v>
      </c>
      <c r="B1200" s="15" t="s">
        <v>300</v>
      </c>
      <c r="C1200" s="15" t="s">
        <v>301</v>
      </c>
      <c r="D1200" s="14" t="s">
        <v>302</v>
      </c>
      <c r="E1200" s="15" t="s">
        <v>141</v>
      </c>
      <c r="F1200" s="14" t="s">
        <v>142</v>
      </c>
      <c r="G1200" s="15" t="s">
        <v>23</v>
      </c>
      <c r="H1200" s="15"/>
      <c r="I1200" s="15">
        <v>201408</v>
      </c>
      <c r="J1200" s="70">
        <v>-229.43</v>
      </c>
      <c r="K1200" s="44">
        <f t="shared" si="94"/>
        <v>41944</v>
      </c>
      <c r="L1200" s="45">
        <f t="shared" si="97"/>
        <v>7</v>
      </c>
      <c r="M1200" s="17">
        <v>1.4833299999999999E-3</v>
      </c>
      <c r="N1200" s="46">
        <f t="shared" si="95"/>
        <v>-2.3822428133</v>
      </c>
      <c r="O1200" s="16"/>
      <c r="P1200" s="63">
        <f t="shared" si="96"/>
        <v>-110.41318750000002</v>
      </c>
      <c r="Q1200" s="16"/>
      <c r="R1200" s="48">
        <f t="shared" si="93"/>
        <v>-4.1406379250000001</v>
      </c>
    </row>
    <row r="1201" spans="1:18">
      <c r="A1201" s="14" t="s">
        <v>17</v>
      </c>
      <c r="B1201" s="15" t="s">
        <v>312</v>
      </c>
      <c r="C1201" s="15" t="s">
        <v>313</v>
      </c>
      <c r="D1201" s="14" t="s">
        <v>314</v>
      </c>
      <c r="E1201" s="15" t="s">
        <v>176</v>
      </c>
      <c r="F1201" s="14" t="s">
        <v>28</v>
      </c>
      <c r="G1201" s="15" t="s">
        <v>23</v>
      </c>
      <c r="H1201" s="15"/>
      <c r="I1201" s="15">
        <v>201408</v>
      </c>
      <c r="J1201" s="70">
        <v>16.05</v>
      </c>
      <c r="K1201" s="44">
        <f t="shared" si="94"/>
        <v>41944</v>
      </c>
      <c r="L1201" s="45">
        <f t="shared" si="97"/>
        <v>7</v>
      </c>
      <c r="M1201" s="17">
        <v>1.4833299999999999E-3</v>
      </c>
      <c r="N1201" s="46">
        <f t="shared" si="95"/>
        <v>0.1666521255</v>
      </c>
      <c r="O1201" s="16"/>
      <c r="P1201" s="63">
        <f t="shared" si="96"/>
        <v>7.7240625000000014</v>
      </c>
      <c r="Q1201" s="16"/>
      <c r="R1201" s="48">
        <f t="shared" si="93"/>
        <v>0.28966237500000003</v>
      </c>
    </row>
    <row r="1202" spans="1:18">
      <c r="A1202" s="14" t="s">
        <v>17</v>
      </c>
      <c r="B1202" s="15" t="s">
        <v>315</v>
      </c>
      <c r="C1202" s="15" t="s">
        <v>316</v>
      </c>
      <c r="D1202" s="14" t="s">
        <v>317</v>
      </c>
      <c r="E1202" s="15" t="s">
        <v>141</v>
      </c>
      <c r="F1202" s="14" t="s">
        <v>142</v>
      </c>
      <c r="G1202" s="15" t="s">
        <v>23</v>
      </c>
      <c r="H1202" s="15"/>
      <c r="I1202" s="15">
        <v>201408</v>
      </c>
      <c r="J1202" s="70">
        <v>-113.17</v>
      </c>
      <c r="K1202" s="44">
        <f t="shared" si="94"/>
        <v>41944</v>
      </c>
      <c r="L1202" s="45">
        <f t="shared" si="97"/>
        <v>7</v>
      </c>
      <c r="M1202" s="17">
        <v>1.4833299999999999E-3</v>
      </c>
      <c r="N1202" s="46">
        <f t="shared" si="95"/>
        <v>-1.1750791926999999</v>
      </c>
      <c r="O1202" s="16"/>
      <c r="P1202" s="63">
        <f t="shared" si="96"/>
        <v>-54.463062500000007</v>
      </c>
      <c r="Q1202" s="16"/>
      <c r="R1202" s="48">
        <f t="shared" si="93"/>
        <v>-2.0424355750000003</v>
      </c>
    </row>
    <row r="1203" spans="1:18">
      <c r="A1203" s="14" t="s">
        <v>17</v>
      </c>
      <c r="B1203" s="15" t="s">
        <v>318</v>
      </c>
      <c r="C1203" s="15" t="s">
        <v>319</v>
      </c>
      <c r="D1203" s="14" t="s">
        <v>320</v>
      </c>
      <c r="E1203" s="15" t="s">
        <v>141</v>
      </c>
      <c r="F1203" s="14" t="s">
        <v>142</v>
      </c>
      <c r="G1203" s="15" t="s">
        <v>23</v>
      </c>
      <c r="H1203" s="15"/>
      <c r="I1203" s="15">
        <v>201408</v>
      </c>
      <c r="J1203" s="70">
        <v>-134.4</v>
      </c>
      <c r="K1203" s="44">
        <f t="shared" si="94"/>
        <v>41944</v>
      </c>
      <c r="L1203" s="45">
        <f t="shared" si="97"/>
        <v>7</v>
      </c>
      <c r="M1203" s="17">
        <v>1.4833299999999999E-3</v>
      </c>
      <c r="N1203" s="46">
        <f t="shared" si="95"/>
        <v>-1.395516864</v>
      </c>
      <c r="O1203" s="16"/>
      <c r="P1203" s="63">
        <f t="shared" si="96"/>
        <v>-64.680000000000007</v>
      </c>
      <c r="Q1203" s="16"/>
      <c r="R1203" s="48">
        <f t="shared" si="93"/>
        <v>-2.4255840000000002</v>
      </c>
    </row>
    <row r="1204" spans="1:18">
      <c r="A1204" s="14" t="s">
        <v>17</v>
      </c>
      <c r="B1204" s="15" t="s">
        <v>329</v>
      </c>
      <c r="C1204" s="15" t="s">
        <v>330</v>
      </c>
      <c r="D1204" s="14" t="s">
        <v>331</v>
      </c>
      <c r="E1204" s="15" t="s">
        <v>108</v>
      </c>
      <c r="F1204" s="14" t="s">
        <v>28</v>
      </c>
      <c r="G1204" s="15" t="s">
        <v>23</v>
      </c>
      <c r="H1204" s="15"/>
      <c r="I1204" s="15">
        <v>201408</v>
      </c>
      <c r="J1204" s="70">
        <v>69.849999999999994</v>
      </c>
      <c r="K1204" s="44">
        <f t="shared" si="94"/>
        <v>41944</v>
      </c>
      <c r="L1204" s="45">
        <f t="shared" si="97"/>
        <v>7</v>
      </c>
      <c r="M1204" s="17">
        <v>1.4833299999999999E-3</v>
      </c>
      <c r="N1204" s="46">
        <f t="shared" si="95"/>
        <v>0.72527420349999994</v>
      </c>
      <c r="O1204" s="16"/>
      <c r="P1204" s="63">
        <f t="shared" si="96"/>
        <v>33.615312500000002</v>
      </c>
      <c r="Q1204" s="16"/>
      <c r="R1204" s="48">
        <f t="shared" si="93"/>
        <v>1.2606178749999999</v>
      </c>
    </row>
    <row r="1205" spans="1:18">
      <c r="A1205" s="14" t="s">
        <v>17</v>
      </c>
      <c r="B1205" s="15" t="s">
        <v>335</v>
      </c>
      <c r="C1205" s="15" t="s">
        <v>336</v>
      </c>
      <c r="D1205" s="14" t="s">
        <v>337</v>
      </c>
      <c r="E1205" s="15" t="s">
        <v>62</v>
      </c>
      <c r="F1205" s="14" t="s">
        <v>22</v>
      </c>
      <c r="G1205" s="15" t="s">
        <v>23</v>
      </c>
      <c r="H1205" s="15"/>
      <c r="I1205" s="15">
        <v>201408</v>
      </c>
      <c r="J1205" s="70">
        <v>-753.85</v>
      </c>
      <c r="K1205" s="44">
        <f t="shared" si="94"/>
        <v>41944</v>
      </c>
      <c r="L1205" s="45">
        <f t="shared" si="97"/>
        <v>7</v>
      </c>
      <c r="M1205" s="17">
        <v>1.4833299999999999E-3</v>
      </c>
      <c r="N1205" s="46">
        <f t="shared" si="95"/>
        <v>-7.8274582434999997</v>
      </c>
      <c r="O1205" s="16"/>
      <c r="P1205" s="63">
        <f t="shared" si="96"/>
        <v>-362.79031250000008</v>
      </c>
      <c r="Q1205" s="16"/>
      <c r="R1205" s="48">
        <f t="shared" si="93"/>
        <v>-13.605107875000002</v>
      </c>
    </row>
    <row r="1206" spans="1:18">
      <c r="A1206" s="14" t="s">
        <v>17</v>
      </c>
      <c r="B1206" s="15" t="s">
        <v>338</v>
      </c>
      <c r="C1206" s="15" t="s">
        <v>339</v>
      </c>
      <c r="D1206" s="14" t="s">
        <v>340</v>
      </c>
      <c r="E1206" s="15" t="s">
        <v>62</v>
      </c>
      <c r="F1206" s="14" t="s">
        <v>22</v>
      </c>
      <c r="G1206" s="15" t="s">
        <v>23</v>
      </c>
      <c r="H1206" s="15"/>
      <c r="I1206" s="15">
        <v>201408</v>
      </c>
      <c r="J1206" s="70">
        <v>-584.69000000000005</v>
      </c>
      <c r="K1206" s="44">
        <f t="shared" si="94"/>
        <v>41944</v>
      </c>
      <c r="L1206" s="45">
        <f t="shared" si="97"/>
        <v>7</v>
      </c>
      <c r="M1206" s="17">
        <v>1.4833299999999999E-3</v>
      </c>
      <c r="N1206" s="46">
        <f t="shared" si="95"/>
        <v>-6.0710175239000002</v>
      </c>
      <c r="O1206" s="16"/>
      <c r="P1206" s="63">
        <f t="shared" si="96"/>
        <v>-281.38206250000007</v>
      </c>
      <c r="Q1206" s="16"/>
      <c r="R1206" s="48">
        <f t="shared" si="93"/>
        <v>-10.552192775000002</v>
      </c>
    </row>
    <row r="1207" spans="1:18">
      <c r="A1207" s="14" t="s">
        <v>17</v>
      </c>
      <c r="B1207" s="15" t="s">
        <v>350</v>
      </c>
      <c r="C1207" s="15" t="s">
        <v>351</v>
      </c>
      <c r="D1207" s="14" t="s">
        <v>352</v>
      </c>
      <c r="E1207" s="15" t="s">
        <v>108</v>
      </c>
      <c r="F1207" s="14" t="s">
        <v>28</v>
      </c>
      <c r="G1207" s="15" t="s">
        <v>23</v>
      </c>
      <c r="H1207" s="15"/>
      <c r="I1207" s="15">
        <v>201408</v>
      </c>
      <c r="J1207" s="70">
        <v>40.1</v>
      </c>
      <c r="K1207" s="44">
        <f t="shared" si="94"/>
        <v>41944</v>
      </c>
      <c r="L1207" s="45">
        <f t="shared" si="97"/>
        <v>7</v>
      </c>
      <c r="M1207" s="17">
        <v>1.4833299999999999E-3</v>
      </c>
      <c r="N1207" s="46">
        <f t="shared" si="95"/>
        <v>0.41637073099999999</v>
      </c>
      <c r="O1207" s="16"/>
      <c r="P1207" s="63">
        <f t="shared" si="96"/>
        <v>19.298125000000002</v>
      </c>
      <c r="Q1207" s="16"/>
      <c r="R1207" s="48">
        <f t="shared" si="93"/>
        <v>0.72370475000000012</v>
      </c>
    </row>
    <row r="1208" spans="1:18">
      <c r="A1208" s="14" t="s">
        <v>17</v>
      </c>
      <c r="B1208" s="15" t="s">
        <v>353</v>
      </c>
      <c r="C1208" s="15" t="s">
        <v>354</v>
      </c>
      <c r="D1208" s="14" t="s">
        <v>355</v>
      </c>
      <c r="E1208" s="15" t="s">
        <v>62</v>
      </c>
      <c r="F1208" s="14" t="s">
        <v>22</v>
      </c>
      <c r="G1208" s="15" t="s">
        <v>23</v>
      </c>
      <c r="H1208" s="15"/>
      <c r="I1208" s="15">
        <v>201408</v>
      </c>
      <c r="J1208" s="70">
        <v>-457.54</v>
      </c>
      <c r="K1208" s="44">
        <f t="shared" si="94"/>
        <v>41944</v>
      </c>
      <c r="L1208" s="45">
        <f t="shared" si="97"/>
        <v>7</v>
      </c>
      <c r="M1208" s="17">
        <v>1.4833299999999999E-3</v>
      </c>
      <c r="N1208" s="46">
        <f t="shared" si="95"/>
        <v>-4.7507796573999999</v>
      </c>
      <c r="O1208" s="16"/>
      <c r="P1208" s="63">
        <f t="shared" si="96"/>
        <v>-220.19112500000003</v>
      </c>
      <c r="Q1208" s="16"/>
      <c r="R1208" s="48">
        <f t="shared" si="93"/>
        <v>-8.2574531500000017</v>
      </c>
    </row>
    <row r="1209" spans="1:18">
      <c r="A1209" s="14" t="s">
        <v>17</v>
      </c>
      <c r="B1209" s="15" t="s">
        <v>363</v>
      </c>
      <c r="C1209" s="15" t="s">
        <v>364</v>
      </c>
      <c r="D1209" s="14" t="s">
        <v>365</v>
      </c>
      <c r="E1209" s="15" t="s">
        <v>21</v>
      </c>
      <c r="F1209" s="14" t="s">
        <v>22</v>
      </c>
      <c r="G1209" s="15" t="s">
        <v>23</v>
      </c>
      <c r="H1209" s="15"/>
      <c r="I1209" s="15">
        <v>201408</v>
      </c>
      <c r="J1209" s="70">
        <v>65.849999999999994</v>
      </c>
      <c r="K1209" s="44">
        <f t="shared" si="94"/>
        <v>41944</v>
      </c>
      <c r="L1209" s="45">
        <f t="shared" si="97"/>
        <v>7</v>
      </c>
      <c r="M1209" s="17">
        <v>1.4833299999999999E-3</v>
      </c>
      <c r="N1209" s="46">
        <f t="shared" si="95"/>
        <v>0.68374096349999991</v>
      </c>
      <c r="O1209" s="16"/>
      <c r="P1209" s="63">
        <f t="shared" si="96"/>
        <v>31.690312500000001</v>
      </c>
      <c r="Q1209" s="16"/>
      <c r="R1209" s="48">
        <f t="shared" si="93"/>
        <v>1.1884278749999999</v>
      </c>
    </row>
    <row r="1210" spans="1:18">
      <c r="A1210" s="14" t="s">
        <v>17</v>
      </c>
      <c r="B1210" s="15" t="s">
        <v>395</v>
      </c>
      <c r="C1210" s="15" t="s">
        <v>396</v>
      </c>
      <c r="D1210" s="14" t="s">
        <v>397</v>
      </c>
      <c r="E1210" s="15" t="s">
        <v>49</v>
      </c>
      <c r="F1210" s="14" t="s">
        <v>22</v>
      </c>
      <c r="G1210" s="15" t="s">
        <v>23</v>
      </c>
      <c r="H1210" s="15"/>
      <c r="I1210" s="15">
        <v>201408</v>
      </c>
      <c r="J1210" s="70">
        <v>-3.25</v>
      </c>
      <c r="K1210" s="44">
        <f t="shared" si="94"/>
        <v>41944</v>
      </c>
      <c r="L1210" s="45">
        <f t="shared" si="97"/>
        <v>7</v>
      </c>
      <c r="M1210" s="17">
        <v>1.4833299999999999E-3</v>
      </c>
      <c r="N1210" s="46">
        <f t="shared" si="95"/>
        <v>-3.3745757500000001E-2</v>
      </c>
      <c r="O1210" s="16"/>
      <c r="P1210" s="63">
        <f t="shared" si="96"/>
        <v>-1.5640625000000001</v>
      </c>
      <c r="Q1210" s="16"/>
      <c r="R1210" s="48">
        <f t="shared" si="93"/>
        <v>-5.8654375000000002E-2</v>
      </c>
    </row>
    <row r="1211" spans="1:18">
      <c r="A1211" s="14" t="s">
        <v>17</v>
      </c>
      <c r="B1211" s="15" t="s">
        <v>404</v>
      </c>
      <c r="C1211" s="15" t="s">
        <v>405</v>
      </c>
      <c r="D1211" s="14" t="s">
        <v>406</v>
      </c>
      <c r="E1211" s="15" t="s">
        <v>58</v>
      </c>
      <c r="F1211" s="14" t="s">
        <v>22</v>
      </c>
      <c r="G1211" s="15" t="s">
        <v>23</v>
      </c>
      <c r="H1211" s="15"/>
      <c r="I1211" s="15">
        <v>201408</v>
      </c>
      <c r="J1211" s="70">
        <v>-103.57</v>
      </c>
      <c r="K1211" s="44">
        <f t="shared" si="94"/>
        <v>41944</v>
      </c>
      <c r="L1211" s="45">
        <f t="shared" si="97"/>
        <v>7</v>
      </c>
      <c r="M1211" s="17">
        <v>1.4833299999999999E-3</v>
      </c>
      <c r="N1211" s="46">
        <f t="shared" si="95"/>
        <v>-1.0753994166999998</v>
      </c>
      <c r="O1211" s="16"/>
      <c r="P1211" s="63">
        <f t="shared" si="96"/>
        <v>-49.843062500000002</v>
      </c>
      <c r="Q1211" s="16"/>
      <c r="R1211" s="48">
        <f t="shared" si="93"/>
        <v>-1.869179575</v>
      </c>
    </row>
    <row r="1212" spans="1:18">
      <c r="A1212" s="14" t="s">
        <v>17</v>
      </c>
      <c r="B1212" s="15" t="s">
        <v>428</v>
      </c>
      <c r="C1212" s="15" t="s">
        <v>429</v>
      </c>
      <c r="D1212" s="14" t="s">
        <v>430</v>
      </c>
      <c r="E1212" s="15" t="s">
        <v>32</v>
      </c>
      <c r="F1212" s="14" t="s">
        <v>22</v>
      </c>
      <c r="G1212" s="15" t="s">
        <v>23</v>
      </c>
      <c r="H1212" s="15"/>
      <c r="I1212" s="15">
        <v>201408</v>
      </c>
      <c r="J1212" s="70">
        <v>47.26</v>
      </c>
      <c r="K1212" s="44">
        <f t="shared" si="94"/>
        <v>41944</v>
      </c>
      <c r="L1212" s="45">
        <f t="shared" si="97"/>
        <v>7</v>
      </c>
      <c r="M1212" s="17">
        <v>1.4833299999999999E-3</v>
      </c>
      <c r="N1212" s="46">
        <f t="shared" si="95"/>
        <v>0.49071523059999994</v>
      </c>
      <c r="O1212" s="16"/>
      <c r="P1212" s="63">
        <f t="shared" si="96"/>
        <v>22.743875000000003</v>
      </c>
      <c r="Q1212" s="16"/>
      <c r="R1212" s="48">
        <f t="shared" si="93"/>
        <v>0.85292485000000007</v>
      </c>
    </row>
    <row r="1213" spans="1:18">
      <c r="A1213" s="14" t="s">
        <v>17</v>
      </c>
      <c r="B1213" s="15" t="s">
        <v>431</v>
      </c>
      <c r="C1213" s="15" t="s">
        <v>432</v>
      </c>
      <c r="D1213" s="14" t="s">
        <v>433</v>
      </c>
      <c r="E1213" s="15" t="s">
        <v>258</v>
      </c>
      <c r="F1213" s="14" t="s">
        <v>259</v>
      </c>
      <c r="G1213" s="15" t="s">
        <v>23</v>
      </c>
      <c r="H1213" s="15"/>
      <c r="I1213" s="15">
        <v>201408</v>
      </c>
      <c r="J1213" s="70">
        <v>-56.89</v>
      </c>
      <c r="K1213" s="44">
        <f t="shared" si="94"/>
        <v>41944</v>
      </c>
      <c r="L1213" s="45">
        <f t="shared" si="97"/>
        <v>7</v>
      </c>
      <c r="M1213" s="17">
        <v>1.4833299999999999E-3</v>
      </c>
      <c r="N1213" s="46">
        <f t="shared" si="95"/>
        <v>-0.59070650589999996</v>
      </c>
      <c r="O1213" s="16"/>
      <c r="P1213" s="63">
        <f t="shared" si="96"/>
        <v>-27.378312500000003</v>
      </c>
      <c r="Q1213" s="16"/>
      <c r="R1213" s="48">
        <f t="shared" si="93"/>
        <v>-1.026722275</v>
      </c>
    </row>
    <row r="1214" spans="1:18">
      <c r="A1214" s="14" t="s">
        <v>17</v>
      </c>
      <c r="B1214" s="15" t="s">
        <v>437</v>
      </c>
      <c r="C1214" s="15" t="s">
        <v>438</v>
      </c>
      <c r="D1214" s="14" t="s">
        <v>439</v>
      </c>
      <c r="E1214" s="15" t="s">
        <v>440</v>
      </c>
      <c r="F1214" s="14" t="s">
        <v>28</v>
      </c>
      <c r="G1214" s="15" t="s">
        <v>23</v>
      </c>
      <c r="H1214" s="15"/>
      <c r="I1214" s="15">
        <v>201408</v>
      </c>
      <c r="J1214" s="70">
        <v>29.43</v>
      </c>
      <c r="K1214" s="44">
        <f t="shared" si="94"/>
        <v>41944</v>
      </c>
      <c r="L1214" s="45">
        <f t="shared" si="97"/>
        <v>7</v>
      </c>
      <c r="M1214" s="17">
        <v>1.4833299999999999E-3</v>
      </c>
      <c r="N1214" s="46">
        <f t="shared" si="95"/>
        <v>0.30558081329999998</v>
      </c>
      <c r="O1214" s="16"/>
      <c r="P1214" s="63">
        <f t="shared" si="96"/>
        <v>14.163187500000001</v>
      </c>
      <c r="Q1214" s="16"/>
      <c r="R1214" s="48">
        <f t="shared" si="93"/>
        <v>0.53113792500000001</v>
      </c>
    </row>
    <row r="1215" spans="1:18">
      <c r="A1215" s="14" t="s">
        <v>17</v>
      </c>
      <c r="B1215" s="15" t="s">
        <v>444</v>
      </c>
      <c r="C1215" s="15" t="s">
        <v>445</v>
      </c>
      <c r="D1215" s="14" t="s">
        <v>446</v>
      </c>
      <c r="E1215" s="15" t="s">
        <v>62</v>
      </c>
      <c r="F1215" s="14" t="s">
        <v>22</v>
      </c>
      <c r="G1215" s="15" t="s">
        <v>23</v>
      </c>
      <c r="H1215" s="15"/>
      <c r="I1215" s="15">
        <v>201408</v>
      </c>
      <c r="J1215" s="70">
        <v>-35079.660000000003</v>
      </c>
      <c r="K1215" s="44">
        <f t="shared" si="94"/>
        <v>41944</v>
      </c>
      <c r="L1215" s="45">
        <f t="shared" si="97"/>
        <v>7</v>
      </c>
      <c r="M1215" s="17">
        <v>1.4833299999999999E-3</v>
      </c>
      <c r="N1215" s="46">
        <f t="shared" si="95"/>
        <v>-364.24298447460001</v>
      </c>
      <c r="O1215" s="16"/>
      <c r="P1215" s="63">
        <f t="shared" si="96"/>
        <v>-16882.086375000003</v>
      </c>
      <c r="Q1215" s="16"/>
      <c r="R1215" s="48">
        <f t="shared" si="93"/>
        <v>-633.10016385000006</v>
      </c>
    </row>
    <row r="1216" spans="1:18">
      <c r="A1216" s="14" t="s">
        <v>17</v>
      </c>
      <c r="B1216" s="15" t="s">
        <v>447</v>
      </c>
      <c r="C1216" s="15" t="s">
        <v>448</v>
      </c>
      <c r="D1216" s="14" t="s">
        <v>449</v>
      </c>
      <c r="E1216" s="15" t="s">
        <v>296</v>
      </c>
      <c r="F1216" s="14" t="s">
        <v>28</v>
      </c>
      <c r="G1216" s="15" t="s">
        <v>23</v>
      </c>
      <c r="H1216" s="15"/>
      <c r="I1216" s="15">
        <v>201408</v>
      </c>
      <c r="J1216" s="70">
        <v>-194.99</v>
      </c>
      <c r="K1216" s="44">
        <f t="shared" si="94"/>
        <v>41944</v>
      </c>
      <c r="L1216" s="45">
        <f t="shared" si="97"/>
        <v>7</v>
      </c>
      <c r="M1216" s="17">
        <v>1.4833299999999999E-3</v>
      </c>
      <c r="N1216" s="46">
        <f t="shared" si="95"/>
        <v>-2.0246416168999999</v>
      </c>
      <c r="O1216" s="16"/>
      <c r="P1216" s="63">
        <f t="shared" si="96"/>
        <v>-93.838937500000014</v>
      </c>
      <c r="Q1216" s="16"/>
      <c r="R1216" s="48">
        <f t="shared" si="93"/>
        <v>-3.5190820250000003</v>
      </c>
    </row>
    <row r="1217" spans="1:18">
      <c r="A1217" s="14" t="s">
        <v>17</v>
      </c>
      <c r="B1217" s="15" t="s">
        <v>450</v>
      </c>
      <c r="C1217" s="15" t="s">
        <v>451</v>
      </c>
      <c r="D1217" s="14" t="s">
        <v>452</v>
      </c>
      <c r="E1217" s="15" t="s">
        <v>45</v>
      </c>
      <c r="F1217" s="14" t="s">
        <v>22</v>
      </c>
      <c r="G1217" s="15" t="s">
        <v>23</v>
      </c>
      <c r="H1217" s="15"/>
      <c r="I1217" s="15">
        <v>201408</v>
      </c>
      <c r="J1217" s="70">
        <v>101.68</v>
      </c>
      <c r="K1217" s="44">
        <f t="shared" si="94"/>
        <v>41944</v>
      </c>
      <c r="L1217" s="45">
        <f t="shared" si="97"/>
        <v>7</v>
      </c>
      <c r="M1217" s="17">
        <v>1.4833299999999999E-3</v>
      </c>
      <c r="N1217" s="46">
        <f t="shared" si="95"/>
        <v>1.0557749608</v>
      </c>
      <c r="O1217" s="16"/>
      <c r="P1217" s="63">
        <f t="shared" si="96"/>
        <v>48.933500000000009</v>
      </c>
      <c r="Q1217" s="16"/>
      <c r="R1217" s="48">
        <f t="shared" si="93"/>
        <v>1.8350698000000003</v>
      </c>
    </row>
    <row r="1218" spans="1:18">
      <c r="A1218" s="14" t="s">
        <v>17</v>
      </c>
      <c r="B1218" s="15" t="s">
        <v>456</v>
      </c>
      <c r="C1218" s="15" t="s">
        <v>457</v>
      </c>
      <c r="D1218" s="14" t="s">
        <v>458</v>
      </c>
      <c r="E1218" s="15" t="s">
        <v>21</v>
      </c>
      <c r="F1218" s="14" t="s">
        <v>22</v>
      </c>
      <c r="G1218" s="15" t="s">
        <v>23</v>
      </c>
      <c r="H1218" s="15"/>
      <c r="I1218" s="15">
        <v>201408</v>
      </c>
      <c r="J1218" s="70">
        <v>-235.01</v>
      </c>
      <c r="K1218" s="44">
        <f t="shared" si="94"/>
        <v>41944</v>
      </c>
      <c r="L1218" s="45">
        <f t="shared" si="97"/>
        <v>7</v>
      </c>
      <c r="M1218" s="17">
        <v>1.4833299999999999E-3</v>
      </c>
      <c r="N1218" s="46">
        <f t="shared" si="95"/>
        <v>-2.4401816831000001</v>
      </c>
      <c r="O1218" s="16"/>
      <c r="P1218" s="63">
        <f t="shared" si="96"/>
        <v>-113.09856250000001</v>
      </c>
      <c r="Q1218" s="16"/>
      <c r="R1218" s="48">
        <f t="shared" si="93"/>
        <v>-4.2413429750000002</v>
      </c>
    </row>
    <row r="1219" spans="1:18">
      <c r="A1219" s="14" t="s">
        <v>17</v>
      </c>
      <c r="B1219" s="15" t="s">
        <v>471</v>
      </c>
      <c r="C1219" s="15" t="s">
        <v>472</v>
      </c>
      <c r="D1219" s="14" t="s">
        <v>473</v>
      </c>
      <c r="E1219" s="15" t="s">
        <v>27</v>
      </c>
      <c r="F1219" s="14" t="s">
        <v>28</v>
      </c>
      <c r="G1219" s="15" t="s">
        <v>23</v>
      </c>
      <c r="H1219" s="15"/>
      <c r="I1219" s="15">
        <v>201408</v>
      </c>
      <c r="J1219" s="70">
        <v>4.3099999999999996</v>
      </c>
      <c r="K1219" s="44">
        <f t="shared" si="94"/>
        <v>41944</v>
      </c>
      <c r="L1219" s="45">
        <f t="shared" si="97"/>
        <v>7</v>
      </c>
      <c r="M1219" s="17">
        <v>1.4833299999999999E-3</v>
      </c>
      <c r="N1219" s="46">
        <f t="shared" si="95"/>
        <v>4.4752066099999994E-2</v>
      </c>
      <c r="O1219" s="16"/>
      <c r="P1219" s="63">
        <f t="shared" si="96"/>
        <v>2.0741875000000003</v>
      </c>
      <c r="Q1219" s="16"/>
      <c r="R1219" s="48">
        <f t="shared" si="93"/>
        <v>7.7784724999999999E-2</v>
      </c>
    </row>
    <row r="1220" spans="1:18">
      <c r="A1220" s="14" t="s">
        <v>17</v>
      </c>
      <c r="B1220" s="15" t="s">
        <v>477</v>
      </c>
      <c r="C1220" s="15" t="s">
        <v>478</v>
      </c>
      <c r="D1220" s="14" t="s">
        <v>479</v>
      </c>
      <c r="E1220" s="15" t="s">
        <v>440</v>
      </c>
      <c r="F1220" s="14" t="s">
        <v>28</v>
      </c>
      <c r="G1220" s="15" t="s">
        <v>23</v>
      </c>
      <c r="H1220" s="15"/>
      <c r="I1220" s="15">
        <v>201408</v>
      </c>
      <c r="J1220" s="70">
        <v>14.07</v>
      </c>
      <c r="K1220" s="44">
        <f t="shared" si="94"/>
        <v>41944</v>
      </c>
      <c r="L1220" s="45">
        <f t="shared" si="97"/>
        <v>7</v>
      </c>
      <c r="M1220" s="17">
        <v>1.4833299999999999E-3</v>
      </c>
      <c r="N1220" s="46">
        <f t="shared" si="95"/>
        <v>0.1460931717</v>
      </c>
      <c r="O1220" s="16"/>
      <c r="P1220" s="63">
        <f t="shared" si="96"/>
        <v>6.7711875000000008</v>
      </c>
      <c r="Q1220" s="16"/>
      <c r="R1220" s="48">
        <f t="shared" si="93"/>
        <v>0.25392832500000001</v>
      </c>
    </row>
    <row r="1221" spans="1:18">
      <c r="A1221" s="14" t="s">
        <v>17</v>
      </c>
      <c r="B1221" s="15" t="s">
        <v>480</v>
      </c>
      <c r="C1221" s="15" t="s">
        <v>481</v>
      </c>
      <c r="D1221" s="14" t="s">
        <v>482</v>
      </c>
      <c r="E1221" s="15" t="s">
        <v>141</v>
      </c>
      <c r="F1221" s="14" t="s">
        <v>142</v>
      </c>
      <c r="G1221" s="15" t="s">
        <v>23</v>
      </c>
      <c r="H1221" s="15"/>
      <c r="I1221" s="15">
        <v>201408</v>
      </c>
      <c r="J1221" s="70">
        <v>-155.47</v>
      </c>
      <c r="K1221" s="44">
        <f t="shared" si="94"/>
        <v>41944</v>
      </c>
      <c r="L1221" s="45">
        <f t="shared" si="97"/>
        <v>7</v>
      </c>
      <c r="M1221" s="17">
        <v>1.4833299999999999E-3</v>
      </c>
      <c r="N1221" s="46">
        <f t="shared" si="95"/>
        <v>-1.6142932056999999</v>
      </c>
      <c r="O1221" s="16"/>
      <c r="P1221" s="63">
        <f t="shared" si="96"/>
        <v>-74.819937500000009</v>
      </c>
      <c r="Q1221" s="16"/>
      <c r="R1221" s="48">
        <f t="shared" si="93"/>
        <v>-2.8058448250000003</v>
      </c>
    </row>
    <row r="1222" spans="1:18">
      <c r="A1222" s="14" t="s">
        <v>17</v>
      </c>
      <c r="B1222" s="15" t="s">
        <v>486</v>
      </c>
      <c r="C1222" s="15" t="s">
        <v>487</v>
      </c>
      <c r="D1222" s="14" t="s">
        <v>488</v>
      </c>
      <c r="E1222" s="15" t="s">
        <v>141</v>
      </c>
      <c r="F1222" s="14" t="s">
        <v>142</v>
      </c>
      <c r="G1222" s="15" t="s">
        <v>23</v>
      </c>
      <c r="H1222" s="15"/>
      <c r="I1222" s="15">
        <v>201408</v>
      </c>
      <c r="J1222" s="70">
        <v>-72.489999999999995</v>
      </c>
      <c r="K1222" s="44">
        <f t="shared" si="94"/>
        <v>41944</v>
      </c>
      <c r="L1222" s="45">
        <f t="shared" si="97"/>
        <v>7</v>
      </c>
      <c r="M1222" s="17">
        <v>1.4833299999999999E-3</v>
      </c>
      <c r="N1222" s="46">
        <f t="shared" si="95"/>
        <v>-0.75268614189999994</v>
      </c>
      <c r="O1222" s="16"/>
      <c r="P1222" s="63">
        <f t="shared" si="96"/>
        <v>-34.8858125</v>
      </c>
      <c r="Q1222" s="16"/>
      <c r="R1222" s="48">
        <f t="shared" ref="R1222:R1285" si="98">$R$4*(J1222*0.5)*$T$9</f>
        <v>-1.3082632750000001</v>
      </c>
    </row>
    <row r="1223" spans="1:18">
      <c r="A1223" s="14" t="s">
        <v>17</v>
      </c>
      <c r="B1223" s="15" t="s">
        <v>493</v>
      </c>
      <c r="C1223" s="15" t="s">
        <v>494</v>
      </c>
      <c r="D1223" s="14" t="s">
        <v>495</v>
      </c>
      <c r="E1223" s="15" t="s">
        <v>62</v>
      </c>
      <c r="F1223" s="14" t="s">
        <v>22</v>
      </c>
      <c r="G1223" s="15" t="s">
        <v>23</v>
      </c>
      <c r="H1223" s="15"/>
      <c r="I1223" s="15">
        <v>201408</v>
      </c>
      <c r="J1223" s="70">
        <v>-8.6300000000000008</v>
      </c>
      <c r="K1223" s="44">
        <f t="shared" ref="K1223:K1286" si="99">+K1222</f>
        <v>41944</v>
      </c>
      <c r="L1223" s="45">
        <f t="shared" si="97"/>
        <v>7</v>
      </c>
      <c r="M1223" s="17">
        <v>1.4833299999999999E-3</v>
      </c>
      <c r="N1223" s="46">
        <f t="shared" si="95"/>
        <v>-8.9607965300000009E-2</v>
      </c>
      <c r="O1223" s="16"/>
      <c r="P1223" s="63">
        <f t="shared" si="96"/>
        <v>-4.1531875000000014</v>
      </c>
      <c r="Q1223" s="16"/>
      <c r="R1223" s="48">
        <f t="shared" si="98"/>
        <v>-0.15574992500000001</v>
      </c>
    </row>
    <row r="1224" spans="1:18">
      <c r="A1224" s="14" t="s">
        <v>17</v>
      </c>
      <c r="B1224" s="15" t="s">
        <v>508</v>
      </c>
      <c r="C1224" s="15" t="s">
        <v>509</v>
      </c>
      <c r="D1224" s="14" t="s">
        <v>510</v>
      </c>
      <c r="E1224" s="15" t="s">
        <v>27</v>
      </c>
      <c r="F1224" s="14" t="s">
        <v>28</v>
      </c>
      <c r="G1224" s="15" t="s">
        <v>23</v>
      </c>
      <c r="H1224" s="15"/>
      <c r="I1224" s="15">
        <v>201408</v>
      </c>
      <c r="J1224" s="70">
        <v>-13.18</v>
      </c>
      <c r="K1224" s="44">
        <f t="shared" si="99"/>
        <v>41944</v>
      </c>
      <c r="L1224" s="45">
        <f t="shared" si="97"/>
        <v>7</v>
      </c>
      <c r="M1224" s="17">
        <v>1.4833299999999999E-3</v>
      </c>
      <c r="N1224" s="46">
        <f t="shared" si="95"/>
        <v>-0.1368520258</v>
      </c>
      <c r="O1224" s="16"/>
      <c r="P1224" s="63">
        <f t="shared" si="96"/>
        <v>-6.3428750000000012</v>
      </c>
      <c r="Q1224" s="16"/>
      <c r="R1224" s="48">
        <f t="shared" si="98"/>
        <v>-0.23786605</v>
      </c>
    </row>
    <row r="1225" spans="1:18">
      <c r="A1225" s="14" t="s">
        <v>17</v>
      </c>
      <c r="B1225" s="15" t="s">
        <v>514</v>
      </c>
      <c r="C1225" s="15" t="s">
        <v>515</v>
      </c>
      <c r="D1225" s="14" t="s">
        <v>516</v>
      </c>
      <c r="E1225" s="15" t="s">
        <v>49</v>
      </c>
      <c r="F1225" s="14" t="s">
        <v>22</v>
      </c>
      <c r="G1225" s="15" t="s">
        <v>23</v>
      </c>
      <c r="H1225" s="15"/>
      <c r="I1225" s="15">
        <v>201408</v>
      </c>
      <c r="J1225" s="70">
        <v>-16.440000000000001</v>
      </c>
      <c r="K1225" s="44">
        <f t="shared" si="99"/>
        <v>41944</v>
      </c>
      <c r="L1225" s="45">
        <f t="shared" si="97"/>
        <v>7</v>
      </c>
      <c r="M1225" s="17">
        <v>1.4833299999999999E-3</v>
      </c>
      <c r="N1225" s="46">
        <f t="shared" si="95"/>
        <v>-0.17070161640000001</v>
      </c>
      <c r="O1225" s="16"/>
      <c r="P1225" s="63">
        <f t="shared" si="96"/>
        <v>-7.9117500000000014</v>
      </c>
      <c r="Q1225" s="16"/>
      <c r="R1225" s="48">
        <f t="shared" si="98"/>
        <v>-0.29670090000000005</v>
      </c>
    </row>
    <row r="1226" spans="1:18">
      <c r="A1226" s="14" t="s">
        <v>17</v>
      </c>
      <c r="B1226" s="15" t="s">
        <v>523</v>
      </c>
      <c r="C1226" s="15" t="s">
        <v>524</v>
      </c>
      <c r="D1226" s="14" t="s">
        <v>525</v>
      </c>
      <c r="E1226" s="15" t="s">
        <v>141</v>
      </c>
      <c r="F1226" s="14" t="s">
        <v>142</v>
      </c>
      <c r="G1226" s="15" t="s">
        <v>23</v>
      </c>
      <c r="H1226" s="15"/>
      <c r="I1226" s="15">
        <v>201408</v>
      </c>
      <c r="J1226" s="70">
        <v>0.11</v>
      </c>
      <c r="K1226" s="44">
        <f t="shared" si="99"/>
        <v>41944</v>
      </c>
      <c r="L1226" s="45">
        <f t="shared" si="97"/>
        <v>7</v>
      </c>
      <c r="M1226" s="17">
        <v>1.4833299999999999E-3</v>
      </c>
      <c r="N1226" s="46">
        <f t="shared" si="95"/>
        <v>1.1421641E-3</v>
      </c>
      <c r="O1226" s="16"/>
      <c r="P1226" s="63">
        <f t="shared" si="96"/>
        <v>5.2937500000000005E-2</v>
      </c>
      <c r="Q1226" s="16"/>
      <c r="R1226" s="48">
        <f t="shared" si="98"/>
        <v>1.9852250000000002E-3</v>
      </c>
    </row>
    <row r="1227" spans="1:18">
      <c r="A1227" s="14" t="s">
        <v>17</v>
      </c>
      <c r="B1227" s="15" t="s">
        <v>529</v>
      </c>
      <c r="C1227" s="15" t="s">
        <v>530</v>
      </c>
      <c r="D1227" s="14" t="s">
        <v>531</v>
      </c>
      <c r="E1227" s="15" t="s">
        <v>141</v>
      </c>
      <c r="F1227" s="14" t="s">
        <v>142</v>
      </c>
      <c r="G1227" s="15" t="s">
        <v>23</v>
      </c>
      <c r="H1227" s="15"/>
      <c r="I1227" s="15">
        <v>201408</v>
      </c>
      <c r="J1227" s="70">
        <v>-144.6</v>
      </c>
      <c r="K1227" s="44">
        <f t="shared" si="99"/>
        <v>41944</v>
      </c>
      <c r="L1227" s="45">
        <f t="shared" si="97"/>
        <v>7</v>
      </c>
      <c r="M1227" s="17">
        <v>1.4833299999999999E-3</v>
      </c>
      <c r="N1227" s="46">
        <f t="shared" si="95"/>
        <v>-1.501426626</v>
      </c>
      <c r="O1227" s="16"/>
      <c r="P1227" s="63">
        <f t="shared" si="96"/>
        <v>-69.588750000000005</v>
      </c>
      <c r="Q1227" s="16"/>
      <c r="R1227" s="48">
        <f t="shared" si="98"/>
        <v>-2.6096685000000002</v>
      </c>
    </row>
    <row r="1228" spans="1:18">
      <c r="A1228" s="14" t="s">
        <v>17</v>
      </c>
      <c r="B1228" s="15" t="s">
        <v>540</v>
      </c>
      <c r="C1228" s="15" t="s">
        <v>541</v>
      </c>
      <c r="D1228" s="14" t="s">
        <v>542</v>
      </c>
      <c r="E1228" s="15" t="s">
        <v>216</v>
      </c>
      <c r="F1228" s="14" t="s">
        <v>22</v>
      </c>
      <c r="G1228" s="15" t="s">
        <v>23</v>
      </c>
      <c r="H1228" s="15"/>
      <c r="I1228" s="15">
        <v>201408</v>
      </c>
      <c r="J1228" s="70">
        <v>-39.9</v>
      </c>
      <c r="K1228" s="44">
        <f t="shared" si="99"/>
        <v>41944</v>
      </c>
      <c r="L1228" s="45">
        <f t="shared" si="97"/>
        <v>7</v>
      </c>
      <c r="M1228" s="17">
        <v>1.4833299999999999E-3</v>
      </c>
      <c r="N1228" s="46">
        <f t="shared" ref="N1228:N1291" si="100">M1228*L1228*J1228</f>
        <v>-0.41429406899999999</v>
      </c>
      <c r="O1228" s="16"/>
      <c r="P1228" s="63">
        <f t="shared" ref="P1228:P1291" si="101">$P$4*J1228</f>
        <v>-19.201875000000001</v>
      </c>
      <c r="Q1228" s="16"/>
      <c r="R1228" s="48">
        <f t="shared" si="98"/>
        <v>-0.72009524999999996</v>
      </c>
    </row>
    <row r="1229" spans="1:18">
      <c r="A1229" s="14" t="s">
        <v>17</v>
      </c>
      <c r="B1229" s="15" t="s">
        <v>552</v>
      </c>
      <c r="C1229" s="15" t="s">
        <v>553</v>
      </c>
      <c r="D1229" s="14" t="s">
        <v>554</v>
      </c>
      <c r="E1229" s="15" t="s">
        <v>62</v>
      </c>
      <c r="F1229" s="14" t="s">
        <v>22</v>
      </c>
      <c r="G1229" s="15" t="s">
        <v>23</v>
      </c>
      <c r="H1229" s="15"/>
      <c r="I1229" s="15">
        <v>201408</v>
      </c>
      <c r="J1229" s="70">
        <v>-484.37</v>
      </c>
      <c r="K1229" s="44">
        <f t="shared" si="99"/>
        <v>41944</v>
      </c>
      <c r="L1229" s="45">
        <f t="shared" ref="L1229:L1292" si="102">((YEAR($L$1)-YEAR(K1229))*12+MONTH($L$1)-MONTH(K1229))</f>
        <v>7</v>
      </c>
      <c r="M1229" s="17">
        <v>1.4833299999999999E-3</v>
      </c>
      <c r="N1229" s="46">
        <f t="shared" si="100"/>
        <v>-5.0293638646999996</v>
      </c>
      <c r="O1229" s="16"/>
      <c r="P1229" s="63">
        <f t="shared" si="101"/>
        <v>-233.10306250000002</v>
      </c>
      <c r="Q1229" s="16"/>
      <c r="R1229" s="48">
        <f t="shared" si="98"/>
        <v>-8.741667575000001</v>
      </c>
    </row>
    <row r="1230" spans="1:18">
      <c r="A1230" s="14" t="s">
        <v>17</v>
      </c>
      <c r="B1230" s="15" t="s">
        <v>555</v>
      </c>
      <c r="C1230" s="15" t="s">
        <v>556</v>
      </c>
      <c r="D1230" s="14" t="s">
        <v>557</v>
      </c>
      <c r="E1230" s="15" t="s">
        <v>141</v>
      </c>
      <c r="F1230" s="14" t="s">
        <v>142</v>
      </c>
      <c r="G1230" s="15" t="s">
        <v>23</v>
      </c>
      <c r="H1230" s="15"/>
      <c r="I1230" s="15">
        <v>201408</v>
      </c>
      <c r="J1230" s="70">
        <v>-463.64</v>
      </c>
      <c r="K1230" s="44">
        <f t="shared" si="99"/>
        <v>41944</v>
      </c>
      <c r="L1230" s="45">
        <f t="shared" si="102"/>
        <v>7</v>
      </c>
      <c r="M1230" s="17">
        <v>1.4833299999999999E-3</v>
      </c>
      <c r="N1230" s="46">
        <f t="shared" si="100"/>
        <v>-4.8141178483999996</v>
      </c>
      <c r="O1230" s="16"/>
      <c r="P1230" s="63">
        <f t="shared" si="101"/>
        <v>-223.12675000000002</v>
      </c>
      <c r="Q1230" s="16"/>
      <c r="R1230" s="48">
        <f t="shared" si="98"/>
        <v>-8.3675429000000001</v>
      </c>
    </row>
    <row r="1231" spans="1:18">
      <c r="A1231" s="14" t="s">
        <v>17</v>
      </c>
      <c r="B1231" s="15" t="s">
        <v>571</v>
      </c>
      <c r="C1231" s="15" t="s">
        <v>572</v>
      </c>
      <c r="D1231" s="14" t="s">
        <v>573</v>
      </c>
      <c r="E1231" s="15" t="s">
        <v>574</v>
      </c>
      <c r="F1231" s="14" t="s">
        <v>28</v>
      </c>
      <c r="G1231" s="15" t="s">
        <v>23</v>
      </c>
      <c r="H1231" s="15"/>
      <c r="I1231" s="15">
        <v>201408</v>
      </c>
      <c r="J1231" s="70">
        <v>-42</v>
      </c>
      <c r="K1231" s="44">
        <f t="shared" si="99"/>
        <v>41944</v>
      </c>
      <c r="L1231" s="45">
        <f t="shared" si="102"/>
        <v>7</v>
      </c>
      <c r="M1231" s="17">
        <v>1.4833299999999999E-3</v>
      </c>
      <c r="N1231" s="46">
        <f t="shared" si="100"/>
        <v>-0.43609902</v>
      </c>
      <c r="O1231" s="16"/>
      <c r="P1231" s="63">
        <f t="shared" si="101"/>
        <v>-20.212500000000002</v>
      </c>
      <c r="Q1231" s="16"/>
      <c r="R1231" s="48">
        <f t="shared" si="98"/>
        <v>-0.75799500000000009</v>
      </c>
    </row>
    <row r="1232" spans="1:18">
      <c r="A1232" s="14" t="s">
        <v>17</v>
      </c>
      <c r="B1232" s="15" t="s">
        <v>575</v>
      </c>
      <c r="C1232" s="15" t="s">
        <v>576</v>
      </c>
      <c r="D1232" s="14" t="s">
        <v>577</v>
      </c>
      <c r="E1232" s="15" t="s">
        <v>462</v>
      </c>
      <c r="F1232" s="14" t="s">
        <v>142</v>
      </c>
      <c r="G1232" s="15" t="s">
        <v>23</v>
      </c>
      <c r="H1232" s="15"/>
      <c r="I1232" s="15">
        <v>201408</v>
      </c>
      <c r="J1232" s="70">
        <v>72.349999999999994</v>
      </c>
      <c r="K1232" s="44">
        <f t="shared" si="99"/>
        <v>41944</v>
      </c>
      <c r="L1232" s="45">
        <f t="shared" si="102"/>
        <v>7</v>
      </c>
      <c r="M1232" s="17">
        <v>1.4833299999999999E-3</v>
      </c>
      <c r="N1232" s="46">
        <f t="shared" si="100"/>
        <v>0.75123247849999997</v>
      </c>
      <c r="O1232" s="16"/>
      <c r="P1232" s="63">
        <f t="shared" si="101"/>
        <v>34.818437500000002</v>
      </c>
      <c r="Q1232" s="16"/>
      <c r="R1232" s="48">
        <f t="shared" si="98"/>
        <v>1.305736625</v>
      </c>
    </row>
    <row r="1233" spans="1:18">
      <c r="A1233" s="14" t="s">
        <v>17</v>
      </c>
      <c r="B1233" s="15" t="s">
        <v>584</v>
      </c>
      <c r="C1233" s="15" t="s">
        <v>585</v>
      </c>
      <c r="D1233" s="14" t="s">
        <v>586</v>
      </c>
      <c r="E1233" s="15" t="s">
        <v>62</v>
      </c>
      <c r="F1233" s="14" t="s">
        <v>22</v>
      </c>
      <c r="G1233" s="15" t="s">
        <v>23</v>
      </c>
      <c r="H1233" s="15"/>
      <c r="I1233" s="15">
        <v>201408</v>
      </c>
      <c r="J1233" s="70">
        <v>-2385.4299999999998</v>
      </c>
      <c r="K1233" s="44">
        <f t="shared" si="99"/>
        <v>41944</v>
      </c>
      <c r="L1233" s="45">
        <f t="shared" si="102"/>
        <v>7</v>
      </c>
      <c r="M1233" s="17">
        <v>1.4833299999999999E-3</v>
      </c>
      <c r="N1233" s="46">
        <f t="shared" si="100"/>
        <v>-24.768659173299998</v>
      </c>
      <c r="O1233" s="16"/>
      <c r="P1233" s="63">
        <f t="shared" si="101"/>
        <v>-1147.9881875000001</v>
      </c>
      <c r="Q1233" s="16"/>
      <c r="R1233" s="48">
        <f t="shared" si="98"/>
        <v>-43.051047924999999</v>
      </c>
    </row>
    <row r="1234" spans="1:18">
      <c r="A1234" s="14" t="s">
        <v>17</v>
      </c>
      <c r="B1234" s="15" t="s">
        <v>602</v>
      </c>
      <c r="C1234" s="15" t="s">
        <v>603</v>
      </c>
      <c r="D1234" s="14" t="s">
        <v>604</v>
      </c>
      <c r="E1234" s="15" t="s">
        <v>58</v>
      </c>
      <c r="F1234" s="14" t="s">
        <v>22</v>
      </c>
      <c r="G1234" s="15" t="s">
        <v>23</v>
      </c>
      <c r="H1234" s="15"/>
      <c r="I1234" s="15">
        <v>201408</v>
      </c>
      <c r="J1234" s="70">
        <v>18.2</v>
      </c>
      <c r="K1234" s="44">
        <f t="shared" si="99"/>
        <v>41944</v>
      </c>
      <c r="L1234" s="45">
        <f t="shared" si="102"/>
        <v>7</v>
      </c>
      <c r="M1234" s="17">
        <v>1.4833299999999999E-3</v>
      </c>
      <c r="N1234" s="46">
        <f t="shared" si="100"/>
        <v>0.18897624199999999</v>
      </c>
      <c r="O1234" s="16"/>
      <c r="P1234" s="63">
        <f t="shared" si="101"/>
        <v>8.7587500000000009</v>
      </c>
      <c r="Q1234" s="16"/>
      <c r="R1234" s="48">
        <f t="shared" si="98"/>
        <v>0.32846449999999999</v>
      </c>
    </row>
    <row r="1235" spans="1:18">
      <c r="A1235" s="14" t="s">
        <v>17</v>
      </c>
      <c r="B1235" s="15" t="s">
        <v>605</v>
      </c>
      <c r="C1235" s="15" t="s">
        <v>606</v>
      </c>
      <c r="D1235" s="14" t="s">
        <v>607</v>
      </c>
      <c r="E1235" s="15" t="s">
        <v>62</v>
      </c>
      <c r="F1235" s="14" t="s">
        <v>22</v>
      </c>
      <c r="G1235" s="15" t="s">
        <v>23</v>
      </c>
      <c r="H1235" s="15"/>
      <c r="I1235" s="15">
        <v>201408</v>
      </c>
      <c r="J1235" s="70">
        <v>-429.29</v>
      </c>
      <c r="K1235" s="44">
        <f t="shared" si="99"/>
        <v>41944</v>
      </c>
      <c r="L1235" s="45">
        <f t="shared" si="102"/>
        <v>7</v>
      </c>
      <c r="M1235" s="17">
        <v>1.4833299999999999E-3</v>
      </c>
      <c r="N1235" s="46">
        <f t="shared" si="100"/>
        <v>-4.4574511498999998</v>
      </c>
      <c r="O1235" s="16"/>
      <c r="P1235" s="63">
        <f t="shared" si="101"/>
        <v>-206.59581250000005</v>
      </c>
      <c r="Q1235" s="16"/>
      <c r="R1235" s="48">
        <f t="shared" si="98"/>
        <v>-7.7476112750000006</v>
      </c>
    </row>
    <row r="1236" spans="1:18">
      <c r="A1236" s="14" t="s">
        <v>17</v>
      </c>
      <c r="B1236" s="15" t="s">
        <v>608</v>
      </c>
      <c r="C1236" s="15" t="s">
        <v>609</v>
      </c>
      <c r="D1236" s="14" t="s">
        <v>610</v>
      </c>
      <c r="E1236" s="15" t="s">
        <v>45</v>
      </c>
      <c r="F1236" s="14" t="s">
        <v>22</v>
      </c>
      <c r="G1236" s="15" t="s">
        <v>23</v>
      </c>
      <c r="H1236" s="15"/>
      <c r="I1236" s="15">
        <v>201408</v>
      </c>
      <c r="J1236" s="70">
        <v>34.130000000000003</v>
      </c>
      <c r="K1236" s="44">
        <f t="shared" si="99"/>
        <v>41944</v>
      </c>
      <c r="L1236" s="45">
        <f t="shared" si="102"/>
        <v>7</v>
      </c>
      <c r="M1236" s="17">
        <v>1.4833299999999999E-3</v>
      </c>
      <c r="N1236" s="46">
        <f t="shared" si="100"/>
        <v>0.35438237030000003</v>
      </c>
      <c r="O1236" s="16"/>
      <c r="P1236" s="63">
        <f t="shared" si="101"/>
        <v>16.425062500000003</v>
      </c>
      <c r="Q1236" s="16"/>
      <c r="R1236" s="48">
        <f t="shared" si="98"/>
        <v>0.61596117500000003</v>
      </c>
    </row>
    <row r="1237" spans="1:18">
      <c r="A1237" s="14" t="s">
        <v>17</v>
      </c>
      <c r="B1237" s="15" t="s">
        <v>617</v>
      </c>
      <c r="C1237" s="15" t="s">
        <v>618</v>
      </c>
      <c r="D1237" s="14" t="s">
        <v>619</v>
      </c>
      <c r="E1237" s="15" t="s">
        <v>141</v>
      </c>
      <c r="F1237" s="14" t="s">
        <v>142</v>
      </c>
      <c r="G1237" s="15" t="s">
        <v>23</v>
      </c>
      <c r="H1237" s="15"/>
      <c r="I1237" s="15">
        <v>201408</v>
      </c>
      <c r="J1237" s="70">
        <v>-239.04</v>
      </c>
      <c r="K1237" s="44">
        <f t="shared" si="99"/>
        <v>41944</v>
      </c>
      <c r="L1237" s="45">
        <f t="shared" si="102"/>
        <v>7</v>
      </c>
      <c r="M1237" s="17">
        <v>1.4833299999999999E-3</v>
      </c>
      <c r="N1237" s="46">
        <f t="shared" si="100"/>
        <v>-2.4820264223999997</v>
      </c>
      <c r="O1237" s="16"/>
      <c r="P1237" s="63">
        <f t="shared" si="101"/>
        <v>-115.03800000000001</v>
      </c>
      <c r="Q1237" s="16"/>
      <c r="R1237" s="48">
        <f t="shared" si="98"/>
        <v>-4.3140744</v>
      </c>
    </row>
    <row r="1238" spans="1:18">
      <c r="A1238" s="14" t="s">
        <v>17</v>
      </c>
      <c r="B1238" s="15" t="s">
        <v>625</v>
      </c>
      <c r="C1238" s="15" t="s">
        <v>626</v>
      </c>
      <c r="D1238" s="14" t="s">
        <v>627</v>
      </c>
      <c r="E1238" s="15" t="s">
        <v>62</v>
      </c>
      <c r="F1238" s="14" t="s">
        <v>22</v>
      </c>
      <c r="G1238" s="15" t="s">
        <v>23</v>
      </c>
      <c r="H1238" s="15"/>
      <c r="I1238" s="15">
        <v>201408</v>
      </c>
      <c r="J1238" s="70">
        <v>-123.17</v>
      </c>
      <c r="K1238" s="44">
        <f t="shared" si="99"/>
        <v>41944</v>
      </c>
      <c r="L1238" s="45">
        <f t="shared" si="102"/>
        <v>7</v>
      </c>
      <c r="M1238" s="17">
        <v>1.4833299999999999E-3</v>
      </c>
      <c r="N1238" s="46">
        <f t="shared" si="100"/>
        <v>-1.2789122927000001</v>
      </c>
      <c r="O1238" s="16"/>
      <c r="P1238" s="63">
        <f t="shared" si="101"/>
        <v>-59.275562500000007</v>
      </c>
      <c r="Q1238" s="16"/>
      <c r="R1238" s="48">
        <f t="shared" si="98"/>
        <v>-2.2229105750000002</v>
      </c>
    </row>
    <row r="1239" spans="1:18">
      <c r="A1239" s="14" t="s">
        <v>17</v>
      </c>
      <c r="B1239" s="15" t="s">
        <v>628</v>
      </c>
      <c r="C1239" s="15" t="s">
        <v>629</v>
      </c>
      <c r="D1239" s="14" t="s">
        <v>630</v>
      </c>
      <c r="E1239" s="15" t="s">
        <v>440</v>
      </c>
      <c r="F1239" s="14" t="s">
        <v>28</v>
      </c>
      <c r="G1239" s="15" t="s">
        <v>23</v>
      </c>
      <c r="H1239" s="15"/>
      <c r="I1239" s="15">
        <v>201408</v>
      </c>
      <c r="J1239" s="70">
        <v>83.34</v>
      </c>
      <c r="K1239" s="44">
        <f t="shared" si="99"/>
        <v>41944</v>
      </c>
      <c r="L1239" s="45">
        <f t="shared" si="102"/>
        <v>7</v>
      </c>
      <c r="M1239" s="17">
        <v>1.4833299999999999E-3</v>
      </c>
      <c r="N1239" s="46">
        <f t="shared" si="100"/>
        <v>0.86534505540000006</v>
      </c>
      <c r="O1239" s="16"/>
      <c r="P1239" s="63">
        <f t="shared" si="101"/>
        <v>40.107375000000005</v>
      </c>
      <c r="Q1239" s="16"/>
      <c r="R1239" s="48">
        <f t="shared" si="98"/>
        <v>1.5040786500000001</v>
      </c>
    </row>
    <row r="1240" spans="1:18">
      <c r="A1240" s="14" t="s">
        <v>17</v>
      </c>
      <c r="B1240" s="15" t="s">
        <v>631</v>
      </c>
      <c r="C1240" s="15" t="s">
        <v>632</v>
      </c>
      <c r="D1240" s="14" t="s">
        <v>633</v>
      </c>
      <c r="E1240" s="15" t="s">
        <v>32</v>
      </c>
      <c r="F1240" s="14" t="s">
        <v>22</v>
      </c>
      <c r="G1240" s="15" t="s">
        <v>23</v>
      </c>
      <c r="H1240" s="15"/>
      <c r="I1240" s="15">
        <v>201408</v>
      </c>
      <c r="J1240" s="70">
        <v>-3.98</v>
      </c>
      <c r="K1240" s="44">
        <f t="shared" si="99"/>
        <v>41944</v>
      </c>
      <c r="L1240" s="45">
        <f t="shared" si="102"/>
        <v>7</v>
      </c>
      <c r="M1240" s="17">
        <v>1.4833299999999999E-3</v>
      </c>
      <c r="N1240" s="46">
        <f t="shared" si="100"/>
        <v>-4.1325573800000001E-2</v>
      </c>
      <c r="O1240" s="16"/>
      <c r="P1240" s="63">
        <f t="shared" si="101"/>
        <v>-1.9153750000000003</v>
      </c>
      <c r="Q1240" s="16"/>
      <c r="R1240" s="48">
        <f t="shared" si="98"/>
        <v>-7.1829050000000005E-2</v>
      </c>
    </row>
    <row r="1241" spans="1:18">
      <c r="A1241" s="14" t="s">
        <v>17</v>
      </c>
      <c r="B1241" s="15" t="s">
        <v>643</v>
      </c>
      <c r="C1241" s="15" t="s">
        <v>644</v>
      </c>
      <c r="D1241" s="14" t="s">
        <v>645</v>
      </c>
      <c r="E1241" s="15" t="s">
        <v>141</v>
      </c>
      <c r="F1241" s="14" t="s">
        <v>142</v>
      </c>
      <c r="G1241" s="15" t="s">
        <v>23</v>
      </c>
      <c r="H1241" s="15"/>
      <c r="I1241" s="15">
        <v>201408</v>
      </c>
      <c r="J1241" s="70">
        <v>-308.79000000000002</v>
      </c>
      <c r="K1241" s="44">
        <f t="shared" si="99"/>
        <v>41944</v>
      </c>
      <c r="L1241" s="45">
        <f t="shared" si="102"/>
        <v>7</v>
      </c>
      <c r="M1241" s="17">
        <v>1.4833299999999999E-3</v>
      </c>
      <c r="N1241" s="46">
        <f t="shared" si="100"/>
        <v>-3.2062622949000001</v>
      </c>
      <c r="O1241" s="16"/>
      <c r="P1241" s="63">
        <f t="shared" si="101"/>
        <v>-148.60518750000003</v>
      </c>
      <c r="Q1241" s="16"/>
      <c r="R1241" s="48">
        <f t="shared" si="98"/>
        <v>-5.5728875250000005</v>
      </c>
    </row>
    <row r="1242" spans="1:18">
      <c r="A1242" s="14" t="s">
        <v>17</v>
      </c>
      <c r="B1242" s="15" t="s">
        <v>655</v>
      </c>
      <c r="C1242" s="15" t="s">
        <v>656</v>
      </c>
      <c r="D1242" s="14" t="s">
        <v>657</v>
      </c>
      <c r="E1242" s="15" t="s">
        <v>36</v>
      </c>
      <c r="F1242" s="14" t="s">
        <v>22</v>
      </c>
      <c r="G1242" s="15" t="s">
        <v>23</v>
      </c>
      <c r="H1242" s="15"/>
      <c r="I1242" s="15">
        <v>201408</v>
      </c>
      <c r="J1242" s="70">
        <v>50.06</v>
      </c>
      <c r="K1242" s="44">
        <f t="shared" si="99"/>
        <v>41944</v>
      </c>
      <c r="L1242" s="45">
        <f t="shared" si="102"/>
        <v>7</v>
      </c>
      <c r="M1242" s="17">
        <v>1.4833299999999999E-3</v>
      </c>
      <c r="N1242" s="46">
        <f t="shared" si="100"/>
        <v>0.51978849859999998</v>
      </c>
      <c r="O1242" s="16"/>
      <c r="P1242" s="63">
        <f t="shared" si="101"/>
        <v>24.091375000000003</v>
      </c>
      <c r="Q1242" s="16"/>
      <c r="R1242" s="48">
        <f t="shared" si="98"/>
        <v>0.90345785000000012</v>
      </c>
    </row>
    <row r="1243" spans="1:18">
      <c r="A1243" s="14" t="s">
        <v>17</v>
      </c>
      <c r="B1243" s="15" t="s">
        <v>658</v>
      </c>
      <c r="C1243" s="15" t="s">
        <v>659</v>
      </c>
      <c r="D1243" s="14" t="s">
        <v>660</v>
      </c>
      <c r="E1243" s="15" t="s">
        <v>440</v>
      </c>
      <c r="F1243" s="14" t="s">
        <v>28</v>
      </c>
      <c r="G1243" s="15" t="s">
        <v>23</v>
      </c>
      <c r="H1243" s="15"/>
      <c r="I1243" s="15">
        <v>201408</v>
      </c>
      <c r="J1243" s="70">
        <v>38.4</v>
      </c>
      <c r="K1243" s="44">
        <f t="shared" si="99"/>
        <v>41944</v>
      </c>
      <c r="L1243" s="45">
        <f t="shared" si="102"/>
        <v>7</v>
      </c>
      <c r="M1243" s="17">
        <v>1.4833299999999999E-3</v>
      </c>
      <c r="N1243" s="46">
        <f t="shared" si="100"/>
        <v>0.39871910399999999</v>
      </c>
      <c r="O1243" s="16"/>
      <c r="P1243" s="63">
        <f t="shared" si="101"/>
        <v>18.48</v>
      </c>
      <c r="Q1243" s="16"/>
      <c r="R1243" s="48">
        <f t="shared" si="98"/>
        <v>0.69302399999999997</v>
      </c>
    </row>
    <row r="1244" spans="1:18">
      <c r="A1244" s="14" t="s">
        <v>17</v>
      </c>
      <c r="B1244" s="15" t="s">
        <v>664</v>
      </c>
      <c r="C1244" s="15" t="s">
        <v>665</v>
      </c>
      <c r="D1244" s="14" t="s">
        <v>666</v>
      </c>
      <c r="E1244" s="15" t="s">
        <v>667</v>
      </c>
      <c r="F1244" s="14" t="s">
        <v>28</v>
      </c>
      <c r="G1244" s="15" t="s">
        <v>23</v>
      </c>
      <c r="H1244" s="15"/>
      <c r="I1244" s="15">
        <v>201408</v>
      </c>
      <c r="J1244" s="70">
        <v>15.39</v>
      </c>
      <c r="K1244" s="44">
        <f t="shared" si="99"/>
        <v>41944</v>
      </c>
      <c r="L1244" s="45">
        <f t="shared" si="102"/>
        <v>7</v>
      </c>
      <c r="M1244" s="17">
        <v>1.4833299999999999E-3</v>
      </c>
      <c r="N1244" s="46">
        <f t="shared" si="100"/>
        <v>0.1597991409</v>
      </c>
      <c r="O1244" s="16"/>
      <c r="P1244" s="63">
        <f t="shared" si="101"/>
        <v>7.4064375000000009</v>
      </c>
      <c r="Q1244" s="16"/>
      <c r="R1244" s="48">
        <f t="shared" si="98"/>
        <v>0.27775102500000004</v>
      </c>
    </row>
    <row r="1245" spans="1:18">
      <c r="A1245" s="14" t="s">
        <v>17</v>
      </c>
      <c r="B1245" s="15" t="s">
        <v>668</v>
      </c>
      <c r="C1245" s="15" t="s">
        <v>669</v>
      </c>
      <c r="D1245" s="14" t="s">
        <v>670</v>
      </c>
      <c r="E1245" s="15" t="s">
        <v>45</v>
      </c>
      <c r="F1245" s="14" t="s">
        <v>22</v>
      </c>
      <c r="G1245" s="15" t="s">
        <v>23</v>
      </c>
      <c r="H1245" s="15"/>
      <c r="I1245" s="15">
        <v>201408</v>
      </c>
      <c r="J1245" s="70">
        <v>-69.09</v>
      </c>
      <c r="K1245" s="44">
        <f t="shared" si="99"/>
        <v>41944</v>
      </c>
      <c r="L1245" s="45">
        <f t="shared" si="102"/>
        <v>7</v>
      </c>
      <c r="M1245" s="17">
        <v>1.4833299999999999E-3</v>
      </c>
      <c r="N1245" s="46">
        <f t="shared" si="100"/>
        <v>-0.71738288790000004</v>
      </c>
      <c r="O1245" s="16"/>
      <c r="P1245" s="63">
        <f t="shared" si="101"/>
        <v>-33.249562500000003</v>
      </c>
      <c r="Q1245" s="16"/>
      <c r="R1245" s="48">
        <f t="shared" si="98"/>
        <v>-1.2469017750000002</v>
      </c>
    </row>
    <row r="1246" spans="1:18">
      <c r="A1246" s="14" t="s">
        <v>17</v>
      </c>
      <c r="B1246" s="15" t="s">
        <v>677</v>
      </c>
      <c r="C1246" s="15" t="s">
        <v>678</v>
      </c>
      <c r="D1246" s="14" t="s">
        <v>679</v>
      </c>
      <c r="E1246" s="15" t="s">
        <v>216</v>
      </c>
      <c r="F1246" s="14" t="s">
        <v>22</v>
      </c>
      <c r="G1246" s="15" t="s">
        <v>23</v>
      </c>
      <c r="H1246" s="15"/>
      <c r="I1246" s="15">
        <v>201408</v>
      </c>
      <c r="J1246" s="70">
        <v>2.2799999999999998</v>
      </c>
      <c r="K1246" s="44">
        <f t="shared" si="99"/>
        <v>41944</v>
      </c>
      <c r="L1246" s="45">
        <f t="shared" si="102"/>
        <v>7</v>
      </c>
      <c r="M1246" s="17">
        <v>1.4833299999999999E-3</v>
      </c>
      <c r="N1246" s="46">
        <f t="shared" si="100"/>
        <v>2.3673946799999998E-2</v>
      </c>
      <c r="O1246" s="16"/>
      <c r="P1246" s="63">
        <f t="shared" si="101"/>
        <v>1.0972500000000001</v>
      </c>
      <c r="Q1246" s="16"/>
      <c r="R1246" s="48">
        <f t="shared" si="98"/>
        <v>4.1148299999999999E-2</v>
      </c>
    </row>
    <row r="1247" spans="1:18">
      <c r="A1247" s="14" t="s">
        <v>17</v>
      </c>
      <c r="B1247" s="15" t="s">
        <v>688</v>
      </c>
      <c r="C1247" s="15" t="s">
        <v>689</v>
      </c>
      <c r="D1247" s="14" t="s">
        <v>690</v>
      </c>
      <c r="E1247" s="15" t="s">
        <v>141</v>
      </c>
      <c r="F1247" s="14" t="s">
        <v>142</v>
      </c>
      <c r="G1247" s="15" t="s">
        <v>23</v>
      </c>
      <c r="H1247" s="15"/>
      <c r="I1247" s="15">
        <v>201408</v>
      </c>
      <c r="J1247" s="70">
        <v>-283.74</v>
      </c>
      <c r="K1247" s="44">
        <f t="shared" si="99"/>
        <v>41944</v>
      </c>
      <c r="L1247" s="45">
        <f t="shared" si="102"/>
        <v>7</v>
      </c>
      <c r="M1247" s="17">
        <v>1.4833299999999999E-3</v>
      </c>
      <c r="N1247" s="46">
        <f t="shared" si="100"/>
        <v>-2.9461603794000002</v>
      </c>
      <c r="O1247" s="16"/>
      <c r="P1247" s="63">
        <f t="shared" si="101"/>
        <v>-136.54987500000001</v>
      </c>
      <c r="Q1247" s="16"/>
      <c r="R1247" s="48">
        <f t="shared" si="98"/>
        <v>-5.1207976500000001</v>
      </c>
    </row>
    <row r="1248" spans="1:18">
      <c r="A1248" s="14" t="s">
        <v>17</v>
      </c>
      <c r="B1248" s="15" t="s">
        <v>691</v>
      </c>
      <c r="C1248" s="15" t="s">
        <v>692</v>
      </c>
      <c r="D1248" s="14" t="s">
        <v>693</v>
      </c>
      <c r="E1248" s="15" t="s">
        <v>58</v>
      </c>
      <c r="F1248" s="14" t="s">
        <v>22</v>
      </c>
      <c r="G1248" s="15" t="s">
        <v>23</v>
      </c>
      <c r="H1248" s="15"/>
      <c r="I1248" s="15">
        <v>201408</v>
      </c>
      <c r="J1248" s="70">
        <v>-41.39</v>
      </c>
      <c r="K1248" s="44">
        <f t="shared" si="99"/>
        <v>41944</v>
      </c>
      <c r="L1248" s="45">
        <f t="shared" si="102"/>
        <v>7</v>
      </c>
      <c r="M1248" s="17">
        <v>1.4833299999999999E-3</v>
      </c>
      <c r="N1248" s="46">
        <f t="shared" si="100"/>
        <v>-0.42976520089999998</v>
      </c>
      <c r="O1248" s="16"/>
      <c r="P1248" s="63">
        <f t="shared" si="101"/>
        <v>-19.918937500000002</v>
      </c>
      <c r="Q1248" s="16"/>
      <c r="R1248" s="48">
        <f t="shared" si="98"/>
        <v>-0.746986025</v>
      </c>
    </row>
    <row r="1249" spans="1:18">
      <c r="A1249" s="14" t="s">
        <v>17</v>
      </c>
      <c r="B1249" s="15" t="s">
        <v>694</v>
      </c>
      <c r="C1249" s="15" t="s">
        <v>695</v>
      </c>
      <c r="D1249" s="14" t="s">
        <v>696</v>
      </c>
      <c r="E1249" s="15" t="s">
        <v>141</v>
      </c>
      <c r="F1249" s="14" t="s">
        <v>142</v>
      </c>
      <c r="G1249" s="15" t="s">
        <v>23</v>
      </c>
      <c r="H1249" s="15"/>
      <c r="I1249" s="15">
        <v>201408</v>
      </c>
      <c r="J1249" s="70">
        <v>-32.200000000000003</v>
      </c>
      <c r="K1249" s="44">
        <f t="shared" si="99"/>
        <v>41944</v>
      </c>
      <c r="L1249" s="45">
        <f t="shared" si="102"/>
        <v>7</v>
      </c>
      <c r="M1249" s="17">
        <v>1.4833299999999999E-3</v>
      </c>
      <c r="N1249" s="46">
        <f t="shared" si="100"/>
        <v>-0.334342582</v>
      </c>
      <c r="O1249" s="16"/>
      <c r="P1249" s="63">
        <f t="shared" si="101"/>
        <v>-15.496250000000003</v>
      </c>
      <c r="Q1249" s="16"/>
      <c r="R1249" s="48">
        <f t="shared" si="98"/>
        <v>-0.58112950000000008</v>
      </c>
    </row>
    <row r="1250" spans="1:18">
      <c r="A1250" s="14" t="s">
        <v>17</v>
      </c>
      <c r="B1250" s="15" t="s">
        <v>697</v>
      </c>
      <c r="C1250" s="15" t="s">
        <v>698</v>
      </c>
      <c r="D1250" s="14" t="s">
        <v>699</v>
      </c>
      <c r="E1250" s="15" t="s">
        <v>108</v>
      </c>
      <c r="F1250" s="14" t="s">
        <v>28</v>
      </c>
      <c r="G1250" s="15" t="s">
        <v>23</v>
      </c>
      <c r="H1250" s="15"/>
      <c r="I1250" s="15">
        <v>201408</v>
      </c>
      <c r="J1250" s="70">
        <v>-21.92</v>
      </c>
      <c r="K1250" s="44">
        <f t="shared" si="99"/>
        <v>41944</v>
      </c>
      <c r="L1250" s="45">
        <f t="shared" si="102"/>
        <v>7</v>
      </c>
      <c r="M1250" s="17">
        <v>1.4833299999999999E-3</v>
      </c>
      <c r="N1250" s="46">
        <f t="shared" si="100"/>
        <v>-0.22760215520000002</v>
      </c>
      <c r="O1250" s="16"/>
      <c r="P1250" s="63">
        <f t="shared" si="101"/>
        <v>-10.549000000000003</v>
      </c>
      <c r="Q1250" s="16"/>
      <c r="R1250" s="48">
        <f t="shared" si="98"/>
        <v>-0.39560120000000004</v>
      </c>
    </row>
    <row r="1251" spans="1:18">
      <c r="A1251" s="14" t="s">
        <v>17</v>
      </c>
      <c r="B1251" s="15" t="s">
        <v>700</v>
      </c>
      <c r="C1251" s="15" t="s">
        <v>701</v>
      </c>
      <c r="D1251" s="14" t="s">
        <v>702</v>
      </c>
      <c r="E1251" s="15" t="s">
        <v>703</v>
      </c>
      <c r="F1251" s="14" t="s">
        <v>142</v>
      </c>
      <c r="G1251" s="15" t="s">
        <v>23</v>
      </c>
      <c r="H1251" s="15"/>
      <c r="I1251" s="15">
        <v>201408</v>
      </c>
      <c r="J1251" s="70">
        <v>-396.23</v>
      </c>
      <c r="K1251" s="44">
        <f t="shared" si="99"/>
        <v>41944</v>
      </c>
      <c r="L1251" s="45">
        <f t="shared" si="102"/>
        <v>7</v>
      </c>
      <c r="M1251" s="17">
        <v>1.4833299999999999E-3</v>
      </c>
      <c r="N1251" s="46">
        <f t="shared" si="100"/>
        <v>-4.1141789212999997</v>
      </c>
      <c r="O1251" s="16"/>
      <c r="P1251" s="63">
        <f t="shared" si="101"/>
        <v>-190.68568750000003</v>
      </c>
      <c r="Q1251" s="16"/>
      <c r="R1251" s="48">
        <f t="shared" si="98"/>
        <v>-7.1509609250000006</v>
      </c>
    </row>
    <row r="1252" spans="1:18">
      <c r="A1252" s="14" t="s">
        <v>17</v>
      </c>
      <c r="B1252" s="15" t="s">
        <v>704</v>
      </c>
      <c r="C1252" s="15" t="s">
        <v>705</v>
      </c>
      <c r="D1252" s="14" t="s">
        <v>706</v>
      </c>
      <c r="E1252" s="15" t="s">
        <v>58</v>
      </c>
      <c r="F1252" s="14" t="s">
        <v>22</v>
      </c>
      <c r="G1252" s="15" t="s">
        <v>23</v>
      </c>
      <c r="H1252" s="15"/>
      <c r="I1252" s="15">
        <v>201408</v>
      </c>
      <c r="J1252" s="70">
        <v>-993.23</v>
      </c>
      <c r="K1252" s="44">
        <f t="shared" si="99"/>
        <v>41944</v>
      </c>
      <c r="L1252" s="45">
        <f t="shared" si="102"/>
        <v>7</v>
      </c>
      <c r="M1252" s="17">
        <v>1.4833299999999999E-3</v>
      </c>
      <c r="N1252" s="46">
        <f t="shared" si="100"/>
        <v>-10.313014991299999</v>
      </c>
      <c r="O1252" s="16"/>
      <c r="P1252" s="63">
        <f t="shared" si="101"/>
        <v>-477.99193750000006</v>
      </c>
      <c r="Q1252" s="16"/>
      <c r="R1252" s="48">
        <f t="shared" si="98"/>
        <v>-17.925318425</v>
      </c>
    </row>
    <row r="1253" spans="1:18">
      <c r="A1253" s="14" t="s">
        <v>17</v>
      </c>
      <c r="B1253" s="15" t="s">
        <v>710</v>
      </c>
      <c r="C1253" s="15" t="s">
        <v>711</v>
      </c>
      <c r="D1253" s="14" t="s">
        <v>712</v>
      </c>
      <c r="E1253" s="15" t="s">
        <v>45</v>
      </c>
      <c r="F1253" s="14" t="s">
        <v>22</v>
      </c>
      <c r="G1253" s="15" t="s">
        <v>23</v>
      </c>
      <c r="H1253" s="15"/>
      <c r="I1253" s="15">
        <v>201408</v>
      </c>
      <c r="J1253" s="70">
        <v>-2106.33</v>
      </c>
      <c r="K1253" s="44">
        <f t="shared" si="99"/>
        <v>41944</v>
      </c>
      <c r="L1253" s="45">
        <f t="shared" si="102"/>
        <v>7</v>
      </c>
      <c r="M1253" s="17">
        <v>1.4833299999999999E-3</v>
      </c>
      <c r="N1253" s="46">
        <f t="shared" si="100"/>
        <v>-21.8706773523</v>
      </c>
      <c r="O1253" s="16"/>
      <c r="P1253" s="63">
        <f t="shared" si="101"/>
        <v>-1013.6713125000001</v>
      </c>
      <c r="Q1253" s="16"/>
      <c r="R1253" s="48">
        <f t="shared" si="98"/>
        <v>-38.013990675000002</v>
      </c>
    </row>
    <row r="1254" spans="1:18">
      <c r="A1254" s="14" t="s">
        <v>17</v>
      </c>
      <c r="B1254" s="15" t="s">
        <v>713</v>
      </c>
      <c r="C1254" s="15" t="s">
        <v>714</v>
      </c>
      <c r="D1254" s="14" t="s">
        <v>715</v>
      </c>
      <c r="E1254" s="15" t="s">
        <v>258</v>
      </c>
      <c r="F1254" s="14" t="s">
        <v>259</v>
      </c>
      <c r="G1254" s="15" t="s">
        <v>23</v>
      </c>
      <c r="H1254" s="15"/>
      <c r="I1254" s="15">
        <v>201408</v>
      </c>
      <c r="J1254" s="70">
        <v>-110.46</v>
      </c>
      <c r="K1254" s="44">
        <f t="shared" si="99"/>
        <v>41944</v>
      </c>
      <c r="L1254" s="45">
        <f t="shared" si="102"/>
        <v>7</v>
      </c>
      <c r="M1254" s="17">
        <v>1.4833299999999999E-3</v>
      </c>
      <c r="N1254" s="46">
        <f t="shared" si="100"/>
        <v>-1.1469404226</v>
      </c>
      <c r="O1254" s="16"/>
      <c r="P1254" s="63">
        <f t="shared" si="101"/>
        <v>-53.158875000000002</v>
      </c>
      <c r="Q1254" s="16"/>
      <c r="R1254" s="48">
        <f t="shared" si="98"/>
        <v>-1.9935268500000001</v>
      </c>
    </row>
    <row r="1255" spans="1:18">
      <c r="A1255" s="14" t="s">
        <v>17</v>
      </c>
      <c r="B1255" s="15" t="s">
        <v>725</v>
      </c>
      <c r="C1255" s="15" t="s">
        <v>726</v>
      </c>
      <c r="D1255" s="14" t="s">
        <v>727</v>
      </c>
      <c r="E1255" s="15" t="s">
        <v>141</v>
      </c>
      <c r="F1255" s="14" t="s">
        <v>142</v>
      </c>
      <c r="G1255" s="15" t="s">
        <v>23</v>
      </c>
      <c r="H1255" s="15"/>
      <c r="I1255" s="15">
        <v>201408</v>
      </c>
      <c r="J1255" s="70">
        <v>-450.99</v>
      </c>
      <c r="K1255" s="44">
        <f t="shared" si="99"/>
        <v>41944</v>
      </c>
      <c r="L1255" s="45">
        <f t="shared" si="102"/>
        <v>7</v>
      </c>
      <c r="M1255" s="17">
        <v>1.4833299999999999E-3</v>
      </c>
      <c r="N1255" s="46">
        <f t="shared" si="100"/>
        <v>-4.6827689769000003</v>
      </c>
      <c r="O1255" s="16"/>
      <c r="P1255" s="63">
        <f t="shared" si="101"/>
        <v>-217.03893750000003</v>
      </c>
      <c r="Q1255" s="16"/>
      <c r="R1255" s="48">
        <f t="shared" si="98"/>
        <v>-8.1392420250000015</v>
      </c>
    </row>
    <row r="1256" spans="1:18">
      <c r="A1256" s="14" t="s">
        <v>17</v>
      </c>
      <c r="B1256" s="15" t="s">
        <v>728</v>
      </c>
      <c r="C1256" s="15" t="s">
        <v>729</v>
      </c>
      <c r="D1256" s="14" t="s">
        <v>730</v>
      </c>
      <c r="E1256" s="15" t="s">
        <v>141</v>
      </c>
      <c r="F1256" s="14" t="s">
        <v>142</v>
      </c>
      <c r="G1256" s="15" t="s">
        <v>23</v>
      </c>
      <c r="H1256" s="15"/>
      <c r="I1256" s="15">
        <v>201408</v>
      </c>
      <c r="J1256" s="70">
        <v>-180.88</v>
      </c>
      <c r="K1256" s="44">
        <f t="shared" si="99"/>
        <v>41944</v>
      </c>
      <c r="L1256" s="45">
        <f t="shared" si="102"/>
        <v>7</v>
      </c>
      <c r="M1256" s="17">
        <v>1.4833299999999999E-3</v>
      </c>
      <c r="N1256" s="46">
        <f t="shared" si="100"/>
        <v>-1.8781331127999998</v>
      </c>
      <c r="O1256" s="16"/>
      <c r="P1256" s="63">
        <f t="shared" si="101"/>
        <v>-87.048500000000004</v>
      </c>
      <c r="Q1256" s="16"/>
      <c r="R1256" s="48">
        <f t="shared" si="98"/>
        <v>-3.2644318000000001</v>
      </c>
    </row>
    <row r="1257" spans="1:18">
      <c r="A1257" s="14" t="s">
        <v>17</v>
      </c>
      <c r="B1257" s="15" t="s">
        <v>756</v>
      </c>
      <c r="C1257" s="15" t="s">
        <v>757</v>
      </c>
      <c r="D1257" s="14" t="s">
        <v>758</v>
      </c>
      <c r="E1257" s="15" t="s">
        <v>141</v>
      </c>
      <c r="F1257" s="14" t="s">
        <v>142</v>
      </c>
      <c r="G1257" s="15" t="s">
        <v>23</v>
      </c>
      <c r="H1257" s="15"/>
      <c r="I1257" s="15">
        <v>201408</v>
      </c>
      <c r="J1257" s="70">
        <v>-1447.83</v>
      </c>
      <c r="K1257" s="44">
        <f t="shared" si="99"/>
        <v>41944</v>
      </c>
      <c r="L1257" s="45">
        <f t="shared" si="102"/>
        <v>7</v>
      </c>
      <c r="M1257" s="17">
        <v>1.4833299999999999E-3</v>
      </c>
      <c r="N1257" s="46">
        <f t="shared" si="100"/>
        <v>-15.033267717299999</v>
      </c>
      <c r="O1257" s="16"/>
      <c r="P1257" s="63">
        <f t="shared" si="101"/>
        <v>-696.76818750000007</v>
      </c>
      <c r="Q1257" s="16"/>
      <c r="R1257" s="48">
        <f t="shared" si="98"/>
        <v>-26.129711924999999</v>
      </c>
    </row>
    <row r="1258" spans="1:18">
      <c r="A1258" s="14" t="s">
        <v>17</v>
      </c>
      <c r="B1258" s="15" t="s">
        <v>759</v>
      </c>
      <c r="C1258" s="15" t="s">
        <v>760</v>
      </c>
      <c r="D1258" s="14" t="s">
        <v>761</v>
      </c>
      <c r="E1258" s="15" t="s">
        <v>62</v>
      </c>
      <c r="F1258" s="14" t="s">
        <v>22</v>
      </c>
      <c r="G1258" s="15" t="s">
        <v>23</v>
      </c>
      <c r="H1258" s="15"/>
      <c r="I1258" s="15">
        <v>201408</v>
      </c>
      <c r="J1258" s="70">
        <v>-30.08</v>
      </c>
      <c r="K1258" s="44">
        <f t="shared" si="99"/>
        <v>41944</v>
      </c>
      <c r="L1258" s="45">
        <f t="shared" si="102"/>
        <v>7</v>
      </c>
      <c r="M1258" s="17">
        <v>1.4833299999999999E-3</v>
      </c>
      <c r="N1258" s="46">
        <f t="shared" si="100"/>
        <v>-0.31232996479999997</v>
      </c>
      <c r="O1258" s="16"/>
      <c r="P1258" s="63">
        <f t="shared" si="101"/>
        <v>-14.476000000000001</v>
      </c>
      <c r="Q1258" s="16"/>
      <c r="R1258" s="48">
        <f t="shared" si="98"/>
        <v>-0.54286880000000004</v>
      </c>
    </row>
    <row r="1259" spans="1:18">
      <c r="A1259" s="14" t="s">
        <v>17</v>
      </c>
      <c r="B1259" s="15" t="s">
        <v>765</v>
      </c>
      <c r="C1259" s="15" t="s">
        <v>766</v>
      </c>
      <c r="D1259" s="14" t="s">
        <v>767</v>
      </c>
      <c r="E1259" s="15" t="s">
        <v>216</v>
      </c>
      <c r="F1259" s="14" t="s">
        <v>22</v>
      </c>
      <c r="G1259" s="15" t="s">
        <v>23</v>
      </c>
      <c r="H1259" s="15"/>
      <c r="I1259" s="15">
        <v>201408</v>
      </c>
      <c r="J1259" s="70">
        <v>-454.35</v>
      </c>
      <c r="K1259" s="44">
        <f t="shared" si="99"/>
        <v>41944</v>
      </c>
      <c r="L1259" s="45">
        <f t="shared" si="102"/>
        <v>7</v>
      </c>
      <c r="M1259" s="17">
        <v>1.4833299999999999E-3</v>
      </c>
      <c r="N1259" s="46">
        <f t="shared" si="100"/>
        <v>-4.7176568985000005</v>
      </c>
      <c r="O1259" s="16"/>
      <c r="P1259" s="63">
        <f t="shared" si="101"/>
        <v>-218.65593750000005</v>
      </c>
      <c r="Q1259" s="16"/>
      <c r="R1259" s="48">
        <f t="shared" si="98"/>
        <v>-8.1998816250000015</v>
      </c>
    </row>
    <row r="1260" spans="1:18">
      <c r="A1260" s="18" t="s">
        <v>17</v>
      </c>
      <c r="B1260" s="15" t="s">
        <v>777</v>
      </c>
      <c r="C1260" s="15" t="s">
        <v>778</v>
      </c>
      <c r="D1260" s="14" t="s">
        <v>779</v>
      </c>
      <c r="E1260" s="15" t="s">
        <v>62</v>
      </c>
      <c r="F1260" s="14" t="s">
        <v>22</v>
      </c>
      <c r="G1260" s="15" t="s">
        <v>23</v>
      </c>
      <c r="H1260" s="15"/>
      <c r="I1260" s="15">
        <v>201408</v>
      </c>
      <c r="J1260" s="70">
        <v>-23.66</v>
      </c>
      <c r="K1260" s="44">
        <f t="shared" si="99"/>
        <v>41944</v>
      </c>
      <c r="L1260" s="45">
        <f t="shared" si="102"/>
        <v>7</v>
      </c>
      <c r="M1260" s="17">
        <v>1.4833299999999999E-3</v>
      </c>
      <c r="N1260" s="46">
        <f t="shared" si="100"/>
        <v>-0.24566911459999999</v>
      </c>
      <c r="O1260" s="16"/>
      <c r="P1260" s="63">
        <f t="shared" si="101"/>
        <v>-11.386375000000001</v>
      </c>
      <c r="Q1260" s="16"/>
      <c r="R1260" s="48">
        <f t="shared" si="98"/>
        <v>-0.42700385000000002</v>
      </c>
    </row>
    <row r="1261" spans="1:18">
      <c r="A1261" s="18" t="s">
        <v>17</v>
      </c>
      <c r="B1261" s="15" t="s">
        <v>780</v>
      </c>
      <c r="C1261" s="15" t="s">
        <v>781</v>
      </c>
      <c r="D1261" s="14" t="s">
        <v>782</v>
      </c>
      <c r="E1261" s="15" t="s">
        <v>141</v>
      </c>
      <c r="F1261" s="14" t="s">
        <v>142</v>
      </c>
      <c r="G1261" s="15" t="s">
        <v>23</v>
      </c>
      <c r="H1261" s="15"/>
      <c r="I1261" s="15">
        <v>201408</v>
      </c>
      <c r="J1261" s="70">
        <v>-551.54</v>
      </c>
      <c r="K1261" s="44">
        <f t="shared" si="99"/>
        <v>41944</v>
      </c>
      <c r="L1261" s="45">
        <f t="shared" si="102"/>
        <v>7</v>
      </c>
      <c r="M1261" s="17">
        <v>1.4833299999999999E-3</v>
      </c>
      <c r="N1261" s="46">
        <f t="shared" si="100"/>
        <v>-5.7268107973999998</v>
      </c>
      <c r="O1261" s="16"/>
      <c r="P1261" s="63">
        <f t="shared" si="101"/>
        <v>-265.42862500000001</v>
      </c>
      <c r="Q1261" s="16"/>
      <c r="R1261" s="48">
        <f t="shared" si="98"/>
        <v>-9.9539181499999998</v>
      </c>
    </row>
    <row r="1262" spans="1:18">
      <c r="A1262" s="18" t="s">
        <v>17</v>
      </c>
      <c r="B1262" s="15" t="s">
        <v>783</v>
      </c>
      <c r="C1262" s="15" t="s">
        <v>784</v>
      </c>
      <c r="D1262" s="14" t="s">
        <v>785</v>
      </c>
      <c r="E1262" s="15" t="s">
        <v>141</v>
      </c>
      <c r="F1262" s="14" t="s">
        <v>142</v>
      </c>
      <c r="G1262" s="15" t="s">
        <v>23</v>
      </c>
      <c r="H1262" s="15"/>
      <c r="I1262" s="15">
        <v>201408</v>
      </c>
      <c r="J1262" s="70">
        <v>-871.83</v>
      </c>
      <c r="K1262" s="44">
        <f t="shared" si="99"/>
        <v>41944</v>
      </c>
      <c r="L1262" s="45">
        <f t="shared" si="102"/>
        <v>7</v>
      </c>
      <c r="M1262" s="17">
        <v>1.4833299999999999E-3</v>
      </c>
      <c r="N1262" s="46">
        <f t="shared" si="100"/>
        <v>-9.0524811573000008</v>
      </c>
      <c r="O1262" s="16"/>
      <c r="P1262" s="63">
        <f t="shared" si="101"/>
        <v>-419.56818750000008</v>
      </c>
      <c r="Q1262" s="16"/>
      <c r="R1262" s="48">
        <f t="shared" si="98"/>
        <v>-15.734351925000002</v>
      </c>
    </row>
    <row r="1263" spans="1:18">
      <c r="A1263" s="18" t="s">
        <v>17</v>
      </c>
      <c r="B1263" s="15" t="s">
        <v>795</v>
      </c>
      <c r="C1263" s="15" t="s">
        <v>796</v>
      </c>
      <c r="D1263" s="14" t="s">
        <v>797</v>
      </c>
      <c r="E1263" s="15" t="s">
        <v>176</v>
      </c>
      <c r="F1263" s="14" t="s">
        <v>28</v>
      </c>
      <c r="G1263" s="15" t="s">
        <v>23</v>
      </c>
      <c r="H1263" s="15"/>
      <c r="I1263" s="15">
        <v>201408</v>
      </c>
      <c r="J1263" s="70">
        <v>-30.53</v>
      </c>
      <c r="K1263" s="44">
        <f t="shared" si="99"/>
        <v>41944</v>
      </c>
      <c r="L1263" s="45">
        <f t="shared" si="102"/>
        <v>7</v>
      </c>
      <c r="M1263" s="17">
        <v>1.4833299999999999E-3</v>
      </c>
      <c r="N1263" s="46">
        <f t="shared" si="100"/>
        <v>-0.31700245430000001</v>
      </c>
      <c r="O1263" s="16"/>
      <c r="P1263" s="63">
        <f t="shared" si="101"/>
        <v>-14.692562500000003</v>
      </c>
      <c r="Q1263" s="16"/>
      <c r="R1263" s="48">
        <f t="shared" si="98"/>
        <v>-0.55099017500000003</v>
      </c>
    </row>
    <row r="1264" spans="1:18">
      <c r="A1264" s="18" t="s">
        <v>17</v>
      </c>
      <c r="B1264" s="15" t="s">
        <v>798</v>
      </c>
      <c r="C1264" s="15" t="s">
        <v>799</v>
      </c>
      <c r="D1264" s="14" t="s">
        <v>800</v>
      </c>
      <c r="E1264" s="15" t="s">
        <v>62</v>
      </c>
      <c r="F1264" s="14" t="s">
        <v>22</v>
      </c>
      <c r="G1264" s="15" t="s">
        <v>23</v>
      </c>
      <c r="H1264" s="15"/>
      <c r="I1264" s="15">
        <v>201408</v>
      </c>
      <c r="J1264" s="70">
        <v>-89.93</v>
      </c>
      <c r="K1264" s="44">
        <f t="shared" si="99"/>
        <v>41944</v>
      </c>
      <c r="L1264" s="45">
        <f t="shared" si="102"/>
        <v>7</v>
      </c>
      <c r="M1264" s="17">
        <v>1.4833299999999999E-3</v>
      </c>
      <c r="N1264" s="46">
        <f t="shared" si="100"/>
        <v>-0.93377106830000001</v>
      </c>
      <c r="O1264" s="16"/>
      <c r="P1264" s="63">
        <f t="shared" si="101"/>
        <v>-43.278812500000008</v>
      </c>
      <c r="Q1264" s="16"/>
      <c r="R1264" s="48">
        <f t="shared" si="98"/>
        <v>-1.6230116750000003</v>
      </c>
    </row>
    <row r="1265" spans="1:18">
      <c r="A1265" s="18" t="s">
        <v>17</v>
      </c>
      <c r="B1265" s="15" t="s">
        <v>1435</v>
      </c>
      <c r="C1265" s="15" t="s">
        <v>1436</v>
      </c>
      <c r="D1265" s="14" t="s">
        <v>1437</v>
      </c>
      <c r="E1265" s="15" t="s">
        <v>667</v>
      </c>
      <c r="F1265" s="14" t="s">
        <v>28</v>
      </c>
      <c r="G1265" s="15" t="s">
        <v>23</v>
      </c>
      <c r="H1265" s="15"/>
      <c r="I1265" s="15">
        <v>201408</v>
      </c>
      <c r="J1265" s="70">
        <v>-2546.27</v>
      </c>
      <c r="K1265" s="44">
        <f t="shared" si="99"/>
        <v>41944</v>
      </c>
      <c r="L1265" s="45">
        <f t="shared" si="102"/>
        <v>7</v>
      </c>
      <c r="M1265" s="17">
        <v>1.4833299999999999E-3</v>
      </c>
      <c r="N1265" s="46">
        <f t="shared" si="100"/>
        <v>-26.438710753700001</v>
      </c>
      <c r="O1265" s="16"/>
      <c r="P1265" s="63">
        <f t="shared" si="101"/>
        <v>-1225.3924375000001</v>
      </c>
      <c r="Q1265" s="16"/>
      <c r="R1265" s="48">
        <f t="shared" si="98"/>
        <v>-45.953807825000005</v>
      </c>
    </row>
    <row r="1266" spans="1:18">
      <c r="A1266" s="18" t="s">
        <v>17</v>
      </c>
      <c r="B1266" s="15" t="s">
        <v>801</v>
      </c>
      <c r="C1266" s="15" t="s">
        <v>802</v>
      </c>
      <c r="D1266" s="14" t="s">
        <v>803</v>
      </c>
      <c r="E1266" s="15" t="s">
        <v>440</v>
      </c>
      <c r="F1266" s="14" t="s">
        <v>28</v>
      </c>
      <c r="G1266" s="15" t="s">
        <v>23</v>
      </c>
      <c r="H1266" s="15"/>
      <c r="I1266" s="15">
        <v>201408</v>
      </c>
      <c r="J1266" s="70">
        <v>-181.1</v>
      </c>
      <c r="K1266" s="44">
        <f t="shared" si="99"/>
        <v>41944</v>
      </c>
      <c r="L1266" s="45">
        <f t="shared" si="102"/>
        <v>7</v>
      </c>
      <c r="M1266" s="17">
        <v>1.4833299999999999E-3</v>
      </c>
      <c r="N1266" s="46">
        <f t="shared" si="100"/>
        <v>-1.8804174409999999</v>
      </c>
      <c r="O1266" s="16"/>
      <c r="P1266" s="63">
        <f t="shared" si="101"/>
        <v>-87.154375000000016</v>
      </c>
      <c r="Q1266" s="16"/>
      <c r="R1266" s="48">
        <f t="shared" si="98"/>
        <v>-3.2684022500000003</v>
      </c>
    </row>
    <row r="1267" spans="1:18">
      <c r="A1267" s="18" t="s">
        <v>17</v>
      </c>
      <c r="B1267" s="15" t="s">
        <v>804</v>
      </c>
      <c r="C1267" s="15" t="s">
        <v>805</v>
      </c>
      <c r="D1267" s="14" t="s">
        <v>806</v>
      </c>
      <c r="E1267" s="15" t="s">
        <v>141</v>
      </c>
      <c r="F1267" s="14" t="s">
        <v>142</v>
      </c>
      <c r="G1267" s="15" t="s">
        <v>23</v>
      </c>
      <c r="H1267" s="15"/>
      <c r="I1267" s="15">
        <v>201408</v>
      </c>
      <c r="J1267" s="70">
        <v>-124.99</v>
      </c>
      <c r="K1267" s="44">
        <f t="shared" si="99"/>
        <v>41944</v>
      </c>
      <c r="L1267" s="45">
        <f t="shared" si="102"/>
        <v>7</v>
      </c>
      <c r="M1267" s="17">
        <v>1.4833299999999999E-3</v>
      </c>
      <c r="N1267" s="46">
        <f t="shared" si="100"/>
        <v>-1.2978099168999999</v>
      </c>
      <c r="O1267" s="16"/>
      <c r="P1267" s="63">
        <f t="shared" si="101"/>
        <v>-60.151437500000007</v>
      </c>
      <c r="Q1267" s="16"/>
      <c r="R1267" s="48">
        <f t="shared" si="98"/>
        <v>-2.2557570249999999</v>
      </c>
    </row>
    <row r="1268" spans="1:18">
      <c r="A1268" s="18" t="s">
        <v>17</v>
      </c>
      <c r="B1268" s="15" t="s">
        <v>807</v>
      </c>
      <c r="C1268" s="15" t="s">
        <v>808</v>
      </c>
      <c r="D1268" s="14" t="s">
        <v>809</v>
      </c>
      <c r="E1268" s="15" t="s">
        <v>108</v>
      </c>
      <c r="F1268" s="14" t="s">
        <v>28</v>
      </c>
      <c r="G1268" s="15" t="s">
        <v>23</v>
      </c>
      <c r="H1268" s="15"/>
      <c r="I1268" s="15">
        <v>201408</v>
      </c>
      <c r="J1268" s="70">
        <v>78.55</v>
      </c>
      <c r="K1268" s="44">
        <f t="shared" si="99"/>
        <v>41944</v>
      </c>
      <c r="L1268" s="45">
        <f t="shared" si="102"/>
        <v>7</v>
      </c>
      <c r="M1268" s="17">
        <v>1.4833299999999999E-3</v>
      </c>
      <c r="N1268" s="46">
        <f t="shared" si="100"/>
        <v>0.81560900049999996</v>
      </c>
      <c r="O1268" s="16"/>
      <c r="P1268" s="63">
        <f t="shared" si="101"/>
        <v>37.802187500000002</v>
      </c>
      <c r="Q1268" s="16"/>
      <c r="R1268" s="48">
        <f t="shared" si="98"/>
        <v>1.417631125</v>
      </c>
    </row>
    <row r="1269" spans="1:18">
      <c r="A1269" s="18" t="s">
        <v>17</v>
      </c>
      <c r="B1269" s="15" t="s">
        <v>843</v>
      </c>
      <c r="C1269" s="15" t="s">
        <v>844</v>
      </c>
      <c r="D1269" s="14" t="s">
        <v>845</v>
      </c>
      <c r="E1269" s="15" t="s">
        <v>45</v>
      </c>
      <c r="F1269" s="14" t="s">
        <v>22</v>
      </c>
      <c r="G1269" s="15" t="s">
        <v>23</v>
      </c>
      <c r="H1269" s="15"/>
      <c r="I1269" s="15">
        <v>201408</v>
      </c>
      <c r="J1269" s="70">
        <v>7650.16</v>
      </c>
      <c r="K1269" s="44">
        <f t="shared" si="99"/>
        <v>41944</v>
      </c>
      <c r="L1269" s="45">
        <f t="shared" si="102"/>
        <v>7</v>
      </c>
      <c r="M1269" s="17">
        <v>1.4833299999999999E-3</v>
      </c>
      <c r="N1269" s="46">
        <f t="shared" si="100"/>
        <v>79.433982829599998</v>
      </c>
      <c r="O1269" s="16"/>
      <c r="P1269" s="63">
        <f t="shared" si="101"/>
        <v>3681.6395000000002</v>
      </c>
      <c r="Q1269" s="16"/>
      <c r="R1269" s="48">
        <f t="shared" si="98"/>
        <v>138.06626260000002</v>
      </c>
    </row>
    <row r="1270" spans="1:18">
      <c r="A1270" s="18" t="s">
        <v>17</v>
      </c>
      <c r="B1270" s="15" t="s">
        <v>849</v>
      </c>
      <c r="C1270" s="15" t="s">
        <v>850</v>
      </c>
      <c r="D1270" s="14" t="s">
        <v>851</v>
      </c>
      <c r="E1270" s="15" t="s">
        <v>27</v>
      </c>
      <c r="F1270" s="14" t="s">
        <v>28</v>
      </c>
      <c r="G1270" s="15" t="s">
        <v>23</v>
      </c>
      <c r="H1270" s="15"/>
      <c r="I1270" s="15">
        <v>201408</v>
      </c>
      <c r="J1270" s="70">
        <v>-146.27000000000001</v>
      </c>
      <c r="K1270" s="44">
        <f t="shared" si="99"/>
        <v>41944</v>
      </c>
      <c r="L1270" s="45">
        <f t="shared" si="102"/>
        <v>7</v>
      </c>
      <c r="M1270" s="17">
        <v>1.4833299999999999E-3</v>
      </c>
      <c r="N1270" s="46">
        <f t="shared" si="100"/>
        <v>-1.5187667537</v>
      </c>
      <c r="O1270" s="16"/>
      <c r="P1270" s="63">
        <f t="shared" si="101"/>
        <v>-70.392437500000014</v>
      </c>
      <c r="Q1270" s="16"/>
      <c r="R1270" s="48">
        <f t="shared" si="98"/>
        <v>-2.6398078250000006</v>
      </c>
    </row>
    <row r="1271" spans="1:18">
      <c r="A1271" s="18" t="s">
        <v>17</v>
      </c>
      <c r="B1271" s="15" t="s">
        <v>882</v>
      </c>
      <c r="C1271" s="15" t="s">
        <v>883</v>
      </c>
      <c r="D1271" s="14" t="s">
        <v>884</v>
      </c>
      <c r="E1271" s="15" t="s">
        <v>216</v>
      </c>
      <c r="F1271" s="14" t="s">
        <v>22</v>
      </c>
      <c r="G1271" s="15" t="s">
        <v>23</v>
      </c>
      <c r="H1271" s="15"/>
      <c r="I1271" s="15">
        <v>201408</v>
      </c>
      <c r="J1271" s="70">
        <v>-6.72</v>
      </c>
      <c r="K1271" s="44">
        <f t="shared" si="99"/>
        <v>41944</v>
      </c>
      <c r="L1271" s="45">
        <f t="shared" si="102"/>
        <v>7</v>
      </c>
      <c r="M1271" s="17">
        <v>1.4833299999999999E-3</v>
      </c>
      <c r="N1271" s="46">
        <f t="shared" si="100"/>
        <v>-6.9775843199999993E-2</v>
      </c>
      <c r="O1271" s="16"/>
      <c r="P1271" s="63">
        <f t="shared" si="101"/>
        <v>-3.2340000000000004</v>
      </c>
      <c r="Q1271" s="16"/>
      <c r="R1271" s="48">
        <f t="shared" si="98"/>
        <v>-0.1212792</v>
      </c>
    </row>
    <row r="1272" spans="1:18">
      <c r="A1272" s="18" t="s">
        <v>17</v>
      </c>
      <c r="B1272" s="15" t="s">
        <v>891</v>
      </c>
      <c r="C1272" s="15" t="s">
        <v>892</v>
      </c>
      <c r="D1272" s="14" t="s">
        <v>893</v>
      </c>
      <c r="E1272" s="15" t="s">
        <v>32</v>
      </c>
      <c r="F1272" s="14" t="s">
        <v>22</v>
      </c>
      <c r="G1272" s="15" t="s">
        <v>23</v>
      </c>
      <c r="H1272" s="15"/>
      <c r="I1272" s="15">
        <v>201408</v>
      </c>
      <c r="J1272" s="70">
        <v>-3712.91</v>
      </c>
      <c r="K1272" s="44">
        <f t="shared" si="99"/>
        <v>41944</v>
      </c>
      <c r="L1272" s="45">
        <f t="shared" si="102"/>
        <v>7</v>
      </c>
      <c r="M1272" s="17">
        <v>1.4833299999999999E-3</v>
      </c>
      <c r="N1272" s="46">
        <f t="shared" si="100"/>
        <v>-38.552295532099997</v>
      </c>
      <c r="O1272" s="16"/>
      <c r="P1272" s="63">
        <f t="shared" si="101"/>
        <v>-1786.8379375000002</v>
      </c>
      <c r="Q1272" s="16"/>
      <c r="R1272" s="48">
        <f t="shared" si="98"/>
        <v>-67.008743225000003</v>
      </c>
    </row>
    <row r="1273" spans="1:18">
      <c r="A1273" s="18" t="s">
        <v>17</v>
      </c>
      <c r="B1273" s="15" t="s">
        <v>894</v>
      </c>
      <c r="C1273" s="15" t="s">
        <v>895</v>
      </c>
      <c r="D1273" s="14" t="s">
        <v>896</v>
      </c>
      <c r="E1273" s="15" t="s">
        <v>440</v>
      </c>
      <c r="F1273" s="14" t="s">
        <v>28</v>
      </c>
      <c r="G1273" s="15" t="s">
        <v>23</v>
      </c>
      <c r="H1273" s="15"/>
      <c r="I1273" s="15">
        <v>201408</v>
      </c>
      <c r="J1273" s="70">
        <v>-178.22</v>
      </c>
      <c r="K1273" s="44">
        <f t="shared" si="99"/>
        <v>41944</v>
      </c>
      <c r="L1273" s="45">
        <f t="shared" si="102"/>
        <v>7</v>
      </c>
      <c r="M1273" s="17">
        <v>1.4833299999999999E-3</v>
      </c>
      <c r="N1273" s="46">
        <f t="shared" si="100"/>
        <v>-1.8505135081999999</v>
      </c>
      <c r="O1273" s="16"/>
      <c r="P1273" s="63">
        <f t="shared" si="101"/>
        <v>-85.768375000000006</v>
      </c>
      <c r="Q1273" s="16"/>
      <c r="R1273" s="48">
        <f t="shared" si="98"/>
        <v>-3.21642545</v>
      </c>
    </row>
    <row r="1274" spans="1:18">
      <c r="A1274" s="18" t="s">
        <v>17</v>
      </c>
      <c r="B1274" s="15" t="s">
        <v>981</v>
      </c>
      <c r="C1274" s="15" t="s">
        <v>982</v>
      </c>
      <c r="D1274" s="14" t="s">
        <v>983</v>
      </c>
      <c r="E1274" s="15" t="s">
        <v>440</v>
      </c>
      <c r="F1274" s="14" t="s">
        <v>28</v>
      </c>
      <c r="G1274" s="15" t="s">
        <v>23</v>
      </c>
      <c r="H1274" s="15"/>
      <c r="I1274" s="15">
        <v>201408</v>
      </c>
      <c r="J1274" s="70">
        <v>3527.99</v>
      </c>
      <c r="K1274" s="44">
        <f t="shared" si="99"/>
        <v>41944</v>
      </c>
      <c r="L1274" s="45">
        <f t="shared" si="102"/>
        <v>7</v>
      </c>
      <c r="M1274" s="17">
        <v>1.4833299999999999E-3</v>
      </c>
      <c r="N1274" s="46">
        <f t="shared" si="100"/>
        <v>36.632213846899994</v>
      </c>
      <c r="O1274" s="16"/>
      <c r="P1274" s="63">
        <f t="shared" si="101"/>
        <v>1697.8451875000001</v>
      </c>
      <c r="Q1274" s="16"/>
      <c r="R1274" s="48">
        <f t="shared" si="98"/>
        <v>63.671399524999998</v>
      </c>
    </row>
    <row r="1275" spans="1:18">
      <c r="A1275" s="18" t="s">
        <v>17</v>
      </c>
      <c r="B1275" s="15" t="s">
        <v>987</v>
      </c>
      <c r="C1275" s="15" t="s">
        <v>988</v>
      </c>
      <c r="D1275" s="14" t="s">
        <v>989</v>
      </c>
      <c r="E1275" s="15" t="s">
        <v>45</v>
      </c>
      <c r="F1275" s="14" t="s">
        <v>22</v>
      </c>
      <c r="G1275" s="15" t="s">
        <v>23</v>
      </c>
      <c r="H1275" s="15"/>
      <c r="I1275" s="15">
        <v>201408</v>
      </c>
      <c r="J1275" s="70">
        <v>4721.45</v>
      </c>
      <c r="K1275" s="44">
        <f t="shared" si="99"/>
        <v>41944</v>
      </c>
      <c r="L1275" s="45">
        <f t="shared" si="102"/>
        <v>7</v>
      </c>
      <c r="M1275" s="17">
        <v>1.4833299999999999E-3</v>
      </c>
      <c r="N1275" s="46">
        <f t="shared" si="100"/>
        <v>49.024278999499998</v>
      </c>
      <c r="O1275" s="16"/>
      <c r="P1275" s="63">
        <f t="shared" si="101"/>
        <v>2272.1978125000001</v>
      </c>
      <c r="Q1275" s="16"/>
      <c r="R1275" s="48">
        <f t="shared" si="98"/>
        <v>85.210368875</v>
      </c>
    </row>
    <row r="1276" spans="1:18">
      <c r="A1276" s="14" t="s">
        <v>54</v>
      </c>
      <c r="B1276" s="15" t="s">
        <v>59</v>
      </c>
      <c r="C1276" s="15" t="s">
        <v>60</v>
      </c>
      <c r="D1276" s="14" t="s">
        <v>61</v>
      </c>
      <c r="E1276" s="15" t="s">
        <v>62</v>
      </c>
      <c r="F1276" s="14" t="s">
        <v>22</v>
      </c>
      <c r="G1276" s="15" t="s">
        <v>23</v>
      </c>
      <c r="H1276" s="15"/>
      <c r="I1276" s="15">
        <v>201408</v>
      </c>
      <c r="J1276" s="70">
        <v>2499.5</v>
      </c>
      <c r="K1276" s="44">
        <f t="shared" si="99"/>
        <v>41944</v>
      </c>
      <c r="L1276" s="45">
        <f t="shared" si="102"/>
        <v>7</v>
      </c>
      <c r="M1276" s="17">
        <v>1.4833299999999999E-3</v>
      </c>
      <c r="N1276" s="46">
        <f t="shared" si="100"/>
        <v>25.953083345</v>
      </c>
      <c r="O1276" s="16"/>
      <c r="P1276" s="63">
        <f t="shared" si="101"/>
        <v>1202.8843750000001</v>
      </c>
      <c r="Q1276" s="16"/>
      <c r="R1276" s="48">
        <f t="shared" si="98"/>
        <v>45.109726250000001</v>
      </c>
    </row>
    <row r="1277" spans="1:18">
      <c r="A1277" s="14" t="s">
        <v>54</v>
      </c>
      <c r="B1277" s="15" t="s">
        <v>138</v>
      </c>
      <c r="C1277" s="15" t="s">
        <v>139</v>
      </c>
      <c r="D1277" s="14" t="s">
        <v>140</v>
      </c>
      <c r="E1277" s="15" t="s">
        <v>141</v>
      </c>
      <c r="F1277" s="14" t="s">
        <v>142</v>
      </c>
      <c r="G1277" s="15" t="s">
        <v>23</v>
      </c>
      <c r="H1277" s="15"/>
      <c r="I1277" s="15">
        <v>201408</v>
      </c>
      <c r="J1277" s="70">
        <v>-942.88</v>
      </c>
      <c r="K1277" s="44">
        <f t="shared" si="99"/>
        <v>41944</v>
      </c>
      <c r="L1277" s="45">
        <f t="shared" si="102"/>
        <v>7</v>
      </c>
      <c r="M1277" s="17">
        <v>1.4833299999999999E-3</v>
      </c>
      <c r="N1277" s="46">
        <f t="shared" si="100"/>
        <v>-9.790215332799999</v>
      </c>
      <c r="O1277" s="16"/>
      <c r="P1277" s="63">
        <f t="shared" si="101"/>
        <v>-453.76100000000008</v>
      </c>
      <c r="Q1277" s="16"/>
      <c r="R1277" s="48">
        <f t="shared" si="98"/>
        <v>-17.016626800000001</v>
      </c>
    </row>
    <row r="1278" spans="1:18">
      <c r="A1278" s="14" t="s">
        <v>54</v>
      </c>
      <c r="B1278" s="15" t="s">
        <v>170</v>
      </c>
      <c r="C1278" s="15" t="s">
        <v>171</v>
      </c>
      <c r="D1278" s="14" t="s">
        <v>172</v>
      </c>
      <c r="E1278" s="15" t="s">
        <v>62</v>
      </c>
      <c r="F1278" s="14" t="s">
        <v>22</v>
      </c>
      <c r="G1278" s="15" t="s">
        <v>23</v>
      </c>
      <c r="H1278" s="15"/>
      <c r="I1278" s="15">
        <v>201408</v>
      </c>
      <c r="J1278" s="70">
        <v>-298.57</v>
      </c>
      <c r="K1278" s="44">
        <f t="shared" si="99"/>
        <v>41944</v>
      </c>
      <c r="L1278" s="45">
        <f t="shared" si="102"/>
        <v>7</v>
      </c>
      <c r="M1278" s="17">
        <v>1.4833299999999999E-3</v>
      </c>
      <c r="N1278" s="46">
        <f t="shared" si="100"/>
        <v>-3.1001448667</v>
      </c>
      <c r="O1278" s="16"/>
      <c r="P1278" s="63">
        <f t="shared" si="101"/>
        <v>-143.68681250000003</v>
      </c>
      <c r="Q1278" s="16"/>
      <c r="R1278" s="48">
        <f t="shared" si="98"/>
        <v>-5.3884420750000004</v>
      </c>
    </row>
    <row r="1279" spans="1:18">
      <c r="A1279" s="14" t="s">
        <v>54</v>
      </c>
      <c r="B1279" s="15" t="s">
        <v>306</v>
      </c>
      <c r="C1279" s="15" t="s">
        <v>307</v>
      </c>
      <c r="D1279" s="14" t="s">
        <v>308</v>
      </c>
      <c r="E1279" s="15" t="s">
        <v>36</v>
      </c>
      <c r="F1279" s="14" t="s">
        <v>22</v>
      </c>
      <c r="G1279" s="15" t="s">
        <v>23</v>
      </c>
      <c r="H1279" s="15"/>
      <c r="I1279" s="15">
        <v>201408</v>
      </c>
      <c r="J1279" s="70">
        <v>-70.010000000000005</v>
      </c>
      <c r="K1279" s="44">
        <f t="shared" si="99"/>
        <v>41944</v>
      </c>
      <c r="L1279" s="45">
        <f t="shared" si="102"/>
        <v>7</v>
      </c>
      <c r="M1279" s="17">
        <v>1.4833299999999999E-3</v>
      </c>
      <c r="N1279" s="46">
        <f t="shared" si="100"/>
        <v>-0.72693553310000003</v>
      </c>
      <c r="O1279" s="16"/>
      <c r="P1279" s="63">
        <f t="shared" si="101"/>
        <v>-33.692312500000007</v>
      </c>
      <c r="Q1279" s="16"/>
      <c r="R1279" s="48">
        <f t="shared" si="98"/>
        <v>-1.2635054750000001</v>
      </c>
    </row>
    <row r="1280" spans="1:18">
      <c r="A1280" s="14" t="s">
        <v>54</v>
      </c>
      <c r="B1280" s="15" t="s">
        <v>326</v>
      </c>
      <c r="C1280" s="15" t="s">
        <v>327</v>
      </c>
      <c r="D1280" s="14" t="s">
        <v>328</v>
      </c>
      <c r="E1280" s="15" t="s">
        <v>32</v>
      </c>
      <c r="F1280" s="14" t="s">
        <v>22</v>
      </c>
      <c r="G1280" s="15" t="s">
        <v>23</v>
      </c>
      <c r="H1280" s="15"/>
      <c r="I1280" s="15">
        <v>201408</v>
      </c>
      <c r="J1280" s="70">
        <v>13.24</v>
      </c>
      <c r="K1280" s="44">
        <f t="shared" si="99"/>
        <v>41944</v>
      </c>
      <c r="L1280" s="45">
        <f t="shared" si="102"/>
        <v>7</v>
      </c>
      <c r="M1280" s="17">
        <v>1.4833299999999999E-3</v>
      </c>
      <c r="N1280" s="46">
        <f t="shared" si="100"/>
        <v>0.13747502440000001</v>
      </c>
      <c r="O1280" s="16"/>
      <c r="P1280" s="63">
        <f t="shared" si="101"/>
        <v>6.3717500000000014</v>
      </c>
      <c r="Q1280" s="16"/>
      <c r="R1280" s="48">
        <f t="shared" si="98"/>
        <v>0.23894890000000002</v>
      </c>
    </row>
    <row r="1281" spans="1:18">
      <c r="A1281" s="14" t="s">
        <v>54</v>
      </c>
      <c r="B1281" s="15" t="s">
        <v>332</v>
      </c>
      <c r="C1281" s="15" t="s">
        <v>333</v>
      </c>
      <c r="D1281" s="14" t="s">
        <v>334</v>
      </c>
      <c r="E1281" s="15" t="s">
        <v>36</v>
      </c>
      <c r="F1281" s="14" t="s">
        <v>22</v>
      </c>
      <c r="G1281" s="15" t="s">
        <v>23</v>
      </c>
      <c r="H1281" s="15"/>
      <c r="I1281" s="15">
        <v>201408</v>
      </c>
      <c r="J1281" s="70">
        <v>-11.3</v>
      </c>
      <c r="K1281" s="44">
        <f t="shared" si="99"/>
        <v>41944</v>
      </c>
      <c r="L1281" s="45">
        <f t="shared" si="102"/>
        <v>7</v>
      </c>
      <c r="M1281" s="17">
        <v>1.4833299999999999E-3</v>
      </c>
      <c r="N1281" s="46">
        <f t="shared" si="100"/>
        <v>-0.117331403</v>
      </c>
      <c r="O1281" s="16"/>
      <c r="P1281" s="63">
        <f t="shared" si="101"/>
        <v>-5.4381250000000012</v>
      </c>
      <c r="Q1281" s="16"/>
      <c r="R1281" s="48">
        <f t="shared" si="98"/>
        <v>-0.20393675000000003</v>
      </c>
    </row>
    <row r="1282" spans="1:18">
      <c r="A1282" s="14" t="s">
        <v>54</v>
      </c>
      <c r="B1282" s="15" t="s">
        <v>410</v>
      </c>
      <c r="C1282" s="15" t="s">
        <v>411</v>
      </c>
      <c r="D1282" s="14" t="s">
        <v>412</v>
      </c>
      <c r="E1282" s="15" t="s">
        <v>62</v>
      </c>
      <c r="F1282" s="14" t="s">
        <v>22</v>
      </c>
      <c r="G1282" s="15" t="s">
        <v>23</v>
      </c>
      <c r="H1282" s="15"/>
      <c r="I1282" s="15">
        <v>201408</v>
      </c>
      <c r="J1282" s="70">
        <v>-108.6</v>
      </c>
      <c r="K1282" s="44">
        <f t="shared" si="99"/>
        <v>41944</v>
      </c>
      <c r="L1282" s="45">
        <f t="shared" si="102"/>
        <v>7</v>
      </c>
      <c r="M1282" s="17">
        <v>1.4833299999999999E-3</v>
      </c>
      <c r="N1282" s="46">
        <f t="shared" si="100"/>
        <v>-1.1276274659999999</v>
      </c>
      <c r="O1282" s="16"/>
      <c r="P1282" s="63">
        <f t="shared" si="101"/>
        <v>-52.263750000000002</v>
      </c>
      <c r="Q1282" s="16"/>
      <c r="R1282" s="48">
        <f t="shared" si="98"/>
        <v>-1.9599584999999999</v>
      </c>
    </row>
    <row r="1283" spans="1:18">
      <c r="A1283" s="14" t="s">
        <v>54</v>
      </c>
      <c r="B1283" s="15" t="s">
        <v>416</v>
      </c>
      <c r="C1283" s="15" t="s">
        <v>417</v>
      </c>
      <c r="D1283" s="14" t="s">
        <v>418</v>
      </c>
      <c r="E1283" s="15" t="s">
        <v>141</v>
      </c>
      <c r="F1283" s="14" t="s">
        <v>142</v>
      </c>
      <c r="G1283" s="15" t="s">
        <v>23</v>
      </c>
      <c r="H1283" s="15"/>
      <c r="I1283" s="15">
        <v>201408</v>
      </c>
      <c r="J1283" s="70">
        <v>537.80999999999995</v>
      </c>
      <c r="K1283" s="44">
        <f t="shared" si="99"/>
        <v>41944</v>
      </c>
      <c r="L1283" s="45">
        <f t="shared" si="102"/>
        <v>7</v>
      </c>
      <c r="M1283" s="17">
        <v>1.4833299999999999E-3</v>
      </c>
      <c r="N1283" s="46">
        <f t="shared" si="100"/>
        <v>5.5842479510999992</v>
      </c>
      <c r="O1283" s="16"/>
      <c r="P1283" s="63">
        <f t="shared" si="101"/>
        <v>258.82106249999998</v>
      </c>
      <c r="Q1283" s="16"/>
      <c r="R1283" s="48">
        <f t="shared" si="98"/>
        <v>9.7061259749999991</v>
      </c>
    </row>
    <row r="1284" spans="1:18">
      <c r="A1284" s="14" t="s">
        <v>54</v>
      </c>
      <c r="B1284" s="15" t="s">
        <v>419</v>
      </c>
      <c r="C1284" s="15" t="s">
        <v>420</v>
      </c>
      <c r="D1284" s="14" t="s">
        <v>421</v>
      </c>
      <c r="E1284" s="15" t="s">
        <v>32</v>
      </c>
      <c r="F1284" s="14" t="s">
        <v>22</v>
      </c>
      <c r="G1284" s="15" t="s">
        <v>23</v>
      </c>
      <c r="H1284" s="15"/>
      <c r="I1284" s="15">
        <v>201408</v>
      </c>
      <c r="J1284" s="70">
        <v>-473.17</v>
      </c>
      <c r="K1284" s="44">
        <f t="shared" si="99"/>
        <v>41944</v>
      </c>
      <c r="L1284" s="45">
        <f t="shared" si="102"/>
        <v>7</v>
      </c>
      <c r="M1284" s="17">
        <v>1.4833299999999999E-3</v>
      </c>
      <c r="N1284" s="46">
        <f t="shared" si="100"/>
        <v>-4.9130707927000001</v>
      </c>
      <c r="O1284" s="16"/>
      <c r="P1284" s="63">
        <f t="shared" si="101"/>
        <v>-227.71306250000004</v>
      </c>
      <c r="Q1284" s="16"/>
      <c r="R1284" s="48">
        <f t="shared" si="98"/>
        <v>-8.5395355750000004</v>
      </c>
    </row>
    <row r="1285" spans="1:18">
      <c r="A1285" s="14" t="s">
        <v>54</v>
      </c>
      <c r="B1285" s="15" t="s">
        <v>434</v>
      </c>
      <c r="C1285" s="15" t="s">
        <v>435</v>
      </c>
      <c r="D1285" s="14" t="s">
        <v>436</v>
      </c>
      <c r="E1285" s="15" t="s">
        <v>58</v>
      </c>
      <c r="F1285" s="14" t="s">
        <v>22</v>
      </c>
      <c r="G1285" s="15" t="s">
        <v>23</v>
      </c>
      <c r="H1285" s="15"/>
      <c r="I1285" s="15">
        <v>201408</v>
      </c>
      <c r="J1285" s="70">
        <v>-104.98</v>
      </c>
      <c r="K1285" s="44">
        <f t="shared" si="99"/>
        <v>41944</v>
      </c>
      <c r="L1285" s="45">
        <f t="shared" si="102"/>
        <v>7</v>
      </c>
      <c r="M1285" s="17">
        <v>1.4833299999999999E-3</v>
      </c>
      <c r="N1285" s="46">
        <f t="shared" si="100"/>
        <v>-1.0900398838000001</v>
      </c>
      <c r="O1285" s="16"/>
      <c r="P1285" s="63">
        <f t="shared" si="101"/>
        <v>-50.521625000000007</v>
      </c>
      <c r="Q1285" s="16"/>
      <c r="R1285" s="48">
        <f t="shared" si="98"/>
        <v>-1.8946265500000001</v>
      </c>
    </row>
    <row r="1286" spans="1:18">
      <c r="A1286" s="14" t="s">
        <v>54</v>
      </c>
      <c r="B1286" s="15" t="s">
        <v>441</v>
      </c>
      <c r="C1286" s="15" t="s">
        <v>442</v>
      </c>
      <c r="D1286" s="14" t="s">
        <v>443</v>
      </c>
      <c r="E1286" s="15" t="s">
        <v>141</v>
      </c>
      <c r="F1286" s="14" t="s">
        <v>142</v>
      </c>
      <c r="G1286" s="15" t="s">
        <v>23</v>
      </c>
      <c r="H1286" s="15"/>
      <c r="I1286" s="15">
        <v>201408</v>
      </c>
      <c r="J1286" s="70">
        <v>20303.78</v>
      </c>
      <c r="K1286" s="44">
        <f t="shared" si="99"/>
        <v>41944</v>
      </c>
      <c r="L1286" s="45">
        <f t="shared" si="102"/>
        <v>7</v>
      </c>
      <c r="M1286" s="17">
        <v>1.4833299999999999E-3</v>
      </c>
      <c r="N1286" s="46">
        <f t="shared" si="100"/>
        <v>210.82044191179997</v>
      </c>
      <c r="O1286" s="16"/>
      <c r="P1286" s="63">
        <f t="shared" si="101"/>
        <v>9771.194125</v>
      </c>
      <c r="Q1286" s="16"/>
      <c r="R1286" s="48">
        <f t="shared" ref="R1286:R1349" si="103">$R$4*(J1286*0.5)*$T$9</f>
        <v>366.43246955000001</v>
      </c>
    </row>
    <row r="1287" spans="1:18">
      <c r="A1287" s="14" t="s">
        <v>54</v>
      </c>
      <c r="B1287" s="15" t="s">
        <v>444</v>
      </c>
      <c r="C1287" s="15" t="s">
        <v>445</v>
      </c>
      <c r="D1287" s="14" t="s">
        <v>446</v>
      </c>
      <c r="E1287" s="15" t="s">
        <v>62</v>
      </c>
      <c r="F1287" s="14" t="s">
        <v>22</v>
      </c>
      <c r="G1287" s="15" t="s">
        <v>23</v>
      </c>
      <c r="H1287" s="15"/>
      <c r="I1287" s="15">
        <v>201408</v>
      </c>
      <c r="J1287" s="70">
        <v>35211.61</v>
      </c>
      <c r="K1287" s="44">
        <f t="shared" ref="K1287:K1350" si="104">+K1286</f>
        <v>41944</v>
      </c>
      <c r="L1287" s="45">
        <f t="shared" si="102"/>
        <v>7</v>
      </c>
      <c r="M1287" s="17">
        <v>1.4833299999999999E-3</v>
      </c>
      <c r="N1287" s="46">
        <f t="shared" si="100"/>
        <v>365.61306222910002</v>
      </c>
      <c r="O1287" s="16"/>
      <c r="P1287" s="63">
        <f t="shared" si="101"/>
        <v>16945.587312500003</v>
      </c>
      <c r="Q1287" s="16"/>
      <c r="R1287" s="48">
        <f t="shared" si="103"/>
        <v>635.481531475</v>
      </c>
    </row>
    <row r="1288" spans="1:18">
      <c r="A1288" s="14" t="s">
        <v>54</v>
      </c>
      <c r="B1288" s="15" t="s">
        <v>453</v>
      </c>
      <c r="C1288" s="15" t="s">
        <v>454</v>
      </c>
      <c r="D1288" s="14" t="s">
        <v>455</v>
      </c>
      <c r="E1288" s="15" t="s">
        <v>62</v>
      </c>
      <c r="F1288" s="14" t="s">
        <v>22</v>
      </c>
      <c r="G1288" s="15" t="s">
        <v>23</v>
      </c>
      <c r="H1288" s="15"/>
      <c r="I1288" s="15">
        <v>201408</v>
      </c>
      <c r="J1288" s="70">
        <v>-339.64</v>
      </c>
      <c r="K1288" s="44">
        <f t="shared" si="104"/>
        <v>41944</v>
      </c>
      <c r="L1288" s="45">
        <f t="shared" si="102"/>
        <v>7</v>
      </c>
      <c r="M1288" s="17">
        <v>1.4833299999999999E-3</v>
      </c>
      <c r="N1288" s="46">
        <f t="shared" si="100"/>
        <v>-3.5265874083999997</v>
      </c>
      <c r="O1288" s="16"/>
      <c r="P1288" s="63">
        <f t="shared" si="101"/>
        <v>-163.45175</v>
      </c>
      <c r="Q1288" s="16"/>
      <c r="R1288" s="48">
        <f t="shared" si="103"/>
        <v>-6.1296529</v>
      </c>
    </row>
    <row r="1289" spans="1:18">
      <c r="A1289" s="14" t="s">
        <v>54</v>
      </c>
      <c r="B1289" s="15" t="s">
        <v>459</v>
      </c>
      <c r="C1289" s="15" t="s">
        <v>460</v>
      </c>
      <c r="D1289" s="14" t="s">
        <v>461</v>
      </c>
      <c r="E1289" s="15" t="s">
        <v>462</v>
      </c>
      <c r="F1289" s="14" t="s">
        <v>142</v>
      </c>
      <c r="G1289" s="15" t="s">
        <v>23</v>
      </c>
      <c r="H1289" s="15"/>
      <c r="I1289" s="15">
        <v>201408</v>
      </c>
      <c r="J1289" s="70">
        <v>-413.16</v>
      </c>
      <c r="K1289" s="44">
        <f t="shared" si="104"/>
        <v>41944</v>
      </c>
      <c r="L1289" s="45">
        <f t="shared" si="102"/>
        <v>7</v>
      </c>
      <c r="M1289" s="17">
        <v>1.4833299999999999E-3</v>
      </c>
      <c r="N1289" s="46">
        <f t="shared" si="100"/>
        <v>-4.2899683596000004</v>
      </c>
      <c r="O1289" s="16"/>
      <c r="P1289" s="63">
        <f t="shared" si="101"/>
        <v>-198.83325000000005</v>
      </c>
      <c r="Q1289" s="16"/>
      <c r="R1289" s="48">
        <f t="shared" si="103"/>
        <v>-7.4565051000000011</v>
      </c>
    </row>
    <row r="1290" spans="1:18">
      <c r="A1290" s="14" t="s">
        <v>54</v>
      </c>
      <c r="B1290" s="15" t="s">
        <v>546</v>
      </c>
      <c r="C1290" s="15" t="s">
        <v>547</v>
      </c>
      <c r="D1290" s="14" t="s">
        <v>548</v>
      </c>
      <c r="E1290" s="15" t="s">
        <v>141</v>
      </c>
      <c r="F1290" s="14" t="s">
        <v>142</v>
      </c>
      <c r="G1290" s="15" t="s">
        <v>23</v>
      </c>
      <c r="H1290" s="15"/>
      <c r="I1290" s="15">
        <v>201408</v>
      </c>
      <c r="J1290" s="70">
        <v>1829.43</v>
      </c>
      <c r="K1290" s="44">
        <f t="shared" si="104"/>
        <v>41944</v>
      </c>
      <c r="L1290" s="45">
        <f t="shared" si="102"/>
        <v>7</v>
      </c>
      <c r="M1290" s="17">
        <v>1.4833299999999999E-3</v>
      </c>
      <c r="N1290" s="46">
        <f t="shared" si="100"/>
        <v>18.995538813300001</v>
      </c>
      <c r="O1290" s="16"/>
      <c r="P1290" s="63">
        <f t="shared" si="101"/>
        <v>880.41318750000016</v>
      </c>
      <c r="Q1290" s="16"/>
      <c r="R1290" s="48">
        <f t="shared" si="103"/>
        <v>33.016637925000005</v>
      </c>
    </row>
    <row r="1291" spans="1:18">
      <c r="A1291" s="14" t="s">
        <v>54</v>
      </c>
      <c r="B1291" s="15" t="s">
        <v>558</v>
      </c>
      <c r="C1291" s="15" t="s">
        <v>559</v>
      </c>
      <c r="D1291" s="14" t="s">
        <v>560</v>
      </c>
      <c r="E1291" s="15" t="s">
        <v>36</v>
      </c>
      <c r="F1291" s="14" t="s">
        <v>22</v>
      </c>
      <c r="G1291" s="15" t="s">
        <v>23</v>
      </c>
      <c r="H1291" s="15"/>
      <c r="I1291" s="15">
        <v>201408</v>
      </c>
      <c r="J1291" s="70">
        <v>2240.23</v>
      </c>
      <c r="K1291" s="44">
        <f t="shared" si="104"/>
        <v>41944</v>
      </c>
      <c r="L1291" s="45">
        <f t="shared" si="102"/>
        <v>7</v>
      </c>
      <c r="M1291" s="17">
        <v>1.4833299999999999E-3</v>
      </c>
      <c r="N1291" s="46">
        <f t="shared" si="100"/>
        <v>23.2610025613</v>
      </c>
      <c r="O1291" s="16"/>
      <c r="P1291" s="63">
        <f t="shared" si="101"/>
        <v>1078.1106875000003</v>
      </c>
      <c r="Q1291" s="16"/>
      <c r="R1291" s="48">
        <f t="shared" si="103"/>
        <v>40.430550925000006</v>
      </c>
    </row>
    <row r="1292" spans="1:18">
      <c r="A1292" s="14" t="s">
        <v>54</v>
      </c>
      <c r="B1292" s="15" t="s">
        <v>561</v>
      </c>
      <c r="C1292" s="15" t="s">
        <v>562</v>
      </c>
      <c r="D1292" s="14" t="s">
        <v>563</v>
      </c>
      <c r="E1292" s="15" t="s">
        <v>58</v>
      </c>
      <c r="F1292" s="14" t="s">
        <v>22</v>
      </c>
      <c r="G1292" s="15" t="s">
        <v>23</v>
      </c>
      <c r="H1292" s="15"/>
      <c r="I1292" s="15">
        <v>201408</v>
      </c>
      <c r="J1292" s="70">
        <v>-188.51</v>
      </c>
      <c r="K1292" s="44">
        <f t="shared" si="104"/>
        <v>41944</v>
      </c>
      <c r="L1292" s="45">
        <f t="shared" si="102"/>
        <v>7</v>
      </c>
      <c r="M1292" s="17">
        <v>1.4833299999999999E-3</v>
      </c>
      <c r="N1292" s="46">
        <f t="shared" ref="N1292:N1355" si="105">M1292*L1292*J1292</f>
        <v>-1.9573577680999998</v>
      </c>
      <c r="O1292" s="16"/>
      <c r="P1292" s="63">
        <f t="shared" ref="P1292:P1355" si="106">$P$4*J1292</f>
        <v>-90.720437500000003</v>
      </c>
      <c r="Q1292" s="16"/>
      <c r="R1292" s="48">
        <f t="shared" si="103"/>
        <v>-3.4021342250000002</v>
      </c>
    </row>
    <row r="1293" spans="1:18">
      <c r="A1293" s="14" t="s">
        <v>54</v>
      </c>
      <c r="B1293" s="15" t="s">
        <v>575</v>
      </c>
      <c r="C1293" s="15" t="s">
        <v>576</v>
      </c>
      <c r="D1293" s="14" t="s">
        <v>577</v>
      </c>
      <c r="E1293" s="15" t="s">
        <v>462</v>
      </c>
      <c r="F1293" s="14" t="s">
        <v>142</v>
      </c>
      <c r="G1293" s="15" t="s">
        <v>23</v>
      </c>
      <c r="H1293" s="15"/>
      <c r="I1293" s="15">
        <v>201408</v>
      </c>
      <c r="J1293" s="70">
        <v>4067.41</v>
      </c>
      <c r="K1293" s="44">
        <f t="shared" si="104"/>
        <v>41944</v>
      </c>
      <c r="L1293" s="45">
        <f t="shared" ref="L1293:L1356" si="107">((YEAR($L$1)-YEAR(K1293))*12+MONTH($L$1)-MONTH(K1293))</f>
        <v>7</v>
      </c>
      <c r="M1293" s="17">
        <v>1.4833299999999999E-3</v>
      </c>
      <c r="N1293" s="46">
        <f t="shared" si="105"/>
        <v>42.233178927099999</v>
      </c>
      <c r="O1293" s="16"/>
      <c r="P1293" s="63">
        <f t="shared" si="106"/>
        <v>1957.4410625000003</v>
      </c>
      <c r="Q1293" s="16"/>
      <c r="R1293" s="48">
        <f t="shared" si="103"/>
        <v>73.406581974999995</v>
      </c>
    </row>
    <row r="1294" spans="1:18">
      <c r="A1294" s="14" t="s">
        <v>54</v>
      </c>
      <c r="B1294" s="15" t="s">
        <v>707</v>
      </c>
      <c r="C1294" s="15" t="s">
        <v>708</v>
      </c>
      <c r="D1294" s="14" t="s">
        <v>709</v>
      </c>
      <c r="E1294" s="15" t="s">
        <v>62</v>
      </c>
      <c r="F1294" s="14" t="s">
        <v>22</v>
      </c>
      <c r="G1294" s="15" t="s">
        <v>23</v>
      </c>
      <c r="H1294" s="15"/>
      <c r="I1294" s="15">
        <v>201408</v>
      </c>
      <c r="J1294" s="70">
        <v>720.87</v>
      </c>
      <c r="K1294" s="44">
        <f t="shared" si="104"/>
        <v>41944</v>
      </c>
      <c r="L1294" s="45">
        <f t="shared" si="107"/>
        <v>7</v>
      </c>
      <c r="M1294" s="17">
        <v>1.4833299999999999E-3</v>
      </c>
      <c r="N1294" s="46">
        <f t="shared" si="105"/>
        <v>7.4850166797000002</v>
      </c>
      <c r="O1294" s="16"/>
      <c r="P1294" s="63">
        <f t="shared" si="106"/>
        <v>346.91868750000003</v>
      </c>
      <c r="Q1294" s="16"/>
      <c r="R1294" s="48">
        <f t="shared" si="103"/>
        <v>13.009901325000001</v>
      </c>
    </row>
    <row r="1295" spans="1:18">
      <c r="A1295" s="14" t="s">
        <v>54</v>
      </c>
      <c r="B1295" s="15" t="s">
        <v>719</v>
      </c>
      <c r="C1295" s="15" t="s">
        <v>720</v>
      </c>
      <c r="D1295" s="14" t="s">
        <v>721</v>
      </c>
      <c r="E1295" s="15" t="s">
        <v>27</v>
      </c>
      <c r="F1295" s="14" t="s">
        <v>28</v>
      </c>
      <c r="G1295" s="15" t="s">
        <v>23</v>
      </c>
      <c r="H1295" s="15"/>
      <c r="I1295" s="15">
        <v>201408</v>
      </c>
      <c r="J1295" s="70">
        <v>-331.63</v>
      </c>
      <c r="K1295" s="44">
        <f t="shared" si="104"/>
        <v>41944</v>
      </c>
      <c r="L1295" s="45">
        <f t="shared" si="107"/>
        <v>7</v>
      </c>
      <c r="M1295" s="17">
        <v>1.4833299999999999E-3</v>
      </c>
      <c r="N1295" s="46">
        <f t="shared" si="105"/>
        <v>-3.4434170953000001</v>
      </c>
      <c r="O1295" s="16"/>
      <c r="P1295" s="63">
        <f t="shared" si="106"/>
        <v>-159.59693750000002</v>
      </c>
      <c r="Q1295" s="16"/>
      <c r="R1295" s="48">
        <f t="shared" si="103"/>
        <v>-5.9850924250000004</v>
      </c>
    </row>
    <row r="1296" spans="1:18">
      <c r="A1296" s="18" t="s">
        <v>54</v>
      </c>
      <c r="B1296" s="15" t="s">
        <v>792</v>
      </c>
      <c r="C1296" s="15" t="s">
        <v>793</v>
      </c>
      <c r="D1296" s="14" t="s">
        <v>794</v>
      </c>
      <c r="E1296" s="15" t="s">
        <v>58</v>
      </c>
      <c r="F1296" s="14" t="s">
        <v>22</v>
      </c>
      <c r="G1296" s="15" t="s">
        <v>23</v>
      </c>
      <c r="H1296" s="15"/>
      <c r="I1296" s="15">
        <v>201408</v>
      </c>
      <c r="J1296" s="70">
        <v>5229.29</v>
      </c>
      <c r="K1296" s="44">
        <f t="shared" si="104"/>
        <v>41944</v>
      </c>
      <c r="L1296" s="45">
        <f t="shared" si="107"/>
        <v>7</v>
      </c>
      <c r="M1296" s="17">
        <v>1.4833299999999999E-3</v>
      </c>
      <c r="N1296" s="46">
        <f t="shared" si="105"/>
        <v>54.297339149899997</v>
      </c>
      <c r="O1296" s="16"/>
      <c r="P1296" s="63">
        <f t="shared" si="106"/>
        <v>2516.5958125000002</v>
      </c>
      <c r="Q1296" s="16"/>
      <c r="R1296" s="48">
        <f t="shared" si="103"/>
        <v>94.375611275000011</v>
      </c>
    </row>
    <row r="1297" spans="1:18">
      <c r="A1297" s="18" t="s">
        <v>54</v>
      </c>
      <c r="B1297" s="15" t="s">
        <v>816</v>
      </c>
      <c r="C1297" s="15" t="s">
        <v>817</v>
      </c>
      <c r="D1297" s="14" t="s">
        <v>818</v>
      </c>
      <c r="E1297" s="15" t="s">
        <v>62</v>
      </c>
      <c r="F1297" s="14" t="s">
        <v>22</v>
      </c>
      <c r="G1297" s="15" t="s">
        <v>23</v>
      </c>
      <c r="H1297" s="15"/>
      <c r="I1297" s="15">
        <v>201408</v>
      </c>
      <c r="J1297" s="70">
        <v>-480.21</v>
      </c>
      <c r="K1297" s="44">
        <f t="shared" si="104"/>
        <v>41944</v>
      </c>
      <c r="L1297" s="45">
        <f t="shared" si="107"/>
        <v>7</v>
      </c>
      <c r="M1297" s="17">
        <v>1.4833299999999999E-3</v>
      </c>
      <c r="N1297" s="46">
        <f t="shared" si="105"/>
        <v>-4.9861692950999998</v>
      </c>
      <c r="O1297" s="16"/>
      <c r="P1297" s="63">
        <f t="shared" si="106"/>
        <v>-231.10106250000001</v>
      </c>
      <c r="Q1297" s="16"/>
      <c r="R1297" s="48">
        <f t="shared" si="103"/>
        <v>-8.6665899750000008</v>
      </c>
    </row>
    <row r="1298" spans="1:18">
      <c r="A1298" s="18" t="s">
        <v>54</v>
      </c>
      <c r="B1298" s="15" t="s">
        <v>827</v>
      </c>
      <c r="C1298" s="15" t="s">
        <v>828</v>
      </c>
      <c r="D1298" s="14" t="s">
        <v>829</v>
      </c>
      <c r="E1298" s="15" t="s">
        <v>62</v>
      </c>
      <c r="F1298" s="14" t="s">
        <v>22</v>
      </c>
      <c r="G1298" s="15" t="s">
        <v>23</v>
      </c>
      <c r="H1298" s="15"/>
      <c r="I1298" s="15">
        <v>201408</v>
      </c>
      <c r="J1298" s="70">
        <v>-33.380000000000003</v>
      </c>
      <c r="K1298" s="44">
        <f t="shared" si="104"/>
        <v>41944</v>
      </c>
      <c r="L1298" s="45">
        <f t="shared" si="107"/>
        <v>7</v>
      </c>
      <c r="M1298" s="17">
        <v>1.4833299999999999E-3</v>
      </c>
      <c r="N1298" s="46">
        <f t="shared" si="105"/>
        <v>-0.34659488780000003</v>
      </c>
      <c r="O1298" s="16"/>
      <c r="P1298" s="63">
        <f t="shared" si="106"/>
        <v>-16.064125000000004</v>
      </c>
      <c r="Q1298" s="16"/>
      <c r="R1298" s="48">
        <f t="shared" si="103"/>
        <v>-0.60242555000000009</v>
      </c>
    </row>
    <row r="1299" spans="1:18">
      <c r="A1299" s="18" t="s">
        <v>54</v>
      </c>
      <c r="B1299" s="15" t="s">
        <v>836</v>
      </c>
      <c r="C1299" s="15" t="s">
        <v>837</v>
      </c>
      <c r="D1299" s="14" t="s">
        <v>838</v>
      </c>
      <c r="E1299" s="15" t="s">
        <v>21</v>
      </c>
      <c r="F1299" s="14" t="s">
        <v>22</v>
      </c>
      <c r="G1299" s="15" t="s">
        <v>23</v>
      </c>
      <c r="H1299" s="15"/>
      <c r="I1299" s="15">
        <v>201408</v>
      </c>
      <c r="J1299" s="70">
        <v>1299.1099999999999</v>
      </c>
      <c r="K1299" s="44">
        <f t="shared" si="104"/>
        <v>41944</v>
      </c>
      <c r="L1299" s="45">
        <f t="shared" si="107"/>
        <v>7</v>
      </c>
      <c r="M1299" s="17">
        <v>1.4833299999999999E-3</v>
      </c>
      <c r="N1299" s="46">
        <f t="shared" si="105"/>
        <v>13.489061854099999</v>
      </c>
      <c r="O1299" s="16"/>
      <c r="P1299" s="63">
        <f t="shared" si="106"/>
        <v>625.19668750000005</v>
      </c>
      <c r="Q1299" s="16"/>
      <c r="R1299" s="48">
        <f t="shared" si="103"/>
        <v>23.445687724999999</v>
      </c>
    </row>
    <row r="1300" spans="1:18">
      <c r="A1300" s="18" t="s">
        <v>54</v>
      </c>
      <c r="B1300" s="15" t="s">
        <v>855</v>
      </c>
      <c r="C1300" s="15" t="s">
        <v>856</v>
      </c>
      <c r="D1300" s="14" t="s">
        <v>857</v>
      </c>
      <c r="E1300" s="15" t="s">
        <v>62</v>
      </c>
      <c r="F1300" s="14" t="s">
        <v>22</v>
      </c>
      <c r="G1300" s="15" t="s">
        <v>23</v>
      </c>
      <c r="H1300" s="15"/>
      <c r="I1300" s="15">
        <v>201408</v>
      </c>
      <c r="J1300" s="70">
        <v>2828.23</v>
      </c>
      <c r="K1300" s="44">
        <f t="shared" si="104"/>
        <v>41944</v>
      </c>
      <c r="L1300" s="45">
        <f t="shared" si="107"/>
        <v>7</v>
      </c>
      <c r="M1300" s="17">
        <v>1.4833299999999999E-3</v>
      </c>
      <c r="N1300" s="46">
        <f t="shared" si="105"/>
        <v>29.366388841300001</v>
      </c>
      <c r="O1300" s="16"/>
      <c r="P1300" s="63">
        <f t="shared" si="106"/>
        <v>1361.0856875000002</v>
      </c>
      <c r="Q1300" s="16"/>
      <c r="R1300" s="48">
        <f t="shared" si="103"/>
        <v>51.042480925000007</v>
      </c>
    </row>
    <row r="1301" spans="1:18">
      <c r="A1301" s="18" t="s">
        <v>54</v>
      </c>
      <c r="B1301" s="15" t="s">
        <v>861</v>
      </c>
      <c r="C1301" s="15" t="s">
        <v>862</v>
      </c>
      <c r="D1301" s="14" t="s">
        <v>863</v>
      </c>
      <c r="E1301" s="15" t="s">
        <v>45</v>
      </c>
      <c r="F1301" s="14" t="s">
        <v>22</v>
      </c>
      <c r="G1301" s="15" t="s">
        <v>23</v>
      </c>
      <c r="H1301" s="15"/>
      <c r="I1301" s="15">
        <v>201408</v>
      </c>
      <c r="J1301" s="70">
        <v>-163.19999999999999</v>
      </c>
      <c r="K1301" s="44">
        <f t="shared" si="104"/>
        <v>41944</v>
      </c>
      <c r="L1301" s="45">
        <f t="shared" si="107"/>
        <v>7</v>
      </c>
      <c r="M1301" s="17">
        <v>1.4833299999999999E-3</v>
      </c>
      <c r="N1301" s="46">
        <f t="shared" si="105"/>
        <v>-1.6945561919999999</v>
      </c>
      <c r="O1301" s="16"/>
      <c r="P1301" s="63">
        <f t="shared" si="106"/>
        <v>-78.540000000000006</v>
      </c>
      <c r="Q1301" s="16"/>
      <c r="R1301" s="48">
        <f t="shared" si="103"/>
        <v>-2.9453519999999997</v>
      </c>
    </row>
    <row r="1302" spans="1:18">
      <c r="A1302" s="18" t="s">
        <v>54</v>
      </c>
      <c r="B1302" s="15" t="s">
        <v>864</v>
      </c>
      <c r="C1302" s="15" t="s">
        <v>865</v>
      </c>
      <c r="D1302" s="14" t="s">
        <v>866</v>
      </c>
      <c r="E1302" s="15" t="s">
        <v>141</v>
      </c>
      <c r="F1302" s="14" t="s">
        <v>142</v>
      </c>
      <c r="G1302" s="15" t="s">
        <v>23</v>
      </c>
      <c r="H1302" s="15"/>
      <c r="I1302" s="15">
        <v>201408</v>
      </c>
      <c r="J1302" s="70">
        <v>-192.93</v>
      </c>
      <c r="K1302" s="44">
        <f t="shared" si="104"/>
        <v>41944</v>
      </c>
      <c r="L1302" s="45">
        <f t="shared" si="107"/>
        <v>7</v>
      </c>
      <c r="M1302" s="17">
        <v>1.4833299999999999E-3</v>
      </c>
      <c r="N1302" s="46">
        <f t="shared" si="105"/>
        <v>-2.0032519983000001</v>
      </c>
      <c r="O1302" s="16"/>
      <c r="P1302" s="63">
        <f t="shared" si="106"/>
        <v>-92.847562500000009</v>
      </c>
      <c r="Q1302" s="16"/>
      <c r="R1302" s="48">
        <f t="shared" si="103"/>
        <v>-3.4819041750000004</v>
      </c>
    </row>
    <row r="1303" spans="1:18">
      <c r="A1303" s="18" t="s">
        <v>54</v>
      </c>
      <c r="B1303" s="15" t="s">
        <v>867</v>
      </c>
      <c r="C1303" s="15" t="s">
        <v>868</v>
      </c>
      <c r="D1303" s="14" t="s">
        <v>869</v>
      </c>
      <c r="E1303" s="15" t="s">
        <v>36</v>
      </c>
      <c r="F1303" s="14" t="s">
        <v>22</v>
      </c>
      <c r="G1303" s="15" t="s">
        <v>23</v>
      </c>
      <c r="H1303" s="15"/>
      <c r="I1303" s="15">
        <v>201408</v>
      </c>
      <c r="J1303" s="70">
        <v>-6.24</v>
      </c>
      <c r="K1303" s="44">
        <f t="shared" si="104"/>
        <v>41944</v>
      </c>
      <c r="L1303" s="45">
        <f t="shared" si="107"/>
        <v>7</v>
      </c>
      <c r="M1303" s="17">
        <v>1.4833299999999999E-3</v>
      </c>
      <c r="N1303" s="46">
        <f t="shared" si="105"/>
        <v>-6.4791854400000001E-2</v>
      </c>
      <c r="O1303" s="16"/>
      <c r="P1303" s="63">
        <f t="shared" si="106"/>
        <v>-3.0030000000000006</v>
      </c>
      <c r="Q1303" s="16"/>
      <c r="R1303" s="48">
        <f t="shared" si="103"/>
        <v>-0.11261640000000001</v>
      </c>
    </row>
    <row r="1304" spans="1:18">
      <c r="A1304" s="18" t="s">
        <v>54</v>
      </c>
      <c r="B1304" s="15" t="s">
        <v>870</v>
      </c>
      <c r="C1304" s="15" t="s">
        <v>871</v>
      </c>
      <c r="D1304" s="14" t="s">
        <v>872</v>
      </c>
      <c r="E1304" s="15" t="s">
        <v>108</v>
      </c>
      <c r="F1304" s="14" t="s">
        <v>28</v>
      </c>
      <c r="G1304" s="15" t="s">
        <v>23</v>
      </c>
      <c r="H1304" s="15"/>
      <c r="I1304" s="15">
        <v>201408</v>
      </c>
      <c r="J1304" s="70">
        <v>-73.47</v>
      </c>
      <c r="K1304" s="44">
        <f t="shared" si="104"/>
        <v>41944</v>
      </c>
      <c r="L1304" s="45">
        <f t="shared" si="107"/>
        <v>7</v>
      </c>
      <c r="M1304" s="17">
        <v>1.4833299999999999E-3</v>
      </c>
      <c r="N1304" s="46">
        <f t="shared" si="105"/>
        <v>-0.76286178569999996</v>
      </c>
      <c r="O1304" s="16"/>
      <c r="P1304" s="63">
        <f t="shared" si="106"/>
        <v>-35.357437500000003</v>
      </c>
      <c r="Q1304" s="16"/>
      <c r="R1304" s="48">
        <f t="shared" si="103"/>
        <v>-1.3259498250000001</v>
      </c>
    </row>
    <row r="1305" spans="1:18">
      <c r="A1305" s="18" t="s">
        <v>54</v>
      </c>
      <c r="B1305" s="15" t="s">
        <v>873</v>
      </c>
      <c r="C1305" s="15" t="s">
        <v>874</v>
      </c>
      <c r="D1305" s="14" t="s">
        <v>875</v>
      </c>
      <c r="E1305" s="15" t="s">
        <v>36</v>
      </c>
      <c r="F1305" s="14" t="s">
        <v>22</v>
      </c>
      <c r="G1305" s="15" t="s">
        <v>23</v>
      </c>
      <c r="H1305" s="15"/>
      <c r="I1305" s="15">
        <v>201408</v>
      </c>
      <c r="J1305" s="70">
        <v>-16.52</v>
      </c>
      <c r="K1305" s="44">
        <f t="shared" si="104"/>
        <v>41944</v>
      </c>
      <c r="L1305" s="45">
        <f t="shared" si="107"/>
        <v>7</v>
      </c>
      <c r="M1305" s="17">
        <v>1.4833299999999999E-3</v>
      </c>
      <c r="N1305" s="46">
        <f t="shared" si="105"/>
        <v>-0.1715322812</v>
      </c>
      <c r="O1305" s="16"/>
      <c r="P1305" s="63">
        <f t="shared" si="106"/>
        <v>-7.9502500000000005</v>
      </c>
      <c r="Q1305" s="16"/>
      <c r="R1305" s="48">
        <f t="shared" si="103"/>
        <v>-0.29814469999999998</v>
      </c>
    </row>
    <row r="1306" spans="1:18">
      <c r="A1306" s="18" t="s">
        <v>54</v>
      </c>
      <c r="B1306" s="15" t="s">
        <v>882</v>
      </c>
      <c r="C1306" s="15" t="s">
        <v>883</v>
      </c>
      <c r="D1306" s="14" t="s">
        <v>884</v>
      </c>
      <c r="E1306" s="15" t="s">
        <v>216</v>
      </c>
      <c r="F1306" s="14" t="s">
        <v>22</v>
      </c>
      <c r="G1306" s="15" t="s">
        <v>23</v>
      </c>
      <c r="H1306" s="15"/>
      <c r="I1306" s="15">
        <v>201408</v>
      </c>
      <c r="J1306" s="70">
        <v>-1789.1</v>
      </c>
      <c r="K1306" s="44">
        <f t="shared" si="104"/>
        <v>41944</v>
      </c>
      <c r="L1306" s="45">
        <f t="shared" si="107"/>
        <v>7</v>
      </c>
      <c r="M1306" s="17">
        <v>1.4833299999999999E-3</v>
      </c>
      <c r="N1306" s="46">
        <f t="shared" si="105"/>
        <v>-18.576779921</v>
      </c>
      <c r="O1306" s="16"/>
      <c r="P1306" s="63">
        <f t="shared" si="106"/>
        <v>-861.0043750000001</v>
      </c>
      <c r="Q1306" s="16"/>
      <c r="R1306" s="48">
        <f t="shared" si="103"/>
        <v>-32.288782249999997</v>
      </c>
    </row>
    <row r="1307" spans="1:18">
      <c r="A1307" s="18" t="s">
        <v>54</v>
      </c>
      <c r="B1307" s="15" t="s">
        <v>885</v>
      </c>
      <c r="C1307" s="15" t="s">
        <v>886</v>
      </c>
      <c r="D1307" s="14" t="s">
        <v>887</v>
      </c>
      <c r="E1307" s="15" t="s">
        <v>141</v>
      </c>
      <c r="F1307" s="14" t="s">
        <v>142</v>
      </c>
      <c r="G1307" s="15" t="s">
        <v>23</v>
      </c>
      <c r="H1307" s="15"/>
      <c r="I1307" s="15">
        <v>201408</v>
      </c>
      <c r="J1307" s="70">
        <v>5612.03</v>
      </c>
      <c r="K1307" s="44">
        <f t="shared" si="104"/>
        <v>41944</v>
      </c>
      <c r="L1307" s="45">
        <f t="shared" si="107"/>
        <v>7</v>
      </c>
      <c r="M1307" s="17">
        <v>1.4833299999999999E-3</v>
      </c>
      <c r="N1307" s="46">
        <f t="shared" si="105"/>
        <v>58.271447219299993</v>
      </c>
      <c r="O1307" s="16"/>
      <c r="P1307" s="63">
        <f t="shared" si="106"/>
        <v>2700.7894375000001</v>
      </c>
      <c r="Q1307" s="16"/>
      <c r="R1307" s="48">
        <f t="shared" si="103"/>
        <v>101.283111425</v>
      </c>
    </row>
    <row r="1308" spans="1:18">
      <c r="A1308" s="18" t="s">
        <v>54</v>
      </c>
      <c r="B1308" s="15" t="s">
        <v>888</v>
      </c>
      <c r="C1308" s="15" t="s">
        <v>889</v>
      </c>
      <c r="D1308" s="14" t="s">
        <v>890</v>
      </c>
      <c r="E1308" s="15" t="s">
        <v>32</v>
      </c>
      <c r="F1308" s="14" t="s">
        <v>22</v>
      </c>
      <c r="G1308" s="15" t="s">
        <v>23</v>
      </c>
      <c r="H1308" s="15"/>
      <c r="I1308" s="15">
        <v>201408</v>
      </c>
      <c r="J1308" s="70">
        <v>7343.09</v>
      </c>
      <c r="K1308" s="44">
        <f t="shared" si="104"/>
        <v>41944</v>
      </c>
      <c r="L1308" s="45">
        <f t="shared" si="107"/>
        <v>7</v>
      </c>
      <c r="M1308" s="17">
        <v>1.4833299999999999E-3</v>
      </c>
      <c r="N1308" s="46">
        <f t="shared" si="105"/>
        <v>76.245579827900002</v>
      </c>
      <c r="O1308" s="16"/>
      <c r="P1308" s="63">
        <f t="shared" si="106"/>
        <v>3533.8620625000008</v>
      </c>
      <c r="Q1308" s="16"/>
      <c r="R1308" s="48">
        <f t="shared" si="103"/>
        <v>132.52441677500002</v>
      </c>
    </row>
    <row r="1309" spans="1:18">
      <c r="A1309" s="18" t="s">
        <v>54</v>
      </c>
      <c r="B1309" s="15" t="s">
        <v>897</v>
      </c>
      <c r="C1309" s="15" t="s">
        <v>898</v>
      </c>
      <c r="D1309" s="14" t="s">
        <v>899</v>
      </c>
      <c r="E1309" s="15" t="s">
        <v>45</v>
      </c>
      <c r="F1309" s="14" t="s">
        <v>22</v>
      </c>
      <c r="G1309" s="15" t="s">
        <v>23</v>
      </c>
      <c r="H1309" s="15"/>
      <c r="I1309" s="15">
        <v>201408</v>
      </c>
      <c r="J1309" s="70">
        <v>105381.52</v>
      </c>
      <c r="K1309" s="44">
        <f t="shared" si="104"/>
        <v>41944</v>
      </c>
      <c r="L1309" s="45">
        <f t="shared" si="107"/>
        <v>7</v>
      </c>
      <c r="M1309" s="17">
        <v>1.4833299999999999E-3</v>
      </c>
      <c r="N1309" s="46">
        <f t="shared" si="105"/>
        <v>1094.2089904311999</v>
      </c>
      <c r="O1309" s="16"/>
      <c r="P1309" s="63">
        <f t="shared" si="106"/>
        <v>50714.856500000009</v>
      </c>
      <c r="Q1309" s="16"/>
      <c r="R1309" s="48">
        <f t="shared" si="103"/>
        <v>1901.8729822000003</v>
      </c>
    </row>
    <row r="1310" spans="1:18">
      <c r="A1310" s="18" t="s">
        <v>54</v>
      </c>
      <c r="B1310" s="15" t="s">
        <v>900</v>
      </c>
      <c r="C1310" s="15" t="s">
        <v>901</v>
      </c>
      <c r="D1310" s="14" t="s">
        <v>902</v>
      </c>
      <c r="E1310" s="15" t="s">
        <v>462</v>
      </c>
      <c r="F1310" s="14" t="s">
        <v>142</v>
      </c>
      <c r="G1310" s="15" t="s">
        <v>23</v>
      </c>
      <c r="H1310" s="15"/>
      <c r="I1310" s="15">
        <v>201408</v>
      </c>
      <c r="J1310" s="70">
        <v>9368.56</v>
      </c>
      <c r="K1310" s="44">
        <f t="shared" si="104"/>
        <v>41944</v>
      </c>
      <c r="L1310" s="45">
        <f t="shared" si="107"/>
        <v>7</v>
      </c>
      <c r="M1310" s="17">
        <v>1.4833299999999999E-3</v>
      </c>
      <c r="N1310" s="46">
        <f t="shared" si="105"/>
        <v>97.276662733599991</v>
      </c>
      <c r="O1310" s="16"/>
      <c r="P1310" s="63">
        <f t="shared" si="106"/>
        <v>4508.6195000000007</v>
      </c>
      <c r="Q1310" s="16"/>
      <c r="R1310" s="48">
        <f t="shared" si="103"/>
        <v>169.07908660000001</v>
      </c>
    </row>
    <row r="1311" spans="1:18">
      <c r="A1311" s="18" t="s">
        <v>54</v>
      </c>
      <c r="B1311" s="15" t="s">
        <v>906</v>
      </c>
      <c r="C1311" s="15" t="s">
        <v>907</v>
      </c>
      <c r="D1311" s="14" t="s">
        <v>908</v>
      </c>
      <c r="E1311" s="15" t="s">
        <v>909</v>
      </c>
      <c r="F1311" s="14" t="s">
        <v>22</v>
      </c>
      <c r="G1311" s="15" t="s">
        <v>23</v>
      </c>
      <c r="H1311" s="15"/>
      <c r="I1311" s="15">
        <v>201408</v>
      </c>
      <c r="J1311" s="70">
        <v>-3482.79</v>
      </c>
      <c r="K1311" s="44">
        <f t="shared" si="104"/>
        <v>41944</v>
      </c>
      <c r="L1311" s="45">
        <f t="shared" si="107"/>
        <v>7</v>
      </c>
      <c r="M1311" s="17">
        <v>1.4833299999999999E-3</v>
      </c>
      <c r="N1311" s="46">
        <f t="shared" si="105"/>
        <v>-36.162888234900002</v>
      </c>
      <c r="O1311" s="16"/>
      <c r="P1311" s="63">
        <f t="shared" si="106"/>
        <v>-1676.0926875000002</v>
      </c>
      <c r="Q1311" s="16"/>
      <c r="R1311" s="48">
        <f t="shared" si="103"/>
        <v>-62.855652525000004</v>
      </c>
    </row>
    <row r="1312" spans="1:18">
      <c r="A1312" s="18" t="s">
        <v>54</v>
      </c>
      <c r="B1312" s="15" t="s">
        <v>913</v>
      </c>
      <c r="C1312" s="15" t="s">
        <v>914</v>
      </c>
      <c r="D1312" s="14" t="s">
        <v>915</v>
      </c>
      <c r="E1312" s="15" t="s">
        <v>36</v>
      </c>
      <c r="F1312" s="14" t="s">
        <v>22</v>
      </c>
      <c r="G1312" s="15" t="s">
        <v>23</v>
      </c>
      <c r="H1312" s="15"/>
      <c r="I1312" s="15">
        <v>201408</v>
      </c>
      <c r="J1312" s="70">
        <v>6122.98</v>
      </c>
      <c r="K1312" s="44">
        <f t="shared" si="104"/>
        <v>41944</v>
      </c>
      <c r="L1312" s="45">
        <f t="shared" si="107"/>
        <v>7</v>
      </c>
      <c r="M1312" s="17">
        <v>1.4833299999999999E-3</v>
      </c>
      <c r="N1312" s="46">
        <f t="shared" si="105"/>
        <v>63.576799463799993</v>
      </c>
      <c r="O1312" s="16"/>
      <c r="P1312" s="63">
        <f t="shared" si="106"/>
        <v>2946.6841250000002</v>
      </c>
      <c r="Q1312" s="16"/>
      <c r="R1312" s="48">
        <f t="shared" si="103"/>
        <v>110.50448154999999</v>
      </c>
    </row>
    <row r="1313" spans="1:18">
      <c r="A1313" s="18" t="s">
        <v>54</v>
      </c>
      <c r="B1313" s="15" t="s">
        <v>926</v>
      </c>
      <c r="C1313" s="15" t="s">
        <v>927</v>
      </c>
      <c r="D1313" s="14" t="s">
        <v>928</v>
      </c>
      <c r="E1313" s="15" t="s">
        <v>141</v>
      </c>
      <c r="F1313" s="14" t="s">
        <v>142</v>
      </c>
      <c r="G1313" s="15" t="s">
        <v>23</v>
      </c>
      <c r="H1313" s="15"/>
      <c r="I1313" s="15">
        <v>201408</v>
      </c>
      <c r="J1313" s="70">
        <v>-539.75</v>
      </c>
      <c r="K1313" s="44">
        <f t="shared" si="104"/>
        <v>41944</v>
      </c>
      <c r="L1313" s="45">
        <f t="shared" si="107"/>
        <v>7</v>
      </c>
      <c r="M1313" s="17">
        <v>1.4833299999999999E-3</v>
      </c>
      <c r="N1313" s="46">
        <f t="shared" si="105"/>
        <v>-5.6043915725</v>
      </c>
      <c r="O1313" s="16"/>
      <c r="P1313" s="63">
        <f t="shared" si="106"/>
        <v>-259.75468750000005</v>
      </c>
      <c r="Q1313" s="16"/>
      <c r="R1313" s="48">
        <f t="shared" si="103"/>
        <v>-9.7411381250000009</v>
      </c>
    </row>
    <row r="1314" spans="1:18">
      <c r="A1314" s="18" t="s">
        <v>54</v>
      </c>
      <c r="B1314" s="15" t="s">
        <v>974</v>
      </c>
      <c r="C1314" s="15" t="s">
        <v>975</v>
      </c>
      <c r="D1314" s="14" t="s">
        <v>976</v>
      </c>
      <c r="E1314" s="15" t="s">
        <v>141</v>
      </c>
      <c r="F1314" s="14" t="s">
        <v>142</v>
      </c>
      <c r="G1314" s="15" t="s">
        <v>23</v>
      </c>
      <c r="H1314" s="15"/>
      <c r="I1314" s="15">
        <v>201408</v>
      </c>
      <c r="J1314" s="70">
        <v>8001.94</v>
      </c>
      <c r="K1314" s="44">
        <f t="shared" si="104"/>
        <v>41944</v>
      </c>
      <c r="L1314" s="45">
        <f t="shared" si="107"/>
        <v>7</v>
      </c>
      <c r="M1314" s="17">
        <v>1.4833299999999999E-3</v>
      </c>
      <c r="N1314" s="46">
        <f t="shared" si="105"/>
        <v>83.086623621399994</v>
      </c>
      <c r="O1314" s="16"/>
      <c r="P1314" s="63">
        <f t="shared" si="106"/>
        <v>3850.9336250000001</v>
      </c>
      <c r="Q1314" s="16"/>
      <c r="R1314" s="48">
        <f t="shared" si="103"/>
        <v>144.41501215</v>
      </c>
    </row>
    <row r="1315" spans="1:18">
      <c r="A1315" s="18" t="s">
        <v>54</v>
      </c>
      <c r="B1315" s="15" t="s">
        <v>977</v>
      </c>
      <c r="C1315" s="15" t="s">
        <v>978</v>
      </c>
      <c r="D1315" s="14" t="s">
        <v>979</v>
      </c>
      <c r="E1315" s="15" t="s">
        <v>980</v>
      </c>
      <c r="F1315" s="14" t="s">
        <v>259</v>
      </c>
      <c r="G1315" s="15" t="s">
        <v>23</v>
      </c>
      <c r="H1315" s="15"/>
      <c r="I1315" s="15">
        <v>201408</v>
      </c>
      <c r="J1315" s="70">
        <v>3818.46</v>
      </c>
      <c r="K1315" s="44">
        <f t="shared" si="104"/>
        <v>41944</v>
      </c>
      <c r="L1315" s="45">
        <f t="shared" si="107"/>
        <v>7</v>
      </c>
      <c r="M1315" s="17">
        <v>1.4833299999999999E-3</v>
      </c>
      <c r="N1315" s="46">
        <f t="shared" si="105"/>
        <v>39.648253902599997</v>
      </c>
      <c r="O1315" s="16"/>
      <c r="P1315" s="63">
        <f t="shared" si="106"/>
        <v>1837.6338750000002</v>
      </c>
      <c r="Q1315" s="16"/>
      <c r="R1315" s="48">
        <f t="shared" si="103"/>
        <v>68.91365685000001</v>
      </c>
    </row>
    <row r="1316" spans="1:18">
      <c r="A1316" s="18" t="s">
        <v>54</v>
      </c>
      <c r="B1316" s="15" t="s">
        <v>984</v>
      </c>
      <c r="C1316" s="15" t="s">
        <v>985</v>
      </c>
      <c r="D1316" s="14" t="s">
        <v>986</v>
      </c>
      <c r="E1316" s="15" t="s">
        <v>141</v>
      </c>
      <c r="F1316" s="14" t="s">
        <v>142</v>
      </c>
      <c r="G1316" s="15" t="s">
        <v>23</v>
      </c>
      <c r="H1316" s="15"/>
      <c r="I1316" s="15">
        <v>201408</v>
      </c>
      <c r="J1316" s="70">
        <v>3918.58</v>
      </c>
      <c r="K1316" s="44">
        <f t="shared" si="104"/>
        <v>41944</v>
      </c>
      <c r="L1316" s="45">
        <f t="shared" si="107"/>
        <v>7</v>
      </c>
      <c r="M1316" s="17">
        <v>1.4833299999999999E-3</v>
      </c>
      <c r="N1316" s="46">
        <f t="shared" si="105"/>
        <v>40.687830899799998</v>
      </c>
      <c r="O1316" s="16"/>
      <c r="P1316" s="63">
        <f t="shared" si="106"/>
        <v>1885.8166250000002</v>
      </c>
      <c r="Q1316" s="16"/>
      <c r="R1316" s="48">
        <f t="shared" si="103"/>
        <v>70.72057255</v>
      </c>
    </row>
    <row r="1317" spans="1:18">
      <c r="A1317" s="14" t="s">
        <v>238</v>
      </c>
      <c r="B1317" s="15" t="s">
        <v>239</v>
      </c>
      <c r="C1317" s="15" t="s">
        <v>240</v>
      </c>
      <c r="D1317" s="14" t="s">
        <v>241</v>
      </c>
      <c r="E1317" s="15" t="s">
        <v>168</v>
      </c>
      <c r="F1317" s="14" t="s">
        <v>169</v>
      </c>
      <c r="G1317" s="15" t="s">
        <v>23</v>
      </c>
      <c r="H1317" s="15"/>
      <c r="I1317" s="15">
        <v>201408</v>
      </c>
      <c r="J1317" s="70">
        <v>16.61</v>
      </c>
      <c r="K1317" s="44">
        <f t="shared" si="104"/>
        <v>41944</v>
      </c>
      <c r="L1317" s="45">
        <f t="shared" si="107"/>
        <v>7</v>
      </c>
      <c r="M1317" s="17">
        <v>2.3833299999999999E-3</v>
      </c>
      <c r="N1317" s="46">
        <f t="shared" si="105"/>
        <v>0.27710977910000001</v>
      </c>
      <c r="O1317" s="16"/>
      <c r="P1317" s="63">
        <f t="shared" si="106"/>
        <v>7.9935625000000012</v>
      </c>
      <c r="Q1317" s="16"/>
      <c r="R1317" s="48">
        <f t="shared" si="103"/>
        <v>0.29976897499999999</v>
      </c>
    </row>
    <row r="1318" spans="1:18">
      <c r="A1318" s="14" t="s">
        <v>238</v>
      </c>
      <c r="B1318" s="15" t="s">
        <v>356</v>
      </c>
      <c r="C1318" s="15" t="s">
        <v>357</v>
      </c>
      <c r="D1318" s="14" t="s">
        <v>358</v>
      </c>
      <c r="E1318" s="15" t="s">
        <v>168</v>
      </c>
      <c r="F1318" s="14" t="s">
        <v>169</v>
      </c>
      <c r="G1318" s="15" t="s">
        <v>23</v>
      </c>
      <c r="H1318" s="15"/>
      <c r="I1318" s="15">
        <v>201408</v>
      </c>
      <c r="J1318" s="70">
        <v>-759.43</v>
      </c>
      <c r="K1318" s="44">
        <f t="shared" si="104"/>
        <v>41944</v>
      </c>
      <c r="L1318" s="45">
        <f t="shared" si="107"/>
        <v>7</v>
      </c>
      <c r="M1318" s="17">
        <v>2.3833299999999999E-3</v>
      </c>
      <c r="N1318" s="46">
        <f t="shared" si="105"/>
        <v>-12.669806113299998</v>
      </c>
      <c r="O1318" s="16"/>
      <c r="P1318" s="63">
        <f t="shared" si="106"/>
        <v>-365.47568750000005</v>
      </c>
      <c r="Q1318" s="16"/>
      <c r="R1318" s="48">
        <f t="shared" si="103"/>
        <v>-13.705812925</v>
      </c>
    </row>
    <row r="1319" spans="1:18">
      <c r="A1319" s="14" t="s">
        <v>238</v>
      </c>
      <c r="B1319" s="15" t="s">
        <v>401</v>
      </c>
      <c r="C1319" s="15" t="s">
        <v>402</v>
      </c>
      <c r="D1319" s="14" t="s">
        <v>403</v>
      </c>
      <c r="E1319" s="15" t="s">
        <v>168</v>
      </c>
      <c r="F1319" s="14" t="s">
        <v>169</v>
      </c>
      <c r="G1319" s="15" t="s">
        <v>23</v>
      </c>
      <c r="H1319" s="15"/>
      <c r="I1319" s="15">
        <v>201408</v>
      </c>
      <c r="J1319" s="70">
        <v>-85.32</v>
      </c>
      <c r="K1319" s="44">
        <f t="shared" si="104"/>
        <v>41944</v>
      </c>
      <c r="L1319" s="45">
        <f t="shared" si="107"/>
        <v>7</v>
      </c>
      <c r="M1319" s="17">
        <v>2.3833299999999999E-3</v>
      </c>
      <c r="N1319" s="46">
        <f t="shared" si="105"/>
        <v>-1.4234200091999998</v>
      </c>
      <c r="O1319" s="16"/>
      <c r="P1319" s="63">
        <f t="shared" si="106"/>
        <v>-41.060250000000003</v>
      </c>
      <c r="Q1319" s="16"/>
      <c r="R1319" s="48">
        <f t="shared" si="103"/>
        <v>-1.5398126999999999</v>
      </c>
    </row>
    <row r="1320" spans="1:18">
      <c r="A1320" s="14" t="s">
        <v>238</v>
      </c>
      <c r="B1320" s="15" t="s">
        <v>680</v>
      </c>
      <c r="C1320" s="15" t="s">
        <v>681</v>
      </c>
      <c r="D1320" s="14" t="s">
        <v>682</v>
      </c>
      <c r="E1320" s="15" t="s">
        <v>683</v>
      </c>
      <c r="F1320" s="14" t="s">
        <v>684</v>
      </c>
      <c r="G1320" s="15" t="s">
        <v>23</v>
      </c>
      <c r="H1320" s="15"/>
      <c r="I1320" s="15">
        <v>201408</v>
      </c>
      <c r="J1320" s="70">
        <v>-77.2</v>
      </c>
      <c r="K1320" s="44">
        <f t="shared" si="104"/>
        <v>41944</v>
      </c>
      <c r="L1320" s="45">
        <f t="shared" si="107"/>
        <v>7</v>
      </c>
      <c r="M1320" s="17">
        <v>2.3833299999999999E-3</v>
      </c>
      <c r="N1320" s="46">
        <f t="shared" si="105"/>
        <v>-1.2879515320000001</v>
      </c>
      <c r="O1320" s="16"/>
      <c r="P1320" s="63">
        <f t="shared" si="106"/>
        <v>-37.152500000000003</v>
      </c>
      <c r="Q1320" s="16"/>
      <c r="R1320" s="48">
        <f t="shared" si="103"/>
        <v>-1.393267</v>
      </c>
    </row>
    <row r="1321" spans="1:18">
      <c r="A1321" s="14" t="s">
        <v>238</v>
      </c>
      <c r="B1321" s="15" t="s">
        <v>762</v>
      </c>
      <c r="C1321" s="15" t="s">
        <v>763</v>
      </c>
      <c r="D1321" s="14" t="s">
        <v>764</v>
      </c>
      <c r="E1321" s="15" t="s">
        <v>168</v>
      </c>
      <c r="F1321" s="14" t="s">
        <v>169</v>
      </c>
      <c r="G1321" s="15" t="s">
        <v>23</v>
      </c>
      <c r="H1321" s="15"/>
      <c r="I1321" s="15">
        <v>201408</v>
      </c>
      <c r="J1321" s="70">
        <v>-197.66</v>
      </c>
      <c r="K1321" s="44">
        <f t="shared" si="104"/>
        <v>41944</v>
      </c>
      <c r="L1321" s="45">
        <f t="shared" si="107"/>
        <v>7</v>
      </c>
      <c r="M1321" s="17">
        <v>2.3833299999999999E-3</v>
      </c>
      <c r="N1321" s="46">
        <f t="shared" si="105"/>
        <v>-3.2976230545999998</v>
      </c>
      <c r="O1321" s="16"/>
      <c r="P1321" s="63">
        <f t="shared" si="106"/>
        <v>-95.123875000000012</v>
      </c>
      <c r="Q1321" s="16"/>
      <c r="R1321" s="48">
        <f t="shared" si="103"/>
        <v>-3.56726885</v>
      </c>
    </row>
    <row r="1322" spans="1:18">
      <c r="A1322" s="14" t="s">
        <v>238</v>
      </c>
      <c r="B1322" s="15" t="s">
        <v>771</v>
      </c>
      <c r="C1322" s="15" t="s">
        <v>772</v>
      </c>
      <c r="D1322" s="14" t="s">
        <v>773</v>
      </c>
      <c r="E1322" s="15" t="s">
        <v>168</v>
      </c>
      <c r="F1322" s="14" t="s">
        <v>169</v>
      </c>
      <c r="G1322" s="15" t="s">
        <v>23</v>
      </c>
      <c r="H1322" s="15"/>
      <c r="I1322" s="15">
        <v>201408</v>
      </c>
      <c r="J1322" s="70">
        <v>3.05</v>
      </c>
      <c r="K1322" s="44">
        <f t="shared" si="104"/>
        <v>41944</v>
      </c>
      <c r="L1322" s="45">
        <f t="shared" si="107"/>
        <v>7</v>
      </c>
      <c r="M1322" s="17">
        <v>2.3833299999999999E-3</v>
      </c>
      <c r="N1322" s="46">
        <f t="shared" si="105"/>
        <v>5.0884095499999997E-2</v>
      </c>
      <c r="O1322" s="16"/>
      <c r="P1322" s="63">
        <f t="shared" si="106"/>
        <v>1.4678125000000002</v>
      </c>
      <c r="Q1322" s="16"/>
      <c r="R1322" s="48">
        <f t="shared" si="103"/>
        <v>5.5044875E-2</v>
      </c>
    </row>
    <row r="1323" spans="1:18">
      <c r="A1323" s="14" t="s">
        <v>238</v>
      </c>
      <c r="B1323" s="15" t="s">
        <v>774</v>
      </c>
      <c r="C1323" s="15" t="s">
        <v>775</v>
      </c>
      <c r="D1323" s="14" t="s">
        <v>776</v>
      </c>
      <c r="E1323" s="15" t="s">
        <v>168</v>
      </c>
      <c r="F1323" s="14" t="s">
        <v>169</v>
      </c>
      <c r="G1323" s="15" t="s">
        <v>23</v>
      </c>
      <c r="H1323" s="15"/>
      <c r="I1323" s="15">
        <v>201408</v>
      </c>
      <c r="J1323" s="70">
        <v>19.170000000000002</v>
      </c>
      <c r="K1323" s="44">
        <f t="shared" si="104"/>
        <v>41944</v>
      </c>
      <c r="L1323" s="45">
        <f t="shared" si="107"/>
        <v>7</v>
      </c>
      <c r="M1323" s="17">
        <v>2.3833299999999999E-3</v>
      </c>
      <c r="N1323" s="46">
        <f t="shared" si="105"/>
        <v>0.31981905270000005</v>
      </c>
      <c r="O1323" s="16"/>
      <c r="P1323" s="63">
        <f t="shared" si="106"/>
        <v>9.2255625000000023</v>
      </c>
      <c r="Q1323" s="16"/>
      <c r="R1323" s="48">
        <f t="shared" si="103"/>
        <v>0.34597057500000006</v>
      </c>
    </row>
    <row r="1324" spans="1:18">
      <c r="A1324" s="14" t="s">
        <v>164</v>
      </c>
      <c r="B1324" s="15" t="s">
        <v>165</v>
      </c>
      <c r="C1324" s="15" t="s">
        <v>166</v>
      </c>
      <c r="D1324" s="14" t="s">
        <v>167</v>
      </c>
      <c r="E1324" s="15" t="s">
        <v>168</v>
      </c>
      <c r="F1324" s="14" t="s">
        <v>169</v>
      </c>
      <c r="G1324" s="15" t="s">
        <v>23</v>
      </c>
      <c r="H1324" s="15"/>
      <c r="I1324" s="15">
        <v>201408</v>
      </c>
      <c r="J1324" s="70">
        <v>-28.26</v>
      </c>
      <c r="K1324" s="44">
        <f t="shared" si="104"/>
        <v>41944</v>
      </c>
      <c r="L1324" s="45">
        <f t="shared" si="107"/>
        <v>7</v>
      </c>
      <c r="M1324" s="17">
        <v>2.1916700000000002E-3</v>
      </c>
      <c r="N1324" s="46">
        <f t="shared" si="105"/>
        <v>-0.43355615940000009</v>
      </c>
      <c r="O1324" s="16"/>
      <c r="P1324" s="63">
        <f t="shared" si="106"/>
        <v>-13.600125000000002</v>
      </c>
      <c r="Q1324" s="16"/>
      <c r="R1324" s="48">
        <f t="shared" si="103"/>
        <v>-0.51002235000000007</v>
      </c>
    </row>
    <row r="1325" spans="1:18">
      <c r="A1325" s="14" t="s">
        <v>164</v>
      </c>
      <c r="B1325" s="15" t="s">
        <v>341</v>
      </c>
      <c r="C1325" s="15" t="s">
        <v>342</v>
      </c>
      <c r="D1325" s="14" t="s">
        <v>343</v>
      </c>
      <c r="E1325" s="15" t="s">
        <v>168</v>
      </c>
      <c r="F1325" s="14" t="s">
        <v>169</v>
      </c>
      <c r="G1325" s="15" t="s">
        <v>23</v>
      </c>
      <c r="H1325" s="15"/>
      <c r="I1325" s="15">
        <v>201408</v>
      </c>
      <c r="J1325" s="70">
        <v>-281.47000000000003</v>
      </c>
      <c r="K1325" s="44">
        <f t="shared" si="104"/>
        <v>41944</v>
      </c>
      <c r="L1325" s="45">
        <f t="shared" si="107"/>
        <v>7</v>
      </c>
      <c r="M1325" s="17">
        <v>2.1916700000000002E-3</v>
      </c>
      <c r="N1325" s="46">
        <f t="shared" si="105"/>
        <v>-4.318225484300001</v>
      </c>
      <c r="O1325" s="16"/>
      <c r="P1325" s="63">
        <f t="shared" si="106"/>
        <v>-135.45743750000003</v>
      </c>
      <c r="Q1325" s="16"/>
      <c r="R1325" s="48">
        <f t="shared" si="103"/>
        <v>-5.0798298250000009</v>
      </c>
    </row>
    <row r="1326" spans="1:18">
      <c r="A1326" s="18" t="s">
        <v>17</v>
      </c>
      <c r="B1326" s="15" t="s">
        <v>810</v>
      </c>
      <c r="C1326" s="15" t="s">
        <v>811</v>
      </c>
      <c r="D1326" s="14" t="s">
        <v>812</v>
      </c>
      <c r="E1326" s="15" t="s">
        <v>104</v>
      </c>
      <c r="F1326" s="14" t="s">
        <v>41</v>
      </c>
      <c r="G1326" s="15" t="s">
        <v>23</v>
      </c>
      <c r="H1326" s="15"/>
      <c r="I1326" s="15">
        <v>201408</v>
      </c>
      <c r="J1326" s="70">
        <v>-113.66</v>
      </c>
      <c r="K1326" s="44">
        <f t="shared" si="104"/>
        <v>41944</v>
      </c>
      <c r="L1326" s="45">
        <f t="shared" si="107"/>
        <v>7</v>
      </c>
      <c r="M1326" s="17">
        <v>1.4833299999999999E-3</v>
      </c>
      <c r="N1326" s="46">
        <f t="shared" si="105"/>
        <v>-1.1801670145999998</v>
      </c>
      <c r="O1326" s="16"/>
      <c r="P1326" s="63">
        <f t="shared" si="106"/>
        <v>-54.698875000000008</v>
      </c>
      <c r="Q1326" s="16"/>
      <c r="R1326" s="48">
        <f t="shared" si="103"/>
        <v>-2.0512788500000001</v>
      </c>
    </row>
    <row r="1327" spans="1:18">
      <c r="A1327" s="18" t="s">
        <v>66</v>
      </c>
      <c r="B1327" s="15" t="s">
        <v>67</v>
      </c>
      <c r="C1327" s="15" t="s">
        <v>68</v>
      </c>
      <c r="D1327" s="14" t="s">
        <v>69</v>
      </c>
      <c r="E1327" s="15" t="s">
        <v>70</v>
      </c>
      <c r="F1327" s="14" t="s">
        <v>71</v>
      </c>
      <c r="G1327" s="15" t="s">
        <v>23</v>
      </c>
      <c r="H1327" s="15"/>
      <c r="I1327" s="15">
        <v>201408</v>
      </c>
      <c r="J1327" s="70">
        <v>-4.79</v>
      </c>
      <c r="K1327" s="44">
        <f t="shared" si="104"/>
        <v>41944</v>
      </c>
      <c r="L1327" s="45">
        <f t="shared" si="107"/>
        <v>7</v>
      </c>
      <c r="M1327" s="17">
        <v>2.23333E-3</v>
      </c>
      <c r="N1327" s="46">
        <f t="shared" si="105"/>
        <v>-7.488355490000001E-2</v>
      </c>
      <c r="O1327" s="16"/>
      <c r="P1327" s="63">
        <f t="shared" si="106"/>
        <v>-2.3051875000000002</v>
      </c>
      <c r="Q1327" s="16"/>
      <c r="R1327" s="48">
        <f t="shared" si="103"/>
        <v>-8.6447525000000011E-2</v>
      </c>
    </row>
    <row r="1328" spans="1:18">
      <c r="A1328" s="18" t="s">
        <v>66</v>
      </c>
      <c r="B1328" s="15" t="s">
        <v>72</v>
      </c>
      <c r="C1328" s="15" t="s">
        <v>73</v>
      </c>
      <c r="D1328" s="14" t="s">
        <v>74</v>
      </c>
      <c r="E1328" s="15" t="s">
        <v>75</v>
      </c>
      <c r="F1328" s="14" t="s">
        <v>71</v>
      </c>
      <c r="G1328" s="15" t="s">
        <v>23</v>
      </c>
      <c r="H1328" s="15"/>
      <c r="I1328" s="15">
        <v>201408</v>
      </c>
      <c r="J1328" s="70">
        <v>13354.47</v>
      </c>
      <c r="K1328" s="44">
        <f t="shared" si="104"/>
        <v>41944</v>
      </c>
      <c r="L1328" s="45">
        <f t="shared" si="107"/>
        <v>7</v>
      </c>
      <c r="M1328" s="17">
        <v>2.23333E-3</v>
      </c>
      <c r="N1328" s="46">
        <f t="shared" si="105"/>
        <v>208.77456939570001</v>
      </c>
      <c r="O1328" s="16"/>
      <c r="P1328" s="63">
        <f t="shared" si="106"/>
        <v>6426.8386875000006</v>
      </c>
      <c r="Q1328" s="16"/>
      <c r="R1328" s="48">
        <f t="shared" si="103"/>
        <v>241.01479732499999</v>
      </c>
    </row>
    <row r="1329" spans="1:18">
      <c r="A1329" s="18" t="s">
        <v>66</v>
      </c>
      <c r="B1329" s="15" t="s">
        <v>76</v>
      </c>
      <c r="C1329" s="15" t="s">
        <v>77</v>
      </c>
      <c r="D1329" s="14" t="s">
        <v>78</v>
      </c>
      <c r="E1329" s="15" t="s">
        <v>79</v>
      </c>
      <c r="F1329" s="14" t="s">
        <v>80</v>
      </c>
      <c r="G1329" s="15" t="s">
        <v>23</v>
      </c>
      <c r="H1329" s="15"/>
      <c r="I1329" s="15">
        <v>201408</v>
      </c>
      <c r="J1329" s="70">
        <v>-7061.29</v>
      </c>
      <c r="K1329" s="44">
        <f t="shared" si="104"/>
        <v>41944</v>
      </c>
      <c r="L1329" s="45">
        <f t="shared" si="107"/>
        <v>7</v>
      </c>
      <c r="M1329" s="17">
        <v>2.23333E-3</v>
      </c>
      <c r="N1329" s="46">
        <f t="shared" si="105"/>
        <v>-110.39133556990001</v>
      </c>
      <c r="O1329" s="16"/>
      <c r="P1329" s="63">
        <f t="shared" si="106"/>
        <v>-3398.2458125000003</v>
      </c>
      <c r="Q1329" s="16"/>
      <c r="R1329" s="48">
        <f t="shared" si="103"/>
        <v>-127.43863127500001</v>
      </c>
    </row>
    <row r="1330" spans="1:18">
      <c r="A1330" s="18" t="s">
        <v>66</v>
      </c>
      <c r="B1330" s="15" t="s">
        <v>81</v>
      </c>
      <c r="C1330" s="15" t="s">
        <v>82</v>
      </c>
      <c r="D1330" s="14" t="s">
        <v>83</v>
      </c>
      <c r="E1330" s="15" t="s">
        <v>84</v>
      </c>
      <c r="F1330" s="14" t="s">
        <v>85</v>
      </c>
      <c r="G1330" s="15" t="s">
        <v>23</v>
      </c>
      <c r="H1330" s="15"/>
      <c r="I1330" s="15">
        <v>201408</v>
      </c>
      <c r="J1330" s="70">
        <v>183940.08</v>
      </c>
      <c r="K1330" s="44">
        <f t="shared" si="104"/>
        <v>41944</v>
      </c>
      <c r="L1330" s="45">
        <f t="shared" si="107"/>
        <v>7</v>
      </c>
      <c r="M1330" s="17">
        <v>2.23333E-3</v>
      </c>
      <c r="N1330" s="46">
        <f t="shared" si="105"/>
        <v>2875.5922920647999</v>
      </c>
      <c r="O1330" s="16"/>
      <c r="P1330" s="63">
        <f t="shared" si="106"/>
        <v>88521.16350000001</v>
      </c>
      <c r="Q1330" s="16"/>
      <c r="R1330" s="48">
        <f t="shared" si="103"/>
        <v>3319.6585937999998</v>
      </c>
    </row>
    <row r="1331" spans="1:18">
      <c r="A1331" s="18" t="s">
        <v>66</v>
      </c>
      <c r="B1331" s="15" t="s">
        <v>86</v>
      </c>
      <c r="C1331" s="15" t="s">
        <v>87</v>
      </c>
      <c r="D1331" s="14" t="s">
        <v>88</v>
      </c>
      <c r="E1331" s="15" t="s">
        <v>89</v>
      </c>
      <c r="F1331" s="14" t="s">
        <v>85</v>
      </c>
      <c r="G1331" s="15" t="s">
        <v>23</v>
      </c>
      <c r="H1331" s="15"/>
      <c r="I1331" s="15">
        <v>201408</v>
      </c>
      <c r="J1331" s="70">
        <v>-2353.09</v>
      </c>
      <c r="K1331" s="44">
        <f t="shared" si="104"/>
        <v>41944</v>
      </c>
      <c r="L1331" s="45">
        <f t="shared" si="107"/>
        <v>7</v>
      </c>
      <c r="M1331" s="17">
        <v>2.23333E-3</v>
      </c>
      <c r="N1331" s="46">
        <f t="shared" si="105"/>
        <v>-36.786585427900008</v>
      </c>
      <c r="O1331" s="16"/>
      <c r="P1331" s="63">
        <f t="shared" si="106"/>
        <v>-1132.4245625000003</v>
      </c>
      <c r="Q1331" s="16"/>
      <c r="R1331" s="48">
        <f t="shared" si="103"/>
        <v>-42.467391775000003</v>
      </c>
    </row>
    <row r="1332" spans="1:18">
      <c r="A1332" s="18" t="s">
        <v>66</v>
      </c>
      <c r="B1332" s="15" t="s">
        <v>90</v>
      </c>
      <c r="C1332" s="15" t="s">
        <v>91</v>
      </c>
      <c r="D1332" s="14" t="s">
        <v>78</v>
      </c>
      <c r="E1332" s="15" t="s">
        <v>92</v>
      </c>
      <c r="F1332" s="14" t="s">
        <v>80</v>
      </c>
      <c r="G1332" s="15" t="s">
        <v>23</v>
      </c>
      <c r="H1332" s="15"/>
      <c r="I1332" s="15">
        <v>201408</v>
      </c>
      <c r="J1332" s="70">
        <v>22470.43</v>
      </c>
      <c r="K1332" s="44">
        <f t="shared" si="104"/>
        <v>41944</v>
      </c>
      <c r="L1332" s="45">
        <f t="shared" si="107"/>
        <v>7</v>
      </c>
      <c r="M1332" s="17">
        <v>2.23333E-3</v>
      </c>
      <c r="N1332" s="46">
        <f t="shared" si="105"/>
        <v>351.28719802330005</v>
      </c>
      <c r="O1332" s="16"/>
      <c r="P1332" s="63">
        <f t="shared" si="106"/>
        <v>10813.894437500001</v>
      </c>
      <c r="Q1332" s="16"/>
      <c r="R1332" s="48">
        <f t="shared" si="103"/>
        <v>405.53508542500003</v>
      </c>
    </row>
    <row r="1333" spans="1:18">
      <c r="A1333" s="18" t="s">
        <v>66</v>
      </c>
      <c r="B1333" s="15" t="s">
        <v>93</v>
      </c>
      <c r="C1333" s="15" t="s">
        <v>94</v>
      </c>
      <c r="D1333" s="14" t="s">
        <v>95</v>
      </c>
      <c r="E1333" s="15" t="s">
        <v>96</v>
      </c>
      <c r="F1333" s="14" t="s">
        <v>97</v>
      </c>
      <c r="G1333" s="15" t="s">
        <v>23</v>
      </c>
      <c r="H1333" s="15"/>
      <c r="I1333" s="15">
        <v>201408</v>
      </c>
      <c r="J1333" s="70">
        <v>-213.19</v>
      </c>
      <c r="K1333" s="44">
        <f t="shared" si="104"/>
        <v>41944</v>
      </c>
      <c r="L1333" s="45">
        <f t="shared" si="107"/>
        <v>7</v>
      </c>
      <c r="M1333" s="17">
        <v>2.23333E-3</v>
      </c>
      <c r="N1333" s="46">
        <f t="shared" si="105"/>
        <v>-3.3328653589000004</v>
      </c>
      <c r="O1333" s="16"/>
      <c r="P1333" s="63">
        <f t="shared" si="106"/>
        <v>-102.59768750000001</v>
      </c>
      <c r="Q1333" s="16"/>
      <c r="R1333" s="48">
        <f t="shared" si="103"/>
        <v>-3.8475465250000003</v>
      </c>
    </row>
    <row r="1334" spans="1:18">
      <c r="A1334" s="18" t="s">
        <v>66</v>
      </c>
      <c r="B1334" s="15" t="s">
        <v>197</v>
      </c>
      <c r="C1334" s="15" t="s">
        <v>198</v>
      </c>
      <c r="D1334" s="14" t="s">
        <v>69</v>
      </c>
      <c r="E1334" s="15" t="s">
        <v>199</v>
      </c>
      <c r="F1334" s="14" t="s">
        <v>71</v>
      </c>
      <c r="G1334" s="15" t="s">
        <v>23</v>
      </c>
      <c r="H1334" s="15"/>
      <c r="I1334" s="15">
        <v>201408</v>
      </c>
      <c r="J1334" s="70">
        <v>-1086.6099999999999</v>
      </c>
      <c r="K1334" s="44">
        <f t="shared" si="104"/>
        <v>41944</v>
      </c>
      <c r="L1334" s="45">
        <f t="shared" si="107"/>
        <v>7</v>
      </c>
      <c r="M1334" s="17">
        <v>2.23333E-3</v>
      </c>
      <c r="N1334" s="46">
        <f t="shared" si="105"/>
        <v>-16.987310979099998</v>
      </c>
      <c r="O1334" s="16"/>
      <c r="P1334" s="63">
        <f t="shared" si="106"/>
        <v>-522.93106250000005</v>
      </c>
      <c r="Q1334" s="16"/>
      <c r="R1334" s="48">
        <f t="shared" si="103"/>
        <v>-19.610593975</v>
      </c>
    </row>
    <row r="1335" spans="1:18">
      <c r="A1335" s="18" t="s">
        <v>66</v>
      </c>
      <c r="B1335" s="15" t="s">
        <v>200</v>
      </c>
      <c r="C1335" s="15" t="s">
        <v>201</v>
      </c>
      <c r="D1335" s="14" t="s">
        <v>202</v>
      </c>
      <c r="E1335" s="15" t="s">
        <v>203</v>
      </c>
      <c r="F1335" s="14" t="s">
        <v>80</v>
      </c>
      <c r="G1335" s="15" t="s">
        <v>23</v>
      </c>
      <c r="H1335" s="15"/>
      <c r="I1335" s="15">
        <v>201408</v>
      </c>
      <c r="J1335" s="70">
        <v>66350.95</v>
      </c>
      <c r="K1335" s="44">
        <f t="shared" si="104"/>
        <v>41944</v>
      </c>
      <c r="L1335" s="45">
        <f t="shared" si="107"/>
        <v>7</v>
      </c>
      <c r="M1335" s="17">
        <v>2.23333E-3</v>
      </c>
      <c r="N1335" s="46">
        <f t="shared" si="105"/>
        <v>1037.2849701445</v>
      </c>
      <c r="O1335" s="16"/>
      <c r="P1335" s="63">
        <f t="shared" si="106"/>
        <v>31931.394687500004</v>
      </c>
      <c r="Q1335" s="16"/>
      <c r="R1335" s="48">
        <f t="shared" si="103"/>
        <v>1197.468770125</v>
      </c>
    </row>
    <row r="1336" spans="1:18">
      <c r="A1336" s="18" t="s">
        <v>66</v>
      </c>
      <c r="B1336" s="15" t="s">
        <v>204</v>
      </c>
      <c r="C1336" s="15" t="s">
        <v>205</v>
      </c>
      <c r="D1336" s="14" t="s">
        <v>206</v>
      </c>
      <c r="E1336" s="15" t="s">
        <v>207</v>
      </c>
      <c r="F1336" s="14" t="s">
        <v>97</v>
      </c>
      <c r="G1336" s="15" t="s">
        <v>23</v>
      </c>
      <c r="H1336" s="15"/>
      <c r="I1336" s="15">
        <v>201408</v>
      </c>
      <c r="J1336" s="70">
        <v>-16.670000000000002</v>
      </c>
      <c r="K1336" s="44">
        <f t="shared" si="104"/>
        <v>41944</v>
      </c>
      <c r="L1336" s="45">
        <f t="shared" si="107"/>
        <v>7</v>
      </c>
      <c r="M1336" s="17">
        <v>2.23333E-3</v>
      </c>
      <c r="N1336" s="46">
        <f t="shared" si="105"/>
        <v>-0.26060727770000003</v>
      </c>
      <c r="O1336" s="16"/>
      <c r="P1336" s="63">
        <f t="shared" si="106"/>
        <v>-8.0224375000000023</v>
      </c>
      <c r="Q1336" s="16"/>
      <c r="R1336" s="48">
        <f t="shared" si="103"/>
        <v>-0.30085182500000007</v>
      </c>
    </row>
    <row r="1337" spans="1:18">
      <c r="A1337" s="18" t="s">
        <v>66</v>
      </c>
      <c r="B1337" s="15" t="s">
        <v>208</v>
      </c>
      <c r="C1337" s="15" t="s">
        <v>209</v>
      </c>
      <c r="D1337" s="14" t="s">
        <v>210</v>
      </c>
      <c r="E1337" s="15" t="s">
        <v>211</v>
      </c>
      <c r="F1337" s="14" t="s">
        <v>212</v>
      </c>
      <c r="G1337" s="15" t="s">
        <v>23</v>
      </c>
      <c r="H1337" s="15"/>
      <c r="I1337" s="15">
        <v>201408</v>
      </c>
      <c r="J1337" s="70">
        <v>-58.15</v>
      </c>
      <c r="K1337" s="44">
        <f t="shared" si="104"/>
        <v>41944</v>
      </c>
      <c r="L1337" s="45">
        <f t="shared" si="107"/>
        <v>7</v>
      </c>
      <c r="M1337" s="17">
        <v>2.23333E-3</v>
      </c>
      <c r="N1337" s="46">
        <f t="shared" si="105"/>
        <v>-0.90907697650000008</v>
      </c>
      <c r="O1337" s="16"/>
      <c r="P1337" s="63">
        <f t="shared" si="106"/>
        <v>-27.984687500000003</v>
      </c>
      <c r="Q1337" s="16"/>
      <c r="R1337" s="48">
        <f t="shared" si="103"/>
        <v>-1.049462125</v>
      </c>
    </row>
    <row r="1338" spans="1:18">
      <c r="A1338" s="18" t="s">
        <v>66</v>
      </c>
      <c r="B1338" s="15" t="s">
        <v>223</v>
      </c>
      <c r="C1338" s="15" t="s">
        <v>224</v>
      </c>
      <c r="D1338" s="14" t="s">
        <v>88</v>
      </c>
      <c r="E1338" s="15" t="s">
        <v>225</v>
      </c>
      <c r="F1338" s="14" t="s">
        <v>85</v>
      </c>
      <c r="G1338" s="15" t="s">
        <v>23</v>
      </c>
      <c r="H1338" s="15"/>
      <c r="I1338" s="15">
        <v>201408</v>
      </c>
      <c r="J1338" s="70">
        <v>-17271.810000000001</v>
      </c>
      <c r="K1338" s="44">
        <f t="shared" si="104"/>
        <v>41944</v>
      </c>
      <c r="L1338" s="45">
        <f t="shared" si="107"/>
        <v>7</v>
      </c>
      <c r="M1338" s="17">
        <v>2.23333E-3</v>
      </c>
      <c r="N1338" s="46">
        <f t="shared" si="105"/>
        <v>-270.01555999110002</v>
      </c>
      <c r="O1338" s="16"/>
      <c r="P1338" s="63">
        <f t="shared" si="106"/>
        <v>-8312.0585625000022</v>
      </c>
      <c r="Q1338" s="16"/>
      <c r="R1338" s="48">
        <f t="shared" si="103"/>
        <v>-311.71299097500003</v>
      </c>
    </row>
    <row r="1339" spans="1:18">
      <c r="A1339" s="18" t="s">
        <v>66</v>
      </c>
      <c r="B1339" s="15" t="s">
        <v>226</v>
      </c>
      <c r="C1339" s="15" t="s">
        <v>227</v>
      </c>
      <c r="D1339" s="14" t="s">
        <v>78</v>
      </c>
      <c r="E1339" s="15" t="s">
        <v>228</v>
      </c>
      <c r="F1339" s="14" t="s">
        <v>80</v>
      </c>
      <c r="G1339" s="15" t="s">
        <v>23</v>
      </c>
      <c r="H1339" s="15"/>
      <c r="I1339" s="15">
        <v>201408</v>
      </c>
      <c r="J1339" s="70">
        <v>2765.83</v>
      </c>
      <c r="K1339" s="44">
        <f t="shared" si="104"/>
        <v>41944</v>
      </c>
      <c r="L1339" s="45">
        <f t="shared" si="107"/>
        <v>7</v>
      </c>
      <c r="M1339" s="17">
        <v>2.23333E-3</v>
      </c>
      <c r="N1339" s="46">
        <f t="shared" si="105"/>
        <v>43.239077797299998</v>
      </c>
      <c r="O1339" s="16"/>
      <c r="P1339" s="63">
        <f t="shared" si="106"/>
        <v>1331.0556875000002</v>
      </c>
      <c r="Q1339" s="16"/>
      <c r="R1339" s="48">
        <f t="shared" si="103"/>
        <v>49.916316925000004</v>
      </c>
    </row>
    <row r="1340" spans="1:18">
      <c r="A1340" s="18" t="s">
        <v>66</v>
      </c>
      <c r="B1340" s="15" t="s">
        <v>229</v>
      </c>
      <c r="C1340" s="15" t="s">
        <v>230</v>
      </c>
      <c r="D1340" s="14" t="s">
        <v>78</v>
      </c>
      <c r="E1340" s="15" t="s">
        <v>231</v>
      </c>
      <c r="F1340" s="14" t="s">
        <v>80</v>
      </c>
      <c r="G1340" s="15" t="s">
        <v>23</v>
      </c>
      <c r="H1340" s="15"/>
      <c r="I1340" s="15">
        <v>201408</v>
      </c>
      <c r="J1340" s="70">
        <v>8170.1</v>
      </c>
      <c r="K1340" s="44">
        <f t="shared" si="104"/>
        <v>41944</v>
      </c>
      <c r="L1340" s="45">
        <f t="shared" si="107"/>
        <v>7</v>
      </c>
      <c r="M1340" s="17">
        <v>2.23333E-3</v>
      </c>
      <c r="N1340" s="46">
        <f t="shared" si="105"/>
        <v>127.72570603100002</v>
      </c>
      <c r="O1340" s="16"/>
      <c r="P1340" s="63">
        <f t="shared" si="106"/>
        <v>3931.8606250000007</v>
      </c>
      <c r="Q1340" s="16"/>
      <c r="R1340" s="48">
        <f t="shared" si="103"/>
        <v>147.44987975000001</v>
      </c>
    </row>
    <row r="1341" spans="1:18">
      <c r="A1341" s="18" t="s">
        <v>66</v>
      </c>
      <c r="B1341" s="15" t="s">
        <v>371</v>
      </c>
      <c r="C1341" s="15" t="s">
        <v>372</v>
      </c>
      <c r="D1341" s="14" t="s">
        <v>88</v>
      </c>
      <c r="E1341" s="15" t="s">
        <v>373</v>
      </c>
      <c r="F1341" s="14" t="s">
        <v>85</v>
      </c>
      <c r="G1341" s="15" t="s">
        <v>23</v>
      </c>
      <c r="H1341" s="15"/>
      <c r="I1341" s="15">
        <v>201408</v>
      </c>
      <c r="J1341" s="70">
        <v>44898.19</v>
      </c>
      <c r="K1341" s="44">
        <f t="shared" si="104"/>
        <v>41944</v>
      </c>
      <c r="L1341" s="45">
        <f t="shared" si="107"/>
        <v>7</v>
      </c>
      <c r="M1341" s="17">
        <v>2.23333E-3</v>
      </c>
      <c r="N1341" s="46">
        <f t="shared" si="105"/>
        <v>701.9073227089001</v>
      </c>
      <c r="O1341" s="16"/>
      <c r="P1341" s="63">
        <f t="shared" si="106"/>
        <v>21607.253937500005</v>
      </c>
      <c r="Q1341" s="16"/>
      <c r="R1341" s="48">
        <f t="shared" si="103"/>
        <v>810.30008402500005</v>
      </c>
    </row>
    <row r="1342" spans="1:18">
      <c r="A1342" s="18" t="s">
        <v>66</v>
      </c>
      <c r="B1342" s="15" t="s">
        <v>374</v>
      </c>
      <c r="C1342" s="15" t="s">
        <v>375</v>
      </c>
      <c r="D1342" s="14" t="s">
        <v>376</v>
      </c>
      <c r="E1342" s="15" t="s">
        <v>377</v>
      </c>
      <c r="F1342" s="14" t="s">
        <v>378</v>
      </c>
      <c r="G1342" s="15" t="s">
        <v>23</v>
      </c>
      <c r="H1342" s="15"/>
      <c r="I1342" s="15">
        <v>201408</v>
      </c>
      <c r="J1342" s="70">
        <v>26967.81</v>
      </c>
      <c r="K1342" s="44">
        <f t="shared" si="104"/>
        <v>41944</v>
      </c>
      <c r="L1342" s="45">
        <f t="shared" si="107"/>
        <v>7</v>
      </c>
      <c r="M1342" s="17">
        <v>2.23333E-3</v>
      </c>
      <c r="N1342" s="46">
        <f t="shared" si="105"/>
        <v>421.59613375110007</v>
      </c>
      <c r="O1342" s="16"/>
      <c r="P1342" s="63">
        <f t="shared" si="106"/>
        <v>12978.258562500003</v>
      </c>
      <c r="Q1342" s="16"/>
      <c r="R1342" s="48">
        <f t="shared" si="103"/>
        <v>486.70155097500003</v>
      </c>
    </row>
    <row r="1343" spans="1:18">
      <c r="A1343" s="18" t="s">
        <v>66</v>
      </c>
      <c r="B1343" s="15" t="s">
        <v>379</v>
      </c>
      <c r="C1343" s="15" t="s">
        <v>380</v>
      </c>
      <c r="D1343" s="14" t="s">
        <v>381</v>
      </c>
      <c r="E1343" s="15" t="s">
        <v>382</v>
      </c>
      <c r="F1343" s="14" t="s">
        <v>212</v>
      </c>
      <c r="G1343" s="15" t="s">
        <v>23</v>
      </c>
      <c r="H1343" s="15"/>
      <c r="I1343" s="15">
        <v>201408</v>
      </c>
      <c r="J1343" s="70">
        <v>43214.62</v>
      </c>
      <c r="K1343" s="44">
        <f t="shared" si="104"/>
        <v>41944</v>
      </c>
      <c r="L1343" s="45">
        <f t="shared" si="107"/>
        <v>7</v>
      </c>
      <c r="M1343" s="17">
        <v>2.23333E-3</v>
      </c>
      <c r="N1343" s="46">
        <f t="shared" si="105"/>
        <v>675.58755099220014</v>
      </c>
      <c r="O1343" s="16"/>
      <c r="P1343" s="63">
        <f t="shared" si="106"/>
        <v>20797.035875000005</v>
      </c>
      <c r="Q1343" s="16"/>
      <c r="R1343" s="48">
        <f t="shared" si="103"/>
        <v>779.9158544500001</v>
      </c>
    </row>
    <row r="1344" spans="1:18">
      <c r="A1344" s="18" t="s">
        <v>66</v>
      </c>
      <c r="B1344" s="15" t="s">
        <v>383</v>
      </c>
      <c r="C1344" s="15" t="s">
        <v>384</v>
      </c>
      <c r="D1344" s="14" t="s">
        <v>385</v>
      </c>
      <c r="E1344" s="15" t="s">
        <v>386</v>
      </c>
      <c r="F1344" s="14" t="s">
        <v>387</v>
      </c>
      <c r="G1344" s="15" t="s">
        <v>23</v>
      </c>
      <c r="H1344" s="15"/>
      <c r="I1344" s="15">
        <v>201408</v>
      </c>
      <c r="J1344" s="70">
        <v>52985.120000000003</v>
      </c>
      <c r="K1344" s="44">
        <f t="shared" si="104"/>
        <v>41944</v>
      </c>
      <c r="L1344" s="45">
        <f t="shared" si="107"/>
        <v>7</v>
      </c>
      <c r="M1344" s="17">
        <v>2.23333E-3</v>
      </c>
      <c r="N1344" s="46">
        <f t="shared" si="105"/>
        <v>828.33280634720006</v>
      </c>
      <c r="O1344" s="16"/>
      <c r="P1344" s="63">
        <f t="shared" si="106"/>
        <v>25499.089000000004</v>
      </c>
      <c r="Q1344" s="16"/>
      <c r="R1344" s="48">
        <f t="shared" si="103"/>
        <v>956.24895320000007</v>
      </c>
    </row>
    <row r="1345" spans="1:18">
      <c r="A1345" s="18" t="s">
        <v>66</v>
      </c>
      <c r="B1345" s="15" t="s">
        <v>388</v>
      </c>
      <c r="C1345" s="15" t="s">
        <v>389</v>
      </c>
      <c r="D1345" s="14" t="s">
        <v>385</v>
      </c>
      <c r="E1345" s="15" t="s">
        <v>390</v>
      </c>
      <c r="F1345" s="14" t="s">
        <v>387</v>
      </c>
      <c r="G1345" s="15" t="s">
        <v>23</v>
      </c>
      <c r="H1345" s="15"/>
      <c r="I1345" s="15">
        <v>201408</v>
      </c>
      <c r="J1345" s="70">
        <v>4213.7299999999996</v>
      </c>
      <c r="K1345" s="44">
        <f t="shared" si="104"/>
        <v>41944</v>
      </c>
      <c r="L1345" s="45">
        <f t="shared" si="107"/>
        <v>7</v>
      </c>
      <c r="M1345" s="17">
        <v>2.23333E-3</v>
      </c>
      <c r="N1345" s="46">
        <f t="shared" si="105"/>
        <v>65.874547346299991</v>
      </c>
      <c r="O1345" s="16"/>
      <c r="P1345" s="63">
        <f t="shared" si="106"/>
        <v>2027.8575625000001</v>
      </c>
      <c r="Q1345" s="16"/>
      <c r="R1345" s="48">
        <f t="shared" si="103"/>
        <v>76.047292174999995</v>
      </c>
    </row>
    <row r="1346" spans="1:18">
      <c r="A1346" s="18" t="s">
        <v>66</v>
      </c>
      <c r="B1346" s="15" t="s">
        <v>463</v>
      </c>
      <c r="C1346" s="15" t="s">
        <v>464</v>
      </c>
      <c r="D1346" s="14" t="s">
        <v>465</v>
      </c>
      <c r="E1346" s="15" t="s">
        <v>466</v>
      </c>
      <c r="F1346" s="14" t="s">
        <v>467</v>
      </c>
      <c r="G1346" s="15" t="s">
        <v>23</v>
      </c>
      <c r="H1346" s="15"/>
      <c r="I1346" s="15">
        <v>201408</v>
      </c>
      <c r="J1346" s="70">
        <v>-143.46</v>
      </c>
      <c r="K1346" s="44">
        <f t="shared" si="104"/>
        <v>41944</v>
      </c>
      <c r="L1346" s="45">
        <f t="shared" si="107"/>
        <v>7</v>
      </c>
      <c r="M1346" s="17">
        <v>2.23333E-3</v>
      </c>
      <c r="N1346" s="46">
        <f t="shared" si="105"/>
        <v>-2.2427546526000004</v>
      </c>
      <c r="O1346" s="16"/>
      <c r="P1346" s="63">
        <f t="shared" si="106"/>
        <v>-69.040125000000018</v>
      </c>
      <c r="Q1346" s="16"/>
      <c r="R1346" s="48">
        <f t="shared" si="103"/>
        <v>-2.5890943500000003</v>
      </c>
    </row>
    <row r="1347" spans="1:18">
      <c r="A1347" s="18" t="s">
        <v>66</v>
      </c>
      <c r="B1347" s="15" t="s">
        <v>489</v>
      </c>
      <c r="C1347" s="15" t="s">
        <v>490</v>
      </c>
      <c r="D1347" s="14" t="s">
        <v>491</v>
      </c>
      <c r="E1347" s="15" t="s">
        <v>492</v>
      </c>
      <c r="F1347" s="14" t="s">
        <v>378</v>
      </c>
      <c r="G1347" s="15" t="s">
        <v>23</v>
      </c>
      <c r="H1347" s="15"/>
      <c r="I1347" s="15">
        <v>201408</v>
      </c>
      <c r="J1347" s="70">
        <v>-864.24</v>
      </c>
      <c r="K1347" s="44">
        <f t="shared" si="104"/>
        <v>41944</v>
      </c>
      <c r="L1347" s="45">
        <f t="shared" si="107"/>
        <v>7</v>
      </c>
      <c r="M1347" s="17">
        <v>2.23333E-3</v>
      </c>
      <c r="N1347" s="46">
        <f t="shared" si="105"/>
        <v>-13.510931834400001</v>
      </c>
      <c r="O1347" s="16"/>
      <c r="P1347" s="63">
        <f t="shared" si="106"/>
        <v>-415.91550000000007</v>
      </c>
      <c r="Q1347" s="16"/>
      <c r="R1347" s="48">
        <f t="shared" si="103"/>
        <v>-15.597371400000002</v>
      </c>
    </row>
    <row r="1348" spans="1:18">
      <c r="A1348" s="18" t="s">
        <v>66</v>
      </c>
      <c r="B1348" s="15" t="s">
        <v>496</v>
      </c>
      <c r="C1348" s="15" t="s">
        <v>497</v>
      </c>
      <c r="D1348" s="14" t="s">
        <v>376</v>
      </c>
      <c r="E1348" s="15" t="s">
        <v>498</v>
      </c>
      <c r="F1348" s="14" t="s">
        <v>378</v>
      </c>
      <c r="G1348" s="15" t="s">
        <v>23</v>
      </c>
      <c r="H1348" s="15"/>
      <c r="I1348" s="15">
        <v>201408</v>
      </c>
      <c r="J1348" s="70">
        <v>74618.95</v>
      </c>
      <c r="K1348" s="44">
        <f t="shared" si="104"/>
        <v>41944</v>
      </c>
      <c r="L1348" s="45">
        <f t="shared" si="107"/>
        <v>7</v>
      </c>
      <c r="M1348" s="17">
        <v>2.23333E-3</v>
      </c>
      <c r="N1348" s="46">
        <f t="shared" si="105"/>
        <v>1166.5411772245</v>
      </c>
      <c r="O1348" s="16"/>
      <c r="P1348" s="63">
        <f t="shared" si="106"/>
        <v>35910.369687500002</v>
      </c>
      <c r="Q1348" s="16"/>
      <c r="R1348" s="48">
        <f t="shared" si="103"/>
        <v>1346.6855001250001</v>
      </c>
    </row>
    <row r="1349" spans="1:18">
      <c r="A1349" s="18" t="s">
        <v>66</v>
      </c>
      <c r="B1349" s="15" t="s">
        <v>499</v>
      </c>
      <c r="C1349" s="15" t="s">
        <v>500</v>
      </c>
      <c r="D1349" s="14" t="s">
        <v>385</v>
      </c>
      <c r="E1349" s="15" t="s">
        <v>501</v>
      </c>
      <c r="F1349" s="14" t="s">
        <v>387</v>
      </c>
      <c r="G1349" s="15" t="s">
        <v>23</v>
      </c>
      <c r="H1349" s="15"/>
      <c r="I1349" s="15">
        <v>201408</v>
      </c>
      <c r="J1349" s="70">
        <v>-3136.9</v>
      </c>
      <c r="K1349" s="44">
        <f t="shared" si="104"/>
        <v>41944</v>
      </c>
      <c r="L1349" s="45">
        <f t="shared" si="107"/>
        <v>7</v>
      </c>
      <c r="M1349" s="17">
        <v>2.23333E-3</v>
      </c>
      <c r="N1349" s="46">
        <f t="shared" si="105"/>
        <v>-49.040130139000006</v>
      </c>
      <c r="O1349" s="16"/>
      <c r="P1349" s="63">
        <f t="shared" si="106"/>
        <v>-1509.6331250000003</v>
      </c>
      <c r="Q1349" s="16"/>
      <c r="R1349" s="48">
        <f t="shared" si="103"/>
        <v>-56.613202750000006</v>
      </c>
    </row>
    <row r="1350" spans="1:18">
      <c r="A1350" s="18" t="s">
        <v>66</v>
      </c>
      <c r="B1350" s="15" t="s">
        <v>587</v>
      </c>
      <c r="C1350" s="15" t="s">
        <v>588</v>
      </c>
      <c r="D1350" s="14" t="s">
        <v>589</v>
      </c>
      <c r="E1350" s="15" t="s">
        <v>590</v>
      </c>
      <c r="F1350" s="14" t="s">
        <v>591</v>
      </c>
      <c r="G1350" s="15" t="s">
        <v>23</v>
      </c>
      <c r="H1350" s="15"/>
      <c r="I1350" s="15">
        <v>201408</v>
      </c>
      <c r="J1350" s="70">
        <v>-1.74</v>
      </c>
      <c r="K1350" s="44">
        <f t="shared" si="104"/>
        <v>41944</v>
      </c>
      <c r="L1350" s="45">
        <f t="shared" si="107"/>
        <v>7</v>
      </c>
      <c r="M1350" s="17">
        <v>2.23333E-3</v>
      </c>
      <c r="N1350" s="46">
        <f t="shared" si="105"/>
        <v>-2.7201959400000003E-2</v>
      </c>
      <c r="O1350" s="16"/>
      <c r="P1350" s="63">
        <f t="shared" si="106"/>
        <v>-0.83737500000000009</v>
      </c>
      <c r="Q1350" s="16"/>
      <c r="R1350" s="48">
        <f t="shared" ref="R1350:R1367" si="108">$R$4*(J1350*0.5)*$T$9</f>
        <v>-3.1402650000000004E-2</v>
      </c>
    </row>
    <row r="1351" spans="1:18">
      <c r="A1351" s="18" t="s">
        <v>66</v>
      </c>
      <c r="B1351" s="15" t="s">
        <v>592</v>
      </c>
      <c r="C1351" s="15" t="s">
        <v>593</v>
      </c>
      <c r="D1351" s="14" t="s">
        <v>381</v>
      </c>
      <c r="E1351" s="15" t="s">
        <v>594</v>
      </c>
      <c r="F1351" s="14" t="s">
        <v>212</v>
      </c>
      <c r="G1351" s="15" t="s">
        <v>23</v>
      </c>
      <c r="H1351" s="15"/>
      <c r="I1351" s="15">
        <v>201408</v>
      </c>
      <c r="J1351" s="70">
        <v>-99.06</v>
      </c>
      <c r="K1351" s="44">
        <f t="shared" ref="K1351:K1367" si="109">+K1350</f>
        <v>41944</v>
      </c>
      <c r="L1351" s="45">
        <f t="shared" si="107"/>
        <v>7</v>
      </c>
      <c r="M1351" s="17">
        <v>2.23333E-3</v>
      </c>
      <c r="N1351" s="46">
        <f t="shared" si="105"/>
        <v>-1.5486356886000001</v>
      </c>
      <c r="O1351" s="16"/>
      <c r="P1351" s="63">
        <f t="shared" si="106"/>
        <v>-47.672625000000011</v>
      </c>
      <c r="Q1351" s="16"/>
      <c r="R1351" s="48">
        <f t="shared" si="108"/>
        <v>-1.7877853500000001</v>
      </c>
    </row>
    <row r="1352" spans="1:18">
      <c r="A1352" s="18" t="s">
        <v>66</v>
      </c>
      <c r="B1352" s="15" t="s">
        <v>595</v>
      </c>
      <c r="C1352" s="15" t="s">
        <v>596</v>
      </c>
      <c r="D1352" s="14" t="s">
        <v>597</v>
      </c>
      <c r="E1352" s="15" t="s">
        <v>598</v>
      </c>
      <c r="F1352" s="14" t="s">
        <v>212</v>
      </c>
      <c r="G1352" s="15" t="s">
        <v>23</v>
      </c>
      <c r="H1352" s="15"/>
      <c r="I1352" s="15">
        <v>201408</v>
      </c>
      <c r="J1352" s="70">
        <v>230519.28</v>
      </c>
      <c r="K1352" s="44">
        <f t="shared" si="109"/>
        <v>41944</v>
      </c>
      <c r="L1352" s="45">
        <f t="shared" si="107"/>
        <v>7</v>
      </c>
      <c r="M1352" s="17">
        <v>2.23333E-3</v>
      </c>
      <c r="N1352" s="46">
        <f t="shared" si="105"/>
        <v>3603.7793652168002</v>
      </c>
      <c r="O1352" s="16"/>
      <c r="P1352" s="63">
        <f t="shared" si="106"/>
        <v>110937.40350000001</v>
      </c>
      <c r="Q1352" s="16"/>
      <c r="R1352" s="48">
        <f t="shared" si="108"/>
        <v>4160.2967058000004</v>
      </c>
    </row>
    <row r="1353" spans="1:18">
      <c r="A1353" s="18" t="s">
        <v>66</v>
      </c>
      <c r="B1353" s="15" t="s">
        <v>599</v>
      </c>
      <c r="C1353" s="15" t="s">
        <v>600</v>
      </c>
      <c r="D1353" s="14" t="s">
        <v>385</v>
      </c>
      <c r="E1353" s="15" t="s">
        <v>601</v>
      </c>
      <c r="F1353" s="14" t="s">
        <v>387</v>
      </c>
      <c r="G1353" s="15" t="s">
        <v>23</v>
      </c>
      <c r="H1353" s="15"/>
      <c r="I1353" s="15">
        <v>201408</v>
      </c>
      <c r="J1353" s="70">
        <v>2331.64</v>
      </c>
      <c r="K1353" s="44">
        <f t="shared" si="109"/>
        <v>41944</v>
      </c>
      <c r="L1353" s="45">
        <f t="shared" si="107"/>
        <v>7</v>
      </c>
      <c r="M1353" s="17">
        <v>2.23333E-3</v>
      </c>
      <c r="N1353" s="46">
        <f t="shared" si="105"/>
        <v>36.4512509284</v>
      </c>
      <c r="O1353" s="16"/>
      <c r="P1353" s="63">
        <f t="shared" si="106"/>
        <v>1122.10175</v>
      </c>
      <c r="Q1353" s="16"/>
      <c r="R1353" s="48">
        <f t="shared" si="108"/>
        <v>42.080272899999997</v>
      </c>
    </row>
    <row r="1354" spans="1:18">
      <c r="A1354" s="18" t="s">
        <v>66</v>
      </c>
      <c r="B1354" s="15" t="s">
        <v>620</v>
      </c>
      <c r="C1354" s="15" t="s">
        <v>621</v>
      </c>
      <c r="D1354" s="14" t="s">
        <v>622</v>
      </c>
      <c r="E1354" s="15" t="s">
        <v>623</v>
      </c>
      <c r="F1354" s="14" t="s">
        <v>624</v>
      </c>
      <c r="G1354" s="15" t="s">
        <v>23</v>
      </c>
      <c r="H1354" s="15"/>
      <c r="I1354" s="15">
        <v>201408</v>
      </c>
      <c r="J1354" s="70">
        <v>-53.07</v>
      </c>
      <c r="K1354" s="44">
        <f t="shared" si="109"/>
        <v>41944</v>
      </c>
      <c r="L1354" s="45">
        <f t="shared" si="107"/>
        <v>7</v>
      </c>
      <c r="M1354" s="17">
        <v>2.23333E-3</v>
      </c>
      <c r="N1354" s="46">
        <f t="shared" si="105"/>
        <v>-0.82965976170000011</v>
      </c>
      <c r="O1354" s="16"/>
      <c r="P1354" s="63">
        <f t="shared" si="106"/>
        <v>-25.539937500000004</v>
      </c>
      <c r="Q1354" s="16"/>
      <c r="R1354" s="48">
        <f t="shared" si="108"/>
        <v>-0.95778082500000006</v>
      </c>
    </row>
    <row r="1355" spans="1:18">
      <c r="A1355" s="18" t="s">
        <v>66</v>
      </c>
      <c r="B1355" s="15" t="s">
        <v>671</v>
      </c>
      <c r="C1355" s="15" t="s">
        <v>672</v>
      </c>
      <c r="D1355" s="14" t="s">
        <v>206</v>
      </c>
      <c r="E1355" s="15" t="s">
        <v>673</v>
      </c>
      <c r="F1355" s="14" t="s">
        <v>97</v>
      </c>
      <c r="G1355" s="15" t="s">
        <v>23</v>
      </c>
      <c r="H1355" s="15"/>
      <c r="I1355" s="15">
        <v>201408</v>
      </c>
      <c r="J1355" s="70">
        <v>992.06</v>
      </c>
      <c r="K1355" s="44">
        <f t="shared" si="109"/>
        <v>41944</v>
      </c>
      <c r="L1355" s="45">
        <f t="shared" si="107"/>
        <v>7</v>
      </c>
      <c r="M1355" s="17">
        <v>2.23333E-3</v>
      </c>
      <c r="N1355" s="46">
        <f t="shared" si="105"/>
        <v>15.5091815186</v>
      </c>
      <c r="O1355" s="16"/>
      <c r="P1355" s="63">
        <f t="shared" si="106"/>
        <v>477.42887500000006</v>
      </c>
      <c r="Q1355" s="16"/>
      <c r="R1355" s="48">
        <f t="shared" si="108"/>
        <v>17.904202850000001</v>
      </c>
    </row>
    <row r="1356" spans="1:18">
      <c r="A1356" s="18" t="s">
        <v>66</v>
      </c>
      <c r="B1356" s="15" t="s">
        <v>674</v>
      </c>
      <c r="C1356" s="15" t="s">
        <v>675</v>
      </c>
      <c r="D1356" s="14" t="s">
        <v>385</v>
      </c>
      <c r="E1356" s="15" t="s">
        <v>676</v>
      </c>
      <c r="F1356" s="14" t="s">
        <v>387</v>
      </c>
      <c r="G1356" s="15" t="s">
        <v>23</v>
      </c>
      <c r="H1356" s="15"/>
      <c r="I1356" s="15">
        <v>201408</v>
      </c>
      <c r="J1356" s="70">
        <v>-2171.91</v>
      </c>
      <c r="K1356" s="44">
        <f t="shared" si="109"/>
        <v>41944</v>
      </c>
      <c r="L1356" s="45">
        <f t="shared" si="107"/>
        <v>7</v>
      </c>
      <c r="M1356" s="17">
        <v>2.23333E-3</v>
      </c>
      <c r="N1356" s="46">
        <f t="shared" ref="N1356:N1367" si="110">M1356*L1356*J1356</f>
        <v>-33.954142322099997</v>
      </c>
      <c r="O1356" s="16"/>
      <c r="P1356" s="63">
        <f t="shared" ref="P1356:P1367" si="111">$P$4*J1356</f>
        <v>-1045.2316875000001</v>
      </c>
      <c r="Q1356" s="16"/>
      <c r="R1356" s="48">
        <f t="shared" si="108"/>
        <v>-39.197545724999998</v>
      </c>
    </row>
    <row r="1357" spans="1:18">
      <c r="A1357" s="18" t="s">
        <v>66</v>
      </c>
      <c r="B1357" s="15" t="s">
        <v>734</v>
      </c>
      <c r="C1357" s="15" t="s">
        <v>735</v>
      </c>
      <c r="D1357" s="14" t="s">
        <v>736</v>
      </c>
      <c r="E1357" s="15" t="s">
        <v>737</v>
      </c>
      <c r="F1357" s="14" t="s">
        <v>624</v>
      </c>
      <c r="G1357" s="15" t="s">
        <v>23</v>
      </c>
      <c r="H1357" s="15"/>
      <c r="I1357" s="15">
        <v>201408</v>
      </c>
      <c r="J1357" s="70">
        <v>31.41</v>
      </c>
      <c r="K1357" s="44">
        <f t="shared" si="109"/>
        <v>41944</v>
      </c>
      <c r="L1357" s="45">
        <f t="shared" ref="L1357:L1367" si="112">((YEAR($L$1)-YEAR(K1357))*12+MONTH($L$1)-MONTH(K1357))</f>
        <v>7</v>
      </c>
      <c r="M1357" s="17">
        <v>2.23333E-3</v>
      </c>
      <c r="N1357" s="46">
        <f t="shared" si="110"/>
        <v>0.49104226710000004</v>
      </c>
      <c r="O1357" s="16"/>
      <c r="P1357" s="63">
        <f t="shared" si="111"/>
        <v>15.116062500000002</v>
      </c>
      <c r="Q1357" s="16"/>
      <c r="R1357" s="48">
        <f t="shared" si="108"/>
        <v>0.56687197500000008</v>
      </c>
    </row>
    <row r="1358" spans="1:18">
      <c r="A1358" s="18" t="s">
        <v>66</v>
      </c>
      <c r="B1358" s="15" t="s">
        <v>741</v>
      </c>
      <c r="C1358" s="15" t="s">
        <v>742</v>
      </c>
      <c r="D1358" s="14" t="s">
        <v>69</v>
      </c>
      <c r="E1358" s="15" t="s">
        <v>70</v>
      </c>
      <c r="F1358" s="14" t="s">
        <v>71</v>
      </c>
      <c r="G1358" s="15" t="s">
        <v>23</v>
      </c>
      <c r="H1358" s="15"/>
      <c r="I1358" s="15">
        <v>201408</v>
      </c>
      <c r="J1358" s="70">
        <v>2360.13</v>
      </c>
      <c r="K1358" s="44">
        <f t="shared" si="109"/>
        <v>41944</v>
      </c>
      <c r="L1358" s="45">
        <f t="shared" si="112"/>
        <v>7</v>
      </c>
      <c r="M1358" s="17">
        <v>2.23333E-3</v>
      </c>
      <c r="N1358" s="46">
        <f t="shared" si="110"/>
        <v>36.896643930300002</v>
      </c>
      <c r="O1358" s="16"/>
      <c r="P1358" s="63">
        <f t="shared" si="111"/>
        <v>1135.8125625000002</v>
      </c>
      <c r="Q1358" s="16"/>
      <c r="R1358" s="48">
        <f t="shared" si="108"/>
        <v>42.594446175000002</v>
      </c>
    </row>
    <row r="1359" spans="1:18">
      <c r="A1359" s="18" t="s">
        <v>66</v>
      </c>
      <c r="B1359" s="15" t="s">
        <v>743</v>
      </c>
      <c r="C1359" s="15" t="s">
        <v>744</v>
      </c>
      <c r="D1359" s="14" t="s">
        <v>745</v>
      </c>
      <c r="E1359" s="15" t="s">
        <v>746</v>
      </c>
      <c r="F1359" s="14" t="s">
        <v>80</v>
      </c>
      <c r="G1359" s="15" t="s">
        <v>23</v>
      </c>
      <c r="H1359" s="15"/>
      <c r="I1359" s="15">
        <v>201408</v>
      </c>
      <c r="J1359" s="70">
        <v>29834.3</v>
      </c>
      <c r="K1359" s="44">
        <f t="shared" si="109"/>
        <v>41944</v>
      </c>
      <c r="L1359" s="45">
        <f t="shared" si="112"/>
        <v>7</v>
      </c>
      <c r="M1359" s="17">
        <v>2.23333E-3</v>
      </c>
      <c r="N1359" s="46">
        <f t="shared" si="110"/>
        <v>466.408860533</v>
      </c>
      <c r="O1359" s="16"/>
      <c r="P1359" s="63">
        <f t="shared" si="111"/>
        <v>14357.756875000001</v>
      </c>
      <c r="Q1359" s="16"/>
      <c r="R1359" s="48">
        <f t="shared" si="108"/>
        <v>538.43452924999997</v>
      </c>
    </row>
    <row r="1360" spans="1:18">
      <c r="A1360" s="18" t="s">
        <v>66</v>
      </c>
      <c r="B1360" s="15" t="s">
        <v>747</v>
      </c>
      <c r="C1360" s="15" t="s">
        <v>748</v>
      </c>
      <c r="D1360" s="14" t="s">
        <v>78</v>
      </c>
      <c r="E1360" s="15" t="s">
        <v>749</v>
      </c>
      <c r="F1360" s="14" t="s">
        <v>80</v>
      </c>
      <c r="G1360" s="15" t="s">
        <v>23</v>
      </c>
      <c r="H1360" s="15"/>
      <c r="I1360" s="15">
        <v>201408</v>
      </c>
      <c r="J1360" s="70">
        <v>68566.92</v>
      </c>
      <c r="K1360" s="44">
        <f t="shared" si="109"/>
        <v>41944</v>
      </c>
      <c r="L1360" s="45">
        <f t="shared" si="112"/>
        <v>7</v>
      </c>
      <c r="M1360" s="17">
        <v>2.23333E-3</v>
      </c>
      <c r="N1360" s="46">
        <f t="shared" si="110"/>
        <v>1071.9279161052</v>
      </c>
      <c r="O1360" s="16"/>
      <c r="P1360" s="63">
        <f t="shared" si="111"/>
        <v>32997.830250000006</v>
      </c>
      <c r="Q1360" s="16"/>
      <c r="R1360" s="48">
        <f t="shared" si="108"/>
        <v>1237.4614887</v>
      </c>
    </row>
    <row r="1361" spans="1:18">
      <c r="A1361" s="18" t="s">
        <v>66</v>
      </c>
      <c r="B1361" s="15" t="s">
        <v>750</v>
      </c>
      <c r="C1361" s="15" t="s">
        <v>751</v>
      </c>
      <c r="D1361" s="14" t="s">
        <v>78</v>
      </c>
      <c r="E1361" s="15" t="s">
        <v>752</v>
      </c>
      <c r="F1361" s="14" t="s">
        <v>80</v>
      </c>
      <c r="G1361" s="15" t="s">
        <v>23</v>
      </c>
      <c r="H1361" s="15"/>
      <c r="I1361" s="15">
        <v>201408</v>
      </c>
      <c r="J1361" s="70">
        <v>-0.35</v>
      </c>
      <c r="K1361" s="44">
        <f t="shared" si="109"/>
        <v>41944</v>
      </c>
      <c r="L1361" s="45">
        <f t="shared" si="112"/>
        <v>7</v>
      </c>
      <c r="M1361" s="17">
        <v>2.23333E-3</v>
      </c>
      <c r="N1361" s="46">
        <f t="shared" si="110"/>
        <v>-5.4716584999999996E-3</v>
      </c>
      <c r="O1361" s="16"/>
      <c r="P1361" s="63">
        <f t="shared" si="111"/>
        <v>-0.16843750000000002</v>
      </c>
      <c r="Q1361" s="16"/>
      <c r="R1361" s="48">
        <f t="shared" si="108"/>
        <v>-6.3166250000000002E-3</v>
      </c>
    </row>
    <row r="1362" spans="1:18">
      <c r="A1362" s="18" t="s">
        <v>66</v>
      </c>
      <c r="B1362" s="15" t="s">
        <v>753</v>
      </c>
      <c r="C1362" s="15" t="s">
        <v>754</v>
      </c>
      <c r="D1362" s="14" t="s">
        <v>206</v>
      </c>
      <c r="E1362" s="15" t="s">
        <v>755</v>
      </c>
      <c r="F1362" s="14" t="s">
        <v>97</v>
      </c>
      <c r="G1362" s="15" t="s">
        <v>23</v>
      </c>
      <c r="H1362" s="15"/>
      <c r="I1362" s="15">
        <v>201408</v>
      </c>
      <c r="J1362" s="70">
        <v>7100.94</v>
      </c>
      <c r="K1362" s="44">
        <f t="shared" si="109"/>
        <v>41944</v>
      </c>
      <c r="L1362" s="45">
        <f t="shared" si="112"/>
        <v>7</v>
      </c>
      <c r="M1362" s="17">
        <v>2.23333E-3</v>
      </c>
      <c r="N1362" s="46">
        <f t="shared" si="110"/>
        <v>111.0111963114</v>
      </c>
      <c r="O1362" s="16"/>
      <c r="P1362" s="63">
        <f t="shared" si="111"/>
        <v>3417.3273750000003</v>
      </c>
      <c r="Q1362" s="16"/>
      <c r="R1362" s="48">
        <f t="shared" si="108"/>
        <v>128.15421465</v>
      </c>
    </row>
    <row r="1363" spans="1:18">
      <c r="A1363" s="18" t="s">
        <v>66</v>
      </c>
      <c r="B1363" s="15" t="s">
        <v>839</v>
      </c>
      <c r="C1363" s="15" t="s">
        <v>840</v>
      </c>
      <c r="D1363" s="14" t="s">
        <v>841</v>
      </c>
      <c r="E1363" s="15" t="s">
        <v>842</v>
      </c>
      <c r="F1363" s="14" t="s">
        <v>624</v>
      </c>
      <c r="G1363" s="15" t="s">
        <v>23</v>
      </c>
      <c r="H1363" s="15"/>
      <c r="I1363" s="15">
        <v>201408</v>
      </c>
      <c r="J1363" s="70">
        <v>-43.37</v>
      </c>
      <c r="K1363" s="44">
        <f t="shared" si="109"/>
        <v>41944</v>
      </c>
      <c r="L1363" s="45">
        <f t="shared" si="112"/>
        <v>7</v>
      </c>
      <c r="M1363" s="17">
        <v>2.23333E-3</v>
      </c>
      <c r="N1363" s="46">
        <f t="shared" si="110"/>
        <v>-0.67801665470000005</v>
      </c>
      <c r="O1363" s="16"/>
      <c r="P1363" s="63">
        <f t="shared" si="111"/>
        <v>-20.871812500000001</v>
      </c>
      <c r="Q1363" s="16"/>
      <c r="R1363" s="48">
        <f t="shared" si="108"/>
        <v>-0.78272007499999996</v>
      </c>
    </row>
    <row r="1364" spans="1:18">
      <c r="A1364" s="18" t="s">
        <v>66</v>
      </c>
      <c r="B1364" s="15" t="s">
        <v>941</v>
      </c>
      <c r="C1364" s="15" t="s">
        <v>942</v>
      </c>
      <c r="D1364" s="14" t="s">
        <v>943</v>
      </c>
      <c r="E1364" s="15" t="s">
        <v>369</v>
      </c>
      <c r="F1364" s="14" t="s">
        <v>41</v>
      </c>
      <c r="G1364" s="15" t="s">
        <v>23</v>
      </c>
      <c r="H1364" s="15"/>
      <c r="I1364" s="15">
        <v>201408</v>
      </c>
      <c r="J1364" s="70">
        <v>-18.55</v>
      </c>
      <c r="K1364" s="44">
        <f t="shared" si="109"/>
        <v>41944</v>
      </c>
      <c r="L1364" s="45">
        <f t="shared" si="112"/>
        <v>7</v>
      </c>
      <c r="M1364" s="17">
        <v>2.23333E-3</v>
      </c>
      <c r="N1364" s="46">
        <f t="shared" si="110"/>
        <v>-0.28999790050000002</v>
      </c>
      <c r="O1364" s="16"/>
      <c r="P1364" s="63">
        <f t="shared" si="111"/>
        <v>-8.9271875000000023</v>
      </c>
      <c r="Q1364" s="16"/>
      <c r="R1364" s="48">
        <f t="shared" si="108"/>
        <v>-0.33478112500000001</v>
      </c>
    </row>
    <row r="1365" spans="1:18">
      <c r="A1365" s="14" t="s">
        <v>17</v>
      </c>
      <c r="B1365" s="15" t="s">
        <v>422</v>
      </c>
      <c r="C1365" s="15" t="s">
        <v>423</v>
      </c>
      <c r="D1365" s="14" t="s">
        <v>424</v>
      </c>
      <c r="E1365" s="15" t="s">
        <v>246</v>
      </c>
      <c r="F1365" s="14" t="s">
        <v>247</v>
      </c>
      <c r="G1365" s="15" t="s">
        <v>23</v>
      </c>
      <c r="H1365" s="15"/>
      <c r="I1365" s="15">
        <v>201408</v>
      </c>
      <c r="J1365" s="70">
        <v>-149.79</v>
      </c>
      <c r="K1365" s="44">
        <f t="shared" si="109"/>
        <v>41944</v>
      </c>
      <c r="L1365" s="45">
        <f t="shared" si="112"/>
        <v>7</v>
      </c>
      <c r="M1365" s="17">
        <v>1.4833299999999999E-3</v>
      </c>
      <c r="N1365" s="46">
        <f t="shared" si="110"/>
        <v>-1.5553160048999999</v>
      </c>
      <c r="O1365" s="16"/>
      <c r="P1365" s="63">
        <f t="shared" si="111"/>
        <v>-72.086437500000002</v>
      </c>
      <c r="Q1365" s="16"/>
      <c r="R1365" s="48">
        <f t="shared" si="108"/>
        <v>-2.7033350249999999</v>
      </c>
    </row>
    <row r="1366" spans="1:18">
      <c r="A1366" s="18" t="s">
        <v>17</v>
      </c>
      <c r="B1366" s="15" t="s">
        <v>786</v>
      </c>
      <c r="C1366" s="15" t="s">
        <v>787</v>
      </c>
      <c r="D1366" s="14" t="s">
        <v>788</v>
      </c>
      <c r="E1366" s="15" t="s">
        <v>246</v>
      </c>
      <c r="F1366" s="14" t="s">
        <v>247</v>
      </c>
      <c r="G1366" s="15" t="s">
        <v>23</v>
      </c>
      <c r="H1366" s="15"/>
      <c r="I1366" s="15">
        <v>201408</v>
      </c>
      <c r="J1366" s="70">
        <v>-4867.8</v>
      </c>
      <c r="K1366" s="44">
        <f t="shared" si="109"/>
        <v>41944</v>
      </c>
      <c r="L1366" s="45">
        <f t="shared" si="112"/>
        <v>7</v>
      </c>
      <c r="M1366" s="17">
        <v>1.4833299999999999E-3</v>
      </c>
      <c r="N1366" s="46">
        <f t="shared" si="110"/>
        <v>-50.543876418000004</v>
      </c>
      <c r="O1366" s="16"/>
      <c r="P1366" s="63">
        <f t="shared" si="111"/>
        <v>-2342.6287500000003</v>
      </c>
      <c r="Q1366" s="16"/>
      <c r="R1366" s="48">
        <f t="shared" si="108"/>
        <v>-87.85162050000001</v>
      </c>
    </row>
    <row r="1367" spans="1:18">
      <c r="A1367" s="18" t="s">
        <v>17</v>
      </c>
      <c r="B1367" s="15" t="s">
        <v>789</v>
      </c>
      <c r="C1367" s="15" t="s">
        <v>790</v>
      </c>
      <c r="D1367" s="14" t="s">
        <v>791</v>
      </c>
      <c r="E1367" s="15" t="s">
        <v>246</v>
      </c>
      <c r="F1367" s="14" t="s">
        <v>247</v>
      </c>
      <c r="G1367" s="15" t="s">
        <v>23</v>
      </c>
      <c r="H1367" s="15"/>
      <c r="I1367" s="15">
        <v>201408</v>
      </c>
      <c r="J1367" s="70">
        <v>-678.1</v>
      </c>
      <c r="K1367" s="44">
        <f t="shared" si="109"/>
        <v>41944</v>
      </c>
      <c r="L1367" s="45">
        <f t="shared" si="112"/>
        <v>7</v>
      </c>
      <c r="M1367" s="17">
        <v>1.4833299999999999E-3</v>
      </c>
      <c r="N1367" s="46">
        <f t="shared" si="110"/>
        <v>-7.0409225109999998</v>
      </c>
      <c r="O1367" s="16"/>
      <c r="P1367" s="63">
        <f t="shared" si="111"/>
        <v>-326.33562500000005</v>
      </c>
      <c r="Q1367" s="16"/>
      <c r="R1367" s="48">
        <f t="shared" si="108"/>
        <v>-12.238009750000002</v>
      </c>
    </row>
    <row r="1369" spans="1:18" ht="15.75" thickBot="1">
      <c r="H1369" s="62" t="s">
        <v>1450</v>
      </c>
      <c r="J1369" s="75">
        <f>SUM(J5:J1367)</f>
        <v>13840900.259999968</v>
      </c>
      <c r="N1369" s="75">
        <f>SUM(N5:N1367)</f>
        <v>168295.61018034961</v>
      </c>
      <c r="P1369" s="75">
        <f>SUM(P5:P1367)</f>
        <v>6660933.2501250021</v>
      </c>
      <c r="R1369" s="75">
        <f>SUM(R5:R1367)</f>
        <v>249793.64744235008</v>
      </c>
    </row>
    <row r="1370" spans="1:18" ht="15.75" thickTop="1"/>
    <row r="1373" spans="1:18">
      <c r="N1373" s="6" t="s">
        <v>1513</v>
      </c>
      <c r="Q1373" s="6">
        <f>+R1369</f>
        <v>249793.64744235008</v>
      </c>
    </row>
    <row r="1374" spans="1:18" ht="17.25">
      <c r="N1374" s="6" t="s">
        <v>1509</v>
      </c>
      <c r="Q1374" s="160">
        <f>+N1369</f>
        <v>168295.61018034961</v>
      </c>
    </row>
    <row r="1375" spans="1:18">
      <c r="N1375" s="6" t="s">
        <v>1510</v>
      </c>
      <c r="Q1375" s="6">
        <f>+Q1373-Q1374</f>
        <v>81498.037262000464</v>
      </c>
    </row>
    <row r="1376" spans="1:18" ht="17.25">
      <c r="N1376" s="6" t="s">
        <v>1511</v>
      </c>
      <c r="Q1376" s="160">
        <v>0.38388600000000001</v>
      </c>
    </row>
    <row r="1377" spans="14:17" ht="17.25">
      <c r="N1377" s="6" t="s">
        <v>1512</v>
      </c>
      <c r="Q1377" s="159">
        <f>+Q1375*Q1376</f>
        <v>31285.955532360309</v>
      </c>
    </row>
  </sheetData>
  <mergeCells count="12">
    <mergeCell ref="K4:N4"/>
    <mergeCell ref="U6:W6"/>
    <mergeCell ref="K1:K3"/>
    <mergeCell ref="M1:M3"/>
    <mergeCell ref="N1:N3"/>
    <mergeCell ref="O1:P1"/>
    <mergeCell ref="Q1:R1"/>
    <mergeCell ref="L2:L3"/>
    <mergeCell ref="O2:O3"/>
    <mergeCell ref="P2:P3"/>
    <mergeCell ref="Q2:Q3"/>
    <mergeCell ref="R2:R3"/>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sheetPr>
    <tabColor rgb="FF00B050"/>
  </sheetPr>
  <dimension ref="A1:X935"/>
  <sheetViews>
    <sheetView zoomScale="85" zoomScaleNormal="85" workbookViewId="0">
      <pane ySplit="4" topLeftCell="A865" activePane="bottomLeft" state="frozen"/>
      <selection pane="bottomLeft" activeCell="J942" sqref="J942"/>
    </sheetView>
  </sheetViews>
  <sheetFormatPr defaultColWidth="9.140625" defaultRowHeight="15"/>
  <cols>
    <col min="1" max="1" width="37" style="3" customWidth="1"/>
    <col min="2" max="2" width="17.28515625" style="2" customWidth="1"/>
    <col min="3" max="3" width="13.85546875" style="2" customWidth="1"/>
    <col min="4" max="4" width="34.5703125" style="3" customWidth="1"/>
    <col min="5" max="5" width="8.7109375" style="2" customWidth="1"/>
    <col min="6" max="6" width="36.7109375" style="3" bestFit="1" customWidth="1"/>
    <col min="7" max="8" width="14.140625" style="2" customWidth="1"/>
    <col min="9" max="9" width="9.28515625" style="2" customWidth="1"/>
    <col min="10" max="18" width="14.7109375" style="6" customWidth="1"/>
    <col min="19" max="19" width="24.5703125" style="3" customWidth="1"/>
    <col min="20" max="16384" width="9.140625" style="3"/>
  </cols>
  <sheetData>
    <row r="1" spans="1:24">
      <c r="A1" s="1" t="s">
        <v>0</v>
      </c>
      <c r="K1" s="355" t="s">
        <v>10</v>
      </c>
      <c r="L1" s="41">
        <v>42156</v>
      </c>
      <c r="M1" s="358" t="s">
        <v>1414</v>
      </c>
      <c r="N1" s="358" t="s">
        <v>2246</v>
      </c>
      <c r="O1" s="361">
        <v>2014</v>
      </c>
      <c r="P1" s="362"/>
      <c r="Q1" s="361">
        <v>2015</v>
      </c>
      <c r="R1" s="362"/>
    </row>
    <row r="2" spans="1:24">
      <c r="A2" s="1" t="s">
        <v>1416</v>
      </c>
      <c r="K2" s="356"/>
      <c r="L2" s="363" t="s">
        <v>1417</v>
      </c>
      <c r="M2" s="359"/>
      <c r="N2" s="359"/>
      <c r="O2" s="365" t="s">
        <v>1418</v>
      </c>
      <c r="P2" s="367" t="s">
        <v>1419</v>
      </c>
      <c r="Q2" s="365" t="s">
        <v>1418</v>
      </c>
      <c r="R2" s="367" t="s">
        <v>1419</v>
      </c>
    </row>
    <row r="3" spans="1:24" ht="15.75" thickBot="1">
      <c r="K3" s="357"/>
      <c r="L3" s="364"/>
      <c r="M3" s="360"/>
      <c r="N3" s="360"/>
      <c r="O3" s="366"/>
      <c r="P3" s="368"/>
      <c r="Q3" s="366"/>
      <c r="R3" s="368"/>
    </row>
    <row r="4" spans="1:24" s="13" customFormat="1" ht="35.25" customHeight="1">
      <c r="A4" s="8" t="s">
        <v>3</v>
      </c>
      <c r="B4" s="9" t="s">
        <v>4</v>
      </c>
      <c r="C4" s="9" t="s">
        <v>5</v>
      </c>
      <c r="D4" s="8" t="s">
        <v>6</v>
      </c>
      <c r="E4" s="9" t="s">
        <v>7</v>
      </c>
      <c r="F4" s="8" t="s">
        <v>8</v>
      </c>
      <c r="G4" s="10" t="s">
        <v>9</v>
      </c>
      <c r="H4" s="10"/>
      <c r="I4" s="9" t="s">
        <v>10</v>
      </c>
      <c r="J4" s="11" t="s">
        <v>11</v>
      </c>
      <c r="K4" s="350" t="s">
        <v>1420</v>
      </c>
      <c r="L4" s="351"/>
      <c r="M4" s="351"/>
      <c r="N4" s="351"/>
      <c r="O4" s="42"/>
      <c r="P4" s="43">
        <f>0.5+(0.0375*0.5)</f>
        <v>0.51875000000000004</v>
      </c>
      <c r="Q4" s="42"/>
      <c r="R4" s="43">
        <f>(0.07219*0.5)</f>
        <v>3.6095000000000002E-2</v>
      </c>
      <c r="S4" s="12"/>
    </row>
    <row r="5" spans="1:24">
      <c r="A5" s="14" t="s">
        <v>17</v>
      </c>
      <c r="B5" s="15" t="s">
        <v>18</v>
      </c>
      <c r="C5" s="15" t="s">
        <v>19</v>
      </c>
      <c r="D5" s="14" t="s">
        <v>20</v>
      </c>
      <c r="E5" s="15" t="s">
        <v>21</v>
      </c>
      <c r="F5" s="14" t="s">
        <v>22</v>
      </c>
      <c r="G5" s="15" t="s">
        <v>23</v>
      </c>
      <c r="H5" s="15" t="s">
        <v>1525</v>
      </c>
      <c r="I5" s="15">
        <v>201409</v>
      </c>
      <c r="J5" s="16">
        <v>-607.88</v>
      </c>
      <c r="K5" s="44">
        <v>41883</v>
      </c>
      <c r="L5" s="45">
        <f>((YEAR($L$1)-YEAR(K5))*12+MONTH($L$1)-MONTH(K5))</f>
        <v>9</v>
      </c>
      <c r="M5" s="17">
        <v>1.4833299999999999E-3</v>
      </c>
      <c r="N5" s="46">
        <f>M5*L5*J5</f>
        <v>-8.1151797635999987</v>
      </c>
      <c r="O5" s="47"/>
      <c r="P5" s="48">
        <f>$P$4*J5</f>
        <v>-315.33775000000003</v>
      </c>
      <c r="Q5" s="47"/>
      <c r="R5" s="48">
        <f>$R$4*J5*$U$9</f>
        <v>-13.713392875</v>
      </c>
      <c r="S5" s="14"/>
    </row>
    <row r="6" spans="1:24">
      <c r="A6" s="14" t="s">
        <v>17</v>
      </c>
      <c r="B6" s="15" t="s">
        <v>24</v>
      </c>
      <c r="C6" s="15" t="s">
        <v>25</v>
      </c>
      <c r="D6" s="14" t="s">
        <v>26</v>
      </c>
      <c r="E6" s="15" t="s">
        <v>27</v>
      </c>
      <c r="F6" s="14" t="s">
        <v>28</v>
      </c>
      <c r="G6" s="15" t="s">
        <v>23</v>
      </c>
      <c r="H6" s="15" t="s">
        <v>1525</v>
      </c>
      <c r="I6" s="15">
        <v>201409</v>
      </c>
      <c r="J6" s="16">
        <v>2.6</v>
      </c>
      <c r="K6" s="44">
        <f>+K5</f>
        <v>41883</v>
      </c>
      <c r="L6" s="45">
        <f t="shared" ref="L6:L69" si="0">((YEAR($L$1)-YEAR(K6))*12+MONTH($L$1)-MONTH(K6))</f>
        <v>9</v>
      </c>
      <c r="M6" s="17">
        <v>1.4833299999999999E-3</v>
      </c>
      <c r="N6" s="46">
        <f t="shared" ref="N6:N69" si="1">M6*L6*J6</f>
        <v>3.4709921999999997E-2</v>
      </c>
      <c r="O6" s="16"/>
      <c r="P6" s="48">
        <f t="shared" ref="P6:P69" si="2">$P$4*J6</f>
        <v>1.3487500000000001</v>
      </c>
      <c r="Q6" s="16"/>
      <c r="R6" s="48">
        <f t="shared" ref="R6:R69" si="3">$R$4*J6*$U$9</f>
        <v>5.8654375000000009E-2</v>
      </c>
      <c r="S6" s="14"/>
      <c r="U6" s="49" t="s">
        <v>1421</v>
      </c>
      <c r="V6" s="352" t="s">
        <v>1422</v>
      </c>
      <c r="W6" s="353"/>
      <c r="X6" s="354"/>
    </row>
    <row r="7" spans="1:24">
      <c r="A7" s="14" t="s">
        <v>17</v>
      </c>
      <c r="B7" s="15" t="s">
        <v>29</v>
      </c>
      <c r="C7" s="15" t="s">
        <v>30</v>
      </c>
      <c r="D7" s="14" t="s">
        <v>31</v>
      </c>
      <c r="E7" s="15" t="s">
        <v>32</v>
      </c>
      <c r="F7" s="14" t="s">
        <v>22</v>
      </c>
      <c r="G7" s="15" t="s">
        <v>23</v>
      </c>
      <c r="H7" s="15" t="s">
        <v>1525</v>
      </c>
      <c r="I7" s="15">
        <v>201409</v>
      </c>
      <c r="J7" s="16">
        <v>-49.61</v>
      </c>
      <c r="K7" s="44">
        <f t="shared" ref="K7:K70" si="4">+K6</f>
        <v>41883</v>
      </c>
      <c r="L7" s="45">
        <f t="shared" si="0"/>
        <v>9</v>
      </c>
      <c r="M7" s="17">
        <v>1.4833299999999999E-3</v>
      </c>
      <c r="N7" s="46">
        <f t="shared" si="1"/>
        <v>-0.66229201169999996</v>
      </c>
      <c r="O7" s="16"/>
      <c r="P7" s="48">
        <f t="shared" si="2"/>
        <v>-25.735187500000002</v>
      </c>
      <c r="Q7" s="16"/>
      <c r="R7" s="48">
        <f t="shared" si="3"/>
        <v>-1.1191705937500001</v>
      </c>
      <c r="S7" s="14"/>
      <c r="U7" s="50">
        <f>12/12</f>
        <v>1</v>
      </c>
      <c r="V7" s="51"/>
      <c r="W7" s="52" t="s">
        <v>1423</v>
      </c>
      <c r="X7" s="53" t="s">
        <v>1424</v>
      </c>
    </row>
    <row r="8" spans="1:24">
      <c r="A8" s="14" t="s">
        <v>17</v>
      </c>
      <c r="B8" s="15" t="s">
        <v>33</v>
      </c>
      <c r="C8" s="15" t="s">
        <v>34</v>
      </c>
      <c r="D8" s="14" t="s">
        <v>35</v>
      </c>
      <c r="E8" s="15" t="s">
        <v>36</v>
      </c>
      <c r="F8" s="14" t="s">
        <v>22</v>
      </c>
      <c r="G8" s="15" t="s">
        <v>23</v>
      </c>
      <c r="H8" s="15" t="s">
        <v>1525</v>
      </c>
      <c r="I8" s="15">
        <v>201409</v>
      </c>
      <c r="J8" s="16">
        <v>-133.36000000000001</v>
      </c>
      <c r="K8" s="44">
        <f t="shared" si="4"/>
        <v>41883</v>
      </c>
      <c r="L8" s="45">
        <f t="shared" si="0"/>
        <v>9</v>
      </c>
      <c r="M8" s="17">
        <v>1.4833299999999999E-3</v>
      </c>
      <c r="N8" s="46">
        <f t="shared" si="1"/>
        <v>-1.7803519992000001</v>
      </c>
      <c r="O8" s="16"/>
      <c r="P8" s="48">
        <f t="shared" si="2"/>
        <v>-69.180500000000009</v>
      </c>
      <c r="Q8" s="16"/>
      <c r="R8" s="48">
        <f t="shared" si="3"/>
        <v>-3.0085182500000007</v>
      </c>
      <c r="S8" s="14"/>
      <c r="U8" s="54">
        <f>1.5/12</f>
        <v>0.125</v>
      </c>
      <c r="V8" s="55" t="s">
        <v>1425</v>
      </c>
      <c r="W8" s="56">
        <v>0.05</v>
      </c>
      <c r="X8" s="57">
        <v>3.7499999999999999E-2</v>
      </c>
    </row>
    <row r="9" spans="1:24">
      <c r="A9" s="14" t="s">
        <v>17</v>
      </c>
      <c r="B9" s="15" t="s">
        <v>37</v>
      </c>
      <c r="C9" s="15" t="s">
        <v>38</v>
      </c>
      <c r="D9" s="14" t="s">
        <v>39</v>
      </c>
      <c r="E9" s="15" t="s">
        <v>40</v>
      </c>
      <c r="F9" s="14" t="s">
        <v>41</v>
      </c>
      <c r="G9" s="15" t="s">
        <v>23</v>
      </c>
      <c r="H9" s="15" t="s">
        <v>1526</v>
      </c>
      <c r="I9" s="15">
        <v>201409</v>
      </c>
      <c r="J9" s="16">
        <v>10.42</v>
      </c>
      <c r="K9" s="44">
        <f t="shared" si="4"/>
        <v>41883</v>
      </c>
      <c r="L9" s="45">
        <f t="shared" si="0"/>
        <v>9</v>
      </c>
      <c r="M9" s="17">
        <v>1.4833299999999999E-3</v>
      </c>
      <c r="N9" s="46">
        <f t="shared" si="1"/>
        <v>0.13910668739999998</v>
      </c>
      <c r="O9" s="16"/>
      <c r="P9" s="48">
        <f t="shared" si="2"/>
        <v>5.4053750000000003</v>
      </c>
      <c r="Q9" s="16"/>
      <c r="R9" s="48">
        <f t="shared" si="3"/>
        <v>0.23506868749999998</v>
      </c>
      <c r="S9" s="14"/>
      <c r="U9" s="54">
        <f>7.5/12</f>
        <v>0.625</v>
      </c>
      <c r="V9" s="55" t="s">
        <v>1426</v>
      </c>
      <c r="W9" s="56">
        <v>9.5000000000000001E-2</v>
      </c>
      <c r="X9" s="57">
        <v>7.2190000000000004E-2</v>
      </c>
    </row>
    <row r="10" spans="1:24">
      <c r="A10" s="14" t="s">
        <v>17</v>
      </c>
      <c r="B10" s="15" t="s">
        <v>42</v>
      </c>
      <c r="C10" s="15" t="s">
        <v>43</v>
      </c>
      <c r="D10" s="14" t="s">
        <v>44</v>
      </c>
      <c r="E10" s="15" t="s">
        <v>45</v>
      </c>
      <c r="F10" s="14" t="s">
        <v>22</v>
      </c>
      <c r="G10" s="15" t="s">
        <v>23</v>
      </c>
      <c r="H10" s="15" t="s">
        <v>1525</v>
      </c>
      <c r="I10" s="15">
        <v>201409</v>
      </c>
      <c r="J10" s="16">
        <v>7.45</v>
      </c>
      <c r="K10" s="44">
        <f t="shared" si="4"/>
        <v>41883</v>
      </c>
      <c r="L10" s="45">
        <f t="shared" si="0"/>
        <v>9</v>
      </c>
      <c r="M10" s="17">
        <v>1.4833299999999999E-3</v>
      </c>
      <c r="N10" s="46">
        <f t="shared" si="1"/>
        <v>9.9457276499999997E-2</v>
      </c>
      <c r="O10" s="16"/>
      <c r="P10" s="48">
        <f t="shared" si="2"/>
        <v>3.8646875000000005</v>
      </c>
      <c r="Q10" s="16"/>
      <c r="R10" s="48">
        <f t="shared" si="3"/>
        <v>0.16806734374999999</v>
      </c>
      <c r="S10" s="14"/>
      <c r="U10" s="54"/>
      <c r="V10" s="55" t="s">
        <v>1427</v>
      </c>
      <c r="W10" s="56">
        <v>8.5500000000000007E-2</v>
      </c>
      <c r="X10" s="57">
        <v>6.6769999999999996E-2</v>
      </c>
    </row>
    <row r="11" spans="1:24">
      <c r="A11" s="14" t="s">
        <v>17</v>
      </c>
      <c r="B11" s="15" t="s">
        <v>46</v>
      </c>
      <c r="C11" s="15" t="s">
        <v>47</v>
      </c>
      <c r="D11" s="14" t="s">
        <v>48</v>
      </c>
      <c r="E11" s="15" t="s">
        <v>49</v>
      </c>
      <c r="F11" s="14" t="s">
        <v>22</v>
      </c>
      <c r="G11" s="15" t="s">
        <v>23</v>
      </c>
      <c r="H11" s="15" t="s">
        <v>1525</v>
      </c>
      <c r="I11" s="15">
        <v>201409</v>
      </c>
      <c r="J11" s="16">
        <v>20.05</v>
      </c>
      <c r="K11" s="44">
        <f t="shared" si="4"/>
        <v>41883</v>
      </c>
      <c r="L11" s="45">
        <f t="shared" si="0"/>
        <v>9</v>
      </c>
      <c r="M11" s="17">
        <v>1.4833299999999999E-3</v>
      </c>
      <c r="N11" s="46">
        <f t="shared" si="1"/>
        <v>0.26766689849999997</v>
      </c>
      <c r="O11" s="16"/>
      <c r="P11" s="48">
        <f t="shared" si="2"/>
        <v>10.400937500000001</v>
      </c>
      <c r="Q11" s="16"/>
      <c r="R11" s="48">
        <f t="shared" si="3"/>
        <v>0.45231546875000006</v>
      </c>
      <c r="S11" s="14"/>
      <c r="U11" s="54"/>
      <c r="V11" s="55" t="s">
        <v>1428</v>
      </c>
      <c r="W11" s="56">
        <v>7.6999999999999999E-2</v>
      </c>
      <c r="X11" s="57">
        <v>6.1769999999999999E-2</v>
      </c>
    </row>
    <row r="12" spans="1:24">
      <c r="A12" s="14" t="s">
        <v>17</v>
      </c>
      <c r="B12" s="15" t="s">
        <v>50</v>
      </c>
      <c r="C12" s="15" t="s">
        <v>51</v>
      </c>
      <c r="D12" s="14" t="s">
        <v>52</v>
      </c>
      <c r="E12" s="15" t="s">
        <v>53</v>
      </c>
      <c r="F12" s="14" t="s">
        <v>41</v>
      </c>
      <c r="G12" s="15" t="s">
        <v>23</v>
      </c>
      <c r="H12" s="15" t="s">
        <v>1526</v>
      </c>
      <c r="I12" s="15">
        <v>201409</v>
      </c>
      <c r="J12" s="16">
        <v>24425.73</v>
      </c>
      <c r="K12" s="44">
        <f t="shared" si="4"/>
        <v>41883</v>
      </c>
      <c r="L12" s="45">
        <f t="shared" si="0"/>
        <v>9</v>
      </c>
      <c r="M12" s="17">
        <v>1.4833299999999999E-3</v>
      </c>
      <c r="N12" s="46">
        <f t="shared" si="1"/>
        <v>326.08276272809996</v>
      </c>
      <c r="O12" s="16"/>
      <c r="P12" s="48">
        <f t="shared" si="2"/>
        <v>12670.847437500001</v>
      </c>
      <c r="Q12" s="16"/>
      <c r="R12" s="48">
        <f t="shared" si="3"/>
        <v>551.02920271874996</v>
      </c>
      <c r="S12" s="14"/>
      <c r="U12" s="54"/>
      <c r="V12" s="58"/>
      <c r="W12" s="59"/>
      <c r="X12" s="60"/>
    </row>
    <row r="13" spans="1:24">
      <c r="A13" s="14" t="s">
        <v>54</v>
      </c>
      <c r="B13" s="15" t="s">
        <v>59</v>
      </c>
      <c r="C13" s="15" t="s">
        <v>60</v>
      </c>
      <c r="D13" s="14" t="s">
        <v>61</v>
      </c>
      <c r="E13" s="15" t="s">
        <v>62</v>
      </c>
      <c r="F13" s="14" t="s">
        <v>22</v>
      </c>
      <c r="G13" s="15" t="s">
        <v>23</v>
      </c>
      <c r="H13" s="15" t="s">
        <v>1525</v>
      </c>
      <c r="I13" s="15">
        <v>201409</v>
      </c>
      <c r="J13" s="16">
        <v>9975.01</v>
      </c>
      <c r="K13" s="44">
        <f t="shared" si="4"/>
        <v>41883</v>
      </c>
      <c r="L13" s="45">
        <f t="shared" si="0"/>
        <v>9</v>
      </c>
      <c r="M13" s="17">
        <v>1.4833299999999999E-3</v>
      </c>
      <c r="N13" s="46">
        <f t="shared" si="1"/>
        <v>133.16608424969999</v>
      </c>
      <c r="O13" s="16"/>
      <c r="P13" s="48">
        <f t="shared" si="2"/>
        <v>5174.5364375000008</v>
      </c>
      <c r="Q13" s="16"/>
      <c r="R13" s="48">
        <f t="shared" si="3"/>
        <v>225.02999121875004</v>
      </c>
      <c r="S13" s="14"/>
    </row>
    <row r="14" spans="1:24">
      <c r="A14" s="14" t="s">
        <v>17</v>
      </c>
      <c r="B14" s="15" t="s">
        <v>63</v>
      </c>
      <c r="C14" s="15" t="s">
        <v>64</v>
      </c>
      <c r="D14" s="14" t="s">
        <v>65</v>
      </c>
      <c r="E14" s="15" t="s">
        <v>32</v>
      </c>
      <c r="F14" s="14" t="s">
        <v>22</v>
      </c>
      <c r="G14" s="15" t="s">
        <v>23</v>
      </c>
      <c r="H14" s="15" t="s">
        <v>1525</v>
      </c>
      <c r="I14" s="15">
        <v>201409</v>
      </c>
      <c r="J14" s="16">
        <v>3.2</v>
      </c>
      <c r="K14" s="44">
        <f t="shared" si="4"/>
        <v>41883</v>
      </c>
      <c r="L14" s="45">
        <f t="shared" si="0"/>
        <v>9</v>
      </c>
      <c r="M14" s="17">
        <v>1.4833299999999999E-3</v>
      </c>
      <c r="N14" s="46">
        <f t="shared" si="1"/>
        <v>4.2719904000000003E-2</v>
      </c>
      <c r="O14" s="16"/>
      <c r="P14" s="48">
        <f t="shared" si="2"/>
        <v>1.6600000000000001</v>
      </c>
      <c r="Q14" s="16"/>
      <c r="R14" s="48">
        <f t="shared" si="3"/>
        <v>7.2190000000000004E-2</v>
      </c>
      <c r="S14" s="14"/>
    </row>
    <row r="15" spans="1:24">
      <c r="A15" s="14" t="s">
        <v>66</v>
      </c>
      <c r="B15" s="15" t="s">
        <v>67</v>
      </c>
      <c r="C15" s="15" t="s">
        <v>68</v>
      </c>
      <c r="D15" s="14" t="s">
        <v>69</v>
      </c>
      <c r="E15" s="15" t="s">
        <v>70</v>
      </c>
      <c r="F15" s="14" t="s">
        <v>71</v>
      </c>
      <c r="G15" s="15" t="s">
        <v>23</v>
      </c>
      <c r="H15" s="15" t="s">
        <v>1530</v>
      </c>
      <c r="I15" s="15">
        <v>201409</v>
      </c>
      <c r="J15" s="16">
        <v>33.67</v>
      </c>
      <c r="K15" s="44">
        <f t="shared" si="4"/>
        <v>41883</v>
      </c>
      <c r="L15" s="45">
        <f t="shared" si="0"/>
        <v>9</v>
      </c>
      <c r="M15" s="17">
        <v>2.23333E-3</v>
      </c>
      <c r="N15" s="46">
        <f t="shared" si="1"/>
        <v>0.67676598989999992</v>
      </c>
      <c r="O15" s="16"/>
      <c r="P15" s="48">
        <f t="shared" si="2"/>
        <v>17.466312500000001</v>
      </c>
      <c r="Q15" s="16"/>
      <c r="R15" s="48">
        <f t="shared" si="3"/>
        <v>0.75957415625000013</v>
      </c>
      <c r="S15" s="14"/>
    </row>
    <row r="16" spans="1:24">
      <c r="A16" s="14" t="s">
        <v>66</v>
      </c>
      <c r="B16" s="15" t="s">
        <v>72</v>
      </c>
      <c r="C16" s="15" t="s">
        <v>73</v>
      </c>
      <c r="D16" s="14" t="s">
        <v>74</v>
      </c>
      <c r="E16" s="15" t="s">
        <v>75</v>
      </c>
      <c r="F16" s="14" t="s">
        <v>71</v>
      </c>
      <c r="G16" s="15" t="s">
        <v>23</v>
      </c>
      <c r="H16" s="15" t="s">
        <v>1530</v>
      </c>
      <c r="I16" s="15">
        <v>201409</v>
      </c>
      <c r="J16" s="16">
        <v>29889.97</v>
      </c>
      <c r="K16" s="44">
        <f t="shared" si="4"/>
        <v>41883</v>
      </c>
      <c r="L16" s="45">
        <f t="shared" si="0"/>
        <v>9</v>
      </c>
      <c r="M16" s="17">
        <v>2.23333E-3</v>
      </c>
      <c r="N16" s="46">
        <f t="shared" si="1"/>
        <v>600.78750030089998</v>
      </c>
      <c r="O16" s="16"/>
      <c r="P16" s="48">
        <f t="shared" si="2"/>
        <v>15505.421937500001</v>
      </c>
      <c r="Q16" s="16"/>
      <c r="R16" s="48">
        <f t="shared" si="3"/>
        <v>674.29904196874998</v>
      </c>
      <c r="S16" s="14"/>
    </row>
    <row r="17" spans="1:19">
      <c r="A17" s="14" t="s">
        <v>66</v>
      </c>
      <c r="B17" s="15" t="s">
        <v>76</v>
      </c>
      <c r="C17" s="15" t="s">
        <v>77</v>
      </c>
      <c r="D17" s="14" t="s">
        <v>78</v>
      </c>
      <c r="E17" s="15" t="s">
        <v>79</v>
      </c>
      <c r="F17" s="14" t="s">
        <v>80</v>
      </c>
      <c r="G17" s="15" t="s">
        <v>23</v>
      </c>
      <c r="H17" s="15" t="s">
        <v>1531</v>
      </c>
      <c r="I17" s="15">
        <v>201409</v>
      </c>
      <c r="J17" s="16">
        <v>5719.2</v>
      </c>
      <c r="K17" s="44">
        <f t="shared" si="4"/>
        <v>41883</v>
      </c>
      <c r="L17" s="45">
        <f t="shared" si="0"/>
        <v>9</v>
      </c>
      <c r="M17" s="17">
        <v>2.23333E-3</v>
      </c>
      <c r="N17" s="46">
        <f t="shared" si="1"/>
        <v>114.95574842399999</v>
      </c>
      <c r="O17" s="16"/>
      <c r="P17" s="48">
        <f t="shared" si="2"/>
        <v>2966.835</v>
      </c>
      <c r="Q17" s="16"/>
      <c r="R17" s="48">
        <f t="shared" si="3"/>
        <v>129.02157750000001</v>
      </c>
      <c r="S17" s="14"/>
    </row>
    <row r="18" spans="1:19">
      <c r="A18" s="14" t="s">
        <v>66</v>
      </c>
      <c r="B18" s="15" t="s">
        <v>81</v>
      </c>
      <c r="C18" s="15" t="s">
        <v>82</v>
      </c>
      <c r="D18" s="14" t="s">
        <v>83</v>
      </c>
      <c r="E18" s="15" t="s">
        <v>84</v>
      </c>
      <c r="F18" s="14" t="s">
        <v>85</v>
      </c>
      <c r="G18" s="15" t="s">
        <v>23</v>
      </c>
      <c r="H18" s="15" t="s">
        <v>1530</v>
      </c>
      <c r="I18" s="15">
        <v>201409</v>
      </c>
      <c r="J18" s="16">
        <v>152025.89000000001</v>
      </c>
      <c r="K18" s="44">
        <f t="shared" si="4"/>
        <v>41883</v>
      </c>
      <c r="L18" s="45">
        <f t="shared" si="0"/>
        <v>9</v>
      </c>
      <c r="M18" s="17">
        <v>2.23333E-3</v>
      </c>
      <c r="N18" s="46">
        <f t="shared" si="1"/>
        <v>3055.7158282232999</v>
      </c>
      <c r="O18" s="16"/>
      <c r="P18" s="48">
        <f t="shared" si="2"/>
        <v>78863.430437500021</v>
      </c>
      <c r="Q18" s="16"/>
      <c r="R18" s="48">
        <f t="shared" si="3"/>
        <v>3429.6090622187508</v>
      </c>
      <c r="S18" s="14"/>
    </row>
    <row r="19" spans="1:19">
      <c r="A19" s="14" t="s">
        <v>66</v>
      </c>
      <c r="B19" s="15" t="s">
        <v>86</v>
      </c>
      <c r="C19" s="15" t="s">
        <v>87</v>
      </c>
      <c r="D19" s="14" t="s">
        <v>88</v>
      </c>
      <c r="E19" s="15" t="s">
        <v>89</v>
      </c>
      <c r="F19" s="14" t="s">
        <v>85</v>
      </c>
      <c r="G19" s="15" t="s">
        <v>23</v>
      </c>
      <c r="H19" s="15" t="s">
        <v>1530</v>
      </c>
      <c r="I19" s="15">
        <v>201409</v>
      </c>
      <c r="J19" s="16">
        <v>5005.29</v>
      </c>
      <c r="K19" s="44">
        <f t="shared" si="4"/>
        <v>41883</v>
      </c>
      <c r="L19" s="45">
        <f t="shared" si="0"/>
        <v>9</v>
      </c>
      <c r="M19" s="17">
        <v>2.23333E-3</v>
      </c>
      <c r="N19" s="46">
        <f t="shared" si="1"/>
        <v>100.60617884129999</v>
      </c>
      <c r="O19" s="16"/>
      <c r="P19" s="48">
        <f t="shared" si="2"/>
        <v>2596.4941875000004</v>
      </c>
      <c r="Q19" s="16"/>
      <c r="R19" s="48">
        <f t="shared" si="3"/>
        <v>112.91621409375</v>
      </c>
      <c r="S19" s="14"/>
    </row>
    <row r="20" spans="1:19">
      <c r="A20" s="14" t="s">
        <v>66</v>
      </c>
      <c r="B20" s="15" t="s">
        <v>90</v>
      </c>
      <c r="C20" s="15" t="s">
        <v>91</v>
      </c>
      <c r="D20" s="14" t="s">
        <v>78</v>
      </c>
      <c r="E20" s="15" t="s">
        <v>92</v>
      </c>
      <c r="F20" s="14" t="s">
        <v>80</v>
      </c>
      <c r="G20" s="15" t="s">
        <v>23</v>
      </c>
      <c r="H20" s="15" t="s">
        <v>1530</v>
      </c>
      <c r="I20" s="15">
        <v>201409</v>
      </c>
      <c r="J20" s="16">
        <v>26370.98</v>
      </c>
      <c r="K20" s="44">
        <f t="shared" si="4"/>
        <v>41883</v>
      </c>
      <c r="L20" s="45">
        <f t="shared" si="0"/>
        <v>9</v>
      </c>
      <c r="M20" s="17">
        <v>2.23333E-3</v>
      </c>
      <c r="N20" s="46">
        <f t="shared" si="1"/>
        <v>530.05590687059998</v>
      </c>
      <c r="O20" s="16"/>
      <c r="P20" s="48">
        <f t="shared" si="2"/>
        <v>13679.945875000001</v>
      </c>
      <c r="Q20" s="16"/>
      <c r="R20" s="48">
        <f t="shared" si="3"/>
        <v>594.91282693749997</v>
      </c>
      <c r="S20" s="14"/>
    </row>
    <row r="21" spans="1:19">
      <c r="A21" s="14" t="s">
        <v>66</v>
      </c>
      <c r="B21" s="15" t="s">
        <v>93</v>
      </c>
      <c r="C21" s="15" t="s">
        <v>94</v>
      </c>
      <c r="D21" s="14" t="s">
        <v>95</v>
      </c>
      <c r="E21" s="15" t="s">
        <v>96</v>
      </c>
      <c r="F21" s="14" t="s">
        <v>97</v>
      </c>
      <c r="G21" s="15" t="s">
        <v>23</v>
      </c>
      <c r="H21" s="15" t="s">
        <v>1530</v>
      </c>
      <c r="I21" s="15">
        <v>201409</v>
      </c>
      <c r="J21" s="16">
        <v>-596.15</v>
      </c>
      <c r="K21" s="44">
        <f t="shared" si="4"/>
        <v>41883</v>
      </c>
      <c r="L21" s="45">
        <f t="shared" si="0"/>
        <v>9</v>
      </c>
      <c r="M21" s="17">
        <v>2.23333E-3</v>
      </c>
      <c r="N21" s="46">
        <f t="shared" si="1"/>
        <v>-11.982597115499999</v>
      </c>
      <c r="O21" s="16"/>
      <c r="P21" s="48">
        <f t="shared" si="2"/>
        <v>-309.2528125</v>
      </c>
      <c r="Q21" s="16"/>
      <c r="R21" s="48">
        <f t="shared" si="3"/>
        <v>-13.44877140625</v>
      </c>
      <c r="S21" s="14"/>
    </row>
    <row r="22" spans="1:19">
      <c r="A22" s="14" t="s">
        <v>17</v>
      </c>
      <c r="B22" s="15" t="s">
        <v>98</v>
      </c>
      <c r="C22" s="15" t="s">
        <v>99</v>
      </c>
      <c r="D22" s="14" t="s">
        <v>100</v>
      </c>
      <c r="E22" s="15" t="s">
        <v>62</v>
      </c>
      <c r="F22" s="14" t="s">
        <v>22</v>
      </c>
      <c r="G22" s="15" t="s">
        <v>23</v>
      </c>
      <c r="H22" s="15" t="s">
        <v>1525</v>
      </c>
      <c r="I22" s="15">
        <v>201409</v>
      </c>
      <c r="J22" s="16">
        <v>0.32</v>
      </c>
      <c r="K22" s="44">
        <f t="shared" si="4"/>
        <v>41883</v>
      </c>
      <c r="L22" s="45">
        <f t="shared" si="0"/>
        <v>9</v>
      </c>
      <c r="M22" s="17">
        <v>1.4833299999999999E-3</v>
      </c>
      <c r="N22" s="46">
        <f t="shared" si="1"/>
        <v>4.2719904E-3</v>
      </c>
      <c r="O22" s="16"/>
      <c r="P22" s="48">
        <f t="shared" si="2"/>
        <v>0.16600000000000001</v>
      </c>
      <c r="Q22" s="16"/>
      <c r="R22" s="48">
        <f t="shared" si="3"/>
        <v>7.2190000000000006E-3</v>
      </c>
      <c r="S22" s="14"/>
    </row>
    <row r="23" spans="1:19">
      <c r="A23" s="14" t="s">
        <v>17</v>
      </c>
      <c r="B23" s="15" t="s">
        <v>101</v>
      </c>
      <c r="C23" s="15" t="s">
        <v>102</v>
      </c>
      <c r="D23" s="14" t="s">
        <v>103</v>
      </c>
      <c r="E23" s="15" t="s">
        <v>104</v>
      </c>
      <c r="F23" s="14" t="s">
        <v>41</v>
      </c>
      <c r="G23" s="15" t="s">
        <v>23</v>
      </c>
      <c r="H23" s="15" t="s">
        <v>1526</v>
      </c>
      <c r="I23" s="15">
        <v>201409</v>
      </c>
      <c r="J23" s="16">
        <v>-39.9</v>
      </c>
      <c r="K23" s="44">
        <f t="shared" si="4"/>
        <v>41883</v>
      </c>
      <c r="L23" s="45">
        <f t="shared" si="0"/>
        <v>9</v>
      </c>
      <c r="M23" s="17">
        <v>1.4833299999999999E-3</v>
      </c>
      <c r="N23" s="46">
        <f t="shared" si="1"/>
        <v>-0.53266380299999994</v>
      </c>
      <c r="O23" s="16"/>
      <c r="P23" s="48">
        <f t="shared" si="2"/>
        <v>-20.698125000000001</v>
      </c>
      <c r="Q23" s="16"/>
      <c r="R23" s="48">
        <f t="shared" si="3"/>
        <v>-0.90011906249999996</v>
      </c>
      <c r="S23" s="14"/>
    </row>
    <row r="24" spans="1:19">
      <c r="A24" s="14" t="s">
        <v>17</v>
      </c>
      <c r="B24" s="15" t="s">
        <v>105</v>
      </c>
      <c r="C24" s="15" t="s">
        <v>106</v>
      </c>
      <c r="D24" s="14" t="s">
        <v>107</v>
      </c>
      <c r="E24" s="15" t="s">
        <v>108</v>
      </c>
      <c r="F24" s="14" t="s">
        <v>28</v>
      </c>
      <c r="G24" s="15" t="s">
        <v>23</v>
      </c>
      <c r="H24" s="15" t="s">
        <v>1525</v>
      </c>
      <c r="I24" s="15">
        <v>201409</v>
      </c>
      <c r="J24" s="16">
        <v>-10120.82</v>
      </c>
      <c r="K24" s="44">
        <f t="shared" si="4"/>
        <v>41883</v>
      </c>
      <c r="L24" s="45">
        <f t="shared" si="0"/>
        <v>9</v>
      </c>
      <c r="M24" s="17">
        <v>1.4833299999999999E-3</v>
      </c>
      <c r="N24" s="46">
        <f t="shared" si="1"/>
        <v>-135.11264337539998</v>
      </c>
      <c r="O24" s="16"/>
      <c r="P24" s="48">
        <f t="shared" si="2"/>
        <v>-5250.1753750000007</v>
      </c>
      <c r="Q24" s="16"/>
      <c r="R24" s="48">
        <f t="shared" si="3"/>
        <v>-228.31937368750002</v>
      </c>
      <c r="S24" s="14"/>
    </row>
    <row r="25" spans="1:19">
      <c r="A25" s="14" t="s">
        <v>17</v>
      </c>
      <c r="B25" s="15" t="s">
        <v>109</v>
      </c>
      <c r="C25" s="15" t="s">
        <v>110</v>
      </c>
      <c r="D25" s="14" t="s">
        <v>111</v>
      </c>
      <c r="E25" s="15" t="s">
        <v>112</v>
      </c>
      <c r="F25" s="14" t="s">
        <v>22</v>
      </c>
      <c r="G25" s="15" t="s">
        <v>23</v>
      </c>
      <c r="H25" s="15" t="s">
        <v>1525</v>
      </c>
      <c r="I25" s="15">
        <v>201409</v>
      </c>
      <c r="J25" s="16">
        <v>-30.63</v>
      </c>
      <c r="K25" s="44">
        <f t="shared" si="4"/>
        <v>41883</v>
      </c>
      <c r="L25" s="45">
        <f t="shared" si="0"/>
        <v>9</v>
      </c>
      <c r="M25" s="17">
        <v>1.4833299999999999E-3</v>
      </c>
      <c r="N25" s="46">
        <f t="shared" si="1"/>
        <v>-0.40890958109999997</v>
      </c>
      <c r="O25" s="16"/>
      <c r="P25" s="48">
        <f t="shared" si="2"/>
        <v>-15.889312500000001</v>
      </c>
      <c r="Q25" s="16"/>
      <c r="R25" s="48">
        <f t="shared" si="3"/>
        <v>-0.69099365625000009</v>
      </c>
      <c r="S25" s="14"/>
    </row>
    <row r="26" spans="1:19">
      <c r="A26" s="14" t="s">
        <v>17</v>
      </c>
      <c r="B26" s="15" t="s">
        <v>113</v>
      </c>
      <c r="C26" s="15" t="s">
        <v>114</v>
      </c>
      <c r="D26" s="14" t="s">
        <v>115</v>
      </c>
      <c r="E26" s="15" t="s">
        <v>58</v>
      </c>
      <c r="F26" s="14" t="s">
        <v>22</v>
      </c>
      <c r="G26" s="15" t="s">
        <v>23</v>
      </c>
      <c r="H26" s="15" t="s">
        <v>1525</v>
      </c>
      <c r="I26" s="15">
        <v>201409</v>
      </c>
      <c r="J26" s="16">
        <v>-170.7</v>
      </c>
      <c r="K26" s="44">
        <f t="shared" si="4"/>
        <v>41883</v>
      </c>
      <c r="L26" s="45">
        <f t="shared" si="0"/>
        <v>9</v>
      </c>
      <c r="M26" s="17">
        <v>1.4833299999999999E-3</v>
      </c>
      <c r="N26" s="46">
        <f t="shared" si="1"/>
        <v>-2.2788398789999995</v>
      </c>
      <c r="O26" s="16"/>
      <c r="P26" s="48">
        <f t="shared" si="2"/>
        <v>-88.550624999999997</v>
      </c>
      <c r="Q26" s="16"/>
      <c r="R26" s="48">
        <f t="shared" si="3"/>
        <v>-3.8508853125</v>
      </c>
      <c r="S26" s="14"/>
    </row>
    <row r="27" spans="1:19">
      <c r="A27" s="14" t="s">
        <v>17</v>
      </c>
      <c r="B27" s="15" t="s">
        <v>116</v>
      </c>
      <c r="C27" s="15" t="s">
        <v>117</v>
      </c>
      <c r="D27" s="14" t="s">
        <v>118</v>
      </c>
      <c r="E27" s="15" t="s">
        <v>27</v>
      </c>
      <c r="F27" s="14" t="s">
        <v>28</v>
      </c>
      <c r="G27" s="15" t="s">
        <v>23</v>
      </c>
      <c r="H27" s="15" t="s">
        <v>1525</v>
      </c>
      <c r="I27" s="15">
        <v>201409</v>
      </c>
      <c r="J27" s="16">
        <v>-586.59</v>
      </c>
      <c r="K27" s="44">
        <f t="shared" si="4"/>
        <v>41883</v>
      </c>
      <c r="L27" s="45">
        <f t="shared" si="0"/>
        <v>9</v>
      </c>
      <c r="M27" s="17">
        <v>1.4833299999999999E-3</v>
      </c>
      <c r="N27" s="46">
        <f t="shared" si="1"/>
        <v>-7.8309589022999999</v>
      </c>
      <c r="O27" s="16"/>
      <c r="P27" s="48">
        <f t="shared" si="2"/>
        <v>-304.29356250000006</v>
      </c>
      <c r="Q27" s="16"/>
      <c r="R27" s="48">
        <f t="shared" si="3"/>
        <v>-13.233103781250001</v>
      </c>
      <c r="S27" s="14"/>
    </row>
    <row r="28" spans="1:19">
      <c r="A28" s="14" t="s">
        <v>17</v>
      </c>
      <c r="B28" s="15" t="s">
        <v>119</v>
      </c>
      <c r="C28" s="15" t="s">
        <v>120</v>
      </c>
      <c r="D28" s="14" t="s">
        <v>121</v>
      </c>
      <c r="E28" s="15" t="s">
        <v>32</v>
      </c>
      <c r="F28" s="14" t="s">
        <v>22</v>
      </c>
      <c r="G28" s="15" t="s">
        <v>23</v>
      </c>
      <c r="H28" s="15" t="s">
        <v>1525</v>
      </c>
      <c r="I28" s="15">
        <v>201409</v>
      </c>
      <c r="J28" s="16">
        <v>-269.26</v>
      </c>
      <c r="K28" s="44">
        <f t="shared" si="4"/>
        <v>41883</v>
      </c>
      <c r="L28" s="45">
        <f t="shared" si="0"/>
        <v>9</v>
      </c>
      <c r="M28" s="17">
        <v>1.4833299999999999E-3</v>
      </c>
      <c r="N28" s="46">
        <f t="shared" si="1"/>
        <v>-3.5946129221999996</v>
      </c>
      <c r="O28" s="16"/>
      <c r="P28" s="48">
        <f t="shared" si="2"/>
        <v>-139.67862500000001</v>
      </c>
      <c r="Q28" s="16"/>
      <c r="R28" s="48">
        <f t="shared" si="3"/>
        <v>-6.0743373125</v>
      </c>
      <c r="S28" s="14"/>
    </row>
    <row r="29" spans="1:19">
      <c r="A29" s="14" t="s">
        <v>17</v>
      </c>
      <c r="B29" s="15" t="s">
        <v>122</v>
      </c>
      <c r="C29" s="15" t="s">
        <v>123</v>
      </c>
      <c r="D29" s="14" t="s">
        <v>124</v>
      </c>
      <c r="E29" s="15" t="s">
        <v>125</v>
      </c>
      <c r="F29" s="14" t="s">
        <v>126</v>
      </c>
      <c r="G29" s="15" t="s">
        <v>23</v>
      </c>
      <c r="H29" s="15" t="s">
        <v>1525</v>
      </c>
      <c r="I29" s="15">
        <v>201409</v>
      </c>
      <c r="J29" s="16">
        <v>-131.71</v>
      </c>
      <c r="K29" s="44">
        <f t="shared" si="4"/>
        <v>41883</v>
      </c>
      <c r="L29" s="45">
        <f t="shared" si="0"/>
        <v>9</v>
      </c>
      <c r="M29" s="17">
        <v>1.4833299999999999E-3</v>
      </c>
      <c r="N29" s="46">
        <f t="shared" si="1"/>
        <v>-1.7583245487000001</v>
      </c>
      <c r="O29" s="16"/>
      <c r="P29" s="48">
        <f t="shared" si="2"/>
        <v>-68.324562500000013</v>
      </c>
      <c r="Q29" s="16"/>
      <c r="R29" s="48">
        <f t="shared" si="3"/>
        <v>-2.9712952812500006</v>
      </c>
      <c r="S29" s="14"/>
    </row>
    <row r="30" spans="1:19">
      <c r="A30" s="14" t="s">
        <v>17</v>
      </c>
      <c r="B30" s="15" t="s">
        <v>127</v>
      </c>
      <c r="C30" s="15" t="s">
        <v>128</v>
      </c>
      <c r="D30" s="14" t="s">
        <v>129</v>
      </c>
      <c r="E30" s="15" t="s">
        <v>62</v>
      </c>
      <c r="F30" s="14" t="s">
        <v>22</v>
      </c>
      <c r="G30" s="15" t="s">
        <v>23</v>
      </c>
      <c r="H30" s="15" t="s">
        <v>1525</v>
      </c>
      <c r="I30" s="15">
        <v>201409</v>
      </c>
      <c r="J30" s="16">
        <v>-1334.18</v>
      </c>
      <c r="K30" s="44">
        <f t="shared" si="4"/>
        <v>41883</v>
      </c>
      <c r="L30" s="45">
        <f t="shared" si="0"/>
        <v>9</v>
      </c>
      <c r="M30" s="17">
        <v>1.4833299999999999E-3</v>
      </c>
      <c r="N30" s="46">
        <f t="shared" si="1"/>
        <v>-17.811262974599998</v>
      </c>
      <c r="O30" s="16"/>
      <c r="P30" s="48">
        <f t="shared" si="2"/>
        <v>-692.10587500000008</v>
      </c>
      <c r="Q30" s="16"/>
      <c r="R30" s="48">
        <f t="shared" si="3"/>
        <v>-30.098266937500004</v>
      </c>
      <c r="S30" s="14"/>
    </row>
    <row r="31" spans="1:19">
      <c r="A31" s="14" t="s">
        <v>17</v>
      </c>
      <c r="B31" s="15" t="s">
        <v>130</v>
      </c>
      <c r="C31" s="15" t="s">
        <v>131</v>
      </c>
      <c r="D31" s="14" t="s">
        <v>132</v>
      </c>
      <c r="E31" s="15" t="s">
        <v>36</v>
      </c>
      <c r="F31" s="14" t="s">
        <v>22</v>
      </c>
      <c r="G31" s="15" t="s">
        <v>23</v>
      </c>
      <c r="H31" s="15" t="s">
        <v>1525</v>
      </c>
      <c r="I31" s="15">
        <v>201409</v>
      </c>
      <c r="J31" s="16">
        <v>-317.52</v>
      </c>
      <c r="K31" s="44">
        <f t="shared" si="4"/>
        <v>41883</v>
      </c>
      <c r="L31" s="45">
        <f t="shared" si="0"/>
        <v>9</v>
      </c>
      <c r="M31" s="17">
        <v>1.4833299999999999E-3</v>
      </c>
      <c r="N31" s="46">
        <f t="shared" si="1"/>
        <v>-4.2388824743999995</v>
      </c>
      <c r="O31" s="16"/>
      <c r="P31" s="48">
        <f t="shared" si="2"/>
        <v>-164.71350000000001</v>
      </c>
      <c r="Q31" s="16"/>
      <c r="R31" s="48">
        <f t="shared" si="3"/>
        <v>-7.1630527499999994</v>
      </c>
      <c r="S31" s="14"/>
    </row>
    <row r="32" spans="1:19">
      <c r="A32" s="14" t="s">
        <v>17</v>
      </c>
      <c r="B32" s="15" t="s">
        <v>133</v>
      </c>
      <c r="C32" s="15" t="s">
        <v>134</v>
      </c>
      <c r="D32" s="14" t="s">
        <v>135</v>
      </c>
      <c r="E32" s="15" t="s">
        <v>136</v>
      </c>
      <c r="F32" s="14" t="s">
        <v>137</v>
      </c>
      <c r="G32" s="15" t="s">
        <v>23</v>
      </c>
      <c r="H32" s="15" t="s">
        <v>1526</v>
      </c>
      <c r="I32" s="15">
        <v>201409</v>
      </c>
      <c r="J32" s="16">
        <v>-3718.06</v>
      </c>
      <c r="K32" s="44">
        <f t="shared" si="4"/>
        <v>41883</v>
      </c>
      <c r="L32" s="45">
        <f t="shared" si="0"/>
        <v>9</v>
      </c>
      <c r="M32" s="17">
        <v>1.4833299999999999E-3</v>
      </c>
      <c r="N32" s="46">
        <f t="shared" si="1"/>
        <v>-49.635989458199994</v>
      </c>
      <c r="O32" s="16"/>
      <c r="P32" s="48">
        <f t="shared" si="2"/>
        <v>-1928.7436250000001</v>
      </c>
      <c r="Q32" s="16"/>
      <c r="R32" s="48">
        <f t="shared" si="3"/>
        <v>-83.877109812500009</v>
      </c>
      <c r="S32" s="14"/>
    </row>
    <row r="33" spans="1:19">
      <c r="A33" s="14" t="s">
        <v>54</v>
      </c>
      <c r="B33" s="15" t="s">
        <v>138</v>
      </c>
      <c r="C33" s="15" t="s">
        <v>139</v>
      </c>
      <c r="D33" s="14" t="s">
        <v>140</v>
      </c>
      <c r="E33" s="15" t="s">
        <v>141</v>
      </c>
      <c r="F33" s="14" t="s">
        <v>142</v>
      </c>
      <c r="G33" s="15" t="s">
        <v>23</v>
      </c>
      <c r="H33" s="15" t="s">
        <v>1525</v>
      </c>
      <c r="I33" s="15">
        <v>201409</v>
      </c>
      <c r="J33" s="16">
        <v>-2154.0500000000002</v>
      </c>
      <c r="K33" s="44">
        <f t="shared" si="4"/>
        <v>41883</v>
      </c>
      <c r="L33" s="45">
        <f t="shared" si="0"/>
        <v>9</v>
      </c>
      <c r="M33" s="17">
        <v>1.4833299999999999E-3</v>
      </c>
      <c r="N33" s="46">
        <f t="shared" si="1"/>
        <v>-28.756502878500001</v>
      </c>
      <c r="O33" s="16"/>
      <c r="P33" s="48">
        <f t="shared" si="2"/>
        <v>-1117.4134375000001</v>
      </c>
      <c r="Q33" s="16"/>
      <c r="R33" s="48">
        <f t="shared" si="3"/>
        <v>-48.594021718750007</v>
      </c>
      <c r="S33" s="14"/>
    </row>
    <row r="34" spans="1:19">
      <c r="A34" s="14" t="s">
        <v>17</v>
      </c>
      <c r="B34" s="15" t="s">
        <v>143</v>
      </c>
      <c r="C34" s="15" t="s">
        <v>144</v>
      </c>
      <c r="D34" s="14" t="s">
        <v>145</v>
      </c>
      <c r="E34" s="15" t="s">
        <v>62</v>
      </c>
      <c r="F34" s="14" t="s">
        <v>22</v>
      </c>
      <c r="G34" s="15" t="s">
        <v>23</v>
      </c>
      <c r="H34" s="15" t="s">
        <v>1525</v>
      </c>
      <c r="I34" s="15">
        <v>201409</v>
      </c>
      <c r="J34" s="16">
        <v>-515.72</v>
      </c>
      <c r="K34" s="44">
        <f t="shared" si="4"/>
        <v>41883</v>
      </c>
      <c r="L34" s="45">
        <f t="shared" si="0"/>
        <v>9</v>
      </c>
      <c r="M34" s="17">
        <v>1.4833299999999999E-3</v>
      </c>
      <c r="N34" s="46">
        <f t="shared" si="1"/>
        <v>-6.8848465283999998</v>
      </c>
      <c r="O34" s="16"/>
      <c r="P34" s="48">
        <f t="shared" si="2"/>
        <v>-267.52975000000004</v>
      </c>
      <c r="Q34" s="16"/>
      <c r="R34" s="48">
        <f t="shared" si="3"/>
        <v>-11.634320875000002</v>
      </c>
      <c r="S34" s="14"/>
    </row>
    <row r="35" spans="1:19">
      <c r="A35" s="14" t="s">
        <v>17</v>
      </c>
      <c r="B35" s="15" t="s">
        <v>149</v>
      </c>
      <c r="C35" s="15" t="s">
        <v>150</v>
      </c>
      <c r="D35" s="14" t="s">
        <v>151</v>
      </c>
      <c r="E35" s="15" t="s">
        <v>40</v>
      </c>
      <c r="F35" s="14" t="s">
        <v>41</v>
      </c>
      <c r="G35" s="15" t="s">
        <v>23</v>
      </c>
      <c r="H35" s="15" t="s">
        <v>1526</v>
      </c>
      <c r="I35" s="15">
        <v>201409</v>
      </c>
      <c r="J35" s="16">
        <v>-860.78</v>
      </c>
      <c r="K35" s="44">
        <f t="shared" si="4"/>
        <v>41883</v>
      </c>
      <c r="L35" s="45">
        <f t="shared" si="0"/>
        <v>9</v>
      </c>
      <c r="M35" s="17">
        <v>1.4833299999999999E-3</v>
      </c>
      <c r="N35" s="46">
        <f t="shared" si="1"/>
        <v>-11.491387176599998</v>
      </c>
      <c r="O35" s="16"/>
      <c r="P35" s="48">
        <f t="shared" si="2"/>
        <v>-446.52962500000001</v>
      </c>
      <c r="Q35" s="16"/>
      <c r="R35" s="48">
        <f t="shared" si="3"/>
        <v>-19.418658812499999</v>
      </c>
      <c r="S35" s="14"/>
    </row>
    <row r="36" spans="1:19">
      <c r="A36" s="18" t="s">
        <v>17</v>
      </c>
      <c r="B36" s="15" t="s">
        <v>152</v>
      </c>
      <c r="C36" s="15" t="s">
        <v>153</v>
      </c>
      <c r="D36" s="14" t="s">
        <v>154</v>
      </c>
      <c r="E36" s="15" t="s">
        <v>53</v>
      </c>
      <c r="F36" s="14" t="s">
        <v>41</v>
      </c>
      <c r="G36" s="15" t="s">
        <v>23</v>
      </c>
      <c r="H36" s="15" t="s">
        <v>1526</v>
      </c>
      <c r="I36" s="15">
        <v>201409</v>
      </c>
      <c r="J36" s="16">
        <v>-31.85</v>
      </c>
      <c r="K36" s="44">
        <f t="shared" si="4"/>
        <v>41883</v>
      </c>
      <c r="L36" s="45">
        <f t="shared" si="0"/>
        <v>9</v>
      </c>
      <c r="M36" s="17">
        <v>1.4833299999999999E-3</v>
      </c>
      <c r="N36" s="46">
        <f t="shared" si="1"/>
        <v>-0.4251965445</v>
      </c>
      <c r="O36" s="16"/>
      <c r="P36" s="48">
        <f t="shared" si="2"/>
        <v>-16.522187500000001</v>
      </c>
      <c r="Q36" s="16"/>
      <c r="R36" s="48">
        <f t="shared" si="3"/>
        <v>-0.71851609375000014</v>
      </c>
      <c r="S36" s="14"/>
    </row>
    <row r="37" spans="1:19">
      <c r="A37" s="18" t="s">
        <v>17</v>
      </c>
      <c r="B37" s="15" t="s">
        <v>155</v>
      </c>
      <c r="C37" s="15" t="s">
        <v>156</v>
      </c>
      <c r="D37" s="14" t="s">
        <v>157</v>
      </c>
      <c r="E37" s="15" t="s">
        <v>32</v>
      </c>
      <c r="F37" s="14" t="s">
        <v>22</v>
      </c>
      <c r="G37" s="15" t="s">
        <v>23</v>
      </c>
      <c r="H37" s="15" t="s">
        <v>1525</v>
      </c>
      <c r="I37" s="15">
        <v>201409</v>
      </c>
      <c r="J37" s="16">
        <v>-469.08</v>
      </c>
      <c r="K37" s="44">
        <f t="shared" si="4"/>
        <v>41883</v>
      </c>
      <c r="L37" s="45">
        <f t="shared" si="0"/>
        <v>9</v>
      </c>
      <c r="M37" s="17">
        <v>1.4833299999999999E-3</v>
      </c>
      <c r="N37" s="46">
        <f t="shared" si="1"/>
        <v>-6.262203927599999</v>
      </c>
      <c r="O37" s="16"/>
      <c r="P37" s="48">
        <f t="shared" si="2"/>
        <v>-243.33525</v>
      </c>
      <c r="Q37" s="16"/>
      <c r="R37" s="48">
        <f t="shared" si="3"/>
        <v>-10.582151625</v>
      </c>
      <c r="S37" s="14"/>
    </row>
    <row r="38" spans="1:19">
      <c r="A38" s="14" t="s">
        <v>17</v>
      </c>
      <c r="B38" s="15" t="s">
        <v>158</v>
      </c>
      <c r="C38" s="15" t="s">
        <v>159</v>
      </c>
      <c r="D38" s="14" t="s">
        <v>160</v>
      </c>
      <c r="E38" s="15" t="s">
        <v>108</v>
      </c>
      <c r="F38" s="14" t="s">
        <v>28</v>
      </c>
      <c r="G38" s="15" t="s">
        <v>23</v>
      </c>
      <c r="H38" s="15" t="s">
        <v>1525</v>
      </c>
      <c r="I38" s="15">
        <v>201409</v>
      </c>
      <c r="J38" s="16">
        <v>-217.66</v>
      </c>
      <c r="K38" s="44">
        <f t="shared" si="4"/>
        <v>41883</v>
      </c>
      <c r="L38" s="45">
        <f t="shared" si="0"/>
        <v>9</v>
      </c>
      <c r="M38" s="17">
        <v>1.4833299999999999E-3</v>
      </c>
      <c r="N38" s="46">
        <f t="shared" si="1"/>
        <v>-2.9057544701999998</v>
      </c>
      <c r="O38" s="16"/>
      <c r="P38" s="48">
        <f t="shared" si="2"/>
        <v>-112.91112500000001</v>
      </c>
      <c r="Q38" s="16"/>
      <c r="R38" s="48">
        <f t="shared" si="3"/>
        <v>-4.9102735625000005</v>
      </c>
      <c r="S38" s="14"/>
    </row>
    <row r="39" spans="1:19">
      <c r="A39" s="18" t="s">
        <v>17</v>
      </c>
      <c r="B39" s="15" t="s">
        <v>161</v>
      </c>
      <c r="C39" s="15" t="s">
        <v>162</v>
      </c>
      <c r="D39" s="14" t="s">
        <v>163</v>
      </c>
      <c r="E39" s="15" t="s">
        <v>62</v>
      </c>
      <c r="F39" s="14" t="s">
        <v>22</v>
      </c>
      <c r="G39" s="15" t="s">
        <v>23</v>
      </c>
      <c r="H39" s="15" t="s">
        <v>1525</v>
      </c>
      <c r="I39" s="15">
        <v>201409</v>
      </c>
      <c r="J39" s="16">
        <v>-286.58999999999997</v>
      </c>
      <c r="K39" s="44">
        <f t="shared" si="4"/>
        <v>41883</v>
      </c>
      <c r="L39" s="45">
        <f t="shared" si="0"/>
        <v>9</v>
      </c>
      <c r="M39" s="17">
        <v>1.4833299999999999E-3</v>
      </c>
      <c r="N39" s="46">
        <f t="shared" si="1"/>
        <v>-3.8259679022999995</v>
      </c>
      <c r="O39" s="16"/>
      <c r="P39" s="48">
        <f t="shared" si="2"/>
        <v>-148.66856250000001</v>
      </c>
      <c r="Q39" s="16"/>
      <c r="R39" s="48">
        <f t="shared" si="3"/>
        <v>-6.4652912812499999</v>
      </c>
      <c r="S39" s="14"/>
    </row>
    <row r="40" spans="1:19">
      <c r="A40" s="18" t="s">
        <v>164</v>
      </c>
      <c r="B40" s="15" t="s">
        <v>165</v>
      </c>
      <c r="C40" s="15" t="s">
        <v>166</v>
      </c>
      <c r="D40" s="14" t="s">
        <v>167</v>
      </c>
      <c r="E40" s="15" t="s">
        <v>168</v>
      </c>
      <c r="F40" s="14" t="s">
        <v>169</v>
      </c>
      <c r="G40" s="15" t="s">
        <v>23</v>
      </c>
      <c r="H40" s="15" t="s">
        <v>1528</v>
      </c>
      <c r="I40" s="15">
        <v>201409</v>
      </c>
      <c r="J40" s="16">
        <v>-54</v>
      </c>
      <c r="K40" s="44">
        <f t="shared" si="4"/>
        <v>41883</v>
      </c>
      <c r="L40" s="45">
        <f t="shared" si="0"/>
        <v>9</v>
      </c>
      <c r="M40" s="17">
        <v>2.1916700000000002E-3</v>
      </c>
      <c r="N40" s="46">
        <f t="shared" si="1"/>
        <v>-1.06515162</v>
      </c>
      <c r="O40" s="16"/>
      <c r="P40" s="48">
        <f t="shared" si="2"/>
        <v>-28.012500000000003</v>
      </c>
      <c r="Q40" s="16"/>
      <c r="R40" s="48">
        <f t="shared" si="3"/>
        <v>-1.2182062499999999</v>
      </c>
      <c r="S40" s="14"/>
    </row>
    <row r="41" spans="1:19">
      <c r="A41" s="18" t="s">
        <v>17</v>
      </c>
      <c r="B41" s="15" t="s">
        <v>170</v>
      </c>
      <c r="C41" s="15" t="s">
        <v>171</v>
      </c>
      <c r="D41" s="14" t="s">
        <v>172</v>
      </c>
      <c r="E41" s="15" t="s">
        <v>62</v>
      </c>
      <c r="F41" s="14" t="s">
        <v>22</v>
      </c>
      <c r="G41" s="15" t="s">
        <v>23</v>
      </c>
      <c r="H41" s="15" t="s">
        <v>1525</v>
      </c>
      <c r="I41" s="15">
        <v>201409</v>
      </c>
      <c r="J41" s="16">
        <v>-3880.74</v>
      </c>
      <c r="K41" s="44">
        <f t="shared" si="4"/>
        <v>41883</v>
      </c>
      <c r="L41" s="45">
        <f t="shared" si="0"/>
        <v>9</v>
      </c>
      <c r="M41" s="17">
        <v>1.4833299999999999E-3</v>
      </c>
      <c r="N41" s="46">
        <f t="shared" si="1"/>
        <v>-51.807762577799991</v>
      </c>
      <c r="O41" s="16"/>
      <c r="P41" s="48">
        <f t="shared" si="2"/>
        <v>-2013.133875</v>
      </c>
      <c r="Q41" s="16"/>
      <c r="R41" s="48">
        <f t="shared" si="3"/>
        <v>-87.547068937500001</v>
      </c>
      <c r="S41" s="14"/>
    </row>
    <row r="42" spans="1:19">
      <c r="A42" s="18" t="s">
        <v>54</v>
      </c>
      <c r="B42" s="15" t="s">
        <v>170</v>
      </c>
      <c r="C42" s="15" t="s">
        <v>171</v>
      </c>
      <c r="D42" s="14" t="s">
        <v>172</v>
      </c>
      <c r="E42" s="15" t="s">
        <v>62</v>
      </c>
      <c r="F42" s="14" t="s">
        <v>22</v>
      </c>
      <c r="G42" s="15" t="s">
        <v>23</v>
      </c>
      <c r="H42" s="15" t="s">
        <v>1525</v>
      </c>
      <c r="I42" s="15">
        <v>201409</v>
      </c>
      <c r="J42" s="16">
        <v>-865.45</v>
      </c>
      <c r="K42" s="44">
        <f t="shared" si="4"/>
        <v>41883</v>
      </c>
      <c r="L42" s="45">
        <f t="shared" si="0"/>
        <v>9</v>
      </c>
      <c r="M42" s="17">
        <v>1.4833299999999999E-3</v>
      </c>
      <c r="N42" s="46">
        <f t="shared" si="1"/>
        <v>-11.553731536499999</v>
      </c>
      <c r="O42" s="16"/>
      <c r="P42" s="48">
        <f t="shared" si="2"/>
        <v>-448.95218750000004</v>
      </c>
      <c r="Q42" s="16"/>
      <c r="R42" s="48">
        <f t="shared" si="3"/>
        <v>-19.524011093750001</v>
      </c>
      <c r="S42" s="14"/>
    </row>
    <row r="43" spans="1:19">
      <c r="A43" s="18" t="s">
        <v>17</v>
      </c>
      <c r="B43" s="15" t="s">
        <v>173</v>
      </c>
      <c r="C43" s="15" t="s">
        <v>174</v>
      </c>
      <c r="D43" s="14" t="s">
        <v>175</v>
      </c>
      <c r="E43" s="15" t="s">
        <v>176</v>
      </c>
      <c r="F43" s="14" t="s">
        <v>28</v>
      </c>
      <c r="G43" s="15" t="s">
        <v>23</v>
      </c>
      <c r="H43" s="15" t="s">
        <v>1525</v>
      </c>
      <c r="I43" s="15">
        <v>201409</v>
      </c>
      <c r="J43" s="16">
        <v>10.59</v>
      </c>
      <c r="K43" s="44">
        <f t="shared" si="4"/>
        <v>41883</v>
      </c>
      <c r="L43" s="45">
        <f t="shared" si="0"/>
        <v>9</v>
      </c>
      <c r="M43" s="17">
        <v>1.4833299999999999E-3</v>
      </c>
      <c r="N43" s="46">
        <f t="shared" si="1"/>
        <v>0.14137618229999999</v>
      </c>
      <c r="O43" s="16"/>
      <c r="P43" s="48">
        <f t="shared" si="2"/>
        <v>5.4935625000000003</v>
      </c>
      <c r="Q43" s="16"/>
      <c r="R43" s="48">
        <f t="shared" si="3"/>
        <v>0.23890378125</v>
      </c>
      <c r="S43" s="14"/>
    </row>
    <row r="44" spans="1:19">
      <c r="A44" s="18" t="s">
        <v>17</v>
      </c>
      <c r="B44" s="15" t="s">
        <v>177</v>
      </c>
      <c r="C44" s="15" t="s">
        <v>178</v>
      </c>
      <c r="D44" s="14" t="s">
        <v>179</v>
      </c>
      <c r="E44" s="15" t="s">
        <v>176</v>
      </c>
      <c r="F44" s="14" t="s">
        <v>28</v>
      </c>
      <c r="G44" s="15" t="s">
        <v>23</v>
      </c>
      <c r="H44" s="15" t="s">
        <v>1525</v>
      </c>
      <c r="I44" s="15">
        <v>201409</v>
      </c>
      <c r="J44" s="16">
        <v>28.45</v>
      </c>
      <c r="K44" s="44">
        <f t="shared" si="4"/>
        <v>41883</v>
      </c>
      <c r="L44" s="45">
        <f t="shared" si="0"/>
        <v>9</v>
      </c>
      <c r="M44" s="17">
        <v>1.4833299999999999E-3</v>
      </c>
      <c r="N44" s="46">
        <f t="shared" si="1"/>
        <v>0.37980664649999996</v>
      </c>
      <c r="O44" s="16"/>
      <c r="P44" s="48">
        <f t="shared" si="2"/>
        <v>14.758437500000001</v>
      </c>
      <c r="Q44" s="16"/>
      <c r="R44" s="48">
        <f t="shared" si="3"/>
        <v>0.64181421875</v>
      </c>
      <c r="S44" s="14"/>
    </row>
    <row r="45" spans="1:19">
      <c r="A45" s="18" t="s">
        <v>17</v>
      </c>
      <c r="B45" s="15" t="s">
        <v>180</v>
      </c>
      <c r="C45" s="15" t="s">
        <v>181</v>
      </c>
      <c r="D45" s="14" t="s">
        <v>182</v>
      </c>
      <c r="E45" s="15" t="s">
        <v>53</v>
      </c>
      <c r="F45" s="14" t="s">
        <v>41</v>
      </c>
      <c r="G45" s="15" t="s">
        <v>23</v>
      </c>
      <c r="H45" s="15" t="s">
        <v>1526</v>
      </c>
      <c r="I45" s="15">
        <v>201409</v>
      </c>
      <c r="J45" s="16">
        <v>-243.49</v>
      </c>
      <c r="K45" s="44">
        <f t="shared" si="4"/>
        <v>41883</v>
      </c>
      <c r="L45" s="45">
        <f t="shared" si="0"/>
        <v>9</v>
      </c>
      <c r="M45" s="17">
        <v>1.4833299999999999E-3</v>
      </c>
      <c r="N45" s="46">
        <f t="shared" si="1"/>
        <v>-3.2505841953000001</v>
      </c>
      <c r="O45" s="16"/>
      <c r="P45" s="48">
        <f t="shared" si="2"/>
        <v>-126.31043750000002</v>
      </c>
      <c r="Q45" s="16"/>
      <c r="R45" s="48">
        <f t="shared" si="3"/>
        <v>-5.4929822187500008</v>
      </c>
      <c r="S45" s="14"/>
    </row>
    <row r="46" spans="1:19">
      <c r="A46" s="14" t="s">
        <v>17</v>
      </c>
      <c r="B46" s="15" t="s">
        <v>183</v>
      </c>
      <c r="C46" s="15" t="s">
        <v>184</v>
      </c>
      <c r="D46" s="14" t="s">
        <v>185</v>
      </c>
      <c r="E46" s="15" t="s">
        <v>53</v>
      </c>
      <c r="F46" s="14" t="s">
        <v>41</v>
      </c>
      <c r="G46" s="15" t="s">
        <v>23</v>
      </c>
      <c r="H46" s="15" t="s">
        <v>1526</v>
      </c>
      <c r="I46" s="15">
        <v>201409</v>
      </c>
      <c r="J46" s="16">
        <v>-1163.68</v>
      </c>
      <c r="K46" s="44">
        <f t="shared" si="4"/>
        <v>41883</v>
      </c>
      <c r="L46" s="45">
        <f t="shared" si="0"/>
        <v>9</v>
      </c>
      <c r="M46" s="17">
        <v>1.4833299999999999E-3</v>
      </c>
      <c r="N46" s="46">
        <f t="shared" si="1"/>
        <v>-15.5350930896</v>
      </c>
      <c r="O46" s="16"/>
      <c r="P46" s="48">
        <f t="shared" si="2"/>
        <v>-603.65900000000011</v>
      </c>
      <c r="Q46" s="16"/>
      <c r="R46" s="48">
        <f t="shared" si="3"/>
        <v>-26.251893500000001</v>
      </c>
      <c r="S46" s="14"/>
    </row>
    <row r="47" spans="1:19">
      <c r="A47" s="18" t="s">
        <v>17</v>
      </c>
      <c r="B47" s="15" t="s">
        <v>186</v>
      </c>
      <c r="C47" s="15" t="s">
        <v>187</v>
      </c>
      <c r="D47" s="14" t="s">
        <v>188</v>
      </c>
      <c r="E47" s="15" t="s">
        <v>108</v>
      </c>
      <c r="F47" s="14" t="s">
        <v>28</v>
      </c>
      <c r="G47" s="15" t="s">
        <v>23</v>
      </c>
      <c r="H47" s="15" t="s">
        <v>1525</v>
      </c>
      <c r="I47" s="15">
        <v>201409</v>
      </c>
      <c r="J47" s="16">
        <v>-23.18</v>
      </c>
      <c r="K47" s="44">
        <f t="shared" si="4"/>
        <v>41883</v>
      </c>
      <c r="L47" s="45">
        <f t="shared" si="0"/>
        <v>9</v>
      </c>
      <c r="M47" s="17">
        <v>1.4833299999999999E-3</v>
      </c>
      <c r="N47" s="46">
        <f t="shared" si="1"/>
        <v>-0.30945230459999995</v>
      </c>
      <c r="O47" s="16"/>
      <c r="P47" s="48">
        <f t="shared" si="2"/>
        <v>-12.024625</v>
      </c>
      <c r="Q47" s="16"/>
      <c r="R47" s="48">
        <f t="shared" si="3"/>
        <v>-0.52292631249999999</v>
      </c>
      <c r="S47" s="14"/>
    </row>
    <row r="48" spans="1:19">
      <c r="A48" s="18" t="s">
        <v>17</v>
      </c>
      <c r="B48" s="15" t="s">
        <v>189</v>
      </c>
      <c r="C48" s="15" t="s">
        <v>190</v>
      </c>
      <c r="D48" s="14" t="s">
        <v>191</v>
      </c>
      <c r="E48" s="15" t="s">
        <v>62</v>
      </c>
      <c r="F48" s="14" t="s">
        <v>22</v>
      </c>
      <c r="G48" s="15" t="s">
        <v>23</v>
      </c>
      <c r="H48" s="15" t="s">
        <v>1525</v>
      </c>
      <c r="I48" s="15">
        <v>201409</v>
      </c>
      <c r="J48" s="16">
        <v>-2735.91</v>
      </c>
      <c r="K48" s="44">
        <f t="shared" si="4"/>
        <v>41883</v>
      </c>
      <c r="L48" s="45">
        <f t="shared" si="0"/>
        <v>9</v>
      </c>
      <c r="M48" s="17">
        <v>1.4833299999999999E-3</v>
      </c>
      <c r="N48" s="46">
        <f t="shared" si="1"/>
        <v>-36.524316422699997</v>
      </c>
      <c r="O48" s="16"/>
      <c r="P48" s="48">
        <f t="shared" si="2"/>
        <v>-1419.2533125</v>
      </c>
      <c r="Q48" s="16"/>
      <c r="R48" s="48">
        <f t="shared" si="3"/>
        <v>-61.720419656249994</v>
      </c>
      <c r="S48" s="14"/>
    </row>
    <row r="49" spans="1:19">
      <c r="A49" s="14" t="s">
        <v>66</v>
      </c>
      <c r="B49" s="15" t="s">
        <v>197</v>
      </c>
      <c r="C49" s="15" t="s">
        <v>198</v>
      </c>
      <c r="D49" s="14" t="s">
        <v>69</v>
      </c>
      <c r="E49" s="15" t="s">
        <v>199</v>
      </c>
      <c r="F49" s="14" t="s">
        <v>71</v>
      </c>
      <c r="G49" s="15" t="s">
        <v>23</v>
      </c>
      <c r="H49" s="15" t="s">
        <v>1530</v>
      </c>
      <c r="I49" s="15">
        <v>201409</v>
      </c>
      <c r="J49" s="16">
        <v>4610.79</v>
      </c>
      <c r="K49" s="44">
        <f t="shared" si="4"/>
        <v>41883</v>
      </c>
      <c r="L49" s="45">
        <f t="shared" si="0"/>
        <v>9</v>
      </c>
      <c r="M49" s="17">
        <v>2.23333E-3</v>
      </c>
      <c r="N49" s="46">
        <f t="shared" si="1"/>
        <v>92.676740676299985</v>
      </c>
      <c r="O49" s="16"/>
      <c r="P49" s="48">
        <f t="shared" si="2"/>
        <v>2391.8473125</v>
      </c>
      <c r="Q49" s="16"/>
      <c r="R49" s="48">
        <f t="shared" si="3"/>
        <v>104.01654065625002</v>
      </c>
      <c r="S49" s="14"/>
    </row>
    <row r="50" spans="1:19">
      <c r="A50" s="14" t="s">
        <v>66</v>
      </c>
      <c r="B50" s="15" t="s">
        <v>200</v>
      </c>
      <c r="C50" s="15" t="s">
        <v>201</v>
      </c>
      <c r="D50" s="14" t="s">
        <v>202</v>
      </c>
      <c r="E50" s="15" t="s">
        <v>203</v>
      </c>
      <c r="F50" s="14" t="s">
        <v>80</v>
      </c>
      <c r="G50" s="15" t="s">
        <v>23</v>
      </c>
      <c r="H50" s="15" t="s">
        <v>1530</v>
      </c>
      <c r="I50" s="15">
        <v>201409</v>
      </c>
      <c r="J50" s="16">
        <v>103697.26</v>
      </c>
      <c r="K50" s="44">
        <f t="shared" si="4"/>
        <v>41883</v>
      </c>
      <c r="L50" s="45">
        <f t="shared" si="0"/>
        <v>9</v>
      </c>
      <c r="M50" s="17">
        <v>2.23333E-3</v>
      </c>
      <c r="N50" s="46">
        <f t="shared" si="1"/>
        <v>2084.3118150821997</v>
      </c>
      <c r="O50" s="16"/>
      <c r="P50" s="48">
        <f t="shared" si="2"/>
        <v>53792.953625000002</v>
      </c>
      <c r="Q50" s="16"/>
      <c r="R50" s="48">
        <f t="shared" si="3"/>
        <v>2339.3453748125003</v>
      </c>
      <c r="S50" s="14"/>
    </row>
    <row r="51" spans="1:19">
      <c r="A51" s="14" t="s">
        <v>66</v>
      </c>
      <c r="B51" s="15" t="s">
        <v>204</v>
      </c>
      <c r="C51" s="15" t="s">
        <v>205</v>
      </c>
      <c r="D51" s="14" t="s">
        <v>206</v>
      </c>
      <c r="E51" s="15" t="s">
        <v>207</v>
      </c>
      <c r="F51" s="14" t="s">
        <v>97</v>
      </c>
      <c r="G51" s="15" t="s">
        <v>23</v>
      </c>
      <c r="H51" s="15" t="s">
        <v>1530</v>
      </c>
      <c r="I51" s="15">
        <v>201409</v>
      </c>
      <c r="J51" s="16">
        <v>-46.62</v>
      </c>
      <c r="K51" s="44">
        <f t="shared" si="4"/>
        <v>41883</v>
      </c>
      <c r="L51" s="45">
        <f t="shared" si="0"/>
        <v>9</v>
      </c>
      <c r="M51" s="17">
        <v>2.23333E-3</v>
      </c>
      <c r="N51" s="46">
        <f t="shared" si="1"/>
        <v>-0.93706060139999992</v>
      </c>
      <c r="O51" s="16"/>
      <c r="P51" s="48">
        <f t="shared" si="2"/>
        <v>-24.184125000000002</v>
      </c>
      <c r="Q51" s="16"/>
      <c r="R51" s="48">
        <f t="shared" si="3"/>
        <v>-1.0517180625</v>
      </c>
      <c r="S51" s="14"/>
    </row>
    <row r="52" spans="1:19">
      <c r="A52" s="14" t="s">
        <v>66</v>
      </c>
      <c r="B52" s="15" t="s">
        <v>208</v>
      </c>
      <c r="C52" s="15" t="s">
        <v>209</v>
      </c>
      <c r="D52" s="14" t="s">
        <v>210</v>
      </c>
      <c r="E52" s="15" t="s">
        <v>211</v>
      </c>
      <c r="F52" s="14" t="s">
        <v>212</v>
      </c>
      <c r="G52" s="15" t="s">
        <v>23</v>
      </c>
      <c r="H52" s="15" t="s">
        <v>1530</v>
      </c>
      <c r="I52" s="15">
        <v>201409</v>
      </c>
      <c r="J52" s="16">
        <v>-620.16</v>
      </c>
      <c r="K52" s="44">
        <f t="shared" si="4"/>
        <v>41883</v>
      </c>
      <c r="L52" s="45">
        <f t="shared" si="0"/>
        <v>9</v>
      </c>
      <c r="M52" s="17">
        <v>2.23333E-3</v>
      </c>
      <c r="N52" s="46">
        <f t="shared" si="1"/>
        <v>-12.465197395199999</v>
      </c>
      <c r="O52" s="16"/>
      <c r="P52" s="48">
        <f t="shared" si="2"/>
        <v>-321.70800000000003</v>
      </c>
      <c r="Q52" s="16"/>
      <c r="R52" s="48">
        <f t="shared" si="3"/>
        <v>-13.990422000000001</v>
      </c>
      <c r="S52" s="14"/>
    </row>
    <row r="53" spans="1:19">
      <c r="A53" s="18" t="s">
        <v>17</v>
      </c>
      <c r="B53" s="15" t="s">
        <v>213</v>
      </c>
      <c r="C53" s="15" t="s">
        <v>214</v>
      </c>
      <c r="D53" s="14" t="s">
        <v>215</v>
      </c>
      <c r="E53" s="15" t="s">
        <v>216</v>
      </c>
      <c r="F53" s="14" t="s">
        <v>22</v>
      </c>
      <c r="G53" s="15" t="s">
        <v>23</v>
      </c>
      <c r="H53" s="15" t="s">
        <v>1525</v>
      </c>
      <c r="I53" s="15">
        <v>201409</v>
      </c>
      <c r="J53" s="16">
        <v>-587.16999999999996</v>
      </c>
      <c r="K53" s="44">
        <f t="shared" si="4"/>
        <v>41883</v>
      </c>
      <c r="L53" s="45">
        <f t="shared" si="0"/>
        <v>9</v>
      </c>
      <c r="M53" s="17">
        <v>1.4833299999999999E-3</v>
      </c>
      <c r="N53" s="46">
        <f t="shared" si="1"/>
        <v>-7.838701884899999</v>
      </c>
      <c r="O53" s="16"/>
      <c r="P53" s="48">
        <f t="shared" si="2"/>
        <v>-304.59443750000003</v>
      </c>
      <c r="Q53" s="16"/>
      <c r="R53" s="48">
        <f t="shared" si="3"/>
        <v>-13.24618821875</v>
      </c>
      <c r="S53" s="14"/>
    </row>
    <row r="54" spans="1:19">
      <c r="A54" s="18" t="s">
        <v>217</v>
      </c>
      <c r="B54" s="15" t="s">
        <v>218</v>
      </c>
      <c r="C54" s="15" t="s">
        <v>219</v>
      </c>
      <c r="D54" s="14" t="s">
        <v>220</v>
      </c>
      <c r="E54" s="15" t="s">
        <v>221</v>
      </c>
      <c r="F54" s="14" t="s">
        <v>222</v>
      </c>
      <c r="G54" s="15" t="s">
        <v>23</v>
      </c>
      <c r="H54" s="15" t="s">
        <v>1524</v>
      </c>
      <c r="I54" s="15">
        <v>201409</v>
      </c>
      <c r="J54" s="16">
        <v>120417.26</v>
      </c>
      <c r="K54" s="44">
        <f t="shared" si="4"/>
        <v>41883</v>
      </c>
      <c r="L54" s="45">
        <f t="shared" si="0"/>
        <v>9</v>
      </c>
      <c r="M54" s="17">
        <v>1.4833299999999999E-3</v>
      </c>
      <c r="N54" s="46">
        <f t="shared" si="1"/>
        <v>1607.5668084821998</v>
      </c>
      <c r="O54" s="16"/>
      <c r="P54" s="48">
        <f t="shared" si="2"/>
        <v>62466.453625000002</v>
      </c>
      <c r="Q54" s="16"/>
      <c r="R54" s="48">
        <f t="shared" si="3"/>
        <v>2716.5381248125</v>
      </c>
      <c r="S54" s="14"/>
    </row>
    <row r="55" spans="1:19">
      <c r="A55" s="14" t="s">
        <v>66</v>
      </c>
      <c r="B55" s="15" t="s">
        <v>223</v>
      </c>
      <c r="C55" s="15" t="s">
        <v>224</v>
      </c>
      <c r="D55" s="14" t="s">
        <v>88</v>
      </c>
      <c r="E55" s="15" t="s">
        <v>225</v>
      </c>
      <c r="F55" s="14" t="s">
        <v>85</v>
      </c>
      <c r="G55" s="15" t="s">
        <v>23</v>
      </c>
      <c r="H55" s="15" t="s">
        <v>1530</v>
      </c>
      <c r="I55" s="15">
        <v>201409</v>
      </c>
      <c r="J55" s="16">
        <v>6250.26</v>
      </c>
      <c r="K55" s="44">
        <f t="shared" si="4"/>
        <v>41883</v>
      </c>
      <c r="L55" s="45">
        <f t="shared" si="0"/>
        <v>9</v>
      </c>
      <c r="M55" s="17">
        <v>2.23333E-3</v>
      </c>
      <c r="N55" s="46">
        <f t="shared" si="1"/>
        <v>125.63003849219999</v>
      </c>
      <c r="O55" s="16"/>
      <c r="P55" s="48">
        <f t="shared" si="2"/>
        <v>3242.3223750000002</v>
      </c>
      <c r="Q55" s="16"/>
      <c r="R55" s="48">
        <f t="shared" si="3"/>
        <v>141.00195918750001</v>
      </c>
      <c r="S55" s="14"/>
    </row>
    <row r="56" spans="1:19">
      <c r="A56" s="14" t="s">
        <v>66</v>
      </c>
      <c r="B56" s="15" t="s">
        <v>226</v>
      </c>
      <c r="C56" s="15" t="s">
        <v>227</v>
      </c>
      <c r="D56" s="14" t="s">
        <v>78</v>
      </c>
      <c r="E56" s="15" t="s">
        <v>228</v>
      </c>
      <c r="F56" s="14" t="s">
        <v>80</v>
      </c>
      <c r="G56" s="15" t="s">
        <v>23</v>
      </c>
      <c r="H56" s="15" t="s">
        <v>1530</v>
      </c>
      <c r="I56" s="15">
        <v>201409</v>
      </c>
      <c r="J56" s="16">
        <v>16732.5</v>
      </c>
      <c r="K56" s="44">
        <f t="shared" si="4"/>
        <v>41883</v>
      </c>
      <c r="L56" s="45">
        <f t="shared" si="0"/>
        <v>9</v>
      </c>
      <c r="M56" s="17">
        <v>2.23333E-3</v>
      </c>
      <c r="N56" s="46">
        <f t="shared" si="1"/>
        <v>336.32274802499995</v>
      </c>
      <c r="O56" s="16"/>
      <c r="P56" s="48">
        <f t="shared" si="2"/>
        <v>8679.984375</v>
      </c>
      <c r="Q56" s="16"/>
      <c r="R56" s="48">
        <f t="shared" si="3"/>
        <v>377.4747421875</v>
      </c>
      <c r="S56" s="14"/>
    </row>
    <row r="57" spans="1:19">
      <c r="A57" s="14" t="s">
        <v>66</v>
      </c>
      <c r="B57" s="15" t="s">
        <v>229</v>
      </c>
      <c r="C57" s="15" t="s">
        <v>230</v>
      </c>
      <c r="D57" s="14" t="s">
        <v>78</v>
      </c>
      <c r="E57" s="15" t="s">
        <v>231</v>
      </c>
      <c r="F57" s="14" t="s">
        <v>80</v>
      </c>
      <c r="G57" s="15" t="s">
        <v>23</v>
      </c>
      <c r="H57" s="15" t="s">
        <v>1530</v>
      </c>
      <c r="I57" s="15">
        <v>201409</v>
      </c>
      <c r="J57" s="16">
        <v>46346.59</v>
      </c>
      <c r="K57" s="44">
        <f t="shared" si="4"/>
        <v>41883</v>
      </c>
      <c r="L57" s="45">
        <f t="shared" si="0"/>
        <v>9</v>
      </c>
      <c r="M57" s="17">
        <v>2.23333E-3</v>
      </c>
      <c r="N57" s="46">
        <f t="shared" si="1"/>
        <v>931.5650686022999</v>
      </c>
      <c r="O57" s="16"/>
      <c r="P57" s="48">
        <f t="shared" si="2"/>
        <v>24042.293562499999</v>
      </c>
      <c r="Q57" s="16"/>
      <c r="R57" s="48">
        <f t="shared" si="3"/>
        <v>1045.5501037812501</v>
      </c>
      <c r="S57" s="14"/>
    </row>
    <row r="58" spans="1:19">
      <c r="A58" s="18" t="s">
        <v>17</v>
      </c>
      <c r="B58" s="15" t="s">
        <v>232</v>
      </c>
      <c r="C58" s="15" t="s">
        <v>233</v>
      </c>
      <c r="D58" s="14" t="s">
        <v>234</v>
      </c>
      <c r="E58" s="15" t="s">
        <v>40</v>
      </c>
      <c r="F58" s="14" t="s">
        <v>41</v>
      </c>
      <c r="G58" s="15" t="s">
        <v>23</v>
      </c>
      <c r="H58" s="15" t="s">
        <v>1526</v>
      </c>
      <c r="I58" s="15">
        <v>201409</v>
      </c>
      <c r="J58" s="16">
        <v>34.520000000000003</v>
      </c>
      <c r="K58" s="44">
        <f t="shared" si="4"/>
        <v>41883</v>
      </c>
      <c r="L58" s="45">
        <f t="shared" si="0"/>
        <v>9</v>
      </c>
      <c r="M58" s="17">
        <v>1.4833299999999999E-3</v>
      </c>
      <c r="N58" s="46">
        <f t="shared" si="1"/>
        <v>0.4608409644</v>
      </c>
      <c r="O58" s="16"/>
      <c r="P58" s="48">
        <f t="shared" si="2"/>
        <v>17.907250000000005</v>
      </c>
      <c r="Q58" s="16"/>
      <c r="R58" s="48">
        <f t="shared" si="3"/>
        <v>0.77874962500000011</v>
      </c>
      <c r="S58" s="14"/>
    </row>
    <row r="59" spans="1:19">
      <c r="A59" s="14" t="s">
        <v>17</v>
      </c>
      <c r="B59" s="15" t="s">
        <v>235</v>
      </c>
      <c r="C59" s="15" t="s">
        <v>236</v>
      </c>
      <c r="D59" s="14" t="s">
        <v>237</v>
      </c>
      <c r="E59" s="15" t="s">
        <v>62</v>
      </c>
      <c r="F59" s="14" t="s">
        <v>22</v>
      </c>
      <c r="G59" s="15" t="s">
        <v>23</v>
      </c>
      <c r="H59" s="15" t="s">
        <v>1525</v>
      </c>
      <c r="I59" s="15">
        <v>201409</v>
      </c>
      <c r="J59" s="16">
        <v>16.510000000000002</v>
      </c>
      <c r="K59" s="44">
        <f t="shared" si="4"/>
        <v>41883</v>
      </c>
      <c r="L59" s="45">
        <f t="shared" si="0"/>
        <v>9</v>
      </c>
      <c r="M59" s="17">
        <v>1.4833299999999999E-3</v>
      </c>
      <c r="N59" s="46">
        <f t="shared" si="1"/>
        <v>0.22040800470000002</v>
      </c>
      <c r="O59" s="16"/>
      <c r="P59" s="48">
        <f t="shared" si="2"/>
        <v>8.564562500000001</v>
      </c>
      <c r="Q59" s="16"/>
      <c r="R59" s="48">
        <f t="shared" si="3"/>
        <v>0.37245528125000005</v>
      </c>
      <c r="S59" s="14"/>
    </row>
    <row r="60" spans="1:19">
      <c r="A60" s="18" t="s">
        <v>238</v>
      </c>
      <c r="B60" s="15" t="s">
        <v>239</v>
      </c>
      <c r="C60" s="15" t="s">
        <v>240</v>
      </c>
      <c r="D60" s="14" t="s">
        <v>241</v>
      </c>
      <c r="E60" s="15" t="s">
        <v>168</v>
      </c>
      <c r="F60" s="14" t="s">
        <v>169</v>
      </c>
      <c r="G60" s="15" t="s">
        <v>23</v>
      </c>
      <c r="H60" s="15" t="s">
        <v>1528</v>
      </c>
      <c r="I60" s="15">
        <v>201409</v>
      </c>
      <c r="J60" s="16">
        <v>5.08</v>
      </c>
      <c r="K60" s="44">
        <f t="shared" si="4"/>
        <v>41883</v>
      </c>
      <c r="L60" s="45">
        <f t="shared" si="0"/>
        <v>9</v>
      </c>
      <c r="M60" s="17">
        <v>2.3833299999999999E-3</v>
      </c>
      <c r="N60" s="46">
        <f t="shared" si="1"/>
        <v>0.1089658476</v>
      </c>
      <c r="O60" s="16"/>
      <c r="P60" s="48">
        <f t="shared" si="2"/>
        <v>2.6352500000000001</v>
      </c>
      <c r="Q60" s="16"/>
      <c r="R60" s="48">
        <f t="shared" si="3"/>
        <v>0.11460162500000001</v>
      </c>
      <c r="S60" s="14"/>
    </row>
    <row r="61" spans="1:19">
      <c r="A61" s="18" t="s">
        <v>242</v>
      </c>
      <c r="B61" s="15" t="s">
        <v>243</v>
      </c>
      <c r="C61" s="15" t="s">
        <v>244</v>
      </c>
      <c r="D61" s="14" t="s">
        <v>245</v>
      </c>
      <c r="E61" s="15" t="s">
        <v>246</v>
      </c>
      <c r="F61" s="14" t="s">
        <v>247</v>
      </c>
      <c r="G61" s="15" t="s">
        <v>23</v>
      </c>
      <c r="H61" s="15" t="s">
        <v>1525</v>
      </c>
      <c r="I61" s="15">
        <v>201409</v>
      </c>
      <c r="J61" s="16">
        <v>-9517.91</v>
      </c>
      <c r="K61" s="44">
        <f t="shared" si="4"/>
        <v>41883</v>
      </c>
      <c r="L61" s="45">
        <f t="shared" si="0"/>
        <v>9</v>
      </c>
      <c r="M61" s="17">
        <v>1.4833299999999999E-3</v>
      </c>
      <c r="N61" s="46">
        <f t="shared" si="1"/>
        <v>-127.06381296269998</v>
      </c>
      <c r="O61" s="16"/>
      <c r="P61" s="48">
        <f t="shared" si="2"/>
        <v>-4937.4158125000004</v>
      </c>
      <c r="Q61" s="16"/>
      <c r="R61" s="48">
        <f t="shared" si="3"/>
        <v>-214.71810090625002</v>
      </c>
      <c r="S61" s="14"/>
    </row>
    <row r="62" spans="1:19">
      <c r="A62" s="18" t="s">
        <v>17</v>
      </c>
      <c r="B62" s="15" t="s">
        <v>248</v>
      </c>
      <c r="C62" s="15" t="s">
        <v>249</v>
      </c>
      <c r="D62" s="14" t="s">
        <v>250</v>
      </c>
      <c r="E62" s="15" t="s">
        <v>62</v>
      </c>
      <c r="F62" s="14" t="s">
        <v>22</v>
      </c>
      <c r="G62" s="15" t="s">
        <v>23</v>
      </c>
      <c r="H62" s="15" t="s">
        <v>1525</v>
      </c>
      <c r="I62" s="15">
        <v>201409</v>
      </c>
      <c r="J62" s="16">
        <v>-0.82</v>
      </c>
      <c r="K62" s="44">
        <f t="shared" si="4"/>
        <v>41883</v>
      </c>
      <c r="L62" s="45">
        <f t="shared" si="0"/>
        <v>9</v>
      </c>
      <c r="M62" s="17">
        <v>1.4833299999999999E-3</v>
      </c>
      <c r="N62" s="46">
        <f t="shared" si="1"/>
        <v>-1.09469754E-2</v>
      </c>
      <c r="O62" s="16"/>
      <c r="P62" s="48">
        <f t="shared" si="2"/>
        <v>-0.425375</v>
      </c>
      <c r="Q62" s="16"/>
      <c r="R62" s="48">
        <f t="shared" si="3"/>
        <v>-1.84986875E-2</v>
      </c>
      <c r="S62" s="14"/>
    </row>
    <row r="63" spans="1:19">
      <c r="A63" s="18" t="s">
        <v>17</v>
      </c>
      <c r="B63" s="15" t="s">
        <v>251</v>
      </c>
      <c r="C63" s="15" t="s">
        <v>249</v>
      </c>
      <c r="D63" s="14" t="s">
        <v>250</v>
      </c>
      <c r="E63" s="15" t="s">
        <v>62</v>
      </c>
      <c r="F63" s="14" t="s">
        <v>22</v>
      </c>
      <c r="G63" s="15" t="s">
        <v>23</v>
      </c>
      <c r="H63" s="15" t="s">
        <v>1525</v>
      </c>
      <c r="I63" s="15">
        <v>201409</v>
      </c>
      <c r="J63" s="16">
        <v>-735.35</v>
      </c>
      <c r="K63" s="44">
        <f t="shared" si="4"/>
        <v>41883</v>
      </c>
      <c r="L63" s="45">
        <f t="shared" si="0"/>
        <v>9</v>
      </c>
      <c r="M63" s="17">
        <v>1.4833299999999999E-3</v>
      </c>
      <c r="N63" s="46">
        <f t="shared" si="1"/>
        <v>-9.8169004394999995</v>
      </c>
      <c r="O63" s="16"/>
      <c r="P63" s="48">
        <f t="shared" si="2"/>
        <v>-381.46281250000004</v>
      </c>
      <c r="Q63" s="16"/>
      <c r="R63" s="48">
        <f t="shared" si="3"/>
        <v>-16.589036406250003</v>
      </c>
      <c r="S63" s="14"/>
    </row>
    <row r="64" spans="1:19">
      <c r="A64" s="18" t="s">
        <v>17</v>
      </c>
      <c r="B64" s="15" t="s">
        <v>252</v>
      </c>
      <c r="C64" s="15" t="s">
        <v>253</v>
      </c>
      <c r="D64" s="14" t="s">
        <v>254</v>
      </c>
      <c r="E64" s="15" t="s">
        <v>141</v>
      </c>
      <c r="F64" s="14" t="s">
        <v>142</v>
      </c>
      <c r="G64" s="15" t="s">
        <v>23</v>
      </c>
      <c r="H64" s="15" t="s">
        <v>1525</v>
      </c>
      <c r="I64" s="15">
        <v>201409</v>
      </c>
      <c r="J64" s="16">
        <v>-226.18</v>
      </c>
      <c r="K64" s="44">
        <f t="shared" si="4"/>
        <v>41883</v>
      </c>
      <c r="L64" s="45">
        <f t="shared" si="0"/>
        <v>9</v>
      </c>
      <c r="M64" s="17">
        <v>1.4833299999999999E-3</v>
      </c>
      <c r="N64" s="46">
        <f t="shared" si="1"/>
        <v>-3.0194962145999997</v>
      </c>
      <c r="O64" s="16"/>
      <c r="P64" s="48">
        <f t="shared" si="2"/>
        <v>-117.33087500000002</v>
      </c>
      <c r="Q64" s="16"/>
      <c r="R64" s="48">
        <f t="shared" si="3"/>
        <v>-5.1024794375000004</v>
      </c>
      <c r="S64" s="14"/>
    </row>
    <row r="65" spans="1:19">
      <c r="A65" s="18" t="s">
        <v>17</v>
      </c>
      <c r="B65" s="15" t="s">
        <v>255</v>
      </c>
      <c r="C65" s="15" t="s">
        <v>256</v>
      </c>
      <c r="D65" s="14" t="s">
        <v>257</v>
      </c>
      <c r="E65" s="15" t="s">
        <v>258</v>
      </c>
      <c r="F65" s="14" t="s">
        <v>259</v>
      </c>
      <c r="G65" s="15" t="s">
        <v>23</v>
      </c>
      <c r="H65" s="15" t="s">
        <v>1525</v>
      </c>
      <c r="I65" s="15">
        <v>201409</v>
      </c>
      <c r="J65" s="16">
        <v>-257.27</v>
      </c>
      <c r="K65" s="44">
        <f t="shared" si="4"/>
        <v>41883</v>
      </c>
      <c r="L65" s="45">
        <f t="shared" si="0"/>
        <v>9</v>
      </c>
      <c r="M65" s="17">
        <v>1.4833299999999999E-3</v>
      </c>
      <c r="N65" s="46">
        <f t="shared" si="1"/>
        <v>-3.4345467818999995</v>
      </c>
      <c r="O65" s="16"/>
      <c r="P65" s="48">
        <f t="shared" si="2"/>
        <v>-133.45881249999999</v>
      </c>
      <c r="Q65" s="16"/>
      <c r="R65" s="48">
        <f t="shared" si="3"/>
        <v>-5.8038504062499996</v>
      </c>
      <c r="S65" s="14"/>
    </row>
    <row r="66" spans="1:19">
      <c r="A66" s="18" t="s">
        <v>17</v>
      </c>
      <c r="B66" s="15" t="s">
        <v>260</v>
      </c>
      <c r="C66" s="15" t="s">
        <v>261</v>
      </c>
      <c r="D66" s="14" t="s">
        <v>262</v>
      </c>
      <c r="E66" s="15" t="s">
        <v>258</v>
      </c>
      <c r="F66" s="14" t="s">
        <v>259</v>
      </c>
      <c r="G66" s="15" t="s">
        <v>23</v>
      </c>
      <c r="H66" s="15" t="s">
        <v>1525</v>
      </c>
      <c r="I66" s="15">
        <v>201409</v>
      </c>
      <c r="J66" s="16">
        <v>-264.56</v>
      </c>
      <c r="K66" s="44">
        <f t="shared" si="4"/>
        <v>41883</v>
      </c>
      <c r="L66" s="45">
        <f t="shared" si="0"/>
        <v>9</v>
      </c>
      <c r="M66" s="17">
        <v>1.4833299999999999E-3</v>
      </c>
      <c r="N66" s="46">
        <f t="shared" si="1"/>
        <v>-3.5318680631999997</v>
      </c>
      <c r="O66" s="16"/>
      <c r="P66" s="48">
        <f t="shared" si="2"/>
        <v>-137.24050000000003</v>
      </c>
      <c r="Q66" s="16"/>
      <c r="R66" s="48">
        <f t="shared" si="3"/>
        <v>-5.9683082500000006</v>
      </c>
      <c r="S66" s="14"/>
    </row>
    <row r="67" spans="1:19">
      <c r="A67" s="14" t="s">
        <v>17</v>
      </c>
      <c r="B67" s="15" t="s">
        <v>263</v>
      </c>
      <c r="C67" s="15" t="s">
        <v>264</v>
      </c>
      <c r="D67" s="14" t="s">
        <v>265</v>
      </c>
      <c r="E67" s="15" t="s">
        <v>62</v>
      </c>
      <c r="F67" s="14" t="s">
        <v>22</v>
      </c>
      <c r="G67" s="15" t="s">
        <v>23</v>
      </c>
      <c r="H67" s="15" t="s">
        <v>1525</v>
      </c>
      <c r="I67" s="15">
        <v>201409</v>
      </c>
      <c r="J67" s="16">
        <v>-405.55</v>
      </c>
      <c r="K67" s="44">
        <f t="shared" si="4"/>
        <v>41883</v>
      </c>
      <c r="L67" s="45">
        <f t="shared" si="0"/>
        <v>9</v>
      </c>
      <c r="M67" s="17">
        <v>1.4833299999999999E-3</v>
      </c>
      <c r="N67" s="46">
        <f t="shared" si="1"/>
        <v>-5.4140803334999994</v>
      </c>
      <c r="O67" s="16"/>
      <c r="P67" s="48">
        <f t="shared" si="2"/>
        <v>-210.37906250000003</v>
      </c>
      <c r="Q67" s="16"/>
      <c r="R67" s="48">
        <f t="shared" si="3"/>
        <v>-9.1489545312500002</v>
      </c>
      <c r="S67" s="14"/>
    </row>
    <row r="68" spans="1:19">
      <c r="A68" s="14" t="s">
        <v>17</v>
      </c>
      <c r="B68" s="15" t="s">
        <v>266</v>
      </c>
      <c r="C68" s="15" t="s">
        <v>267</v>
      </c>
      <c r="D68" s="14" t="s">
        <v>268</v>
      </c>
      <c r="E68" s="15" t="s">
        <v>104</v>
      </c>
      <c r="F68" s="14" t="s">
        <v>41</v>
      </c>
      <c r="G68" s="15" t="s">
        <v>23</v>
      </c>
      <c r="H68" s="15" t="s">
        <v>1526</v>
      </c>
      <c r="I68" s="15">
        <v>201409</v>
      </c>
      <c r="J68" s="16">
        <v>3</v>
      </c>
      <c r="K68" s="44">
        <f t="shared" si="4"/>
        <v>41883</v>
      </c>
      <c r="L68" s="45">
        <f t="shared" si="0"/>
        <v>9</v>
      </c>
      <c r="M68" s="17">
        <v>1.4833299999999999E-3</v>
      </c>
      <c r="N68" s="46">
        <f t="shared" si="1"/>
        <v>4.0049909999999994E-2</v>
      </c>
      <c r="O68" s="16"/>
      <c r="P68" s="48">
        <f t="shared" si="2"/>
        <v>1.5562500000000001</v>
      </c>
      <c r="Q68" s="16"/>
      <c r="R68" s="48">
        <f t="shared" si="3"/>
        <v>6.7678125000000006E-2</v>
      </c>
      <c r="S68" s="14"/>
    </row>
    <row r="69" spans="1:19">
      <c r="A69" s="14" t="s">
        <v>17</v>
      </c>
      <c r="B69" s="15" t="s">
        <v>269</v>
      </c>
      <c r="C69" s="15" t="s">
        <v>270</v>
      </c>
      <c r="D69" s="14" t="s">
        <v>271</v>
      </c>
      <c r="E69" s="15" t="s">
        <v>62</v>
      </c>
      <c r="F69" s="14" t="s">
        <v>22</v>
      </c>
      <c r="G69" s="15" t="s">
        <v>23</v>
      </c>
      <c r="H69" s="15" t="s">
        <v>1525</v>
      </c>
      <c r="I69" s="15">
        <v>201409</v>
      </c>
      <c r="J69" s="16">
        <v>0.82</v>
      </c>
      <c r="K69" s="44">
        <f t="shared" si="4"/>
        <v>41883</v>
      </c>
      <c r="L69" s="45">
        <f t="shared" si="0"/>
        <v>9</v>
      </c>
      <c r="M69" s="17">
        <v>1.4833299999999999E-3</v>
      </c>
      <c r="N69" s="46">
        <f t="shared" si="1"/>
        <v>1.09469754E-2</v>
      </c>
      <c r="O69" s="16"/>
      <c r="P69" s="48">
        <f t="shared" si="2"/>
        <v>0.425375</v>
      </c>
      <c r="Q69" s="16"/>
      <c r="R69" s="48">
        <f t="shared" si="3"/>
        <v>1.84986875E-2</v>
      </c>
      <c r="S69" s="14"/>
    </row>
    <row r="70" spans="1:19">
      <c r="A70" s="14" t="s">
        <v>17</v>
      </c>
      <c r="B70" s="15" t="s">
        <v>272</v>
      </c>
      <c r="C70" s="15" t="s">
        <v>273</v>
      </c>
      <c r="D70" s="14" t="s">
        <v>274</v>
      </c>
      <c r="E70" s="15" t="s">
        <v>36</v>
      </c>
      <c r="F70" s="14" t="s">
        <v>22</v>
      </c>
      <c r="G70" s="15" t="s">
        <v>23</v>
      </c>
      <c r="H70" s="15" t="s">
        <v>1525</v>
      </c>
      <c r="I70" s="15">
        <v>201409</v>
      </c>
      <c r="J70" s="16">
        <v>-319.74</v>
      </c>
      <c r="K70" s="44">
        <f t="shared" si="4"/>
        <v>41883</v>
      </c>
      <c r="L70" s="45">
        <f t="shared" ref="L70:L133" si="5">((YEAR($L$1)-YEAR(K70))*12+MONTH($L$1)-MONTH(K70))</f>
        <v>9</v>
      </c>
      <c r="M70" s="17">
        <v>1.4833299999999999E-3</v>
      </c>
      <c r="N70" s="46">
        <f t="shared" ref="N70:N133" si="6">M70*L70*J70</f>
        <v>-4.2685194077999995</v>
      </c>
      <c r="O70" s="16"/>
      <c r="P70" s="48">
        <f t="shared" ref="P70:P133" si="7">$P$4*J70</f>
        <v>-165.86512500000001</v>
      </c>
      <c r="Q70" s="16"/>
      <c r="R70" s="48">
        <f t="shared" ref="R70:R133" si="8">$R$4*J70*$U$9</f>
        <v>-7.2131345625000005</v>
      </c>
      <c r="S70" s="14"/>
    </row>
    <row r="71" spans="1:19">
      <c r="A71" s="14" t="s">
        <v>17</v>
      </c>
      <c r="B71" s="15" t="s">
        <v>275</v>
      </c>
      <c r="C71" s="15" t="s">
        <v>276</v>
      </c>
      <c r="D71" s="14" t="s">
        <v>277</v>
      </c>
      <c r="E71" s="15" t="s">
        <v>40</v>
      </c>
      <c r="F71" s="14" t="s">
        <v>41</v>
      </c>
      <c r="G71" s="15" t="s">
        <v>23</v>
      </c>
      <c r="H71" s="15" t="s">
        <v>1526</v>
      </c>
      <c r="I71" s="15">
        <v>201409</v>
      </c>
      <c r="J71" s="16">
        <v>-955.41</v>
      </c>
      <c r="K71" s="44">
        <f t="shared" ref="K71:K87" si="9">+K70</f>
        <v>41883</v>
      </c>
      <c r="L71" s="45">
        <f t="shared" si="5"/>
        <v>9</v>
      </c>
      <c r="M71" s="17">
        <v>1.4833299999999999E-3</v>
      </c>
      <c r="N71" s="46">
        <f t="shared" si="6"/>
        <v>-12.754694837699999</v>
      </c>
      <c r="O71" s="16"/>
      <c r="P71" s="48">
        <f t="shared" si="7"/>
        <v>-495.61893750000002</v>
      </c>
      <c r="Q71" s="16"/>
      <c r="R71" s="48">
        <f t="shared" si="8"/>
        <v>-21.553452468750002</v>
      </c>
      <c r="S71" s="14"/>
    </row>
    <row r="72" spans="1:19">
      <c r="A72" s="14" t="s">
        <v>54</v>
      </c>
      <c r="B72" s="15" t="s">
        <v>275</v>
      </c>
      <c r="C72" s="15" t="s">
        <v>276</v>
      </c>
      <c r="D72" s="14" t="s">
        <v>277</v>
      </c>
      <c r="E72" s="15" t="s">
        <v>40</v>
      </c>
      <c r="F72" s="14" t="s">
        <v>41</v>
      </c>
      <c r="G72" s="15" t="s">
        <v>23</v>
      </c>
      <c r="H72" s="15" t="s">
        <v>1526</v>
      </c>
      <c r="I72" s="15">
        <v>201409</v>
      </c>
      <c r="J72" s="16">
        <v>-211.86</v>
      </c>
      <c r="K72" s="44">
        <f t="shared" si="9"/>
        <v>41883</v>
      </c>
      <c r="L72" s="45">
        <f t="shared" si="5"/>
        <v>9</v>
      </c>
      <c r="M72" s="17">
        <v>1.4833299999999999E-3</v>
      </c>
      <c r="N72" s="46">
        <f t="shared" si="6"/>
        <v>-2.8283246441999998</v>
      </c>
      <c r="O72" s="16"/>
      <c r="P72" s="48">
        <f t="shared" si="7"/>
        <v>-109.90237500000002</v>
      </c>
      <c r="Q72" s="16"/>
      <c r="R72" s="48">
        <f t="shared" si="8"/>
        <v>-4.7794291875000008</v>
      </c>
      <c r="S72" s="14"/>
    </row>
    <row r="73" spans="1:19">
      <c r="A73" s="14" t="s">
        <v>17</v>
      </c>
      <c r="B73" s="15" t="s">
        <v>278</v>
      </c>
      <c r="C73" s="15" t="s">
        <v>279</v>
      </c>
      <c r="D73" s="14" t="s">
        <v>280</v>
      </c>
      <c r="E73" s="15" t="s">
        <v>104</v>
      </c>
      <c r="F73" s="14" t="s">
        <v>41</v>
      </c>
      <c r="G73" s="15" t="s">
        <v>23</v>
      </c>
      <c r="H73" s="15" t="s">
        <v>1526</v>
      </c>
      <c r="I73" s="15">
        <v>201409</v>
      </c>
      <c r="J73" s="16">
        <v>-53.52</v>
      </c>
      <c r="K73" s="44">
        <f t="shared" si="9"/>
        <v>41883</v>
      </c>
      <c r="L73" s="45">
        <f t="shared" si="5"/>
        <v>9</v>
      </c>
      <c r="M73" s="17">
        <v>1.4833299999999999E-3</v>
      </c>
      <c r="N73" s="46">
        <f t="shared" si="6"/>
        <v>-0.71449039439999995</v>
      </c>
      <c r="O73" s="16"/>
      <c r="P73" s="48">
        <f t="shared" si="7"/>
        <v>-27.763500000000004</v>
      </c>
      <c r="Q73" s="16"/>
      <c r="R73" s="48">
        <f t="shared" si="8"/>
        <v>-1.2073777500000002</v>
      </c>
      <c r="S73" s="14"/>
    </row>
    <row r="74" spans="1:19">
      <c r="A74" s="14" t="s">
        <v>17</v>
      </c>
      <c r="B74" s="15" t="s">
        <v>281</v>
      </c>
      <c r="C74" s="15" t="s">
        <v>282</v>
      </c>
      <c r="D74" s="14" t="s">
        <v>283</v>
      </c>
      <c r="E74" s="15" t="s">
        <v>40</v>
      </c>
      <c r="F74" s="14" t="s">
        <v>41</v>
      </c>
      <c r="G74" s="15" t="s">
        <v>23</v>
      </c>
      <c r="H74" s="15" t="s">
        <v>1526</v>
      </c>
      <c r="I74" s="15">
        <v>201409</v>
      </c>
      <c r="J74" s="16">
        <v>-3433.06</v>
      </c>
      <c r="K74" s="44">
        <f t="shared" si="9"/>
        <v>41883</v>
      </c>
      <c r="L74" s="45">
        <f t="shared" si="5"/>
        <v>9</v>
      </c>
      <c r="M74" s="17">
        <v>1.4833299999999999E-3</v>
      </c>
      <c r="N74" s="46">
        <f t="shared" si="6"/>
        <v>-45.831248008199999</v>
      </c>
      <c r="O74" s="16"/>
      <c r="P74" s="48">
        <f t="shared" si="7"/>
        <v>-1780.8998750000001</v>
      </c>
      <c r="Q74" s="16"/>
      <c r="R74" s="48">
        <f t="shared" si="8"/>
        <v>-77.447687937500007</v>
      </c>
      <c r="S74" s="14"/>
    </row>
    <row r="75" spans="1:19">
      <c r="A75" s="14" t="s">
        <v>17</v>
      </c>
      <c r="B75" s="15" t="s">
        <v>287</v>
      </c>
      <c r="C75" s="15" t="s">
        <v>288</v>
      </c>
      <c r="D75" s="14" t="s">
        <v>289</v>
      </c>
      <c r="E75" s="15" t="s">
        <v>21</v>
      </c>
      <c r="F75" s="14" t="s">
        <v>22</v>
      </c>
      <c r="G75" s="15" t="s">
        <v>23</v>
      </c>
      <c r="H75" s="15" t="s">
        <v>1525</v>
      </c>
      <c r="I75" s="15">
        <v>201409</v>
      </c>
      <c r="J75" s="16">
        <v>-258.58</v>
      </c>
      <c r="K75" s="44">
        <f t="shared" si="9"/>
        <v>41883</v>
      </c>
      <c r="L75" s="45">
        <f t="shared" si="5"/>
        <v>9</v>
      </c>
      <c r="M75" s="17">
        <v>1.4833299999999999E-3</v>
      </c>
      <c r="N75" s="46">
        <f t="shared" si="6"/>
        <v>-3.4520352425999996</v>
      </c>
      <c r="O75" s="16"/>
      <c r="P75" s="48">
        <f t="shared" si="7"/>
        <v>-134.138375</v>
      </c>
      <c r="Q75" s="16"/>
      <c r="R75" s="48">
        <f t="shared" si="8"/>
        <v>-5.8334031875000001</v>
      </c>
      <c r="S75" s="14"/>
    </row>
    <row r="76" spans="1:19">
      <c r="A76" s="14" t="s">
        <v>17</v>
      </c>
      <c r="B76" s="15" t="s">
        <v>290</v>
      </c>
      <c r="C76" s="15" t="s">
        <v>291</v>
      </c>
      <c r="D76" s="14" t="s">
        <v>292</v>
      </c>
      <c r="E76" s="15" t="s">
        <v>62</v>
      </c>
      <c r="F76" s="14" t="s">
        <v>22</v>
      </c>
      <c r="G76" s="15" t="s">
        <v>23</v>
      </c>
      <c r="H76" s="15" t="s">
        <v>1525</v>
      </c>
      <c r="I76" s="15">
        <v>201409</v>
      </c>
      <c r="J76" s="16">
        <v>-309.68</v>
      </c>
      <c r="K76" s="44">
        <f t="shared" si="9"/>
        <v>41883</v>
      </c>
      <c r="L76" s="45">
        <f t="shared" si="5"/>
        <v>9</v>
      </c>
      <c r="M76" s="17">
        <v>1.4833299999999999E-3</v>
      </c>
      <c r="N76" s="46">
        <f t="shared" si="6"/>
        <v>-4.1342187095999998</v>
      </c>
      <c r="O76" s="16"/>
      <c r="P76" s="48">
        <f t="shared" si="7"/>
        <v>-160.6465</v>
      </c>
      <c r="Q76" s="16"/>
      <c r="R76" s="48">
        <f t="shared" si="8"/>
        <v>-6.9861872500000013</v>
      </c>
      <c r="S76" s="14"/>
    </row>
    <row r="77" spans="1:19">
      <c r="A77" s="14" t="s">
        <v>17</v>
      </c>
      <c r="B77" s="15" t="s">
        <v>293</v>
      </c>
      <c r="C77" s="15" t="s">
        <v>294</v>
      </c>
      <c r="D77" s="14" t="s">
        <v>295</v>
      </c>
      <c r="E77" s="15" t="s">
        <v>296</v>
      </c>
      <c r="F77" s="14" t="s">
        <v>28</v>
      </c>
      <c r="G77" s="15" t="s">
        <v>23</v>
      </c>
      <c r="H77" s="15" t="s">
        <v>1525</v>
      </c>
      <c r="I77" s="15">
        <v>201409</v>
      </c>
      <c r="J77" s="16">
        <v>-79.17</v>
      </c>
      <c r="K77" s="44">
        <f t="shared" si="9"/>
        <v>41883</v>
      </c>
      <c r="L77" s="45">
        <f t="shared" si="5"/>
        <v>9</v>
      </c>
      <c r="M77" s="17">
        <v>1.4833299999999999E-3</v>
      </c>
      <c r="N77" s="46">
        <f t="shared" si="6"/>
        <v>-1.0569171249</v>
      </c>
      <c r="O77" s="16"/>
      <c r="P77" s="48">
        <f t="shared" si="7"/>
        <v>-41.069437500000006</v>
      </c>
      <c r="Q77" s="16"/>
      <c r="R77" s="48">
        <f t="shared" si="8"/>
        <v>-1.7860257187499999</v>
      </c>
      <c r="S77" s="14"/>
    </row>
    <row r="78" spans="1:19">
      <c r="A78" s="14" t="s">
        <v>17</v>
      </c>
      <c r="B78" s="15" t="s">
        <v>297</v>
      </c>
      <c r="C78" s="15" t="s">
        <v>298</v>
      </c>
      <c r="D78" s="14" t="s">
        <v>299</v>
      </c>
      <c r="E78" s="15" t="s">
        <v>21</v>
      </c>
      <c r="F78" s="14" t="s">
        <v>22</v>
      </c>
      <c r="G78" s="15" t="s">
        <v>23</v>
      </c>
      <c r="H78" s="15" t="s">
        <v>1525</v>
      </c>
      <c r="I78" s="15">
        <v>201409</v>
      </c>
      <c r="J78" s="16">
        <v>-1027.9100000000001</v>
      </c>
      <c r="K78" s="44">
        <f t="shared" si="9"/>
        <v>41883</v>
      </c>
      <c r="L78" s="45">
        <f t="shared" si="5"/>
        <v>9</v>
      </c>
      <c r="M78" s="17">
        <v>1.4833299999999999E-3</v>
      </c>
      <c r="N78" s="46">
        <f t="shared" si="6"/>
        <v>-13.7225676627</v>
      </c>
      <c r="O78" s="16"/>
      <c r="P78" s="48">
        <f t="shared" si="7"/>
        <v>-533.22831250000013</v>
      </c>
      <c r="Q78" s="16"/>
      <c r="R78" s="48">
        <f t="shared" si="8"/>
        <v>-23.189007156250003</v>
      </c>
      <c r="S78" s="14"/>
    </row>
    <row r="79" spans="1:19">
      <c r="A79" s="14" t="s">
        <v>17</v>
      </c>
      <c r="B79" s="15" t="s">
        <v>300</v>
      </c>
      <c r="C79" s="15" t="s">
        <v>301</v>
      </c>
      <c r="D79" s="14" t="s">
        <v>302</v>
      </c>
      <c r="E79" s="15" t="s">
        <v>141</v>
      </c>
      <c r="F79" s="14" t="s">
        <v>142</v>
      </c>
      <c r="G79" s="15" t="s">
        <v>23</v>
      </c>
      <c r="H79" s="15" t="s">
        <v>1525</v>
      </c>
      <c r="I79" s="15">
        <v>201409</v>
      </c>
      <c r="J79" s="16">
        <v>-683.05</v>
      </c>
      <c r="K79" s="44">
        <f t="shared" si="9"/>
        <v>41883</v>
      </c>
      <c r="L79" s="45">
        <f t="shared" si="5"/>
        <v>9</v>
      </c>
      <c r="M79" s="17">
        <v>1.4833299999999999E-3</v>
      </c>
      <c r="N79" s="46">
        <f t="shared" si="6"/>
        <v>-9.1186970084999981</v>
      </c>
      <c r="O79" s="16"/>
      <c r="P79" s="48">
        <f t="shared" si="7"/>
        <v>-354.33218750000003</v>
      </c>
      <c r="Q79" s="16"/>
      <c r="R79" s="48">
        <f t="shared" si="8"/>
        <v>-15.40918109375</v>
      </c>
      <c r="S79" s="14"/>
    </row>
    <row r="80" spans="1:19">
      <c r="A80" s="14" t="s">
        <v>54</v>
      </c>
      <c r="B80" s="15" t="s">
        <v>303</v>
      </c>
      <c r="C80" s="15" t="s">
        <v>304</v>
      </c>
      <c r="D80" s="14" t="s">
        <v>305</v>
      </c>
      <c r="E80" s="15" t="s">
        <v>104</v>
      </c>
      <c r="F80" s="14" t="s">
        <v>41</v>
      </c>
      <c r="G80" s="15" t="s">
        <v>23</v>
      </c>
      <c r="H80" s="15" t="s">
        <v>1526</v>
      </c>
      <c r="I80" s="15">
        <v>201409</v>
      </c>
      <c r="J80" s="16">
        <v>-52.25</v>
      </c>
      <c r="K80" s="44">
        <f t="shared" si="9"/>
        <v>41883</v>
      </c>
      <c r="L80" s="45">
        <f t="shared" si="5"/>
        <v>9</v>
      </c>
      <c r="M80" s="17">
        <v>1.4833299999999999E-3</v>
      </c>
      <c r="N80" s="46">
        <f t="shared" si="6"/>
        <v>-0.69753593250000001</v>
      </c>
      <c r="O80" s="16"/>
      <c r="P80" s="48">
        <f t="shared" si="7"/>
        <v>-27.104687500000001</v>
      </c>
      <c r="Q80" s="16"/>
      <c r="R80" s="48">
        <f t="shared" si="8"/>
        <v>-1.1787273437500001</v>
      </c>
      <c r="S80" s="14"/>
    </row>
    <row r="81" spans="1:19">
      <c r="A81" s="14" t="s">
        <v>54</v>
      </c>
      <c r="B81" s="15" t="s">
        <v>306</v>
      </c>
      <c r="C81" s="15" t="s">
        <v>307</v>
      </c>
      <c r="D81" s="14" t="s">
        <v>308</v>
      </c>
      <c r="E81" s="15" t="s">
        <v>36</v>
      </c>
      <c r="F81" s="14" t="s">
        <v>22</v>
      </c>
      <c r="G81" s="15" t="s">
        <v>23</v>
      </c>
      <c r="H81" s="15" t="s">
        <v>1525</v>
      </c>
      <c r="I81" s="15">
        <v>201409</v>
      </c>
      <c r="J81" s="16">
        <v>-195.22</v>
      </c>
      <c r="K81" s="44">
        <f t="shared" si="9"/>
        <v>41883</v>
      </c>
      <c r="L81" s="45">
        <f t="shared" si="5"/>
        <v>9</v>
      </c>
      <c r="M81" s="17">
        <v>1.4833299999999999E-3</v>
      </c>
      <c r="N81" s="46">
        <f t="shared" si="6"/>
        <v>-2.6061811433999997</v>
      </c>
      <c r="O81" s="16"/>
      <c r="P81" s="48">
        <f t="shared" si="7"/>
        <v>-101.270375</v>
      </c>
      <c r="Q81" s="16"/>
      <c r="R81" s="48">
        <f t="shared" si="8"/>
        <v>-4.4040411874999998</v>
      </c>
      <c r="S81" s="14"/>
    </row>
    <row r="82" spans="1:19">
      <c r="A82" s="14" t="s">
        <v>17</v>
      </c>
      <c r="B82" s="15" t="s">
        <v>312</v>
      </c>
      <c r="C82" s="15" t="s">
        <v>313</v>
      </c>
      <c r="D82" s="14" t="s">
        <v>314</v>
      </c>
      <c r="E82" s="15" t="s">
        <v>176</v>
      </c>
      <c r="F82" s="14" t="s">
        <v>28</v>
      </c>
      <c r="G82" s="15" t="s">
        <v>23</v>
      </c>
      <c r="H82" s="15" t="s">
        <v>1525</v>
      </c>
      <c r="I82" s="15">
        <v>201409</v>
      </c>
      <c r="J82" s="16">
        <v>5.0199999999999996</v>
      </c>
      <c r="K82" s="44">
        <f t="shared" si="9"/>
        <v>41883</v>
      </c>
      <c r="L82" s="45">
        <f t="shared" si="5"/>
        <v>9</v>
      </c>
      <c r="M82" s="17">
        <v>1.4833299999999999E-3</v>
      </c>
      <c r="N82" s="46">
        <f t="shared" si="6"/>
        <v>6.7016849399999995E-2</v>
      </c>
      <c r="O82" s="16"/>
      <c r="P82" s="48">
        <f t="shared" si="7"/>
        <v>2.6041249999999998</v>
      </c>
      <c r="Q82" s="16"/>
      <c r="R82" s="48">
        <f t="shared" si="8"/>
        <v>0.1132480625</v>
      </c>
      <c r="S82" s="14"/>
    </row>
    <row r="83" spans="1:19">
      <c r="A83" s="14" t="s">
        <v>17</v>
      </c>
      <c r="B83" s="15" t="s">
        <v>315</v>
      </c>
      <c r="C83" s="15" t="s">
        <v>316</v>
      </c>
      <c r="D83" s="14" t="s">
        <v>317</v>
      </c>
      <c r="E83" s="15" t="s">
        <v>141</v>
      </c>
      <c r="F83" s="14" t="s">
        <v>142</v>
      </c>
      <c r="G83" s="15" t="s">
        <v>23</v>
      </c>
      <c r="H83" s="15" t="s">
        <v>1525</v>
      </c>
      <c r="I83" s="15">
        <v>201409</v>
      </c>
      <c r="J83" s="16">
        <v>-417.76</v>
      </c>
      <c r="K83" s="44">
        <f t="shared" si="9"/>
        <v>41883</v>
      </c>
      <c r="L83" s="45">
        <f t="shared" si="5"/>
        <v>9</v>
      </c>
      <c r="M83" s="17">
        <v>1.4833299999999999E-3</v>
      </c>
      <c r="N83" s="46">
        <f t="shared" si="6"/>
        <v>-5.5770834671999996</v>
      </c>
      <c r="O83" s="16"/>
      <c r="P83" s="48">
        <f t="shared" si="7"/>
        <v>-216.71300000000002</v>
      </c>
      <c r="Q83" s="16"/>
      <c r="R83" s="48">
        <f t="shared" si="8"/>
        <v>-9.4244044999999996</v>
      </c>
      <c r="S83" s="14"/>
    </row>
    <row r="84" spans="1:19">
      <c r="A84" s="14" t="s">
        <v>17</v>
      </c>
      <c r="B84" s="15" t="s">
        <v>318</v>
      </c>
      <c r="C84" s="15" t="s">
        <v>319</v>
      </c>
      <c r="D84" s="14" t="s">
        <v>320</v>
      </c>
      <c r="E84" s="15" t="s">
        <v>141</v>
      </c>
      <c r="F84" s="14" t="s">
        <v>142</v>
      </c>
      <c r="G84" s="15" t="s">
        <v>23</v>
      </c>
      <c r="H84" s="15" t="s">
        <v>1525</v>
      </c>
      <c r="I84" s="15">
        <v>201409</v>
      </c>
      <c r="J84" s="16">
        <v>-427.59</v>
      </c>
      <c r="K84" s="44">
        <f t="shared" si="9"/>
        <v>41883</v>
      </c>
      <c r="L84" s="45">
        <f t="shared" si="5"/>
        <v>9</v>
      </c>
      <c r="M84" s="17">
        <v>1.4833299999999999E-3</v>
      </c>
      <c r="N84" s="46">
        <f t="shared" si="6"/>
        <v>-5.7083136722999992</v>
      </c>
      <c r="O84" s="16"/>
      <c r="P84" s="48">
        <f t="shared" si="7"/>
        <v>-221.81231250000002</v>
      </c>
      <c r="Q84" s="16"/>
      <c r="R84" s="48">
        <f t="shared" si="8"/>
        <v>-9.646163156250001</v>
      </c>
      <c r="S84" s="14"/>
    </row>
    <row r="85" spans="1:19">
      <c r="A85" s="14" t="s">
        <v>17</v>
      </c>
      <c r="B85" s="15" t="s">
        <v>321</v>
      </c>
      <c r="C85" s="15" t="s">
        <v>322</v>
      </c>
      <c r="D85" s="14" t="s">
        <v>323</v>
      </c>
      <c r="E85" s="15" t="s">
        <v>324</v>
      </c>
      <c r="F85" s="14" t="s">
        <v>325</v>
      </c>
      <c r="G85" s="15" t="s">
        <v>23</v>
      </c>
      <c r="H85" s="15" t="s">
        <v>1525</v>
      </c>
      <c r="I85" s="15">
        <v>201409</v>
      </c>
      <c r="J85" s="16">
        <v>-370.12</v>
      </c>
      <c r="K85" s="44">
        <f t="shared" si="9"/>
        <v>41883</v>
      </c>
      <c r="L85" s="45">
        <f t="shared" si="5"/>
        <v>9</v>
      </c>
      <c r="M85" s="17">
        <v>1.4833299999999999E-3</v>
      </c>
      <c r="N85" s="46">
        <f t="shared" si="6"/>
        <v>-4.9410908963999995</v>
      </c>
      <c r="O85" s="16"/>
      <c r="P85" s="48">
        <f t="shared" si="7"/>
        <v>-191.99975000000001</v>
      </c>
      <c r="Q85" s="16"/>
      <c r="R85" s="48">
        <f t="shared" si="8"/>
        <v>-8.3496758750000009</v>
      </c>
      <c r="S85" s="14"/>
    </row>
    <row r="86" spans="1:19">
      <c r="A86" s="14" t="s">
        <v>54</v>
      </c>
      <c r="B86" s="15" t="s">
        <v>326</v>
      </c>
      <c r="C86" s="15" t="s">
        <v>327</v>
      </c>
      <c r="D86" s="14" t="s">
        <v>328</v>
      </c>
      <c r="E86" s="15" t="s">
        <v>32</v>
      </c>
      <c r="F86" s="14" t="s">
        <v>22</v>
      </c>
      <c r="G86" s="15" t="s">
        <v>23</v>
      </c>
      <c r="H86" s="15" t="s">
        <v>1525</v>
      </c>
      <c r="I86" s="15">
        <v>201409</v>
      </c>
      <c r="J86" s="16">
        <v>-118.82</v>
      </c>
      <c r="K86" s="44">
        <f t="shared" si="9"/>
        <v>41883</v>
      </c>
      <c r="L86" s="45">
        <f t="shared" si="5"/>
        <v>9</v>
      </c>
      <c r="M86" s="17">
        <v>1.4833299999999999E-3</v>
      </c>
      <c r="N86" s="46">
        <f t="shared" si="6"/>
        <v>-1.5862434353999999</v>
      </c>
      <c r="O86" s="16"/>
      <c r="P86" s="48">
        <f t="shared" si="7"/>
        <v>-61.637875000000001</v>
      </c>
      <c r="Q86" s="16"/>
      <c r="R86" s="48">
        <f t="shared" si="8"/>
        <v>-2.6805049375000003</v>
      </c>
      <c r="S86" s="14"/>
    </row>
    <row r="87" spans="1:19">
      <c r="A87" s="14" t="s">
        <v>17</v>
      </c>
      <c r="B87" s="15" t="s">
        <v>329</v>
      </c>
      <c r="C87" s="15" t="s">
        <v>330</v>
      </c>
      <c r="D87" s="14" t="s">
        <v>331</v>
      </c>
      <c r="E87" s="15" t="s">
        <v>108</v>
      </c>
      <c r="F87" s="14" t="s">
        <v>28</v>
      </c>
      <c r="G87" s="15" t="s">
        <v>23</v>
      </c>
      <c r="H87" s="15" t="s">
        <v>1525</v>
      </c>
      <c r="I87" s="15">
        <v>201409</v>
      </c>
      <c r="J87" s="16">
        <v>5.61</v>
      </c>
      <c r="K87" s="44">
        <f t="shared" si="9"/>
        <v>41883</v>
      </c>
      <c r="L87" s="45">
        <f t="shared" si="5"/>
        <v>9</v>
      </c>
      <c r="M87" s="17">
        <v>1.4833299999999999E-3</v>
      </c>
      <c r="N87" s="46">
        <f t="shared" si="6"/>
        <v>7.4893331699999996E-2</v>
      </c>
      <c r="O87" s="16"/>
      <c r="P87" s="48">
        <f t="shared" si="7"/>
        <v>2.9101875000000006</v>
      </c>
      <c r="Q87" s="16"/>
      <c r="R87" s="48">
        <f t="shared" si="8"/>
        <v>0.12655809375000002</v>
      </c>
      <c r="S87" s="14"/>
    </row>
    <row r="88" spans="1:19">
      <c r="A88" s="14" t="s">
        <v>54</v>
      </c>
      <c r="B88" s="15" t="s">
        <v>332</v>
      </c>
      <c r="C88" s="15" t="s">
        <v>333</v>
      </c>
      <c r="D88" s="14" t="s">
        <v>334</v>
      </c>
      <c r="E88" s="15" t="s">
        <v>36</v>
      </c>
      <c r="F88" s="14" t="s">
        <v>22</v>
      </c>
      <c r="G88" s="15" t="s">
        <v>23</v>
      </c>
      <c r="H88" s="15" t="s">
        <v>1525</v>
      </c>
      <c r="I88" s="15">
        <v>201409</v>
      </c>
      <c r="J88" s="16">
        <v>-149.47999999999999</v>
      </c>
      <c r="K88" s="44">
        <f>+K87</f>
        <v>41883</v>
      </c>
      <c r="L88" s="45">
        <f t="shared" si="5"/>
        <v>9</v>
      </c>
      <c r="M88" s="17">
        <v>1.4833299999999999E-3</v>
      </c>
      <c r="N88" s="46">
        <f t="shared" si="6"/>
        <v>-1.9955535155999997</v>
      </c>
      <c r="O88" s="16"/>
      <c r="P88" s="48">
        <f t="shared" si="7"/>
        <v>-77.542749999999998</v>
      </c>
      <c r="Q88" s="16"/>
      <c r="R88" s="48">
        <f t="shared" si="8"/>
        <v>-3.3721753749999999</v>
      </c>
      <c r="S88" s="14"/>
    </row>
    <row r="89" spans="1:19">
      <c r="A89" s="14" t="s">
        <v>17</v>
      </c>
      <c r="B89" s="15" t="s">
        <v>335</v>
      </c>
      <c r="C89" s="15" t="s">
        <v>336</v>
      </c>
      <c r="D89" s="14" t="s">
        <v>337</v>
      </c>
      <c r="E89" s="15" t="s">
        <v>62</v>
      </c>
      <c r="F89" s="14" t="s">
        <v>22</v>
      </c>
      <c r="G89" s="15" t="s">
        <v>23</v>
      </c>
      <c r="H89" s="15" t="s">
        <v>1525</v>
      </c>
      <c r="I89" s="15">
        <v>201409</v>
      </c>
      <c r="J89" s="16">
        <v>-2164.7800000000002</v>
      </c>
      <c r="K89" s="44">
        <f t="shared" ref="K89:K152" si="10">+K88</f>
        <v>41883</v>
      </c>
      <c r="L89" s="45">
        <f t="shared" si="5"/>
        <v>9</v>
      </c>
      <c r="M89" s="17">
        <v>1.4833299999999999E-3</v>
      </c>
      <c r="N89" s="46">
        <f t="shared" si="6"/>
        <v>-28.8997480566</v>
      </c>
      <c r="O89" s="16"/>
      <c r="P89" s="48">
        <f t="shared" si="7"/>
        <v>-1122.9796250000002</v>
      </c>
      <c r="Q89" s="16"/>
      <c r="R89" s="48">
        <f t="shared" si="8"/>
        <v>-48.836083812500007</v>
      </c>
      <c r="S89" s="14"/>
    </row>
    <row r="90" spans="1:19">
      <c r="A90" s="14" t="s">
        <v>17</v>
      </c>
      <c r="B90" s="15" t="s">
        <v>338</v>
      </c>
      <c r="C90" s="15" t="s">
        <v>339</v>
      </c>
      <c r="D90" s="14" t="s">
        <v>340</v>
      </c>
      <c r="E90" s="15" t="s">
        <v>62</v>
      </c>
      <c r="F90" s="14" t="s">
        <v>22</v>
      </c>
      <c r="G90" s="15" t="s">
        <v>23</v>
      </c>
      <c r="H90" s="15" t="s">
        <v>1525</v>
      </c>
      <c r="I90" s="15">
        <v>201409</v>
      </c>
      <c r="J90" s="16">
        <v>-1152.29</v>
      </c>
      <c r="K90" s="44">
        <f t="shared" si="10"/>
        <v>41883</v>
      </c>
      <c r="L90" s="45">
        <f t="shared" si="5"/>
        <v>9</v>
      </c>
      <c r="M90" s="17">
        <v>1.4833299999999999E-3</v>
      </c>
      <c r="N90" s="46">
        <f t="shared" si="6"/>
        <v>-15.383036931299998</v>
      </c>
      <c r="O90" s="16"/>
      <c r="P90" s="48">
        <f t="shared" si="7"/>
        <v>-597.75043750000009</v>
      </c>
      <c r="Q90" s="16"/>
      <c r="R90" s="48">
        <f t="shared" si="8"/>
        <v>-25.994942218750001</v>
      </c>
      <c r="S90" s="14"/>
    </row>
    <row r="91" spans="1:19">
      <c r="A91" s="14" t="s">
        <v>164</v>
      </c>
      <c r="B91" s="15" t="s">
        <v>341</v>
      </c>
      <c r="C91" s="15" t="s">
        <v>342</v>
      </c>
      <c r="D91" s="14" t="s">
        <v>343</v>
      </c>
      <c r="E91" s="15" t="s">
        <v>168</v>
      </c>
      <c r="F91" s="14" t="s">
        <v>169</v>
      </c>
      <c r="G91" s="15" t="s">
        <v>23</v>
      </c>
      <c r="H91" s="15" t="s">
        <v>1528</v>
      </c>
      <c r="I91" s="15">
        <v>201409</v>
      </c>
      <c r="J91" s="16">
        <v>-787.04</v>
      </c>
      <c r="K91" s="44">
        <f t="shared" si="10"/>
        <v>41883</v>
      </c>
      <c r="L91" s="45">
        <f t="shared" si="5"/>
        <v>9</v>
      </c>
      <c r="M91" s="17">
        <v>2.1916700000000002E-3</v>
      </c>
      <c r="N91" s="46">
        <f t="shared" si="6"/>
        <v>-15.5243876112</v>
      </c>
      <c r="O91" s="16"/>
      <c r="P91" s="48">
        <f t="shared" si="7"/>
        <v>-408.27700000000004</v>
      </c>
      <c r="Q91" s="16"/>
      <c r="R91" s="48">
        <f t="shared" si="8"/>
        <v>-17.7551305</v>
      </c>
      <c r="S91" s="14"/>
    </row>
    <row r="92" spans="1:19">
      <c r="A92" s="14" t="s">
        <v>17</v>
      </c>
      <c r="B92" s="15" t="s">
        <v>344</v>
      </c>
      <c r="C92" s="15" t="s">
        <v>345</v>
      </c>
      <c r="D92" s="14" t="s">
        <v>346</v>
      </c>
      <c r="E92" s="15" t="s">
        <v>53</v>
      </c>
      <c r="F92" s="14" t="s">
        <v>41</v>
      </c>
      <c r="G92" s="15" t="s">
        <v>23</v>
      </c>
      <c r="H92" s="15" t="s">
        <v>1526</v>
      </c>
      <c r="I92" s="15">
        <v>201409</v>
      </c>
      <c r="J92" s="16">
        <v>-1802.78</v>
      </c>
      <c r="K92" s="44">
        <f t="shared" si="10"/>
        <v>41883</v>
      </c>
      <c r="L92" s="45">
        <f t="shared" si="5"/>
        <v>9</v>
      </c>
      <c r="M92" s="17">
        <v>1.4833299999999999E-3</v>
      </c>
      <c r="N92" s="46">
        <f t="shared" si="6"/>
        <v>-24.067058916599997</v>
      </c>
      <c r="O92" s="16"/>
      <c r="P92" s="48">
        <f t="shared" si="7"/>
        <v>-935.19212500000003</v>
      </c>
      <c r="Q92" s="16"/>
      <c r="R92" s="48">
        <f t="shared" si="8"/>
        <v>-40.669590062500006</v>
      </c>
      <c r="S92" s="14"/>
    </row>
    <row r="93" spans="1:19">
      <c r="A93" s="14" t="s">
        <v>17</v>
      </c>
      <c r="B93" s="15" t="s">
        <v>347</v>
      </c>
      <c r="C93" s="15" t="s">
        <v>348</v>
      </c>
      <c r="D93" s="14" t="s">
        <v>349</v>
      </c>
      <c r="E93" s="15" t="s">
        <v>324</v>
      </c>
      <c r="F93" s="14" t="s">
        <v>325</v>
      </c>
      <c r="G93" s="15" t="s">
        <v>23</v>
      </c>
      <c r="H93" s="15" t="s">
        <v>1525</v>
      </c>
      <c r="I93" s="15">
        <v>201409</v>
      </c>
      <c r="J93" s="16">
        <v>478.42</v>
      </c>
      <c r="K93" s="44">
        <f t="shared" si="10"/>
        <v>41883</v>
      </c>
      <c r="L93" s="45">
        <f t="shared" si="5"/>
        <v>9</v>
      </c>
      <c r="M93" s="17">
        <v>1.4833299999999999E-3</v>
      </c>
      <c r="N93" s="46">
        <f t="shared" si="6"/>
        <v>6.3868926473999998</v>
      </c>
      <c r="O93" s="16"/>
      <c r="P93" s="48">
        <f t="shared" si="7"/>
        <v>248.18037500000003</v>
      </c>
      <c r="Q93" s="16"/>
      <c r="R93" s="48">
        <f t="shared" si="8"/>
        <v>10.792856187500002</v>
      </c>
      <c r="S93" s="14"/>
    </row>
    <row r="94" spans="1:19">
      <c r="A94" s="14" t="s">
        <v>17</v>
      </c>
      <c r="B94" s="15" t="s">
        <v>350</v>
      </c>
      <c r="C94" s="15" t="s">
        <v>351</v>
      </c>
      <c r="D94" s="14" t="s">
        <v>352</v>
      </c>
      <c r="E94" s="15" t="s">
        <v>108</v>
      </c>
      <c r="F94" s="14" t="s">
        <v>28</v>
      </c>
      <c r="G94" s="15" t="s">
        <v>23</v>
      </c>
      <c r="H94" s="15" t="s">
        <v>1525</v>
      </c>
      <c r="I94" s="15">
        <v>201409</v>
      </c>
      <c r="J94" s="16">
        <v>8.58</v>
      </c>
      <c r="K94" s="44">
        <f t="shared" si="10"/>
        <v>41883</v>
      </c>
      <c r="L94" s="45">
        <f t="shared" si="5"/>
        <v>9</v>
      </c>
      <c r="M94" s="17">
        <v>1.4833299999999999E-3</v>
      </c>
      <c r="N94" s="46">
        <f t="shared" si="6"/>
        <v>0.1145427426</v>
      </c>
      <c r="O94" s="61"/>
      <c r="P94" s="48">
        <f t="shared" si="7"/>
        <v>4.4508750000000008</v>
      </c>
      <c r="Q94" s="61"/>
      <c r="R94" s="48">
        <f t="shared" si="8"/>
        <v>0.19355943749999999</v>
      </c>
      <c r="S94" s="14"/>
    </row>
    <row r="95" spans="1:19">
      <c r="A95" s="14" t="s">
        <v>17</v>
      </c>
      <c r="B95" s="15" t="s">
        <v>353</v>
      </c>
      <c r="C95" s="15" t="s">
        <v>354</v>
      </c>
      <c r="D95" s="14" t="s">
        <v>355</v>
      </c>
      <c r="E95" s="15" t="s">
        <v>62</v>
      </c>
      <c r="F95" s="14" t="s">
        <v>22</v>
      </c>
      <c r="G95" s="15" t="s">
        <v>23</v>
      </c>
      <c r="H95" s="15" t="s">
        <v>1525</v>
      </c>
      <c r="I95" s="15">
        <v>201409</v>
      </c>
      <c r="J95" s="16">
        <v>-1349</v>
      </c>
      <c r="K95" s="44">
        <f t="shared" si="10"/>
        <v>41883</v>
      </c>
      <c r="L95" s="45">
        <f t="shared" si="5"/>
        <v>9</v>
      </c>
      <c r="M95" s="17">
        <v>1.4833299999999999E-3</v>
      </c>
      <c r="N95" s="46">
        <f t="shared" si="6"/>
        <v>-18.00910953</v>
      </c>
      <c r="O95" s="16"/>
      <c r="P95" s="48">
        <f t="shared" si="7"/>
        <v>-699.79375000000005</v>
      </c>
      <c r="Q95" s="16"/>
      <c r="R95" s="48">
        <f t="shared" si="8"/>
        <v>-30.432596875000002</v>
      </c>
      <c r="S95" s="14"/>
    </row>
    <row r="96" spans="1:19">
      <c r="A96" s="14" t="s">
        <v>238</v>
      </c>
      <c r="B96" s="15" t="s">
        <v>356</v>
      </c>
      <c r="C96" s="15" t="s">
        <v>357</v>
      </c>
      <c r="D96" s="14" t="s">
        <v>358</v>
      </c>
      <c r="E96" s="15" t="s">
        <v>168</v>
      </c>
      <c r="F96" s="14" t="s">
        <v>169</v>
      </c>
      <c r="G96" s="15" t="s">
        <v>23</v>
      </c>
      <c r="H96" s="15" t="s">
        <v>1528</v>
      </c>
      <c r="I96" s="15">
        <v>201409</v>
      </c>
      <c r="J96" s="16">
        <v>-2239.5500000000002</v>
      </c>
      <c r="K96" s="44">
        <f t="shared" si="10"/>
        <v>41883</v>
      </c>
      <c r="L96" s="45">
        <f t="shared" si="5"/>
        <v>9</v>
      </c>
      <c r="M96" s="17">
        <v>2.3833299999999999E-3</v>
      </c>
      <c r="N96" s="46">
        <f t="shared" si="6"/>
        <v>-48.038280313500003</v>
      </c>
      <c r="O96" s="16"/>
      <c r="P96" s="48">
        <f t="shared" si="7"/>
        <v>-1161.7665625000002</v>
      </c>
      <c r="Q96" s="16"/>
      <c r="R96" s="48">
        <f t="shared" si="8"/>
        <v>-50.522848281250006</v>
      </c>
      <c r="S96" s="14"/>
    </row>
    <row r="97" spans="1:19">
      <c r="A97" s="14" t="s">
        <v>54</v>
      </c>
      <c r="B97" s="15" t="s">
        <v>359</v>
      </c>
      <c r="C97" s="15" t="s">
        <v>360</v>
      </c>
      <c r="D97" s="14" t="s">
        <v>361</v>
      </c>
      <c r="E97" s="15" t="s">
        <v>362</v>
      </c>
      <c r="F97" s="14" t="s">
        <v>41</v>
      </c>
      <c r="G97" s="15" t="s">
        <v>23</v>
      </c>
      <c r="H97" s="15" t="s">
        <v>1526</v>
      </c>
      <c r="I97" s="15">
        <v>201409</v>
      </c>
      <c r="J97" s="16">
        <v>-2592.5700000000002</v>
      </c>
      <c r="K97" s="44">
        <f t="shared" si="10"/>
        <v>41883</v>
      </c>
      <c r="L97" s="45">
        <f t="shared" si="5"/>
        <v>9</v>
      </c>
      <c r="M97" s="17">
        <v>1.4833299999999999E-3</v>
      </c>
      <c r="N97" s="46">
        <f t="shared" si="6"/>
        <v>-34.610731722899999</v>
      </c>
      <c r="O97" s="16"/>
      <c r="P97" s="48">
        <f t="shared" si="7"/>
        <v>-1344.8956875000001</v>
      </c>
      <c r="Q97" s="16"/>
      <c r="R97" s="48">
        <f t="shared" si="8"/>
        <v>-58.48675884375001</v>
      </c>
      <c r="S97" s="14"/>
    </row>
    <row r="98" spans="1:19">
      <c r="A98" s="14" t="s">
        <v>17</v>
      </c>
      <c r="B98" s="15" t="s">
        <v>363</v>
      </c>
      <c r="C98" s="15" t="s">
        <v>364</v>
      </c>
      <c r="D98" s="14" t="s">
        <v>365</v>
      </c>
      <c r="E98" s="15" t="s">
        <v>21</v>
      </c>
      <c r="F98" s="14" t="s">
        <v>22</v>
      </c>
      <c r="G98" s="15" t="s">
        <v>23</v>
      </c>
      <c r="H98" s="15" t="s">
        <v>1525</v>
      </c>
      <c r="I98" s="15">
        <v>201409</v>
      </c>
      <c r="J98" s="16">
        <v>25.47</v>
      </c>
      <c r="K98" s="44">
        <f t="shared" si="10"/>
        <v>41883</v>
      </c>
      <c r="L98" s="45">
        <f t="shared" si="5"/>
        <v>9</v>
      </c>
      <c r="M98" s="17">
        <v>1.4833299999999999E-3</v>
      </c>
      <c r="N98" s="46">
        <f t="shared" si="6"/>
        <v>0.34002373589999996</v>
      </c>
      <c r="O98" s="16"/>
      <c r="P98" s="48">
        <f t="shared" si="7"/>
        <v>13.212562500000001</v>
      </c>
      <c r="Q98" s="16"/>
      <c r="R98" s="48">
        <f t="shared" si="8"/>
        <v>0.57458728125000003</v>
      </c>
      <c r="S98" s="14"/>
    </row>
    <row r="99" spans="1:19">
      <c r="A99" s="14" t="s">
        <v>66</v>
      </c>
      <c r="B99" s="15" t="s">
        <v>371</v>
      </c>
      <c r="C99" s="15" t="s">
        <v>372</v>
      </c>
      <c r="D99" s="14" t="s">
        <v>88</v>
      </c>
      <c r="E99" s="15" t="s">
        <v>373</v>
      </c>
      <c r="F99" s="14" t="s">
        <v>85</v>
      </c>
      <c r="G99" s="15" t="s">
        <v>23</v>
      </c>
      <c r="H99" s="15" t="s">
        <v>1530</v>
      </c>
      <c r="I99" s="15">
        <v>201409</v>
      </c>
      <c r="J99" s="16">
        <v>47214.32</v>
      </c>
      <c r="K99" s="44">
        <f t="shared" si="10"/>
        <v>41883</v>
      </c>
      <c r="L99" s="45">
        <f t="shared" si="5"/>
        <v>9</v>
      </c>
      <c r="M99" s="17">
        <v>2.23333E-3</v>
      </c>
      <c r="N99" s="46">
        <f t="shared" si="6"/>
        <v>949.00641557039989</v>
      </c>
      <c r="O99" s="16"/>
      <c r="P99" s="48">
        <f t="shared" si="7"/>
        <v>24492.428500000002</v>
      </c>
      <c r="Q99" s="16"/>
      <c r="R99" s="48">
        <f t="shared" si="8"/>
        <v>1065.1255502500001</v>
      </c>
      <c r="S99" s="14"/>
    </row>
    <row r="100" spans="1:19">
      <c r="A100" s="14" t="s">
        <v>66</v>
      </c>
      <c r="B100" s="15" t="s">
        <v>374</v>
      </c>
      <c r="C100" s="15" t="s">
        <v>375</v>
      </c>
      <c r="D100" s="14" t="s">
        <v>376</v>
      </c>
      <c r="E100" s="15" t="s">
        <v>377</v>
      </c>
      <c r="F100" s="14" t="s">
        <v>378</v>
      </c>
      <c r="G100" s="15" t="s">
        <v>23</v>
      </c>
      <c r="H100" s="15" t="s">
        <v>1530</v>
      </c>
      <c r="I100" s="15">
        <v>201409</v>
      </c>
      <c r="J100" s="16">
        <v>23482.38</v>
      </c>
      <c r="K100" s="44">
        <f t="shared" si="10"/>
        <v>41883</v>
      </c>
      <c r="L100" s="45">
        <f t="shared" si="5"/>
        <v>9</v>
      </c>
      <c r="M100" s="17">
        <v>2.23333E-3</v>
      </c>
      <c r="N100" s="46">
        <f t="shared" si="6"/>
        <v>471.99513352859998</v>
      </c>
      <c r="O100" s="16"/>
      <c r="P100" s="48">
        <f t="shared" si="7"/>
        <v>12181.484625000001</v>
      </c>
      <c r="Q100" s="16"/>
      <c r="R100" s="48">
        <f t="shared" si="8"/>
        <v>529.74781631250005</v>
      </c>
      <c r="S100" s="14"/>
    </row>
    <row r="101" spans="1:19">
      <c r="A101" s="14" t="s">
        <v>66</v>
      </c>
      <c r="B101" s="15" t="s">
        <v>379</v>
      </c>
      <c r="C101" s="15" t="s">
        <v>380</v>
      </c>
      <c r="D101" s="14" t="s">
        <v>381</v>
      </c>
      <c r="E101" s="15" t="s">
        <v>382</v>
      </c>
      <c r="F101" s="14" t="s">
        <v>212</v>
      </c>
      <c r="G101" s="15" t="s">
        <v>23</v>
      </c>
      <c r="H101" s="15" t="s">
        <v>1530</v>
      </c>
      <c r="I101" s="15">
        <v>201409</v>
      </c>
      <c r="J101" s="16">
        <v>51541.52</v>
      </c>
      <c r="K101" s="44">
        <f t="shared" si="10"/>
        <v>41883</v>
      </c>
      <c r="L101" s="45">
        <f t="shared" si="5"/>
        <v>9</v>
      </c>
      <c r="M101" s="17">
        <v>2.23333E-3</v>
      </c>
      <c r="N101" s="46">
        <f t="shared" si="6"/>
        <v>1035.9830057543998</v>
      </c>
      <c r="O101" s="16"/>
      <c r="P101" s="48">
        <f t="shared" si="7"/>
        <v>26737.163500000002</v>
      </c>
      <c r="Q101" s="16"/>
      <c r="R101" s="48">
        <f t="shared" si="8"/>
        <v>1162.74447775</v>
      </c>
      <c r="S101" s="14"/>
    </row>
    <row r="102" spans="1:19">
      <c r="A102" s="14" t="s">
        <v>66</v>
      </c>
      <c r="B102" s="15" t="s">
        <v>383</v>
      </c>
      <c r="C102" s="15" t="s">
        <v>384</v>
      </c>
      <c r="D102" s="14" t="s">
        <v>385</v>
      </c>
      <c r="E102" s="15" t="s">
        <v>386</v>
      </c>
      <c r="F102" s="14" t="s">
        <v>387</v>
      </c>
      <c r="G102" s="15" t="s">
        <v>23</v>
      </c>
      <c r="H102" s="15" t="s">
        <v>1530</v>
      </c>
      <c r="I102" s="15">
        <v>201409</v>
      </c>
      <c r="J102" s="16">
        <v>103600.86</v>
      </c>
      <c r="K102" s="44">
        <f t="shared" si="10"/>
        <v>41883</v>
      </c>
      <c r="L102" s="45">
        <f t="shared" si="5"/>
        <v>9</v>
      </c>
      <c r="M102" s="17">
        <v>2.23333E-3</v>
      </c>
      <c r="N102" s="46">
        <f t="shared" si="6"/>
        <v>2082.3741779741999</v>
      </c>
      <c r="O102" s="16"/>
      <c r="P102" s="48">
        <f t="shared" si="7"/>
        <v>53742.946125000002</v>
      </c>
      <c r="Q102" s="16"/>
      <c r="R102" s="48">
        <f t="shared" si="8"/>
        <v>2337.1706510624999</v>
      </c>
      <c r="S102" s="14"/>
    </row>
    <row r="103" spans="1:19">
      <c r="A103" s="14" t="s">
        <v>66</v>
      </c>
      <c r="B103" s="15" t="s">
        <v>388</v>
      </c>
      <c r="C103" s="15" t="s">
        <v>389</v>
      </c>
      <c r="D103" s="14" t="s">
        <v>385</v>
      </c>
      <c r="E103" s="15" t="s">
        <v>390</v>
      </c>
      <c r="F103" s="14" t="s">
        <v>387</v>
      </c>
      <c r="G103" s="15" t="s">
        <v>23</v>
      </c>
      <c r="H103" s="15" t="s">
        <v>1530</v>
      </c>
      <c r="I103" s="15">
        <v>201409</v>
      </c>
      <c r="J103" s="16">
        <v>42682.33</v>
      </c>
      <c r="K103" s="44">
        <f t="shared" si="10"/>
        <v>41883</v>
      </c>
      <c r="L103" s="45">
        <f t="shared" si="5"/>
        <v>9</v>
      </c>
      <c r="M103" s="17">
        <v>2.23333E-3</v>
      </c>
      <c r="N103" s="46">
        <f t="shared" si="6"/>
        <v>857.91355253009999</v>
      </c>
      <c r="O103" s="16"/>
      <c r="P103" s="48">
        <f t="shared" si="7"/>
        <v>22141.458687500002</v>
      </c>
      <c r="Q103" s="16"/>
      <c r="R103" s="48">
        <f t="shared" si="8"/>
        <v>962.88668834375017</v>
      </c>
      <c r="S103" s="14"/>
    </row>
    <row r="104" spans="1:19">
      <c r="A104" s="14" t="s">
        <v>17</v>
      </c>
      <c r="B104" s="15" t="s">
        <v>391</v>
      </c>
      <c r="C104" s="15" t="s">
        <v>392</v>
      </c>
      <c r="D104" s="14" t="s">
        <v>393</v>
      </c>
      <c r="E104" s="15" t="s">
        <v>394</v>
      </c>
      <c r="F104" s="14" t="s">
        <v>137</v>
      </c>
      <c r="G104" s="15" t="s">
        <v>23</v>
      </c>
      <c r="H104" s="15" t="s">
        <v>1526</v>
      </c>
      <c r="I104" s="15">
        <v>201409</v>
      </c>
      <c r="J104" s="16">
        <v>-762.66</v>
      </c>
      <c r="K104" s="44">
        <f t="shared" si="10"/>
        <v>41883</v>
      </c>
      <c r="L104" s="45">
        <f t="shared" si="5"/>
        <v>9</v>
      </c>
      <c r="M104" s="17">
        <v>1.4833299999999999E-3</v>
      </c>
      <c r="N104" s="46">
        <f t="shared" si="6"/>
        <v>-10.181488120199999</v>
      </c>
      <c r="O104" s="16"/>
      <c r="P104" s="48">
        <f t="shared" si="7"/>
        <v>-395.62987500000003</v>
      </c>
      <c r="Q104" s="16"/>
      <c r="R104" s="48">
        <f t="shared" si="8"/>
        <v>-17.2051329375</v>
      </c>
      <c r="S104" s="14"/>
    </row>
    <row r="105" spans="1:19">
      <c r="A105" s="14" t="s">
        <v>17</v>
      </c>
      <c r="B105" s="15" t="s">
        <v>395</v>
      </c>
      <c r="C105" s="15" t="s">
        <v>396</v>
      </c>
      <c r="D105" s="14" t="s">
        <v>397</v>
      </c>
      <c r="E105" s="15" t="s">
        <v>49</v>
      </c>
      <c r="F105" s="14" t="s">
        <v>22</v>
      </c>
      <c r="G105" s="15" t="s">
        <v>23</v>
      </c>
      <c r="H105" s="15" t="s">
        <v>1525</v>
      </c>
      <c r="I105" s="15">
        <v>201409</v>
      </c>
      <c r="J105" s="16">
        <v>-5.66</v>
      </c>
      <c r="K105" s="44">
        <f t="shared" si="10"/>
        <v>41883</v>
      </c>
      <c r="L105" s="45">
        <f t="shared" si="5"/>
        <v>9</v>
      </c>
      <c r="M105" s="17">
        <v>1.4833299999999999E-3</v>
      </c>
      <c r="N105" s="46">
        <f t="shared" si="6"/>
        <v>-7.5560830199999998E-2</v>
      </c>
      <c r="O105" s="16"/>
      <c r="P105" s="48">
        <f t="shared" si="7"/>
        <v>-2.9361250000000005</v>
      </c>
      <c r="Q105" s="16"/>
      <c r="R105" s="48">
        <f t="shared" si="8"/>
        <v>-0.12768606250000003</v>
      </c>
      <c r="S105" s="14"/>
    </row>
    <row r="106" spans="1:19">
      <c r="A106" s="14" t="s">
        <v>17</v>
      </c>
      <c r="B106" s="15" t="s">
        <v>398</v>
      </c>
      <c r="C106" s="15" t="s">
        <v>399</v>
      </c>
      <c r="D106" s="14" t="s">
        <v>400</v>
      </c>
      <c r="E106" s="15" t="s">
        <v>104</v>
      </c>
      <c r="F106" s="14" t="s">
        <v>41</v>
      </c>
      <c r="G106" s="15" t="s">
        <v>23</v>
      </c>
      <c r="H106" s="15" t="s">
        <v>1526</v>
      </c>
      <c r="I106" s="15">
        <v>201409</v>
      </c>
      <c r="J106" s="16">
        <v>-13.72</v>
      </c>
      <c r="K106" s="44">
        <f t="shared" si="10"/>
        <v>41883</v>
      </c>
      <c r="L106" s="45">
        <f t="shared" si="5"/>
        <v>9</v>
      </c>
      <c r="M106" s="17">
        <v>1.4833299999999999E-3</v>
      </c>
      <c r="N106" s="46">
        <f t="shared" si="6"/>
        <v>-0.18316158839999999</v>
      </c>
      <c r="O106" s="16"/>
      <c r="P106" s="48">
        <f t="shared" si="7"/>
        <v>-7.1172500000000012</v>
      </c>
      <c r="Q106" s="16"/>
      <c r="R106" s="48">
        <f t="shared" si="8"/>
        <v>-0.30951462500000004</v>
      </c>
      <c r="S106" s="14"/>
    </row>
    <row r="107" spans="1:19">
      <c r="A107" s="14" t="s">
        <v>238</v>
      </c>
      <c r="B107" s="15" t="s">
        <v>401</v>
      </c>
      <c r="C107" s="15" t="s">
        <v>402</v>
      </c>
      <c r="D107" s="14" t="s">
        <v>403</v>
      </c>
      <c r="E107" s="15" t="s">
        <v>168</v>
      </c>
      <c r="F107" s="14" t="s">
        <v>169</v>
      </c>
      <c r="G107" s="15" t="s">
        <v>23</v>
      </c>
      <c r="H107" s="15" t="s">
        <v>1528</v>
      </c>
      <c r="I107" s="15">
        <v>201409</v>
      </c>
      <c r="J107" s="16">
        <v>-304.64</v>
      </c>
      <c r="K107" s="44">
        <f t="shared" si="10"/>
        <v>41883</v>
      </c>
      <c r="L107" s="45">
        <f t="shared" si="5"/>
        <v>9</v>
      </c>
      <c r="M107" s="17">
        <v>2.3833299999999999E-3</v>
      </c>
      <c r="N107" s="46">
        <f t="shared" si="6"/>
        <v>-6.5345188607999996</v>
      </c>
      <c r="O107" s="16"/>
      <c r="P107" s="48">
        <f t="shared" si="7"/>
        <v>-158.03200000000001</v>
      </c>
      <c r="Q107" s="16"/>
      <c r="R107" s="48">
        <f t="shared" si="8"/>
        <v>-6.8724879999999997</v>
      </c>
      <c r="S107" s="14"/>
    </row>
    <row r="108" spans="1:19">
      <c r="A108" s="14" t="s">
        <v>17</v>
      </c>
      <c r="B108" s="15" t="s">
        <v>404</v>
      </c>
      <c r="C108" s="15" t="s">
        <v>405</v>
      </c>
      <c r="D108" s="14" t="s">
        <v>406</v>
      </c>
      <c r="E108" s="15" t="s">
        <v>58</v>
      </c>
      <c r="F108" s="14" t="s">
        <v>22</v>
      </c>
      <c r="G108" s="15" t="s">
        <v>23</v>
      </c>
      <c r="H108" s="15" t="s">
        <v>1525</v>
      </c>
      <c r="I108" s="15">
        <v>201409</v>
      </c>
      <c r="J108" s="16">
        <v>-346.31</v>
      </c>
      <c r="K108" s="44">
        <f t="shared" si="10"/>
        <v>41883</v>
      </c>
      <c r="L108" s="45">
        <f t="shared" si="5"/>
        <v>9</v>
      </c>
      <c r="M108" s="17">
        <v>1.4833299999999999E-3</v>
      </c>
      <c r="N108" s="46">
        <f t="shared" si="6"/>
        <v>-4.6232281106999995</v>
      </c>
      <c r="O108" s="16"/>
      <c r="P108" s="48">
        <f t="shared" si="7"/>
        <v>-179.6483125</v>
      </c>
      <c r="Q108" s="16"/>
      <c r="R108" s="48">
        <f t="shared" si="8"/>
        <v>-7.8125371562500003</v>
      </c>
      <c r="S108" s="14"/>
    </row>
    <row r="109" spans="1:19">
      <c r="A109" s="14" t="s">
        <v>17</v>
      </c>
      <c r="B109" s="15" t="s">
        <v>407</v>
      </c>
      <c r="C109" s="15" t="s">
        <v>408</v>
      </c>
      <c r="D109" s="14" t="s">
        <v>409</v>
      </c>
      <c r="E109" s="15" t="s">
        <v>53</v>
      </c>
      <c r="F109" s="14" t="s">
        <v>41</v>
      </c>
      <c r="G109" s="15" t="s">
        <v>23</v>
      </c>
      <c r="H109" s="15" t="s">
        <v>1526</v>
      </c>
      <c r="I109" s="15">
        <v>201409</v>
      </c>
      <c r="J109" s="16">
        <v>-191.38</v>
      </c>
      <c r="K109" s="44">
        <f t="shared" si="10"/>
        <v>41883</v>
      </c>
      <c r="L109" s="45">
        <f t="shared" si="5"/>
        <v>9</v>
      </c>
      <c r="M109" s="17">
        <v>1.4833299999999999E-3</v>
      </c>
      <c r="N109" s="46">
        <f t="shared" si="6"/>
        <v>-2.5549172585999997</v>
      </c>
      <c r="O109" s="16"/>
      <c r="P109" s="48">
        <f t="shared" si="7"/>
        <v>-99.278375000000011</v>
      </c>
      <c r="Q109" s="16"/>
      <c r="R109" s="48">
        <f t="shared" si="8"/>
        <v>-4.3174131874999997</v>
      </c>
      <c r="S109" s="14"/>
    </row>
    <row r="110" spans="1:19">
      <c r="A110" s="14" t="s">
        <v>54</v>
      </c>
      <c r="B110" s="15" t="s">
        <v>410</v>
      </c>
      <c r="C110" s="15" t="s">
        <v>411</v>
      </c>
      <c r="D110" s="14" t="s">
        <v>412</v>
      </c>
      <c r="E110" s="15" t="s">
        <v>62</v>
      </c>
      <c r="F110" s="14" t="s">
        <v>22</v>
      </c>
      <c r="G110" s="15" t="s">
        <v>23</v>
      </c>
      <c r="H110" s="15" t="s">
        <v>1525</v>
      </c>
      <c r="I110" s="15">
        <v>201409</v>
      </c>
      <c r="J110" s="16">
        <v>-363.84</v>
      </c>
      <c r="K110" s="44">
        <f t="shared" si="10"/>
        <v>41883</v>
      </c>
      <c r="L110" s="45">
        <f t="shared" si="5"/>
        <v>9</v>
      </c>
      <c r="M110" s="17">
        <v>1.4833299999999999E-3</v>
      </c>
      <c r="N110" s="46">
        <f t="shared" si="6"/>
        <v>-4.8572530847999991</v>
      </c>
      <c r="O110" s="16"/>
      <c r="P110" s="48">
        <f t="shared" si="7"/>
        <v>-188.74199999999999</v>
      </c>
      <c r="Q110" s="16"/>
      <c r="R110" s="48">
        <f t="shared" si="8"/>
        <v>-8.2080029999999997</v>
      </c>
      <c r="S110" s="19"/>
    </row>
    <row r="111" spans="1:19">
      <c r="A111" s="14" t="s">
        <v>17</v>
      </c>
      <c r="B111" s="15" t="s">
        <v>413</v>
      </c>
      <c r="C111" s="15" t="s">
        <v>414</v>
      </c>
      <c r="D111" s="14" t="s">
        <v>415</v>
      </c>
      <c r="E111" s="15" t="s">
        <v>104</v>
      </c>
      <c r="F111" s="14" t="s">
        <v>41</v>
      </c>
      <c r="G111" s="15" t="s">
        <v>23</v>
      </c>
      <c r="H111" s="15" t="s">
        <v>1526</v>
      </c>
      <c r="I111" s="15">
        <v>201409</v>
      </c>
      <c r="J111" s="16">
        <v>-174.39</v>
      </c>
      <c r="K111" s="44">
        <f t="shared" si="10"/>
        <v>41883</v>
      </c>
      <c r="L111" s="45">
        <f t="shared" si="5"/>
        <v>9</v>
      </c>
      <c r="M111" s="17">
        <v>1.4833299999999999E-3</v>
      </c>
      <c r="N111" s="46">
        <f t="shared" si="6"/>
        <v>-2.3281012682999997</v>
      </c>
      <c r="O111" s="16"/>
      <c r="P111" s="48">
        <f t="shared" si="7"/>
        <v>-90.464812499999994</v>
      </c>
      <c r="Q111" s="16"/>
      <c r="R111" s="48">
        <f t="shared" si="8"/>
        <v>-3.9341294062499998</v>
      </c>
      <c r="S111" s="14"/>
    </row>
    <row r="112" spans="1:19">
      <c r="A112" s="14" t="s">
        <v>54</v>
      </c>
      <c r="B112" s="15" t="s">
        <v>416</v>
      </c>
      <c r="C112" s="15" t="s">
        <v>417</v>
      </c>
      <c r="D112" s="14" t="s">
        <v>418</v>
      </c>
      <c r="E112" s="15" t="s">
        <v>141</v>
      </c>
      <c r="F112" s="14" t="s">
        <v>142</v>
      </c>
      <c r="G112" s="15" t="s">
        <v>23</v>
      </c>
      <c r="H112" s="15" t="s">
        <v>1525</v>
      </c>
      <c r="I112" s="15">
        <v>201409</v>
      </c>
      <c r="J112" s="16">
        <v>679.2</v>
      </c>
      <c r="K112" s="44">
        <f t="shared" si="10"/>
        <v>41883</v>
      </c>
      <c r="L112" s="45">
        <f t="shared" si="5"/>
        <v>9</v>
      </c>
      <c r="M112" s="17">
        <v>1.4833299999999999E-3</v>
      </c>
      <c r="N112" s="46">
        <f t="shared" si="6"/>
        <v>9.0672996240000003</v>
      </c>
      <c r="O112" s="16"/>
      <c r="P112" s="48">
        <f t="shared" si="7"/>
        <v>352.33500000000004</v>
      </c>
      <c r="Q112" s="16"/>
      <c r="R112" s="48">
        <f t="shared" si="8"/>
        <v>15.322327500000002</v>
      </c>
      <c r="S112" s="14"/>
    </row>
    <row r="113" spans="1:19">
      <c r="A113" s="14" t="s">
        <v>54</v>
      </c>
      <c r="B113" s="15" t="s">
        <v>419</v>
      </c>
      <c r="C113" s="15" t="s">
        <v>420</v>
      </c>
      <c r="D113" s="14" t="s">
        <v>421</v>
      </c>
      <c r="E113" s="15" t="s">
        <v>32</v>
      </c>
      <c r="F113" s="14" t="s">
        <v>22</v>
      </c>
      <c r="G113" s="15" t="s">
        <v>23</v>
      </c>
      <c r="H113" s="15" t="s">
        <v>1525</v>
      </c>
      <c r="I113" s="15">
        <v>201409</v>
      </c>
      <c r="J113" s="16">
        <v>-1167.31</v>
      </c>
      <c r="K113" s="44">
        <f t="shared" si="10"/>
        <v>41883</v>
      </c>
      <c r="L113" s="45">
        <f t="shared" si="5"/>
        <v>9</v>
      </c>
      <c r="M113" s="17">
        <v>1.4833299999999999E-3</v>
      </c>
      <c r="N113" s="46">
        <f t="shared" si="6"/>
        <v>-15.583553480699999</v>
      </c>
      <c r="O113" s="16"/>
      <c r="P113" s="48">
        <f t="shared" si="7"/>
        <v>-605.54206250000004</v>
      </c>
      <c r="Q113" s="16"/>
      <c r="R113" s="48">
        <f t="shared" si="8"/>
        <v>-26.333784031250001</v>
      </c>
      <c r="S113" s="14"/>
    </row>
    <row r="114" spans="1:19">
      <c r="A114" s="14" t="s">
        <v>17</v>
      </c>
      <c r="B114" s="15" t="s">
        <v>422</v>
      </c>
      <c r="C114" s="15" t="s">
        <v>423</v>
      </c>
      <c r="D114" s="14" t="s">
        <v>424</v>
      </c>
      <c r="E114" s="15" t="s">
        <v>246</v>
      </c>
      <c r="F114" s="14" t="s">
        <v>247</v>
      </c>
      <c r="G114" s="15" t="s">
        <v>23</v>
      </c>
      <c r="H114" s="15" t="s">
        <v>1525</v>
      </c>
      <c r="I114" s="15">
        <v>201409</v>
      </c>
      <c r="J114" s="16">
        <v>-418.81</v>
      </c>
      <c r="K114" s="44">
        <f t="shared" si="10"/>
        <v>41883</v>
      </c>
      <c r="L114" s="45">
        <f t="shared" si="5"/>
        <v>9</v>
      </c>
      <c r="M114" s="17">
        <v>1.4833299999999999E-3</v>
      </c>
      <c r="N114" s="46">
        <f t="shared" si="6"/>
        <v>-5.5911009357000001</v>
      </c>
      <c r="O114" s="16"/>
      <c r="P114" s="48">
        <f t="shared" si="7"/>
        <v>-217.25768750000003</v>
      </c>
      <c r="Q114" s="16"/>
      <c r="R114" s="48">
        <f t="shared" si="8"/>
        <v>-9.4480918437500012</v>
      </c>
      <c r="S114" s="14"/>
    </row>
    <row r="115" spans="1:19">
      <c r="A115" s="14" t="s">
        <v>17</v>
      </c>
      <c r="B115" s="15" t="s">
        <v>425</v>
      </c>
      <c r="C115" s="15" t="s">
        <v>426</v>
      </c>
      <c r="D115" s="14" t="s">
        <v>427</v>
      </c>
      <c r="E115" s="15" t="s">
        <v>104</v>
      </c>
      <c r="F115" s="14" t="s">
        <v>41</v>
      </c>
      <c r="G115" s="15" t="s">
        <v>23</v>
      </c>
      <c r="H115" s="15" t="s">
        <v>1526</v>
      </c>
      <c r="I115" s="15">
        <v>201409</v>
      </c>
      <c r="J115" s="16">
        <v>1.99</v>
      </c>
      <c r="K115" s="44">
        <f t="shared" si="10"/>
        <v>41883</v>
      </c>
      <c r="L115" s="45">
        <f t="shared" si="5"/>
        <v>9</v>
      </c>
      <c r="M115" s="17">
        <v>1.4833299999999999E-3</v>
      </c>
      <c r="N115" s="46">
        <f t="shared" si="6"/>
        <v>2.6566440299999997E-2</v>
      </c>
      <c r="O115" s="16"/>
      <c r="P115" s="48">
        <f t="shared" si="7"/>
        <v>1.0323125000000002</v>
      </c>
      <c r="Q115" s="16"/>
      <c r="R115" s="48">
        <f t="shared" si="8"/>
        <v>4.4893156250000003E-2</v>
      </c>
      <c r="S115" s="14"/>
    </row>
    <row r="116" spans="1:19">
      <c r="A116" s="14" t="s">
        <v>17</v>
      </c>
      <c r="B116" s="15" t="s">
        <v>428</v>
      </c>
      <c r="C116" s="15" t="s">
        <v>429</v>
      </c>
      <c r="D116" s="14" t="s">
        <v>430</v>
      </c>
      <c r="E116" s="15" t="s">
        <v>32</v>
      </c>
      <c r="F116" s="14" t="s">
        <v>22</v>
      </c>
      <c r="G116" s="15" t="s">
        <v>23</v>
      </c>
      <c r="H116" s="15" t="s">
        <v>1525</v>
      </c>
      <c r="I116" s="15">
        <v>201409</v>
      </c>
      <c r="J116" s="16">
        <v>-61.26</v>
      </c>
      <c r="K116" s="44">
        <f t="shared" si="10"/>
        <v>41883</v>
      </c>
      <c r="L116" s="45">
        <f t="shared" si="5"/>
        <v>9</v>
      </c>
      <c r="M116" s="17">
        <v>1.4833299999999999E-3</v>
      </c>
      <c r="N116" s="46">
        <f t="shared" si="6"/>
        <v>-0.81781916219999995</v>
      </c>
      <c r="O116" s="16"/>
      <c r="P116" s="48">
        <f t="shared" si="7"/>
        <v>-31.778625000000002</v>
      </c>
      <c r="Q116" s="16"/>
      <c r="R116" s="48">
        <f t="shared" si="8"/>
        <v>-1.3819873125000002</v>
      </c>
      <c r="S116" s="14"/>
    </row>
    <row r="117" spans="1:19">
      <c r="A117" s="14" t="s">
        <v>17</v>
      </c>
      <c r="B117" s="15" t="s">
        <v>431</v>
      </c>
      <c r="C117" s="15" t="s">
        <v>432</v>
      </c>
      <c r="D117" s="14" t="s">
        <v>433</v>
      </c>
      <c r="E117" s="15" t="s">
        <v>258</v>
      </c>
      <c r="F117" s="14" t="s">
        <v>259</v>
      </c>
      <c r="G117" s="15" t="s">
        <v>23</v>
      </c>
      <c r="H117" s="15" t="s">
        <v>1525</v>
      </c>
      <c r="I117" s="15">
        <v>201409</v>
      </c>
      <c r="J117" s="16">
        <v>-175.94</v>
      </c>
      <c r="K117" s="44">
        <f t="shared" si="10"/>
        <v>41883</v>
      </c>
      <c r="L117" s="45">
        <f t="shared" si="5"/>
        <v>9</v>
      </c>
      <c r="M117" s="17">
        <v>1.4833299999999999E-3</v>
      </c>
      <c r="N117" s="46">
        <f t="shared" si="6"/>
        <v>-2.3487937217999999</v>
      </c>
      <c r="O117" s="16"/>
      <c r="P117" s="48">
        <f t="shared" si="7"/>
        <v>-91.268875000000008</v>
      </c>
      <c r="Q117" s="16"/>
      <c r="R117" s="48">
        <f t="shared" si="8"/>
        <v>-3.9690964375000002</v>
      </c>
      <c r="S117" s="14"/>
    </row>
    <row r="118" spans="1:19">
      <c r="A118" s="14" t="s">
        <v>54</v>
      </c>
      <c r="B118" s="15" t="s">
        <v>434</v>
      </c>
      <c r="C118" s="15" t="s">
        <v>435</v>
      </c>
      <c r="D118" s="14" t="s">
        <v>436</v>
      </c>
      <c r="E118" s="15" t="s">
        <v>58</v>
      </c>
      <c r="F118" s="14" t="s">
        <v>22</v>
      </c>
      <c r="G118" s="15" t="s">
        <v>23</v>
      </c>
      <c r="H118" s="15" t="s">
        <v>1525</v>
      </c>
      <c r="I118" s="15">
        <v>201409</v>
      </c>
      <c r="J118" s="16">
        <v>-94.86</v>
      </c>
      <c r="K118" s="44">
        <f t="shared" si="10"/>
        <v>41883</v>
      </c>
      <c r="L118" s="45">
        <f t="shared" si="5"/>
        <v>9</v>
      </c>
      <c r="M118" s="17">
        <v>1.4833299999999999E-3</v>
      </c>
      <c r="N118" s="46">
        <f t="shared" si="6"/>
        <v>-1.2663781541999999</v>
      </c>
      <c r="O118" s="16"/>
      <c r="P118" s="48">
        <f t="shared" si="7"/>
        <v>-49.208625000000005</v>
      </c>
      <c r="Q118" s="16"/>
      <c r="R118" s="48">
        <f t="shared" si="8"/>
        <v>-2.1399823124999999</v>
      </c>
      <c r="S118" s="14"/>
    </row>
    <row r="119" spans="1:19">
      <c r="A119" s="14" t="s">
        <v>17</v>
      </c>
      <c r="B119" s="15" t="s">
        <v>437</v>
      </c>
      <c r="C119" s="15" t="s">
        <v>438</v>
      </c>
      <c r="D119" s="14" t="s">
        <v>439</v>
      </c>
      <c r="E119" s="15" t="s">
        <v>440</v>
      </c>
      <c r="F119" s="14" t="s">
        <v>28</v>
      </c>
      <c r="G119" s="15" t="s">
        <v>23</v>
      </c>
      <c r="H119" s="15" t="s">
        <v>1525</v>
      </c>
      <c r="I119" s="15">
        <v>201409</v>
      </c>
      <c r="J119" s="16">
        <v>8.2100000000000009</v>
      </c>
      <c r="K119" s="44">
        <f t="shared" si="10"/>
        <v>41883</v>
      </c>
      <c r="L119" s="45">
        <f t="shared" si="5"/>
        <v>9</v>
      </c>
      <c r="M119" s="17">
        <v>1.4833299999999999E-3</v>
      </c>
      <c r="N119" s="46">
        <f t="shared" si="6"/>
        <v>0.1096032537</v>
      </c>
      <c r="O119" s="16"/>
      <c r="P119" s="48">
        <f t="shared" si="7"/>
        <v>4.2589375000000009</v>
      </c>
      <c r="Q119" s="16"/>
      <c r="R119" s="48">
        <f t="shared" si="8"/>
        <v>0.18521246875000005</v>
      </c>
      <c r="S119" s="14"/>
    </row>
    <row r="120" spans="1:19">
      <c r="A120" s="14" t="s">
        <v>54</v>
      </c>
      <c r="B120" s="15" t="s">
        <v>441</v>
      </c>
      <c r="C120" s="15" t="s">
        <v>442</v>
      </c>
      <c r="D120" s="14" t="s">
        <v>443</v>
      </c>
      <c r="E120" s="15" t="s">
        <v>141</v>
      </c>
      <c r="F120" s="14" t="s">
        <v>142</v>
      </c>
      <c r="G120" s="15" t="s">
        <v>23</v>
      </c>
      <c r="H120" s="15" t="s">
        <v>1525</v>
      </c>
      <c r="I120" s="15">
        <v>201409</v>
      </c>
      <c r="J120" s="16">
        <v>-15549.44</v>
      </c>
      <c r="K120" s="44">
        <f t="shared" si="10"/>
        <v>41883</v>
      </c>
      <c r="L120" s="45">
        <f t="shared" si="5"/>
        <v>9</v>
      </c>
      <c r="M120" s="17">
        <v>1.4833299999999999E-3</v>
      </c>
      <c r="N120" s="46">
        <f t="shared" si="6"/>
        <v>-207.5845575168</v>
      </c>
      <c r="O120" s="16"/>
      <c r="P120" s="48">
        <f t="shared" si="7"/>
        <v>-8066.2720000000008</v>
      </c>
      <c r="Q120" s="16"/>
      <c r="R120" s="48">
        <f t="shared" si="8"/>
        <v>-350.78564800000004</v>
      </c>
      <c r="S120" s="14"/>
    </row>
    <row r="121" spans="1:19">
      <c r="A121" s="14" t="s">
        <v>54</v>
      </c>
      <c r="B121" s="15" t="s">
        <v>444</v>
      </c>
      <c r="C121" s="15" t="s">
        <v>445</v>
      </c>
      <c r="D121" s="14" t="s">
        <v>446</v>
      </c>
      <c r="E121" s="15" t="s">
        <v>62</v>
      </c>
      <c r="F121" s="14" t="s">
        <v>22</v>
      </c>
      <c r="G121" s="15" t="s">
        <v>23</v>
      </c>
      <c r="H121" s="15" t="s">
        <v>1525</v>
      </c>
      <c r="I121" s="15">
        <v>201409</v>
      </c>
      <c r="J121" s="16">
        <v>-148.77000000000001</v>
      </c>
      <c r="K121" s="44">
        <f t="shared" si="10"/>
        <v>41883</v>
      </c>
      <c r="L121" s="45">
        <f t="shared" si="5"/>
        <v>9</v>
      </c>
      <c r="M121" s="17">
        <v>1.4833299999999999E-3</v>
      </c>
      <c r="N121" s="46">
        <f t="shared" si="6"/>
        <v>-1.9860750369</v>
      </c>
      <c r="O121" s="16"/>
      <c r="P121" s="48">
        <f t="shared" si="7"/>
        <v>-77.17443750000001</v>
      </c>
      <c r="Q121" s="16"/>
      <c r="R121" s="48">
        <f t="shared" si="8"/>
        <v>-3.3561582187500005</v>
      </c>
      <c r="S121" s="14"/>
    </row>
    <row r="122" spans="1:19">
      <c r="A122" s="14" t="s">
        <v>17</v>
      </c>
      <c r="B122" s="15" t="s">
        <v>447</v>
      </c>
      <c r="C122" s="15" t="s">
        <v>448</v>
      </c>
      <c r="D122" s="14" t="s">
        <v>449</v>
      </c>
      <c r="E122" s="15" t="s">
        <v>296</v>
      </c>
      <c r="F122" s="14" t="s">
        <v>28</v>
      </c>
      <c r="G122" s="15" t="s">
        <v>23</v>
      </c>
      <c r="H122" s="15" t="s">
        <v>1525</v>
      </c>
      <c r="I122" s="15">
        <v>201409</v>
      </c>
      <c r="J122" s="16">
        <v>-625.21</v>
      </c>
      <c r="K122" s="44">
        <f t="shared" si="10"/>
        <v>41883</v>
      </c>
      <c r="L122" s="45">
        <f t="shared" si="5"/>
        <v>9</v>
      </c>
      <c r="M122" s="17">
        <v>1.4833299999999999E-3</v>
      </c>
      <c r="N122" s="46">
        <f t="shared" si="6"/>
        <v>-8.3465347436999995</v>
      </c>
      <c r="O122" s="16"/>
      <c r="P122" s="48">
        <f t="shared" si="7"/>
        <v>-324.32768750000002</v>
      </c>
      <c r="Q122" s="16"/>
      <c r="R122" s="48">
        <f t="shared" si="8"/>
        <v>-14.104346843750001</v>
      </c>
      <c r="S122" s="14"/>
    </row>
    <row r="123" spans="1:19">
      <c r="A123" s="14" t="s">
        <v>17</v>
      </c>
      <c r="B123" s="15" t="s">
        <v>450</v>
      </c>
      <c r="C123" s="15" t="s">
        <v>451</v>
      </c>
      <c r="D123" s="14" t="s">
        <v>452</v>
      </c>
      <c r="E123" s="15" t="s">
        <v>45</v>
      </c>
      <c r="F123" s="14" t="s">
        <v>22</v>
      </c>
      <c r="G123" s="15" t="s">
        <v>23</v>
      </c>
      <c r="H123" s="15" t="s">
        <v>1525</v>
      </c>
      <c r="I123" s="15">
        <v>201409</v>
      </c>
      <c r="J123" s="16">
        <v>-5.2</v>
      </c>
      <c r="K123" s="44">
        <f t="shared" si="10"/>
        <v>41883</v>
      </c>
      <c r="L123" s="45">
        <f t="shared" si="5"/>
        <v>9</v>
      </c>
      <c r="M123" s="17">
        <v>1.4833299999999999E-3</v>
      </c>
      <c r="N123" s="46">
        <f t="shared" si="6"/>
        <v>-6.9419843999999994E-2</v>
      </c>
      <c r="O123" s="16"/>
      <c r="P123" s="48">
        <f t="shared" si="7"/>
        <v>-2.6975000000000002</v>
      </c>
      <c r="Q123" s="16"/>
      <c r="R123" s="48">
        <f t="shared" si="8"/>
        <v>-0.11730875000000002</v>
      </c>
      <c r="S123" s="14"/>
    </row>
    <row r="124" spans="1:19">
      <c r="A124" s="14" t="s">
        <v>54</v>
      </c>
      <c r="B124" s="15" t="s">
        <v>453</v>
      </c>
      <c r="C124" s="15" t="s">
        <v>454</v>
      </c>
      <c r="D124" s="14" t="s">
        <v>455</v>
      </c>
      <c r="E124" s="15" t="s">
        <v>62</v>
      </c>
      <c r="F124" s="14" t="s">
        <v>22</v>
      </c>
      <c r="G124" s="15" t="s">
        <v>23</v>
      </c>
      <c r="H124" s="15" t="s">
        <v>1525</v>
      </c>
      <c r="I124" s="15">
        <v>201409</v>
      </c>
      <c r="J124" s="16">
        <v>-184.89</v>
      </c>
      <c r="K124" s="44">
        <f t="shared" si="10"/>
        <v>41883</v>
      </c>
      <c r="L124" s="45">
        <f t="shared" si="5"/>
        <v>9</v>
      </c>
      <c r="M124" s="17">
        <v>1.4833299999999999E-3</v>
      </c>
      <c r="N124" s="46">
        <f t="shared" si="6"/>
        <v>-2.4682759532999996</v>
      </c>
      <c r="O124" s="16"/>
      <c r="P124" s="48">
        <f t="shared" si="7"/>
        <v>-95.911687499999999</v>
      </c>
      <c r="Q124" s="16"/>
      <c r="R124" s="48">
        <f t="shared" si="8"/>
        <v>-4.1710028437500002</v>
      </c>
      <c r="S124" s="14"/>
    </row>
    <row r="125" spans="1:19">
      <c r="A125" s="14" t="s">
        <v>17</v>
      </c>
      <c r="B125" s="15" t="s">
        <v>456</v>
      </c>
      <c r="C125" s="15" t="s">
        <v>457</v>
      </c>
      <c r="D125" s="14" t="s">
        <v>458</v>
      </c>
      <c r="E125" s="15" t="s">
        <v>21</v>
      </c>
      <c r="F125" s="14" t="s">
        <v>22</v>
      </c>
      <c r="G125" s="15" t="s">
        <v>23</v>
      </c>
      <c r="H125" s="15" t="s">
        <v>1525</v>
      </c>
      <c r="I125" s="15">
        <v>201409</v>
      </c>
      <c r="J125" s="16">
        <v>-591.12</v>
      </c>
      <c r="K125" s="44">
        <f t="shared" si="10"/>
        <v>41883</v>
      </c>
      <c r="L125" s="45">
        <f t="shared" si="5"/>
        <v>9</v>
      </c>
      <c r="M125" s="17">
        <v>1.4833299999999999E-3</v>
      </c>
      <c r="N125" s="46">
        <f t="shared" si="6"/>
        <v>-7.8914342663999992</v>
      </c>
      <c r="O125" s="16"/>
      <c r="P125" s="48">
        <f t="shared" si="7"/>
        <v>-306.64350000000002</v>
      </c>
      <c r="Q125" s="16"/>
      <c r="R125" s="48">
        <f t="shared" si="8"/>
        <v>-13.335297750000002</v>
      </c>
      <c r="S125" s="14"/>
    </row>
    <row r="126" spans="1:19">
      <c r="A126" s="14" t="s">
        <v>54</v>
      </c>
      <c r="B126" s="15" t="s">
        <v>459</v>
      </c>
      <c r="C126" s="15" t="s">
        <v>460</v>
      </c>
      <c r="D126" s="14" t="s">
        <v>461</v>
      </c>
      <c r="E126" s="15" t="s">
        <v>462</v>
      </c>
      <c r="F126" s="14" t="s">
        <v>142</v>
      </c>
      <c r="G126" s="15" t="s">
        <v>23</v>
      </c>
      <c r="H126" s="15" t="s">
        <v>1525</v>
      </c>
      <c r="I126" s="15">
        <v>201409</v>
      </c>
      <c r="J126" s="16">
        <v>-771.19</v>
      </c>
      <c r="K126" s="44">
        <f t="shared" si="10"/>
        <v>41883</v>
      </c>
      <c r="L126" s="45">
        <f t="shared" si="5"/>
        <v>9</v>
      </c>
      <c r="M126" s="17">
        <v>1.4833299999999999E-3</v>
      </c>
      <c r="N126" s="46">
        <f t="shared" si="6"/>
        <v>-10.2953633643</v>
      </c>
      <c r="O126" s="16"/>
      <c r="P126" s="48">
        <f t="shared" si="7"/>
        <v>-400.05481250000008</v>
      </c>
      <c r="Q126" s="16"/>
      <c r="R126" s="48">
        <f t="shared" si="8"/>
        <v>-17.397564406250002</v>
      </c>
      <c r="S126" s="14"/>
    </row>
    <row r="127" spans="1:19">
      <c r="A127" s="14" t="s">
        <v>66</v>
      </c>
      <c r="B127" s="15" t="s">
        <v>463</v>
      </c>
      <c r="C127" s="15" t="s">
        <v>464</v>
      </c>
      <c r="D127" s="14" t="s">
        <v>465</v>
      </c>
      <c r="E127" s="15" t="s">
        <v>466</v>
      </c>
      <c r="F127" s="14" t="s">
        <v>467</v>
      </c>
      <c r="G127" s="15" t="s">
        <v>23</v>
      </c>
      <c r="H127" s="15" t="s">
        <v>1527</v>
      </c>
      <c r="I127" s="15">
        <v>201409</v>
      </c>
      <c r="J127" s="16">
        <v>-442.33</v>
      </c>
      <c r="K127" s="44">
        <f t="shared" si="10"/>
        <v>41883</v>
      </c>
      <c r="L127" s="45">
        <f t="shared" si="5"/>
        <v>9</v>
      </c>
      <c r="M127" s="17">
        <v>2.23333E-3</v>
      </c>
      <c r="N127" s="46">
        <f t="shared" si="6"/>
        <v>-8.8908197300999987</v>
      </c>
      <c r="O127" s="16"/>
      <c r="P127" s="48">
        <f t="shared" si="7"/>
        <v>-229.45868750000002</v>
      </c>
      <c r="Q127" s="16"/>
      <c r="R127" s="48">
        <f t="shared" si="8"/>
        <v>-9.9786883437500009</v>
      </c>
      <c r="S127" s="14"/>
    </row>
    <row r="128" spans="1:19">
      <c r="A128" s="14" t="s">
        <v>54</v>
      </c>
      <c r="B128" s="15" t="s">
        <v>468</v>
      </c>
      <c r="C128" s="15" t="s">
        <v>469</v>
      </c>
      <c r="D128" s="14" t="s">
        <v>470</v>
      </c>
      <c r="E128" s="15" t="s">
        <v>136</v>
      </c>
      <c r="F128" s="14" t="s">
        <v>137</v>
      </c>
      <c r="G128" s="15" t="s">
        <v>23</v>
      </c>
      <c r="H128" s="15" t="s">
        <v>1526</v>
      </c>
      <c r="I128" s="15">
        <v>201409</v>
      </c>
      <c r="J128" s="16">
        <v>-992.83</v>
      </c>
      <c r="K128" s="44">
        <f t="shared" si="10"/>
        <v>41883</v>
      </c>
      <c r="L128" s="45">
        <f t="shared" si="5"/>
        <v>9</v>
      </c>
      <c r="M128" s="17">
        <v>1.4833299999999999E-3</v>
      </c>
      <c r="N128" s="46">
        <f t="shared" si="6"/>
        <v>-13.2542507151</v>
      </c>
      <c r="O128" s="16"/>
      <c r="P128" s="48">
        <f t="shared" si="7"/>
        <v>-515.03056250000009</v>
      </c>
      <c r="Q128" s="16"/>
      <c r="R128" s="48">
        <f t="shared" si="8"/>
        <v>-22.397624281250003</v>
      </c>
      <c r="S128" s="14"/>
    </row>
    <row r="129" spans="1:19">
      <c r="A129" s="14" t="s">
        <v>17</v>
      </c>
      <c r="B129" s="15" t="s">
        <v>471</v>
      </c>
      <c r="C129" s="15" t="s">
        <v>472</v>
      </c>
      <c r="D129" s="14" t="s">
        <v>473</v>
      </c>
      <c r="E129" s="15" t="s">
        <v>27</v>
      </c>
      <c r="F129" s="14" t="s">
        <v>28</v>
      </c>
      <c r="G129" s="15" t="s">
        <v>23</v>
      </c>
      <c r="H129" s="15" t="s">
        <v>1525</v>
      </c>
      <c r="I129" s="15">
        <v>201409</v>
      </c>
      <c r="J129" s="16">
        <v>-48.87</v>
      </c>
      <c r="K129" s="44">
        <f t="shared" si="10"/>
        <v>41883</v>
      </c>
      <c r="L129" s="45">
        <f t="shared" si="5"/>
        <v>9</v>
      </c>
      <c r="M129" s="17">
        <v>1.4833299999999999E-3</v>
      </c>
      <c r="N129" s="46">
        <f t="shared" si="6"/>
        <v>-0.65241303389999994</v>
      </c>
      <c r="O129" s="16"/>
      <c r="P129" s="48">
        <f t="shared" si="7"/>
        <v>-25.351312500000002</v>
      </c>
      <c r="Q129" s="16"/>
      <c r="R129" s="48">
        <f t="shared" si="8"/>
        <v>-1.1024766562500001</v>
      </c>
      <c r="S129" s="14"/>
    </row>
    <row r="130" spans="1:19">
      <c r="A130" s="14" t="s">
        <v>17</v>
      </c>
      <c r="B130" s="15" t="s">
        <v>474</v>
      </c>
      <c r="C130" s="15" t="s">
        <v>475</v>
      </c>
      <c r="D130" s="14" t="s">
        <v>476</v>
      </c>
      <c r="E130" s="15" t="s">
        <v>40</v>
      </c>
      <c r="F130" s="14" t="s">
        <v>41</v>
      </c>
      <c r="G130" s="15" t="s">
        <v>23</v>
      </c>
      <c r="H130" s="15" t="s">
        <v>1526</v>
      </c>
      <c r="I130" s="15">
        <v>201409</v>
      </c>
      <c r="J130" s="16">
        <v>-659.04</v>
      </c>
      <c r="K130" s="44">
        <f t="shared" si="10"/>
        <v>41883</v>
      </c>
      <c r="L130" s="45">
        <f t="shared" si="5"/>
        <v>9</v>
      </c>
      <c r="M130" s="17">
        <v>1.4833299999999999E-3</v>
      </c>
      <c r="N130" s="46">
        <f t="shared" si="6"/>
        <v>-8.7981642287999993</v>
      </c>
      <c r="O130" s="16"/>
      <c r="P130" s="48">
        <f t="shared" si="7"/>
        <v>-341.87700000000001</v>
      </c>
      <c r="Q130" s="16"/>
      <c r="R130" s="48">
        <f t="shared" si="8"/>
        <v>-14.867530499999999</v>
      </c>
      <c r="S130" s="14"/>
    </row>
    <row r="131" spans="1:19">
      <c r="A131" s="14" t="s">
        <v>17</v>
      </c>
      <c r="B131" s="15" t="s">
        <v>477</v>
      </c>
      <c r="C131" s="15" t="s">
        <v>478</v>
      </c>
      <c r="D131" s="14" t="s">
        <v>479</v>
      </c>
      <c r="E131" s="15" t="s">
        <v>440</v>
      </c>
      <c r="F131" s="14" t="s">
        <v>28</v>
      </c>
      <c r="G131" s="15" t="s">
        <v>23</v>
      </c>
      <c r="H131" s="15" t="s">
        <v>1525</v>
      </c>
      <c r="I131" s="15">
        <v>201409</v>
      </c>
      <c r="J131" s="16">
        <v>-15.86</v>
      </c>
      <c r="K131" s="44">
        <f t="shared" si="10"/>
        <v>41883</v>
      </c>
      <c r="L131" s="45">
        <f t="shared" si="5"/>
        <v>9</v>
      </c>
      <c r="M131" s="17">
        <v>1.4833299999999999E-3</v>
      </c>
      <c r="N131" s="46">
        <f t="shared" si="6"/>
        <v>-0.21173052419999999</v>
      </c>
      <c r="O131" s="16"/>
      <c r="P131" s="48">
        <f t="shared" si="7"/>
        <v>-8.2273750000000003</v>
      </c>
      <c r="Q131" s="16"/>
      <c r="R131" s="48">
        <f t="shared" si="8"/>
        <v>-0.35779168750000001</v>
      </c>
      <c r="S131" s="14"/>
    </row>
    <row r="132" spans="1:19">
      <c r="A132" s="14" t="s">
        <v>17</v>
      </c>
      <c r="B132" s="15" t="s">
        <v>480</v>
      </c>
      <c r="C132" s="15" t="s">
        <v>481</v>
      </c>
      <c r="D132" s="14" t="s">
        <v>482</v>
      </c>
      <c r="E132" s="15" t="s">
        <v>141</v>
      </c>
      <c r="F132" s="14" t="s">
        <v>142</v>
      </c>
      <c r="G132" s="15" t="s">
        <v>23</v>
      </c>
      <c r="H132" s="15" t="s">
        <v>1525</v>
      </c>
      <c r="I132" s="15">
        <v>201409</v>
      </c>
      <c r="J132" s="16">
        <v>-482.88</v>
      </c>
      <c r="K132" s="44">
        <f t="shared" si="10"/>
        <v>41883</v>
      </c>
      <c r="L132" s="45">
        <f t="shared" si="5"/>
        <v>9</v>
      </c>
      <c r="M132" s="17">
        <v>1.4833299999999999E-3</v>
      </c>
      <c r="N132" s="46">
        <f t="shared" si="6"/>
        <v>-6.4464335135999997</v>
      </c>
      <c r="O132" s="16"/>
      <c r="P132" s="48">
        <f t="shared" si="7"/>
        <v>-250.49400000000003</v>
      </c>
      <c r="Q132" s="16"/>
      <c r="R132" s="48">
        <f t="shared" si="8"/>
        <v>-10.893471000000002</v>
      </c>
      <c r="S132" s="14"/>
    </row>
    <row r="133" spans="1:19">
      <c r="A133" s="14" t="s">
        <v>17</v>
      </c>
      <c r="B133" s="15" t="s">
        <v>483</v>
      </c>
      <c r="C133" s="15" t="s">
        <v>484</v>
      </c>
      <c r="D133" s="14" t="s">
        <v>485</v>
      </c>
      <c r="E133" s="15" t="s">
        <v>324</v>
      </c>
      <c r="F133" s="14" t="s">
        <v>325</v>
      </c>
      <c r="G133" s="15" t="s">
        <v>23</v>
      </c>
      <c r="H133" s="15" t="s">
        <v>1525</v>
      </c>
      <c r="I133" s="15">
        <v>201409</v>
      </c>
      <c r="J133" s="16">
        <v>-297.13</v>
      </c>
      <c r="K133" s="44">
        <f t="shared" si="10"/>
        <v>41883</v>
      </c>
      <c r="L133" s="45">
        <f t="shared" si="5"/>
        <v>9</v>
      </c>
      <c r="M133" s="17">
        <v>1.4833299999999999E-3</v>
      </c>
      <c r="N133" s="46">
        <f t="shared" si="6"/>
        <v>-3.9666765860999997</v>
      </c>
      <c r="O133" s="16"/>
      <c r="P133" s="48">
        <f t="shared" si="7"/>
        <v>-154.13618750000001</v>
      </c>
      <c r="Q133" s="16"/>
      <c r="R133" s="48">
        <f t="shared" si="8"/>
        <v>-6.7030670937500005</v>
      </c>
      <c r="S133" s="14"/>
    </row>
    <row r="134" spans="1:19">
      <c r="A134" s="14" t="s">
        <v>17</v>
      </c>
      <c r="B134" s="15" t="s">
        <v>486</v>
      </c>
      <c r="C134" s="15" t="s">
        <v>487</v>
      </c>
      <c r="D134" s="14" t="s">
        <v>488</v>
      </c>
      <c r="E134" s="15" t="s">
        <v>141</v>
      </c>
      <c r="F134" s="14" t="s">
        <v>142</v>
      </c>
      <c r="G134" s="15" t="s">
        <v>23</v>
      </c>
      <c r="H134" s="15" t="s">
        <v>1525</v>
      </c>
      <c r="I134" s="15">
        <v>201409</v>
      </c>
      <c r="J134" s="16">
        <v>-374.06</v>
      </c>
      <c r="K134" s="44">
        <f t="shared" si="10"/>
        <v>41883</v>
      </c>
      <c r="L134" s="45">
        <f t="shared" ref="L134:L197" si="11">((YEAR($L$1)-YEAR(K134))*12+MONTH($L$1)-MONTH(K134))</f>
        <v>9</v>
      </c>
      <c r="M134" s="17">
        <v>1.4833299999999999E-3</v>
      </c>
      <c r="N134" s="46">
        <f t="shared" ref="N134:N197" si="12">M134*L134*J134</f>
        <v>-4.9936897781999994</v>
      </c>
      <c r="O134" s="16"/>
      <c r="P134" s="48">
        <f t="shared" ref="P134:P197" si="13">$P$4*J134</f>
        <v>-194.04362500000002</v>
      </c>
      <c r="Q134" s="16"/>
      <c r="R134" s="48">
        <f t="shared" ref="R134:R197" si="14">$R$4*J134*$U$9</f>
        <v>-8.4385598125000012</v>
      </c>
      <c r="S134" s="14"/>
    </row>
    <row r="135" spans="1:19">
      <c r="A135" s="14" t="s">
        <v>66</v>
      </c>
      <c r="B135" s="15" t="s">
        <v>489</v>
      </c>
      <c r="C135" s="15" t="s">
        <v>490</v>
      </c>
      <c r="D135" s="14" t="s">
        <v>491</v>
      </c>
      <c r="E135" s="15" t="s">
        <v>492</v>
      </c>
      <c r="F135" s="14" t="s">
        <v>378</v>
      </c>
      <c r="G135" s="15" t="s">
        <v>23</v>
      </c>
      <c r="H135" s="15" t="s">
        <v>1530</v>
      </c>
      <c r="I135" s="15">
        <v>201409</v>
      </c>
      <c r="J135" s="16">
        <v>-2416.5500000000002</v>
      </c>
      <c r="K135" s="44">
        <f t="shared" si="10"/>
        <v>41883</v>
      </c>
      <c r="L135" s="45">
        <f t="shared" si="11"/>
        <v>9</v>
      </c>
      <c r="M135" s="17">
        <v>2.23333E-3</v>
      </c>
      <c r="N135" s="46">
        <f t="shared" si="12"/>
        <v>-48.572582503500001</v>
      </c>
      <c r="O135" s="16"/>
      <c r="P135" s="48">
        <f t="shared" si="13"/>
        <v>-1253.5853125000001</v>
      </c>
      <c r="Q135" s="16"/>
      <c r="R135" s="48">
        <f t="shared" si="14"/>
        <v>-54.515857656250006</v>
      </c>
      <c r="S135" s="14"/>
    </row>
    <row r="136" spans="1:19">
      <c r="A136" s="14" t="s">
        <v>17</v>
      </c>
      <c r="B136" s="15" t="s">
        <v>493</v>
      </c>
      <c r="C136" s="15" t="s">
        <v>494</v>
      </c>
      <c r="D136" s="14" t="s">
        <v>495</v>
      </c>
      <c r="E136" s="15" t="s">
        <v>62</v>
      </c>
      <c r="F136" s="14" t="s">
        <v>22</v>
      </c>
      <c r="G136" s="15" t="s">
        <v>23</v>
      </c>
      <c r="H136" s="15" t="s">
        <v>1525</v>
      </c>
      <c r="I136" s="15">
        <v>201409</v>
      </c>
      <c r="J136" s="16">
        <v>-24.13</v>
      </c>
      <c r="K136" s="44">
        <f t="shared" si="10"/>
        <v>41883</v>
      </c>
      <c r="L136" s="45">
        <f t="shared" si="11"/>
        <v>9</v>
      </c>
      <c r="M136" s="17">
        <v>1.4833299999999999E-3</v>
      </c>
      <c r="N136" s="46">
        <f t="shared" si="12"/>
        <v>-0.32213477609999996</v>
      </c>
      <c r="O136" s="16"/>
      <c r="P136" s="48">
        <f t="shared" si="13"/>
        <v>-12.5174375</v>
      </c>
      <c r="Q136" s="16"/>
      <c r="R136" s="48">
        <f t="shared" si="14"/>
        <v>-0.54435771875000005</v>
      </c>
      <c r="S136" s="14"/>
    </row>
    <row r="137" spans="1:19">
      <c r="A137" s="14" t="s">
        <v>66</v>
      </c>
      <c r="B137" s="15" t="s">
        <v>496</v>
      </c>
      <c r="C137" s="15" t="s">
        <v>497</v>
      </c>
      <c r="D137" s="14" t="s">
        <v>376</v>
      </c>
      <c r="E137" s="15" t="s">
        <v>498</v>
      </c>
      <c r="F137" s="14" t="s">
        <v>378</v>
      </c>
      <c r="G137" s="15" t="s">
        <v>23</v>
      </c>
      <c r="H137" s="15" t="s">
        <v>1530</v>
      </c>
      <c r="I137" s="15">
        <v>201409</v>
      </c>
      <c r="J137" s="16">
        <v>55968.13</v>
      </c>
      <c r="K137" s="44">
        <f t="shared" si="10"/>
        <v>41883</v>
      </c>
      <c r="L137" s="45">
        <f t="shared" si="11"/>
        <v>9</v>
      </c>
      <c r="M137" s="17">
        <v>2.23333E-3</v>
      </c>
      <c r="N137" s="46">
        <f t="shared" si="12"/>
        <v>1124.9577339560999</v>
      </c>
      <c r="O137" s="16"/>
      <c r="P137" s="48">
        <f t="shared" si="13"/>
        <v>29033.4674375</v>
      </c>
      <c r="Q137" s="16"/>
      <c r="R137" s="48">
        <f t="shared" si="14"/>
        <v>1262.6060327187499</v>
      </c>
      <c r="S137" s="14"/>
    </row>
    <row r="138" spans="1:19">
      <c r="A138" s="14" t="s">
        <v>66</v>
      </c>
      <c r="B138" s="15" t="s">
        <v>499</v>
      </c>
      <c r="C138" s="15" t="s">
        <v>500</v>
      </c>
      <c r="D138" s="14" t="s">
        <v>385</v>
      </c>
      <c r="E138" s="15" t="s">
        <v>501</v>
      </c>
      <c r="F138" s="14" t="s">
        <v>387</v>
      </c>
      <c r="G138" s="15" t="s">
        <v>23</v>
      </c>
      <c r="H138" s="15" t="s">
        <v>1530</v>
      </c>
      <c r="I138" s="15">
        <v>201409</v>
      </c>
      <c r="J138" s="16">
        <v>26046.38</v>
      </c>
      <c r="K138" s="44">
        <f t="shared" si="10"/>
        <v>41883</v>
      </c>
      <c r="L138" s="45">
        <f t="shared" si="11"/>
        <v>9</v>
      </c>
      <c r="M138" s="17">
        <v>2.23333E-3</v>
      </c>
      <c r="N138" s="46">
        <f t="shared" si="12"/>
        <v>523.53145660860002</v>
      </c>
      <c r="O138" s="16"/>
      <c r="P138" s="48">
        <f t="shared" si="13"/>
        <v>13511.559625000002</v>
      </c>
      <c r="Q138" s="16"/>
      <c r="R138" s="48">
        <f t="shared" si="14"/>
        <v>587.59005381250006</v>
      </c>
      <c r="S138" s="14"/>
    </row>
    <row r="139" spans="1:19">
      <c r="A139" s="14" t="s">
        <v>17</v>
      </c>
      <c r="B139" s="15" t="s">
        <v>502</v>
      </c>
      <c r="C139" s="15" t="s">
        <v>503</v>
      </c>
      <c r="D139" s="14" t="s">
        <v>504</v>
      </c>
      <c r="E139" s="15" t="s">
        <v>40</v>
      </c>
      <c r="F139" s="14" t="s">
        <v>41</v>
      </c>
      <c r="G139" s="15" t="s">
        <v>23</v>
      </c>
      <c r="H139" s="15" t="s">
        <v>1526</v>
      </c>
      <c r="I139" s="15">
        <v>201409</v>
      </c>
      <c r="J139" s="16">
        <v>-28.62</v>
      </c>
      <c r="K139" s="44">
        <f t="shared" si="10"/>
        <v>41883</v>
      </c>
      <c r="L139" s="45">
        <f t="shared" si="11"/>
        <v>9</v>
      </c>
      <c r="M139" s="17">
        <v>1.4833299999999999E-3</v>
      </c>
      <c r="N139" s="46">
        <f t="shared" si="12"/>
        <v>-0.38207614140000001</v>
      </c>
      <c r="O139" s="16"/>
      <c r="P139" s="48">
        <f t="shared" si="13"/>
        <v>-14.846625000000001</v>
      </c>
      <c r="Q139" s="16"/>
      <c r="R139" s="48">
        <f t="shared" si="14"/>
        <v>-0.64564931250000013</v>
      </c>
      <c r="S139" s="14"/>
    </row>
    <row r="140" spans="1:19">
      <c r="A140" s="14" t="s">
        <v>17</v>
      </c>
      <c r="B140" s="15" t="s">
        <v>505</v>
      </c>
      <c r="C140" s="15" t="s">
        <v>506</v>
      </c>
      <c r="D140" s="14" t="s">
        <v>507</v>
      </c>
      <c r="E140" s="15" t="s">
        <v>104</v>
      </c>
      <c r="F140" s="14" t="s">
        <v>41</v>
      </c>
      <c r="G140" s="15" t="s">
        <v>23</v>
      </c>
      <c r="H140" s="15" t="s">
        <v>1526</v>
      </c>
      <c r="I140" s="15">
        <v>201409</v>
      </c>
      <c r="J140" s="16">
        <v>-27.17</v>
      </c>
      <c r="K140" s="44">
        <f t="shared" si="10"/>
        <v>41883</v>
      </c>
      <c r="L140" s="45">
        <f t="shared" si="11"/>
        <v>9</v>
      </c>
      <c r="M140" s="17">
        <v>1.4833299999999999E-3</v>
      </c>
      <c r="N140" s="46">
        <f t="shared" si="12"/>
        <v>-0.36271868489999998</v>
      </c>
      <c r="O140" s="16"/>
      <c r="P140" s="48">
        <f t="shared" si="13"/>
        <v>-14.094437500000002</v>
      </c>
      <c r="Q140" s="16"/>
      <c r="R140" s="48">
        <f t="shared" si="14"/>
        <v>-0.6129382187500001</v>
      </c>
      <c r="S140" s="14"/>
    </row>
    <row r="141" spans="1:19">
      <c r="A141" s="14" t="s">
        <v>17</v>
      </c>
      <c r="B141" s="15" t="s">
        <v>508</v>
      </c>
      <c r="C141" s="15" t="s">
        <v>509</v>
      </c>
      <c r="D141" s="14" t="s">
        <v>510</v>
      </c>
      <c r="E141" s="15" t="s">
        <v>27</v>
      </c>
      <c r="F141" s="14" t="s">
        <v>28</v>
      </c>
      <c r="G141" s="15" t="s">
        <v>23</v>
      </c>
      <c r="H141" s="15" t="s">
        <v>1525</v>
      </c>
      <c r="I141" s="15">
        <v>201409</v>
      </c>
      <c r="J141" s="16">
        <v>-147.01</v>
      </c>
      <c r="K141" s="44">
        <f t="shared" si="10"/>
        <v>41883</v>
      </c>
      <c r="L141" s="45">
        <f t="shared" si="11"/>
        <v>9</v>
      </c>
      <c r="M141" s="17">
        <v>1.4833299999999999E-3</v>
      </c>
      <c r="N141" s="46">
        <f t="shared" si="12"/>
        <v>-1.9625790896999997</v>
      </c>
      <c r="O141" s="16"/>
      <c r="P141" s="48">
        <f t="shared" si="13"/>
        <v>-76.2614375</v>
      </c>
      <c r="Q141" s="16"/>
      <c r="R141" s="48">
        <f t="shared" si="14"/>
        <v>-3.3164537187500001</v>
      </c>
      <c r="S141" s="14"/>
    </row>
    <row r="142" spans="1:19">
      <c r="A142" s="14" t="s">
        <v>17</v>
      </c>
      <c r="B142" s="15" t="s">
        <v>511</v>
      </c>
      <c r="C142" s="15" t="s">
        <v>512</v>
      </c>
      <c r="D142" s="14" t="s">
        <v>513</v>
      </c>
      <c r="E142" s="15" t="s">
        <v>324</v>
      </c>
      <c r="F142" s="14" t="s">
        <v>325</v>
      </c>
      <c r="G142" s="15" t="s">
        <v>23</v>
      </c>
      <c r="H142" s="15" t="s">
        <v>1525</v>
      </c>
      <c r="I142" s="15">
        <v>201409</v>
      </c>
      <c r="J142" s="16">
        <v>-818.02</v>
      </c>
      <c r="K142" s="44">
        <f t="shared" si="10"/>
        <v>41883</v>
      </c>
      <c r="L142" s="45">
        <f t="shared" si="11"/>
        <v>9</v>
      </c>
      <c r="M142" s="17">
        <v>1.4833299999999999E-3</v>
      </c>
      <c r="N142" s="46">
        <f t="shared" si="12"/>
        <v>-10.920542459399998</v>
      </c>
      <c r="O142" s="16"/>
      <c r="P142" s="48">
        <f t="shared" si="13"/>
        <v>-424.34787500000004</v>
      </c>
      <c r="Q142" s="16"/>
      <c r="R142" s="48">
        <f t="shared" si="14"/>
        <v>-18.4540199375</v>
      </c>
      <c r="S142" s="14"/>
    </row>
    <row r="143" spans="1:19">
      <c r="A143" s="14" t="s">
        <v>17</v>
      </c>
      <c r="B143" s="15" t="s">
        <v>514</v>
      </c>
      <c r="C143" s="15" t="s">
        <v>515</v>
      </c>
      <c r="D143" s="14" t="s">
        <v>516</v>
      </c>
      <c r="E143" s="15" t="s">
        <v>49</v>
      </c>
      <c r="F143" s="14" t="s">
        <v>22</v>
      </c>
      <c r="G143" s="15" t="s">
        <v>23</v>
      </c>
      <c r="H143" s="15" t="s">
        <v>1525</v>
      </c>
      <c r="I143" s="15">
        <v>201409</v>
      </c>
      <c r="J143" s="16">
        <v>-46.01</v>
      </c>
      <c r="K143" s="44">
        <f t="shared" si="10"/>
        <v>41883</v>
      </c>
      <c r="L143" s="45">
        <f t="shared" si="11"/>
        <v>9</v>
      </c>
      <c r="M143" s="17">
        <v>1.4833299999999999E-3</v>
      </c>
      <c r="N143" s="46">
        <f t="shared" si="12"/>
        <v>-0.61423211969999991</v>
      </c>
      <c r="O143" s="16"/>
      <c r="P143" s="48">
        <f t="shared" si="13"/>
        <v>-23.867687500000002</v>
      </c>
      <c r="Q143" s="16"/>
      <c r="R143" s="48">
        <f t="shared" si="14"/>
        <v>-1.03795684375</v>
      </c>
      <c r="S143" s="14"/>
    </row>
    <row r="144" spans="1:19">
      <c r="A144" s="14" t="s">
        <v>17</v>
      </c>
      <c r="B144" s="15" t="s">
        <v>517</v>
      </c>
      <c r="C144" s="15" t="s">
        <v>518</v>
      </c>
      <c r="D144" s="14" t="s">
        <v>519</v>
      </c>
      <c r="E144" s="15" t="s">
        <v>125</v>
      </c>
      <c r="F144" s="14" t="s">
        <v>126</v>
      </c>
      <c r="G144" s="15" t="s">
        <v>23</v>
      </c>
      <c r="H144" s="15" t="s">
        <v>1525</v>
      </c>
      <c r="I144" s="15">
        <v>201409</v>
      </c>
      <c r="J144" s="16">
        <v>-94.11</v>
      </c>
      <c r="K144" s="44">
        <f t="shared" si="10"/>
        <v>41883</v>
      </c>
      <c r="L144" s="45">
        <f t="shared" si="11"/>
        <v>9</v>
      </c>
      <c r="M144" s="17">
        <v>1.4833299999999999E-3</v>
      </c>
      <c r="N144" s="46">
        <f t="shared" si="12"/>
        <v>-1.2563656767</v>
      </c>
      <c r="O144" s="16"/>
      <c r="P144" s="48">
        <f t="shared" si="13"/>
        <v>-48.819562500000004</v>
      </c>
      <c r="Q144" s="16"/>
      <c r="R144" s="48">
        <f t="shared" si="14"/>
        <v>-2.1230627812499998</v>
      </c>
      <c r="S144" s="14"/>
    </row>
    <row r="145" spans="1:19">
      <c r="A145" s="14" t="s">
        <v>17</v>
      </c>
      <c r="B145" s="15" t="s">
        <v>520</v>
      </c>
      <c r="C145" s="15" t="s">
        <v>521</v>
      </c>
      <c r="D145" s="14" t="s">
        <v>522</v>
      </c>
      <c r="E145" s="15" t="s">
        <v>125</v>
      </c>
      <c r="F145" s="14" t="s">
        <v>126</v>
      </c>
      <c r="G145" s="15" t="s">
        <v>23</v>
      </c>
      <c r="H145" s="15" t="s">
        <v>1525</v>
      </c>
      <c r="I145" s="15">
        <v>201409</v>
      </c>
      <c r="J145" s="16">
        <v>-89.47</v>
      </c>
      <c r="K145" s="44">
        <f t="shared" si="10"/>
        <v>41883</v>
      </c>
      <c r="L145" s="45">
        <f t="shared" si="11"/>
        <v>9</v>
      </c>
      <c r="M145" s="17">
        <v>1.4833299999999999E-3</v>
      </c>
      <c r="N145" s="46">
        <f t="shared" si="12"/>
        <v>-1.1944218159</v>
      </c>
      <c r="O145" s="16"/>
      <c r="P145" s="48">
        <f t="shared" si="13"/>
        <v>-46.4125625</v>
      </c>
      <c r="Q145" s="16"/>
      <c r="R145" s="48">
        <f t="shared" si="14"/>
        <v>-2.0183872812499999</v>
      </c>
      <c r="S145" s="14"/>
    </row>
    <row r="146" spans="1:19">
      <c r="A146" s="14" t="s">
        <v>17</v>
      </c>
      <c r="B146" s="15" t="s">
        <v>523</v>
      </c>
      <c r="C146" s="15" t="s">
        <v>524</v>
      </c>
      <c r="D146" s="14" t="s">
        <v>525</v>
      </c>
      <c r="E146" s="15" t="s">
        <v>141</v>
      </c>
      <c r="F146" s="14" t="s">
        <v>142</v>
      </c>
      <c r="G146" s="15" t="s">
        <v>23</v>
      </c>
      <c r="H146" s="15" t="s">
        <v>1525</v>
      </c>
      <c r="I146" s="15">
        <v>201409</v>
      </c>
      <c r="J146" s="16">
        <v>-54.19</v>
      </c>
      <c r="K146" s="44">
        <f t="shared" si="10"/>
        <v>41883</v>
      </c>
      <c r="L146" s="45">
        <f t="shared" si="11"/>
        <v>9</v>
      </c>
      <c r="M146" s="17">
        <v>1.4833299999999999E-3</v>
      </c>
      <c r="N146" s="46">
        <f t="shared" si="12"/>
        <v>-0.72343487429999997</v>
      </c>
      <c r="O146" s="16"/>
      <c r="P146" s="48">
        <f t="shared" si="13"/>
        <v>-28.111062500000003</v>
      </c>
      <c r="Q146" s="16"/>
      <c r="R146" s="48">
        <f t="shared" si="14"/>
        <v>-1.2224925312499999</v>
      </c>
      <c r="S146" s="14"/>
    </row>
    <row r="147" spans="1:19">
      <c r="A147" s="14" t="s">
        <v>17</v>
      </c>
      <c r="B147" s="15" t="s">
        <v>526</v>
      </c>
      <c r="C147" s="15" t="s">
        <v>527</v>
      </c>
      <c r="D147" s="14" t="s">
        <v>528</v>
      </c>
      <c r="E147" s="15" t="s">
        <v>53</v>
      </c>
      <c r="F147" s="14" t="s">
        <v>41</v>
      </c>
      <c r="G147" s="15" t="s">
        <v>23</v>
      </c>
      <c r="H147" s="15" t="s">
        <v>1526</v>
      </c>
      <c r="I147" s="15">
        <v>201409</v>
      </c>
      <c r="J147" s="16">
        <v>-4837.0200000000004</v>
      </c>
      <c r="K147" s="44">
        <f t="shared" si="10"/>
        <v>41883</v>
      </c>
      <c r="L147" s="45">
        <f t="shared" si="11"/>
        <v>9</v>
      </c>
      <c r="M147" s="17">
        <v>1.4833299999999999E-3</v>
      </c>
      <c r="N147" s="46">
        <f t="shared" si="12"/>
        <v>-64.574071889400003</v>
      </c>
      <c r="O147" s="16"/>
      <c r="P147" s="48">
        <f t="shared" si="13"/>
        <v>-2509.2041250000007</v>
      </c>
      <c r="Q147" s="16"/>
      <c r="R147" s="48">
        <f t="shared" si="14"/>
        <v>-109.12014806250001</v>
      </c>
      <c r="S147" s="14"/>
    </row>
    <row r="148" spans="1:19">
      <c r="A148" s="14" t="s">
        <v>17</v>
      </c>
      <c r="B148" s="15" t="s">
        <v>529</v>
      </c>
      <c r="C148" s="15" t="s">
        <v>530</v>
      </c>
      <c r="D148" s="14" t="s">
        <v>531</v>
      </c>
      <c r="E148" s="15" t="s">
        <v>141</v>
      </c>
      <c r="F148" s="14" t="s">
        <v>142</v>
      </c>
      <c r="G148" s="15" t="s">
        <v>23</v>
      </c>
      <c r="H148" s="15" t="s">
        <v>1525</v>
      </c>
      <c r="I148" s="15">
        <v>201409</v>
      </c>
      <c r="J148" s="16">
        <v>-450.77</v>
      </c>
      <c r="K148" s="44">
        <f t="shared" si="10"/>
        <v>41883</v>
      </c>
      <c r="L148" s="45">
        <f t="shared" si="11"/>
        <v>9</v>
      </c>
      <c r="M148" s="17">
        <v>1.4833299999999999E-3</v>
      </c>
      <c r="N148" s="46">
        <f t="shared" si="12"/>
        <v>-6.0177659768999998</v>
      </c>
      <c r="O148" s="16"/>
      <c r="P148" s="48">
        <f t="shared" si="13"/>
        <v>-233.8369375</v>
      </c>
      <c r="Q148" s="16"/>
      <c r="R148" s="48">
        <f t="shared" si="14"/>
        <v>-10.169089468750002</v>
      </c>
      <c r="S148" s="14"/>
    </row>
    <row r="149" spans="1:19">
      <c r="A149" s="14" t="s">
        <v>17</v>
      </c>
      <c r="B149" s="15" t="s">
        <v>532</v>
      </c>
      <c r="C149" s="15" t="s">
        <v>533</v>
      </c>
      <c r="D149" s="14" t="s">
        <v>534</v>
      </c>
      <c r="E149" s="15" t="s">
        <v>535</v>
      </c>
      <c r="F149" s="14" t="s">
        <v>536</v>
      </c>
      <c r="G149" s="15" t="s">
        <v>23</v>
      </c>
      <c r="H149" s="15" t="s">
        <v>1525</v>
      </c>
      <c r="I149" s="15">
        <v>201409</v>
      </c>
      <c r="J149" s="16">
        <v>-650.67999999999995</v>
      </c>
      <c r="K149" s="44">
        <f t="shared" si="10"/>
        <v>41883</v>
      </c>
      <c r="L149" s="45">
        <f t="shared" si="11"/>
        <v>9</v>
      </c>
      <c r="M149" s="17">
        <v>1.4833299999999999E-3</v>
      </c>
      <c r="N149" s="46">
        <f t="shared" si="12"/>
        <v>-8.6865584795999986</v>
      </c>
      <c r="O149" s="16"/>
      <c r="P149" s="48">
        <f t="shared" si="13"/>
        <v>-337.54025000000001</v>
      </c>
      <c r="Q149" s="16"/>
      <c r="R149" s="48">
        <f t="shared" si="14"/>
        <v>-14.678934125000001</v>
      </c>
      <c r="S149" s="14"/>
    </row>
    <row r="150" spans="1:19">
      <c r="A150" s="14" t="s">
        <v>17</v>
      </c>
      <c r="B150" s="15" t="s">
        <v>537</v>
      </c>
      <c r="C150" s="15" t="s">
        <v>538</v>
      </c>
      <c r="D150" s="14" t="s">
        <v>539</v>
      </c>
      <c r="E150" s="15" t="s">
        <v>53</v>
      </c>
      <c r="F150" s="14" t="s">
        <v>41</v>
      </c>
      <c r="G150" s="15" t="s">
        <v>23</v>
      </c>
      <c r="H150" s="15" t="s">
        <v>1526</v>
      </c>
      <c r="I150" s="15">
        <v>201409</v>
      </c>
      <c r="J150" s="16">
        <v>-295.94</v>
      </c>
      <c r="K150" s="44">
        <f t="shared" si="10"/>
        <v>41883</v>
      </c>
      <c r="L150" s="45">
        <f t="shared" si="11"/>
        <v>9</v>
      </c>
      <c r="M150" s="17">
        <v>1.4833299999999999E-3</v>
      </c>
      <c r="N150" s="46">
        <f t="shared" si="12"/>
        <v>-3.9507901217999999</v>
      </c>
      <c r="O150" s="16"/>
      <c r="P150" s="48">
        <f t="shared" si="13"/>
        <v>-153.51887500000001</v>
      </c>
      <c r="Q150" s="16"/>
      <c r="R150" s="48">
        <f t="shared" si="14"/>
        <v>-6.6762214375000006</v>
      </c>
      <c r="S150" s="14"/>
    </row>
    <row r="151" spans="1:19">
      <c r="A151" s="14" t="s">
        <v>17</v>
      </c>
      <c r="B151" s="15" t="s">
        <v>540</v>
      </c>
      <c r="C151" s="15" t="s">
        <v>541</v>
      </c>
      <c r="D151" s="14" t="s">
        <v>542</v>
      </c>
      <c r="E151" s="15" t="s">
        <v>216</v>
      </c>
      <c r="F151" s="14" t="s">
        <v>22</v>
      </c>
      <c r="G151" s="15" t="s">
        <v>23</v>
      </c>
      <c r="H151" s="15" t="s">
        <v>1525</v>
      </c>
      <c r="I151" s="15">
        <v>201409</v>
      </c>
      <c r="J151" s="16">
        <v>-127.22</v>
      </c>
      <c r="K151" s="44">
        <f t="shared" si="10"/>
        <v>41883</v>
      </c>
      <c r="L151" s="45">
        <f t="shared" si="11"/>
        <v>9</v>
      </c>
      <c r="M151" s="17">
        <v>1.4833299999999999E-3</v>
      </c>
      <c r="N151" s="46">
        <f t="shared" si="12"/>
        <v>-1.6983831833999998</v>
      </c>
      <c r="O151" s="16"/>
      <c r="P151" s="48">
        <f t="shared" si="13"/>
        <v>-65.99537500000001</v>
      </c>
      <c r="Q151" s="16"/>
      <c r="R151" s="48">
        <f t="shared" si="14"/>
        <v>-2.8700036875000001</v>
      </c>
      <c r="S151" s="14"/>
    </row>
    <row r="152" spans="1:19">
      <c r="A152" s="14" t="s">
        <v>54</v>
      </c>
      <c r="B152" s="15" t="s">
        <v>546</v>
      </c>
      <c r="C152" s="15" t="s">
        <v>547</v>
      </c>
      <c r="D152" s="14" t="s">
        <v>548</v>
      </c>
      <c r="E152" s="15" t="s">
        <v>141</v>
      </c>
      <c r="F152" s="14" t="s">
        <v>142</v>
      </c>
      <c r="G152" s="15" t="s">
        <v>23</v>
      </c>
      <c r="H152" s="15" t="s">
        <v>1525</v>
      </c>
      <c r="I152" s="15">
        <v>201409</v>
      </c>
      <c r="J152" s="16">
        <v>-1572.84</v>
      </c>
      <c r="K152" s="44">
        <f t="shared" si="10"/>
        <v>41883</v>
      </c>
      <c r="L152" s="45">
        <f t="shared" si="11"/>
        <v>9</v>
      </c>
      <c r="M152" s="17">
        <v>1.4833299999999999E-3</v>
      </c>
      <c r="N152" s="46">
        <f t="shared" si="12"/>
        <v>-20.997366814799996</v>
      </c>
      <c r="O152" s="16"/>
      <c r="P152" s="48">
        <f t="shared" si="13"/>
        <v>-815.91075000000001</v>
      </c>
      <c r="Q152" s="16"/>
      <c r="R152" s="48">
        <f t="shared" si="14"/>
        <v>-35.482287374999999</v>
      </c>
      <c r="S152" s="14"/>
    </row>
    <row r="153" spans="1:19">
      <c r="A153" s="14" t="s">
        <v>54</v>
      </c>
      <c r="B153" s="15" t="s">
        <v>549</v>
      </c>
      <c r="C153" s="15" t="s">
        <v>550</v>
      </c>
      <c r="D153" s="14" t="s">
        <v>551</v>
      </c>
      <c r="E153" s="15" t="s">
        <v>136</v>
      </c>
      <c r="F153" s="14" t="s">
        <v>137</v>
      </c>
      <c r="G153" s="15" t="s">
        <v>23</v>
      </c>
      <c r="H153" s="15" t="s">
        <v>1526</v>
      </c>
      <c r="I153" s="15">
        <v>201409</v>
      </c>
      <c r="J153" s="16">
        <v>-3150.43</v>
      </c>
      <c r="K153" s="44">
        <f t="shared" ref="K153:K216" si="15">+K152</f>
        <v>41883</v>
      </c>
      <c r="L153" s="45">
        <f t="shared" si="11"/>
        <v>9</v>
      </c>
      <c r="M153" s="17">
        <v>1.4833299999999999E-3</v>
      </c>
      <c r="N153" s="46">
        <f t="shared" si="12"/>
        <v>-42.058145987099998</v>
      </c>
      <c r="O153" s="16"/>
      <c r="P153" s="48">
        <f t="shared" si="13"/>
        <v>-1634.2855625</v>
      </c>
      <c r="Q153" s="16"/>
      <c r="R153" s="48">
        <f t="shared" si="14"/>
        <v>-71.071731781249994</v>
      </c>
      <c r="S153" s="14"/>
    </row>
    <row r="154" spans="1:19">
      <c r="A154" s="14" t="s">
        <v>17</v>
      </c>
      <c r="B154" s="15" t="s">
        <v>552</v>
      </c>
      <c r="C154" s="15" t="s">
        <v>553</v>
      </c>
      <c r="D154" s="14" t="s">
        <v>554</v>
      </c>
      <c r="E154" s="15" t="s">
        <v>62</v>
      </c>
      <c r="F154" s="14" t="s">
        <v>22</v>
      </c>
      <c r="G154" s="15" t="s">
        <v>23</v>
      </c>
      <c r="H154" s="15" t="s">
        <v>1525</v>
      </c>
      <c r="I154" s="15">
        <v>201409</v>
      </c>
      <c r="J154" s="16">
        <v>-1309.6400000000001</v>
      </c>
      <c r="K154" s="44">
        <f t="shared" si="15"/>
        <v>41883</v>
      </c>
      <c r="L154" s="45">
        <f t="shared" si="11"/>
        <v>9</v>
      </c>
      <c r="M154" s="17">
        <v>1.4833299999999999E-3</v>
      </c>
      <c r="N154" s="46">
        <f t="shared" si="12"/>
        <v>-17.4836547108</v>
      </c>
      <c r="O154" s="16"/>
      <c r="P154" s="48">
        <f t="shared" si="13"/>
        <v>-679.37575000000015</v>
      </c>
      <c r="Q154" s="16"/>
      <c r="R154" s="48">
        <f t="shared" si="14"/>
        <v>-29.544659875000004</v>
      </c>
      <c r="S154" s="14"/>
    </row>
    <row r="155" spans="1:19">
      <c r="A155" s="14" t="s">
        <v>17</v>
      </c>
      <c r="B155" s="15" t="s">
        <v>555</v>
      </c>
      <c r="C155" s="15" t="s">
        <v>556</v>
      </c>
      <c r="D155" s="14" t="s">
        <v>557</v>
      </c>
      <c r="E155" s="15" t="s">
        <v>141</v>
      </c>
      <c r="F155" s="14" t="s">
        <v>142</v>
      </c>
      <c r="G155" s="15" t="s">
        <v>23</v>
      </c>
      <c r="H155" s="15" t="s">
        <v>1525</v>
      </c>
      <c r="I155" s="15">
        <v>201409</v>
      </c>
      <c r="J155" s="16">
        <v>-399.68</v>
      </c>
      <c r="K155" s="44">
        <f t="shared" si="15"/>
        <v>41883</v>
      </c>
      <c r="L155" s="45">
        <f t="shared" si="11"/>
        <v>9</v>
      </c>
      <c r="M155" s="17">
        <v>1.4833299999999999E-3</v>
      </c>
      <c r="N155" s="46">
        <f t="shared" si="12"/>
        <v>-5.3357160095999996</v>
      </c>
      <c r="O155" s="16"/>
      <c r="P155" s="48">
        <f t="shared" si="13"/>
        <v>-207.33400000000003</v>
      </c>
      <c r="Q155" s="16"/>
      <c r="R155" s="48">
        <f t="shared" si="14"/>
        <v>-9.0165310000000005</v>
      </c>
      <c r="S155" s="14"/>
    </row>
    <row r="156" spans="1:19">
      <c r="A156" s="14" t="s">
        <v>54</v>
      </c>
      <c r="B156" s="15" t="s">
        <v>558</v>
      </c>
      <c r="C156" s="15" t="s">
        <v>559</v>
      </c>
      <c r="D156" s="14" t="s">
        <v>560</v>
      </c>
      <c r="E156" s="15" t="s">
        <v>36</v>
      </c>
      <c r="F156" s="14" t="s">
        <v>22</v>
      </c>
      <c r="G156" s="15" t="s">
        <v>23</v>
      </c>
      <c r="H156" s="15" t="s">
        <v>1525</v>
      </c>
      <c r="I156" s="15">
        <v>201409</v>
      </c>
      <c r="J156" s="16">
        <v>-480.27</v>
      </c>
      <c r="K156" s="44">
        <f t="shared" si="15"/>
        <v>41883</v>
      </c>
      <c r="L156" s="45">
        <f t="shared" si="11"/>
        <v>9</v>
      </c>
      <c r="M156" s="17">
        <v>1.4833299999999999E-3</v>
      </c>
      <c r="N156" s="46">
        <f t="shared" si="12"/>
        <v>-6.4115900918999991</v>
      </c>
      <c r="O156" s="16"/>
      <c r="P156" s="48">
        <f t="shared" si="13"/>
        <v>-249.1400625</v>
      </c>
      <c r="Q156" s="16"/>
      <c r="R156" s="48">
        <f t="shared" si="14"/>
        <v>-10.83459103125</v>
      </c>
      <c r="S156" s="14"/>
    </row>
    <row r="157" spans="1:19">
      <c r="A157" s="14" t="s">
        <v>54</v>
      </c>
      <c r="B157" s="15" t="s">
        <v>561</v>
      </c>
      <c r="C157" s="15" t="s">
        <v>562</v>
      </c>
      <c r="D157" s="14" t="s">
        <v>563</v>
      </c>
      <c r="E157" s="15" t="s">
        <v>58</v>
      </c>
      <c r="F157" s="14" t="s">
        <v>22</v>
      </c>
      <c r="G157" s="15" t="s">
        <v>23</v>
      </c>
      <c r="H157" s="15" t="s">
        <v>1525</v>
      </c>
      <c r="I157" s="15">
        <v>201409</v>
      </c>
      <c r="J157" s="16">
        <v>-363.06</v>
      </c>
      <c r="K157" s="44">
        <f t="shared" si="15"/>
        <v>41883</v>
      </c>
      <c r="L157" s="45">
        <f t="shared" si="11"/>
        <v>9</v>
      </c>
      <c r="M157" s="17">
        <v>1.4833299999999999E-3</v>
      </c>
      <c r="N157" s="46">
        <f t="shared" si="12"/>
        <v>-4.8468401081999994</v>
      </c>
      <c r="O157" s="16"/>
      <c r="P157" s="48">
        <f t="shared" si="13"/>
        <v>-188.33737500000001</v>
      </c>
      <c r="Q157" s="16"/>
      <c r="R157" s="48">
        <f t="shared" si="14"/>
        <v>-8.1904066875000012</v>
      </c>
      <c r="S157" s="14"/>
    </row>
    <row r="158" spans="1:19">
      <c r="A158" s="14" t="s">
        <v>17</v>
      </c>
      <c r="B158" s="15" t="s">
        <v>564</v>
      </c>
      <c r="C158" s="15" t="s">
        <v>565</v>
      </c>
      <c r="D158" s="14" t="s">
        <v>566</v>
      </c>
      <c r="E158" s="15" t="s">
        <v>567</v>
      </c>
      <c r="F158" s="14" t="s">
        <v>137</v>
      </c>
      <c r="G158" s="15" t="s">
        <v>23</v>
      </c>
      <c r="H158" s="15" t="s">
        <v>1526</v>
      </c>
      <c r="I158" s="15">
        <v>201409</v>
      </c>
      <c r="J158" s="16">
        <v>13.59</v>
      </c>
      <c r="K158" s="44">
        <f t="shared" si="15"/>
        <v>41883</v>
      </c>
      <c r="L158" s="45">
        <f t="shared" si="11"/>
        <v>9</v>
      </c>
      <c r="M158" s="17">
        <v>1.4833299999999999E-3</v>
      </c>
      <c r="N158" s="46">
        <f t="shared" si="12"/>
        <v>0.18142609229999998</v>
      </c>
      <c r="O158" s="16"/>
      <c r="P158" s="48">
        <f t="shared" si="13"/>
        <v>7.0498125000000007</v>
      </c>
      <c r="Q158" s="16"/>
      <c r="R158" s="48">
        <f t="shared" si="14"/>
        <v>0.30658190625000004</v>
      </c>
      <c r="S158" s="14"/>
    </row>
    <row r="159" spans="1:19">
      <c r="A159" s="14" t="s">
        <v>17</v>
      </c>
      <c r="B159" s="15" t="s">
        <v>568</v>
      </c>
      <c r="C159" s="15" t="s">
        <v>569</v>
      </c>
      <c r="D159" s="14" t="s">
        <v>570</v>
      </c>
      <c r="E159" s="15" t="s">
        <v>324</v>
      </c>
      <c r="F159" s="14" t="s">
        <v>325</v>
      </c>
      <c r="G159" s="15" t="s">
        <v>23</v>
      </c>
      <c r="H159" s="15" t="s">
        <v>1525</v>
      </c>
      <c r="I159" s="15">
        <v>201409</v>
      </c>
      <c r="J159" s="16">
        <v>-124.35</v>
      </c>
      <c r="K159" s="44">
        <f t="shared" si="15"/>
        <v>41883</v>
      </c>
      <c r="L159" s="45">
        <f t="shared" si="11"/>
        <v>9</v>
      </c>
      <c r="M159" s="17">
        <v>1.4833299999999999E-3</v>
      </c>
      <c r="N159" s="46">
        <f t="shared" si="12"/>
        <v>-1.6600687694999998</v>
      </c>
      <c r="O159" s="16"/>
      <c r="P159" s="48">
        <f t="shared" si="13"/>
        <v>-64.506562500000001</v>
      </c>
      <c r="Q159" s="16"/>
      <c r="R159" s="48">
        <f t="shared" si="14"/>
        <v>-2.80525828125</v>
      </c>
      <c r="S159" s="14"/>
    </row>
    <row r="160" spans="1:19">
      <c r="A160" s="14" t="s">
        <v>17</v>
      </c>
      <c r="B160" s="15" t="s">
        <v>571</v>
      </c>
      <c r="C160" s="15" t="s">
        <v>572</v>
      </c>
      <c r="D160" s="14" t="s">
        <v>573</v>
      </c>
      <c r="E160" s="15" t="s">
        <v>574</v>
      </c>
      <c r="F160" s="14" t="s">
        <v>28</v>
      </c>
      <c r="G160" s="15" t="s">
        <v>23</v>
      </c>
      <c r="H160" s="15" t="s">
        <v>1525</v>
      </c>
      <c r="I160" s="15">
        <v>201409</v>
      </c>
      <c r="J160" s="16">
        <v>-89.13</v>
      </c>
      <c r="K160" s="44">
        <f t="shared" si="15"/>
        <v>41883</v>
      </c>
      <c r="L160" s="45">
        <f t="shared" si="11"/>
        <v>9</v>
      </c>
      <c r="M160" s="17">
        <v>1.4833299999999999E-3</v>
      </c>
      <c r="N160" s="46">
        <f t="shared" si="12"/>
        <v>-1.1898828260999998</v>
      </c>
      <c r="O160" s="16"/>
      <c r="P160" s="48">
        <f t="shared" si="13"/>
        <v>-46.2361875</v>
      </c>
      <c r="Q160" s="16"/>
      <c r="R160" s="48">
        <f t="shared" si="14"/>
        <v>-2.0107170937499999</v>
      </c>
      <c r="S160" s="14"/>
    </row>
    <row r="161" spans="1:19">
      <c r="A161" s="14" t="s">
        <v>17</v>
      </c>
      <c r="B161" s="15" t="s">
        <v>575</v>
      </c>
      <c r="C161" s="15" t="s">
        <v>576</v>
      </c>
      <c r="D161" s="14" t="s">
        <v>577</v>
      </c>
      <c r="E161" s="15" t="s">
        <v>462</v>
      </c>
      <c r="F161" s="14" t="s">
        <v>142</v>
      </c>
      <c r="G161" s="15" t="s">
        <v>23</v>
      </c>
      <c r="H161" s="15" t="s">
        <v>1525</v>
      </c>
      <c r="I161" s="15">
        <v>201409</v>
      </c>
      <c r="J161" s="16">
        <v>-34.44</v>
      </c>
      <c r="K161" s="44">
        <f t="shared" si="15"/>
        <v>41883</v>
      </c>
      <c r="L161" s="45">
        <f t="shared" si="11"/>
        <v>9</v>
      </c>
      <c r="M161" s="17">
        <v>1.4833299999999999E-3</v>
      </c>
      <c r="N161" s="46">
        <f t="shared" si="12"/>
        <v>-0.45977296679999996</v>
      </c>
      <c r="O161" s="16"/>
      <c r="P161" s="48">
        <f t="shared" si="13"/>
        <v>-17.865750000000002</v>
      </c>
      <c r="Q161" s="16"/>
      <c r="R161" s="48">
        <f t="shared" si="14"/>
        <v>-0.77694487500000009</v>
      </c>
      <c r="S161" s="14"/>
    </row>
    <row r="162" spans="1:19">
      <c r="A162" s="14" t="s">
        <v>54</v>
      </c>
      <c r="B162" s="15" t="s">
        <v>575</v>
      </c>
      <c r="C162" s="15" t="s">
        <v>576</v>
      </c>
      <c r="D162" s="14" t="s">
        <v>577</v>
      </c>
      <c r="E162" s="15" t="s">
        <v>462</v>
      </c>
      <c r="F162" s="14" t="s">
        <v>142</v>
      </c>
      <c r="G162" s="15" t="s">
        <v>23</v>
      </c>
      <c r="H162" s="15" t="s">
        <v>1525</v>
      </c>
      <c r="I162" s="15">
        <v>201409</v>
      </c>
      <c r="J162" s="16">
        <v>-1935.85</v>
      </c>
      <c r="K162" s="44">
        <f t="shared" si="15"/>
        <v>41883</v>
      </c>
      <c r="L162" s="45">
        <f t="shared" si="11"/>
        <v>9</v>
      </c>
      <c r="M162" s="17">
        <v>1.4833299999999999E-3</v>
      </c>
      <c r="N162" s="46">
        <f t="shared" si="12"/>
        <v>-25.843539424499998</v>
      </c>
      <c r="O162" s="16"/>
      <c r="P162" s="48">
        <f t="shared" si="13"/>
        <v>-1004.2221875</v>
      </c>
      <c r="Q162" s="16"/>
      <c r="R162" s="48">
        <f t="shared" si="14"/>
        <v>-43.671566093750002</v>
      </c>
      <c r="S162" s="14"/>
    </row>
    <row r="163" spans="1:19">
      <c r="A163" s="14" t="s">
        <v>54</v>
      </c>
      <c r="B163" s="15" t="s">
        <v>578</v>
      </c>
      <c r="C163" s="15" t="s">
        <v>579</v>
      </c>
      <c r="D163" s="14" t="s">
        <v>580</v>
      </c>
      <c r="E163" s="15" t="s">
        <v>136</v>
      </c>
      <c r="F163" s="14" t="s">
        <v>137</v>
      </c>
      <c r="G163" s="15" t="s">
        <v>23</v>
      </c>
      <c r="H163" s="15" t="s">
        <v>1526</v>
      </c>
      <c r="I163" s="15">
        <v>201409</v>
      </c>
      <c r="J163" s="16">
        <v>-19.86</v>
      </c>
      <c r="K163" s="44">
        <f t="shared" si="15"/>
        <v>41883</v>
      </c>
      <c r="L163" s="45">
        <f t="shared" si="11"/>
        <v>9</v>
      </c>
      <c r="M163" s="17">
        <v>1.4833299999999999E-3</v>
      </c>
      <c r="N163" s="46">
        <f t="shared" si="12"/>
        <v>-0.2651304042</v>
      </c>
      <c r="O163" s="16"/>
      <c r="P163" s="48">
        <f t="shared" si="13"/>
        <v>-10.302375000000001</v>
      </c>
      <c r="Q163" s="16"/>
      <c r="R163" s="48">
        <f t="shared" si="14"/>
        <v>-0.44802918750000004</v>
      </c>
      <c r="S163" s="14"/>
    </row>
    <row r="164" spans="1:19">
      <c r="A164" s="14" t="s">
        <v>54</v>
      </c>
      <c r="B164" s="15" t="s">
        <v>581</v>
      </c>
      <c r="C164" s="15" t="s">
        <v>582</v>
      </c>
      <c r="D164" s="14" t="s">
        <v>583</v>
      </c>
      <c r="E164" s="15" t="s">
        <v>104</v>
      </c>
      <c r="F164" s="14" t="s">
        <v>41</v>
      </c>
      <c r="G164" s="15" t="s">
        <v>23</v>
      </c>
      <c r="H164" s="15" t="s">
        <v>1526</v>
      </c>
      <c r="I164" s="15">
        <v>201409</v>
      </c>
      <c r="J164" s="16">
        <v>97223.13</v>
      </c>
      <c r="K164" s="44">
        <f t="shared" si="15"/>
        <v>41883</v>
      </c>
      <c r="L164" s="45">
        <f t="shared" si="11"/>
        <v>9</v>
      </c>
      <c r="M164" s="17">
        <v>1.4833299999999999E-3</v>
      </c>
      <c r="N164" s="46">
        <f t="shared" si="12"/>
        <v>1297.9258688061</v>
      </c>
      <c r="O164" s="16"/>
      <c r="P164" s="48">
        <f t="shared" si="13"/>
        <v>50434.498687500003</v>
      </c>
      <c r="Q164" s="16"/>
      <c r="R164" s="48">
        <f t="shared" si="14"/>
        <v>2193.2930483437503</v>
      </c>
      <c r="S164" s="14"/>
    </row>
    <row r="165" spans="1:19">
      <c r="A165" s="14" t="s">
        <v>17</v>
      </c>
      <c r="B165" s="15" t="s">
        <v>584</v>
      </c>
      <c r="C165" s="15" t="s">
        <v>585</v>
      </c>
      <c r="D165" s="14" t="s">
        <v>586</v>
      </c>
      <c r="E165" s="15" t="s">
        <v>62</v>
      </c>
      <c r="F165" s="14" t="s">
        <v>22</v>
      </c>
      <c r="G165" s="15" t="s">
        <v>23</v>
      </c>
      <c r="H165" s="15" t="s">
        <v>1525</v>
      </c>
      <c r="I165" s="15">
        <v>201409</v>
      </c>
      <c r="J165" s="16">
        <v>-7974.11</v>
      </c>
      <c r="K165" s="44">
        <f t="shared" si="15"/>
        <v>41883</v>
      </c>
      <c r="L165" s="45">
        <f t="shared" si="11"/>
        <v>9</v>
      </c>
      <c r="M165" s="17">
        <v>1.4833299999999999E-3</v>
      </c>
      <c r="N165" s="46">
        <f t="shared" si="12"/>
        <v>-106.45412927669999</v>
      </c>
      <c r="O165" s="16"/>
      <c r="P165" s="48">
        <f t="shared" si="13"/>
        <v>-4136.5695624999998</v>
      </c>
      <c r="Q165" s="16"/>
      <c r="R165" s="48">
        <f t="shared" si="14"/>
        <v>-179.89093778124999</v>
      </c>
      <c r="S165" s="14"/>
    </row>
    <row r="166" spans="1:19">
      <c r="A166" s="14" t="s">
        <v>66</v>
      </c>
      <c r="B166" s="15" t="s">
        <v>587</v>
      </c>
      <c r="C166" s="15" t="s">
        <v>588</v>
      </c>
      <c r="D166" s="14" t="s">
        <v>589</v>
      </c>
      <c r="E166" s="15" t="s">
        <v>590</v>
      </c>
      <c r="F166" s="14" t="s">
        <v>591</v>
      </c>
      <c r="G166" s="15" t="s">
        <v>23</v>
      </c>
      <c r="H166" s="15" t="s">
        <v>1530</v>
      </c>
      <c r="I166" s="15">
        <v>201409</v>
      </c>
      <c r="J166" s="16">
        <v>-3.04</v>
      </c>
      <c r="K166" s="44">
        <f t="shared" si="15"/>
        <v>41883</v>
      </c>
      <c r="L166" s="45">
        <f t="shared" si="11"/>
        <v>9</v>
      </c>
      <c r="M166" s="17">
        <v>2.23333E-3</v>
      </c>
      <c r="N166" s="46">
        <f t="shared" si="12"/>
        <v>-6.1103908799999995E-2</v>
      </c>
      <c r="O166" s="16"/>
      <c r="P166" s="48">
        <f t="shared" si="13"/>
        <v>-1.5770000000000002</v>
      </c>
      <c r="Q166" s="16"/>
      <c r="R166" s="48">
        <f t="shared" si="14"/>
        <v>-6.8580500000000003E-2</v>
      </c>
      <c r="S166" s="14"/>
    </row>
    <row r="167" spans="1:19">
      <c r="A167" s="14" t="s">
        <v>66</v>
      </c>
      <c r="B167" s="15" t="s">
        <v>592</v>
      </c>
      <c r="C167" s="15" t="s">
        <v>593</v>
      </c>
      <c r="D167" s="14" t="s">
        <v>381</v>
      </c>
      <c r="E167" s="15" t="s">
        <v>594</v>
      </c>
      <c r="F167" s="14" t="s">
        <v>212</v>
      </c>
      <c r="G167" s="15" t="s">
        <v>23</v>
      </c>
      <c r="H167" s="15" t="s">
        <v>1530</v>
      </c>
      <c r="I167" s="15">
        <v>201409</v>
      </c>
      <c r="J167" s="16">
        <v>-383.88</v>
      </c>
      <c r="K167" s="44">
        <f t="shared" si="15"/>
        <v>41883</v>
      </c>
      <c r="L167" s="45">
        <f t="shared" si="11"/>
        <v>9</v>
      </c>
      <c r="M167" s="17">
        <v>2.23333E-3</v>
      </c>
      <c r="N167" s="46">
        <f t="shared" si="12"/>
        <v>-7.7159764835999995</v>
      </c>
      <c r="O167" s="16"/>
      <c r="P167" s="48">
        <f t="shared" si="13"/>
        <v>-199.13775000000001</v>
      </c>
      <c r="Q167" s="16"/>
      <c r="R167" s="48">
        <f t="shared" si="14"/>
        <v>-8.6600928750000001</v>
      </c>
      <c r="S167" s="14"/>
    </row>
    <row r="168" spans="1:19">
      <c r="A168" s="14" t="s">
        <v>66</v>
      </c>
      <c r="B168" s="15" t="s">
        <v>595</v>
      </c>
      <c r="C168" s="15" t="s">
        <v>596</v>
      </c>
      <c r="D168" s="14" t="s">
        <v>597</v>
      </c>
      <c r="E168" s="15" t="s">
        <v>598</v>
      </c>
      <c r="F168" s="14" t="s">
        <v>212</v>
      </c>
      <c r="G168" s="15" t="s">
        <v>23</v>
      </c>
      <c r="H168" s="15" t="s">
        <v>1530</v>
      </c>
      <c r="I168" s="15">
        <v>201409</v>
      </c>
      <c r="J168" s="16">
        <v>260099.33</v>
      </c>
      <c r="K168" s="44">
        <f t="shared" si="15"/>
        <v>41883</v>
      </c>
      <c r="L168" s="45">
        <f t="shared" si="11"/>
        <v>9</v>
      </c>
      <c r="M168" s="17">
        <v>2.23333E-3</v>
      </c>
      <c r="N168" s="46">
        <f t="shared" si="12"/>
        <v>5227.988730020099</v>
      </c>
      <c r="O168" s="16"/>
      <c r="P168" s="48">
        <f t="shared" si="13"/>
        <v>134926.52743750002</v>
      </c>
      <c r="Q168" s="16"/>
      <c r="R168" s="48">
        <f t="shared" si="14"/>
        <v>5867.6783227187498</v>
      </c>
      <c r="S168" s="14"/>
    </row>
    <row r="169" spans="1:19">
      <c r="A169" s="14" t="s">
        <v>66</v>
      </c>
      <c r="B169" s="15" t="s">
        <v>599</v>
      </c>
      <c r="C169" s="15" t="s">
        <v>600</v>
      </c>
      <c r="D169" s="14" t="s">
        <v>385</v>
      </c>
      <c r="E169" s="15" t="s">
        <v>601</v>
      </c>
      <c r="F169" s="14" t="s">
        <v>387</v>
      </c>
      <c r="G169" s="15" t="s">
        <v>23</v>
      </c>
      <c r="H169" s="15" t="s">
        <v>1530</v>
      </c>
      <c r="I169" s="15">
        <v>201409</v>
      </c>
      <c r="J169" s="16">
        <v>3438.85</v>
      </c>
      <c r="K169" s="44">
        <f t="shared" si="15"/>
        <v>41883</v>
      </c>
      <c r="L169" s="45">
        <f t="shared" si="11"/>
        <v>9</v>
      </c>
      <c r="M169" s="17">
        <v>2.23333E-3</v>
      </c>
      <c r="N169" s="46">
        <f t="shared" si="12"/>
        <v>69.120781834499994</v>
      </c>
      <c r="O169" s="16"/>
      <c r="P169" s="48">
        <f t="shared" si="13"/>
        <v>1783.9034375000001</v>
      </c>
      <c r="Q169" s="16"/>
      <c r="R169" s="48">
        <f t="shared" si="14"/>
        <v>77.57830671875</v>
      </c>
      <c r="S169" s="14"/>
    </row>
    <row r="170" spans="1:19">
      <c r="A170" s="14" t="s">
        <v>17</v>
      </c>
      <c r="B170" s="15" t="s">
        <v>602</v>
      </c>
      <c r="C170" s="15" t="s">
        <v>603</v>
      </c>
      <c r="D170" s="14" t="s">
        <v>604</v>
      </c>
      <c r="E170" s="15" t="s">
        <v>58</v>
      </c>
      <c r="F170" s="14" t="s">
        <v>22</v>
      </c>
      <c r="G170" s="15" t="s">
        <v>23</v>
      </c>
      <c r="H170" s="15" t="s">
        <v>1525</v>
      </c>
      <c r="I170" s="15">
        <v>201409</v>
      </c>
      <c r="J170" s="16">
        <v>50.89</v>
      </c>
      <c r="K170" s="44">
        <f t="shared" si="15"/>
        <v>41883</v>
      </c>
      <c r="L170" s="45">
        <f t="shared" si="11"/>
        <v>9</v>
      </c>
      <c r="M170" s="17">
        <v>1.4833299999999999E-3</v>
      </c>
      <c r="N170" s="46">
        <f t="shared" si="12"/>
        <v>0.6793799733</v>
      </c>
      <c r="O170" s="16"/>
      <c r="P170" s="48">
        <f t="shared" si="13"/>
        <v>26.399187500000004</v>
      </c>
      <c r="Q170" s="16"/>
      <c r="R170" s="48">
        <f t="shared" si="14"/>
        <v>1.1480465937500002</v>
      </c>
      <c r="S170" s="14"/>
    </row>
    <row r="171" spans="1:19">
      <c r="A171" s="18" t="s">
        <v>17</v>
      </c>
      <c r="B171" s="15" t="s">
        <v>605</v>
      </c>
      <c r="C171" s="15" t="s">
        <v>606</v>
      </c>
      <c r="D171" s="14" t="s">
        <v>607</v>
      </c>
      <c r="E171" s="15" t="s">
        <v>62</v>
      </c>
      <c r="F171" s="14" t="s">
        <v>22</v>
      </c>
      <c r="G171" s="15" t="s">
        <v>23</v>
      </c>
      <c r="H171" s="15" t="s">
        <v>1525</v>
      </c>
      <c r="I171" s="15">
        <v>201409</v>
      </c>
      <c r="J171" s="16">
        <v>-1362.37</v>
      </c>
      <c r="K171" s="44">
        <f t="shared" si="15"/>
        <v>41883</v>
      </c>
      <c r="L171" s="45">
        <f t="shared" si="11"/>
        <v>9</v>
      </c>
      <c r="M171" s="17">
        <v>1.4833299999999999E-3</v>
      </c>
      <c r="N171" s="46">
        <f t="shared" si="12"/>
        <v>-18.187598628899998</v>
      </c>
      <c r="O171" s="16"/>
      <c r="P171" s="48">
        <f t="shared" si="13"/>
        <v>-706.72943750000002</v>
      </c>
      <c r="Q171" s="16"/>
      <c r="R171" s="48">
        <f t="shared" si="14"/>
        <v>-30.734215718750001</v>
      </c>
      <c r="S171" s="14"/>
    </row>
    <row r="172" spans="1:19">
      <c r="A172" s="18" t="s">
        <v>17</v>
      </c>
      <c r="B172" s="15" t="s">
        <v>608</v>
      </c>
      <c r="C172" s="15" t="s">
        <v>609</v>
      </c>
      <c r="D172" s="14" t="s">
        <v>610</v>
      </c>
      <c r="E172" s="15" t="s">
        <v>45</v>
      </c>
      <c r="F172" s="14" t="s">
        <v>22</v>
      </c>
      <c r="G172" s="15" t="s">
        <v>23</v>
      </c>
      <c r="H172" s="15" t="s">
        <v>1525</v>
      </c>
      <c r="I172" s="15">
        <v>201409</v>
      </c>
      <c r="J172" s="16">
        <v>-283.43</v>
      </c>
      <c r="K172" s="44">
        <f t="shared" si="15"/>
        <v>41883</v>
      </c>
      <c r="L172" s="45">
        <f t="shared" si="11"/>
        <v>9</v>
      </c>
      <c r="M172" s="17">
        <v>1.4833299999999999E-3</v>
      </c>
      <c r="N172" s="46">
        <f t="shared" si="12"/>
        <v>-3.7837819970999997</v>
      </c>
      <c r="O172" s="16"/>
      <c r="P172" s="48">
        <f t="shared" si="13"/>
        <v>-147.0293125</v>
      </c>
      <c r="Q172" s="16"/>
      <c r="R172" s="48">
        <f t="shared" si="14"/>
        <v>-6.3940036562499998</v>
      </c>
      <c r="S172" s="14"/>
    </row>
    <row r="173" spans="1:19">
      <c r="A173" s="18" t="s">
        <v>17</v>
      </c>
      <c r="B173" s="15" t="s">
        <v>611</v>
      </c>
      <c r="C173" s="15" t="s">
        <v>612</v>
      </c>
      <c r="D173" s="14" t="s">
        <v>613</v>
      </c>
      <c r="E173" s="15" t="s">
        <v>324</v>
      </c>
      <c r="F173" s="14" t="s">
        <v>325</v>
      </c>
      <c r="G173" s="15" t="s">
        <v>23</v>
      </c>
      <c r="H173" s="15" t="s">
        <v>1525</v>
      </c>
      <c r="I173" s="15">
        <v>201409</v>
      </c>
      <c r="J173" s="16">
        <v>-386.84</v>
      </c>
      <c r="K173" s="44">
        <f t="shared" si="15"/>
        <v>41883</v>
      </c>
      <c r="L173" s="45">
        <f t="shared" si="11"/>
        <v>9</v>
      </c>
      <c r="M173" s="17">
        <v>1.4833299999999999E-3</v>
      </c>
      <c r="N173" s="46">
        <f t="shared" si="12"/>
        <v>-5.1643023947999991</v>
      </c>
      <c r="O173" s="16"/>
      <c r="P173" s="48">
        <f t="shared" si="13"/>
        <v>-200.67325</v>
      </c>
      <c r="Q173" s="16"/>
      <c r="R173" s="48">
        <f t="shared" si="14"/>
        <v>-8.7268686249999998</v>
      </c>
      <c r="S173" s="14"/>
    </row>
    <row r="174" spans="1:19">
      <c r="A174" s="18" t="s">
        <v>17</v>
      </c>
      <c r="B174" s="15" t="s">
        <v>614</v>
      </c>
      <c r="C174" s="15" t="s">
        <v>615</v>
      </c>
      <c r="D174" s="14" t="s">
        <v>616</v>
      </c>
      <c r="E174" s="15" t="s">
        <v>40</v>
      </c>
      <c r="F174" s="14" t="s">
        <v>41</v>
      </c>
      <c r="G174" s="15" t="s">
        <v>23</v>
      </c>
      <c r="H174" s="15" t="s">
        <v>1526</v>
      </c>
      <c r="I174" s="15">
        <v>201409</v>
      </c>
      <c r="J174" s="16">
        <v>-6.15</v>
      </c>
      <c r="K174" s="44">
        <f t="shared" si="15"/>
        <v>41883</v>
      </c>
      <c r="L174" s="45">
        <f t="shared" si="11"/>
        <v>9</v>
      </c>
      <c r="M174" s="17">
        <v>1.4833299999999999E-3</v>
      </c>
      <c r="N174" s="46">
        <f t="shared" si="12"/>
        <v>-8.2102315499999995E-2</v>
      </c>
      <c r="O174" s="16"/>
      <c r="P174" s="48">
        <f t="shared" si="13"/>
        <v>-3.1903125000000006</v>
      </c>
      <c r="Q174" s="16"/>
      <c r="R174" s="48">
        <f t="shared" si="14"/>
        <v>-0.13874015625000002</v>
      </c>
      <c r="S174" s="14"/>
    </row>
    <row r="175" spans="1:19">
      <c r="A175" s="18" t="s">
        <v>17</v>
      </c>
      <c r="B175" s="15" t="s">
        <v>617</v>
      </c>
      <c r="C175" s="15" t="s">
        <v>618</v>
      </c>
      <c r="D175" s="14" t="s">
        <v>619</v>
      </c>
      <c r="E175" s="15" t="s">
        <v>141</v>
      </c>
      <c r="F175" s="14" t="s">
        <v>142</v>
      </c>
      <c r="G175" s="15" t="s">
        <v>23</v>
      </c>
      <c r="H175" s="15" t="s">
        <v>1525</v>
      </c>
      <c r="I175" s="15">
        <v>201409</v>
      </c>
      <c r="J175" s="16">
        <v>-725.84</v>
      </c>
      <c r="K175" s="44">
        <f t="shared" si="15"/>
        <v>41883</v>
      </c>
      <c r="L175" s="45">
        <f t="shared" si="11"/>
        <v>9</v>
      </c>
      <c r="M175" s="17">
        <v>1.4833299999999999E-3</v>
      </c>
      <c r="N175" s="46">
        <f t="shared" si="12"/>
        <v>-9.6899422247999993</v>
      </c>
      <c r="O175" s="16"/>
      <c r="P175" s="48">
        <f t="shared" si="13"/>
        <v>-376.52950000000004</v>
      </c>
      <c r="Q175" s="16"/>
      <c r="R175" s="48">
        <f t="shared" si="14"/>
        <v>-16.374496750000002</v>
      </c>
      <c r="S175" s="14"/>
    </row>
    <row r="176" spans="1:19">
      <c r="A176" s="14" t="s">
        <v>66</v>
      </c>
      <c r="B176" s="15" t="s">
        <v>620</v>
      </c>
      <c r="C176" s="15" t="s">
        <v>621</v>
      </c>
      <c r="D176" s="14" t="s">
        <v>622</v>
      </c>
      <c r="E176" s="15" t="s">
        <v>623</v>
      </c>
      <c r="F176" s="14" t="s">
        <v>624</v>
      </c>
      <c r="G176" s="15" t="s">
        <v>23</v>
      </c>
      <c r="H176" s="15" t="s">
        <v>1527</v>
      </c>
      <c r="I176" s="15">
        <v>201409</v>
      </c>
      <c r="J176" s="16">
        <v>-176.28</v>
      </c>
      <c r="K176" s="44">
        <f t="shared" si="15"/>
        <v>41883</v>
      </c>
      <c r="L176" s="45">
        <f t="shared" si="11"/>
        <v>9</v>
      </c>
      <c r="M176" s="17">
        <v>2.23333E-3</v>
      </c>
      <c r="N176" s="46">
        <f t="shared" si="12"/>
        <v>-3.5432227115999999</v>
      </c>
      <c r="O176" s="16"/>
      <c r="P176" s="48">
        <f t="shared" si="13"/>
        <v>-91.445250000000001</v>
      </c>
      <c r="Q176" s="16"/>
      <c r="R176" s="48">
        <f t="shared" si="14"/>
        <v>-3.9767666249999998</v>
      </c>
      <c r="S176" s="14"/>
    </row>
    <row r="177" spans="1:19">
      <c r="A177" s="14" t="s">
        <v>17</v>
      </c>
      <c r="B177" s="15" t="s">
        <v>625</v>
      </c>
      <c r="C177" s="15" t="s">
        <v>626</v>
      </c>
      <c r="D177" s="14" t="s">
        <v>627</v>
      </c>
      <c r="E177" s="15" t="s">
        <v>62</v>
      </c>
      <c r="F177" s="14" t="s">
        <v>22</v>
      </c>
      <c r="G177" s="15" t="s">
        <v>23</v>
      </c>
      <c r="H177" s="15" t="s">
        <v>1525</v>
      </c>
      <c r="I177" s="15">
        <v>201409</v>
      </c>
      <c r="J177" s="16">
        <v>-536.53</v>
      </c>
      <c r="K177" s="44">
        <f t="shared" si="15"/>
        <v>41883</v>
      </c>
      <c r="L177" s="45">
        <f t="shared" si="11"/>
        <v>9</v>
      </c>
      <c r="M177" s="17">
        <v>1.4833299999999999E-3</v>
      </c>
      <c r="N177" s="46">
        <f t="shared" si="12"/>
        <v>-7.1626594040999993</v>
      </c>
      <c r="O177" s="16"/>
      <c r="P177" s="48">
        <f t="shared" si="13"/>
        <v>-278.32493750000003</v>
      </c>
      <c r="Q177" s="16"/>
      <c r="R177" s="48">
        <f t="shared" si="14"/>
        <v>-12.10378146875</v>
      </c>
      <c r="S177" s="14"/>
    </row>
    <row r="178" spans="1:19">
      <c r="A178" s="18" t="s">
        <v>17</v>
      </c>
      <c r="B178" s="15" t="s">
        <v>628</v>
      </c>
      <c r="C178" s="15" t="s">
        <v>629</v>
      </c>
      <c r="D178" s="14" t="s">
        <v>630</v>
      </c>
      <c r="E178" s="15" t="s">
        <v>440</v>
      </c>
      <c r="F178" s="14" t="s">
        <v>28</v>
      </c>
      <c r="G178" s="15" t="s">
        <v>23</v>
      </c>
      <c r="H178" s="15" t="s">
        <v>1525</v>
      </c>
      <c r="I178" s="15">
        <v>201409</v>
      </c>
      <c r="J178" s="16">
        <v>24.81</v>
      </c>
      <c r="K178" s="44">
        <f t="shared" si="15"/>
        <v>41883</v>
      </c>
      <c r="L178" s="45">
        <f t="shared" si="11"/>
        <v>9</v>
      </c>
      <c r="M178" s="17">
        <v>1.4833299999999999E-3</v>
      </c>
      <c r="N178" s="46">
        <f t="shared" si="12"/>
        <v>0.33121275569999997</v>
      </c>
      <c r="O178" s="16"/>
      <c r="P178" s="48">
        <f t="shared" si="13"/>
        <v>12.8701875</v>
      </c>
      <c r="Q178" s="16"/>
      <c r="R178" s="48">
        <f t="shared" si="14"/>
        <v>0.55969809375000001</v>
      </c>
      <c r="S178" s="14"/>
    </row>
    <row r="179" spans="1:19">
      <c r="A179" s="18" t="s">
        <v>17</v>
      </c>
      <c r="B179" s="15" t="s">
        <v>631</v>
      </c>
      <c r="C179" s="15" t="s">
        <v>632</v>
      </c>
      <c r="D179" s="14" t="s">
        <v>633</v>
      </c>
      <c r="E179" s="15" t="s">
        <v>32</v>
      </c>
      <c r="F179" s="14" t="s">
        <v>22</v>
      </c>
      <c r="G179" s="15" t="s">
        <v>23</v>
      </c>
      <c r="H179" s="15" t="s">
        <v>1525</v>
      </c>
      <c r="I179" s="15">
        <v>201409</v>
      </c>
      <c r="J179" s="16">
        <v>-175.31</v>
      </c>
      <c r="K179" s="44">
        <f t="shared" si="15"/>
        <v>41883</v>
      </c>
      <c r="L179" s="45">
        <f t="shared" si="11"/>
        <v>9</v>
      </c>
      <c r="M179" s="17">
        <v>1.4833299999999999E-3</v>
      </c>
      <c r="N179" s="46">
        <f t="shared" si="12"/>
        <v>-2.3403832407</v>
      </c>
      <c r="O179" s="16"/>
      <c r="P179" s="48">
        <f t="shared" si="13"/>
        <v>-90.942062500000006</v>
      </c>
      <c r="Q179" s="16"/>
      <c r="R179" s="48">
        <f t="shared" si="14"/>
        <v>-3.9548840312500007</v>
      </c>
      <c r="S179" s="14"/>
    </row>
    <row r="180" spans="1:19">
      <c r="A180" s="18" t="s">
        <v>17</v>
      </c>
      <c r="B180" s="15" t="s">
        <v>634</v>
      </c>
      <c r="C180" s="15" t="s">
        <v>635</v>
      </c>
      <c r="D180" s="14" t="s">
        <v>636</v>
      </c>
      <c r="E180" s="15" t="s">
        <v>567</v>
      </c>
      <c r="F180" s="14" t="s">
        <v>137</v>
      </c>
      <c r="G180" s="15" t="s">
        <v>23</v>
      </c>
      <c r="H180" s="15" t="s">
        <v>1526</v>
      </c>
      <c r="I180" s="15">
        <v>201409</v>
      </c>
      <c r="J180" s="16">
        <v>-674262.3</v>
      </c>
      <c r="K180" s="44">
        <f t="shared" si="15"/>
        <v>41883</v>
      </c>
      <c r="L180" s="45">
        <f t="shared" si="11"/>
        <v>9</v>
      </c>
      <c r="M180" s="17">
        <v>1.4833299999999999E-3</v>
      </c>
      <c r="N180" s="46">
        <f t="shared" si="12"/>
        <v>-9001.3814771310008</v>
      </c>
      <c r="O180" s="16"/>
      <c r="P180" s="48">
        <f t="shared" si="13"/>
        <v>-349773.56812500005</v>
      </c>
      <c r="Q180" s="16"/>
      <c r="R180" s="48">
        <f t="shared" si="14"/>
        <v>-15210.936074062502</v>
      </c>
      <c r="S180" s="14"/>
    </row>
    <row r="181" spans="1:19">
      <c r="A181" s="18" t="s">
        <v>54</v>
      </c>
      <c r="B181" s="15" t="s">
        <v>634</v>
      </c>
      <c r="C181" s="15" t="s">
        <v>635</v>
      </c>
      <c r="D181" s="14" t="s">
        <v>636</v>
      </c>
      <c r="E181" s="15" t="s">
        <v>567</v>
      </c>
      <c r="F181" s="14" t="s">
        <v>137</v>
      </c>
      <c r="G181" s="15" t="s">
        <v>23</v>
      </c>
      <c r="H181" s="15" t="s">
        <v>1526</v>
      </c>
      <c r="I181" s="15">
        <v>201409</v>
      </c>
      <c r="J181" s="16">
        <v>660836.46</v>
      </c>
      <c r="K181" s="44">
        <f t="shared" si="15"/>
        <v>41883</v>
      </c>
      <c r="L181" s="45">
        <f t="shared" si="11"/>
        <v>9</v>
      </c>
      <c r="M181" s="17">
        <v>1.4833299999999999E-3</v>
      </c>
      <c r="N181" s="46">
        <f t="shared" si="12"/>
        <v>8822.1469159061999</v>
      </c>
      <c r="O181" s="16"/>
      <c r="P181" s="48">
        <f t="shared" si="13"/>
        <v>342808.91362499999</v>
      </c>
      <c r="Q181" s="16"/>
      <c r="R181" s="48">
        <f t="shared" si="14"/>
        <v>14908.057514812499</v>
      </c>
      <c r="S181" s="14"/>
    </row>
    <row r="182" spans="1:19">
      <c r="A182" s="14" t="s">
        <v>17</v>
      </c>
      <c r="B182" s="15" t="s">
        <v>637</v>
      </c>
      <c r="C182" s="15" t="s">
        <v>638</v>
      </c>
      <c r="D182" s="14" t="s">
        <v>639</v>
      </c>
      <c r="E182" s="15" t="s">
        <v>136</v>
      </c>
      <c r="F182" s="14" t="s">
        <v>137</v>
      </c>
      <c r="G182" s="15" t="s">
        <v>23</v>
      </c>
      <c r="H182" s="15" t="s">
        <v>1526</v>
      </c>
      <c r="I182" s="15">
        <v>201409</v>
      </c>
      <c r="J182" s="16">
        <v>4065.05</v>
      </c>
      <c r="K182" s="44">
        <f t="shared" si="15"/>
        <v>41883</v>
      </c>
      <c r="L182" s="45">
        <f t="shared" si="11"/>
        <v>9</v>
      </c>
      <c r="M182" s="17">
        <v>1.4833299999999999E-3</v>
      </c>
      <c r="N182" s="46">
        <f t="shared" si="12"/>
        <v>54.268295548499999</v>
      </c>
      <c r="O182" s="16"/>
      <c r="P182" s="48">
        <f t="shared" si="13"/>
        <v>2108.7446875000001</v>
      </c>
      <c r="Q182" s="16"/>
      <c r="R182" s="48">
        <f t="shared" si="14"/>
        <v>91.704987343750005</v>
      </c>
      <c r="S182" s="14"/>
    </row>
    <row r="183" spans="1:19">
      <c r="A183" s="18" t="s">
        <v>17</v>
      </c>
      <c r="B183" s="15" t="s">
        <v>640</v>
      </c>
      <c r="C183" s="15" t="s">
        <v>641</v>
      </c>
      <c r="D183" s="14" t="s">
        <v>642</v>
      </c>
      <c r="E183" s="15" t="s">
        <v>362</v>
      </c>
      <c r="F183" s="14" t="s">
        <v>41</v>
      </c>
      <c r="G183" s="15" t="s">
        <v>23</v>
      </c>
      <c r="H183" s="15" t="s">
        <v>1526</v>
      </c>
      <c r="I183" s="15">
        <v>201409</v>
      </c>
      <c r="J183" s="16">
        <v>-115.28</v>
      </c>
      <c r="K183" s="44">
        <f t="shared" si="15"/>
        <v>41883</v>
      </c>
      <c r="L183" s="45">
        <f t="shared" si="11"/>
        <v>9</v>
      </c>
      <c r="M183" s="17">
        <v>1.4833299999999999E-3</v>
      </c>
      <c r="N183" s="46">
        <f t="shared" si="12"/>
        <v>-1.5389845415999999</v>
      </c>
      <c r="O183" s="16"/>
      <c r="P183" s="48">
        <f t="shared" si="13"/>
        <v>-59.801500000000004</v>
      </c>
      <c r="Q183" s="16"/>
      <c r="R183" s="48">
        <f t="shared" si="14"/>
        <v>-2.6006447500000003</v>
      </c>
      <c r="S183" s="14"/>
    </row>
    <row r="184" spans="1:19">
      <c r="A184" s="18" t="s">
        <v>17</v>
      </c>
      <c r="B184" s="15" t="s">
        <v>643</v>
      </c>
      <c r="C184" s="15" t="s">
        <v>644</v>
      </c>
      <c r="D184" s="14" t="s">
        <v>645</v>
      </c>
      <c r="E184" s="15" t="s">
        <v>141</v>
      </c>
      <c r="F184" s="14" t="s">
        <v>142</v>
      </c>
      <c r="G184" s="15" t="s">
        <v>23</v>
      </c>
      <c r="H184" s="15" t="s">
        <v>1525</v>
      </c>
      <c r="I184" s="15">
        <v>201409</v>
      </c>
      <c r="J184" s="16">
        <v>-912.44</v>
      </c>
      <c r="K184" s="44">
        <f t="shared" si="15"/>
        <v>41883</v>
      </c>
      <c r="L184" s="45">
        <f t="shared" si="11"/>
        <v>9</v>
      </c>
      <c r="M184" s="17">
        <v>1.4833299999999999E-3</v>
      </c>
      <c r="N184" s="46">
        <f t="shared" si="12"/>
        <v>-12.181046626800001</v>
      </c>
      <c r="O184" s="16"/>
      <c r="P184" s="48">
        <f t="shared" si="13"/>
        <v>-473.32825000000008</v>
      </c>
      <c r="Q184" s="16"/>
      <c r="R184" s="48">
        <f t="shared" si="14"/>
        <v>-20.584076125000003</v>
      </c>
      <c r="S184" s="14"/>
    </row>
    <row r="185" spans="1:19">
      <c r="A185" s="18" t="s">
        <v>54</v>
      </c>
      <c r="B185" s="15" t="s">
        <v>649</v>
      </c>
      <c r="C185" s="15" t="s">
        <v>650</v>
      </c>
      <c r="D185" s="14" t="s">
        <v>651</v>
      </c>
      <c r="E185" s="15" t="s">
        <v>104</v>
      </c>
      <c r="F185" s="14" t="s">
        <v>41</v>
      </c>
      <c r="G185" s="15" t="s">
        <v>23</v>
      </c>
      <c r="H185" s="15" t="s">
        <v>1526</v>
      </c>
      <c r="I185" s="15">
        <v>201409</v>
      </c>
      <c r="J185" s="16">
        <v>-33.92</v>
      </c>
      <c r="K185" s="44">
        <f t="shared" si="15"/>
        <v>41883</v>
      </c>
      <c r="L185" s="45">
        <f t="shared" si="11"/>
        <v>9</v>
      </c>
      <c r="M185" s="17">
        <v>1.4833299999999999E-3</v>
      </c>
      <c r="N185" s="46">
        <f t="shared" si="12"/>
        <v>-0.45283098239999997</v>
      </c>
      <c r="O185" s="16"/>
      <c r="P185" s="48">
        <f t="shared" si="13"/>
        <v>-17.596000000000004</v>
      </c>
      <c r="Q185" s="16"/>
      <c r="R185" s="48">
        <f t="shared" si="14"/>
        <v>-0.76521400000000006</v>
      </c>
      <c r="S185" s="14"/>
    </row>
    <row r="186" spans="1:19">
      <c r="A186" s="14" t="s">
        <v>17</v>
      </c>
      <c r="B186" s="15" t="s">
        <v>652</v>
      </c>
      <c r="C186" s="15" t="s">
        <v>653</v>
      </c>
      <c r="D186" s="14" t="s">
        <v>654</v>
      </c>
      <c r="E186" s="15" t="s">
        <v>40</v>
      </c>
      <c r="F186" s="14" t="s">
        <v>41</v>
      </c>
      <c r="G186" s="15" t="s">
        <v>23</v>
      </c>
      <c r="H186" s="15" t="s">
        <v>1526</v>
      </c>
      <c r="I186" s="15">
        <v>201409</v>
      </c>
      <c r="J186" s="16">
        <v>-1136.6400000000001</v>
      </c>
      <c r="K186" s="44">
        <f t="shared" si="15"/>
        <v>41883</v>
      </c>
      <c r="L186" s="45">
        <f t="shared" si="11"/>
        <v>9</v>
      </c>
      <c r="M186" s="17">
        <v>1.4833299999999999E-3</v>
      </c>
      <c r="N186" s="46">
        <f t="shared" si="12"/>
        <v>-15.1741099008</v>
      </c>
      <c r="O186" s="16"/>
      <c r="P186" s="48">
        <f t="shared" si="13"/>
        <v>-589.63200000000006</v>
      </c>
      <c r="Q186" s="16"/>
      <c r="R186" s="48">
        <f t="shared" si="14"/>
        <v>-25.641888000000002</v>
      </c>
      <c r="S186" s="14"/>
    </row>
    <row r="187" spans="1:19">
      <c r="A187" s="14" t="s">
        <v>17</v>
      </c>
      <c r="B187" s="15" t="s">
        <v>655</v>
      </c>
      <c r="C187" s="15" t="s">
        <v>656</v>
      </c>
      <c r="D187" s="14" t="s">
        <v>657</v>
      </c>
      <c r="E187" s="15" t="s">
        <v>36</v>
      </c>
      <c r="F187" s="14" t="s">
        <v>22</v>
      </c>
      <c r="G187" s="15" t="s">
        <v>23</v>
      </c>
      <c r="H187" s="15" t="s">
        <v>1525</v>
      </c>
      <c r="I187" s="15">
        <v>201409</v>
      </c>
      <c r="J187" s="16">
        <v>-42.2</v>
      </c>
      <c r="K187" s="44">
        <f t="shared" si="15"/>
        <v>41883</v>
      </c>
      <c r="L187" s="45">
        <f t="shared" si="11"/>
        <v>9</v>
      </c>
      <c r="M187" s="17">
        <v>1.4833299999999999E-3</v>
      </c>
      <c r="N187" s="46">
        <f t="shared" si="12"/>
        <v>-0.56336873399999998</v>
      </c>
      <c r="O187" s="16"/>
      <c r="P187" s="48">
        <f t="shared" si="13"/>
        <v>-21.891250000000003</v>
      </c>
      <c r="Q187" s="16"/>
      <c r="R187" s="48">
        <f t="shared" si="14"/>
        <v>-0.95200562500000019</v>
      </c>
      <c r="S187" s="14"/>
    </row>
    <row r="188" spans="1:19">
      <c r="A188" s="14" t="s">
        <v>17</v>
      </c>
      <c r="B188" s="15" t="s">
        <v>658</v>
      </c>
      <c r="C188" s="15" t="s">
        <v>659</v>
      </c>
      <c r="D188" s="14" t="s">
        <v>660</v>
      </c>
      <c r="E188" s="15" t="s">
        <v>440</v>
      </c>
      <c r="F188" s="14" t="s">
        <v>28</v>
      </c>
      <c r="G188" s="15" t="s">
        <v>23</v>
      </c>
      <c r="H188" s="15" t="s">
        <v>1525</v>
      </c>
      <c r="I188" s="15">
        <v>201409</v>
      </c>
      <c r="J188" s="16">
        <v>10.48</v>
      </c>
      <c r="K188" s="44">
        <f t="shared" si="15"/>
        <v>41883</v>
      </c>
      <c r="L188" s="45">
        <f t="shared" si="11"/>
        <v>9</v>
      </c>
      <c r="M188" s="17">
        <v>1.4833299999999999E-3</v>
      </c>
      <c r="N188" s="46">
        <f t="shared" si="12"/>
        <v>0.1399076856</v>
      </c>
      <c r="O188" s="16"/>
      <c r="P188" s="48">
        <f t="shared" si="13"/>
        <v>5.4365000000000006</v>
      </c>
      <c r="Q188" s="16"/>
      <c r="R188" s="48">
        <f t="shared" si="14"/>
        <v>0.23642225000000003</v>
      </c>
      <c r="S188" s="14"/>
    </row>
    <row r="189" spans="1:19">
      <c r="A189" s="14" t="s">
        <v>17</v>
      </c>
      <c r="B189" s="15" t="s">
        <v>661</v>
      </c>
      <c r="C189" s="15" t="s">
        <v>662</v>
      </c>
      <c r="D189" s="14" t="s">
        <v>663</v>
      </c>
      <c r="E189" s="15" t="s">
        <v>40</v>
      </c>
      <c r="F189" s="14" t="s">
        <v>41</v>
      </c>
      <c r="G189" s="15" t="s">
        <v>23</v>
      </c>
      <c r="H189" s="15" t="s">
        <v>1526</v>
      </c>
      <c r="I189" s="15">
        <v>201409</v>
      </c>
      <c r="J189" s="16">
        <v>-187.92</v>
      </c>
      <c r="K189" s="44">
        <f t="shared" si="15"/>
        <v>41883</v>
      </c>
      <c r="L189" s="45">
        <f t="shared" si="11"/>
        <v>9</v>
      </c>
      <c r="M189" s="17">
        <v>1.4833299999999999E-3</v>
      </c>
      <c r="N189" s="46">
        <f t="shared" si="12"/>
        <v>-2.5087263623999996</v>
      </c>
      <c r="O189" s="16"/>
      <c r="P189" s="48">
        <f t="shared" si="13"/>
        <v>-97.483500000000006</v>
      </c>
      <c r="Q189" s="16"/>
      <c r="R189" s="48">
        <f t="shared" si="14"/>
        <v>-4.2393577499999999</v>
      </c>
      <c r="S189" s="14"/>
    </row>
    <row r="190" spans="1:19">
      <c r="A190" s="14" t="s">
        <v>17</v>
      </c>
      <c r="B190" s="15" t="s">
        <v>664</v>
      </c>
      <c r="C190" s="15" t="s">
        <v>665</v>
      </c>
      <c r="D190" s="14" t="s">
        <v>666</v>
      </c>
      <c r="E190" s="15" t="s">
        <v>667</v>
      </c>
      <c r="F190" s="14" t="s">
        <v>28</v>
      </c>
      <c r="G190" s="15" t="s">
        <v>23</v>
      </c>
      <c r="H190" s="15" t="s">
        <v>1525</v>
      </c>
      <c r="I190" s="15">
        <v>201409</v>
      </c>
      <c r="J190" s="16">
        <v>5.21</v>
      </c>
      <c r="K190" s="44">
        <f t="shared" si="15"/>
        <v>41883</v>
      </c>
      <c r="L190" s="45">
        <f t="shared" si="11"/>
        <v>9</v>
      </c>
      <c r="M190" s="17">
        <v>1.4833299999999999E-3</v>
      </c>
      <c r="N190" s="46">
        <f t="shared" si="12"/>
        <v>6.9553343699999992E-2</v>
      </c>
      <c r="O190" s="16"/>
      <c r="P190" s="48">
        <f t="shared" si="13"/>
        <v>2.7026875000000001</v>
      </c>
      <c r="Q190" s="16"/>
      <c r="R190" s="48">
        <f t="shared" si="14"/>
        <v>0.11753434374999999</v>
      </c>
      <c r="S190" s="14"/>
    </row>
    <row r="191" spans="1:19">
      <c r="A191" s="14" t="s">
        <v>17</v>
      </c>
      <c r="B191" s="15" t="s">
        <v>668</v>
      </c>
      <c r="C191" s="15" t="s">
        <v>669</v>
      </c>
      <c r="D191" s="14" t="s">
        <v>670</v>
      </c>
      <c r="E191" s="15" t="s">
        <v>45</v>
      </c>
      <c r="F191" s="14" t="s">
        <v>22</v>
      </c>
      <c r="G191" s="15" t="s">
        <v>23</v>
      </c>
      <c r="H191" s="15" t="s">
        <v>1525</v>
      </c>
      <c r="I191" s="15">
        <v>201409</v>
      </c>
      <c r="J191" s="16">
        <v>-193.2</v>
      </c>
      <c r="K191" s="44">
        <f t="shared" si="15"/>
        <v>41883</v>
      </c>
      <c r="L191" s="45">
        <f t="shared" si="11"/>
        <v>9</v>
      </c>
      <c r="M191" s="17">
        <v>1.4833299999999999E-3</v>
      </c>
      <c r="N191" s="46">
        <f t="shared" si="12"/>
        <v>-2.5792142039999999</v>
      </c>
      <c r="O191" s="16"/>
      <c r="P191" s="48">
        <f t="shared" si="13"/>
        <v>-100.2225</v>
      </c>
      <c r="Q191" s="16"/>
      <c r="R191" s="48">
        <f t="shared" si="14"/>
        <v>-4.35847125</v>
      </c>
      <c r="S191" s="14"/>
    </row>
    <row r="192" spans="1:19">
      <c r="A192" s="14" t="s">
        <v>66</v>
      </c>
      <c r="B192" s="15" t="s">
        <v>671</v>
      </c>
      <c r="C192" s="15" t="s">
        <v>672</v>
      </c>
      <c r="D192" s="14" t="s">
        <v>206</v>
      </c>
      <c r="E192" s="15" t="s">
        <v>673</v>
      </c>
      <c r="F192" s="14" t="s">
        <v>97</v>
      </c>
      <c r="G192" s="15" t="s">
        <v>23</v>
      </c>
      <c r="H192" s="15" t="s">
        <v>1530</v>
      </c>
      <c r="I192" s="15">
        <v>201409</v>
      </c>
      <c r="J192" s="16">
        <v>642.49</v>
      </c>
      <c r="K192" s="44">
        <f t="shared" si="15"/>
        <v>41883</v>
      </c>
      <c r="L192" s="45">
        <f t="shared" si="11"/>
        <v>9</v>
      </c>
      <c r="M192" s="17">
        <v>2.23333E-3</v>
      </c>
      <c r="N192" s="46">
        <f t="shared" si="12"/>
        <v>12.914029725299999</v>
      </c>
      <c r="O192" s="16"/>
      <c r="P192" s="48">
        <f t="shared" si="13"/>
        <v>333.29168750000002</v>
      </c>
      <c r="Q192" s="16"/>
      <c r="R192" s="48">
        <f t="shared" si="14"/>
        <v>14.494172843750002</v>
      </c>
      <c r="S192" s="14"/>
    </row>
    <row r="193" spans="1:19">
      <c r="A193" s="14" t="s">
        <v>66</v>
      </c>
      <c r="B193" s="15" t="s">
        <v>674</v>
      </c>
      <c r="C193" s="15" t="s">
        <v>675</v>
      </c>
      <c r="D193" s="14" t="s">
        <v>385</v>
      </c>
      <c r="E193" s="15" t="s">
        <v>676</v>
      </c>
      <c r="F193" s="14" t="s">
        <v>387</v>
      </c>
      <c r="G193" s="15" t="s">
        <v>23</v>
      </c>
      <c r="H193" s="15" t="s">
        <v>1530</v>
      </c>
      <c r="I193" s="15">
        <v>201409</v>
      </c>
      <c r="J193" s="16">
        <v>16917.41</v>
      </c>
      <c r="K193" s="44">
        <f t="shared" si="15"/>
        <v>41883</v>
      </c>
      <c r="L193" s="45">
        <f t="shared" si="11"/>
        <v>9</v>
      </c>
      <c r="M193" s="17">
        <v>2.23333E-3</v>
      </c>
      <c r="N193" s="46">
        <f t="shared" si="12"/>
        <v>340.03943347769996</v>
      </c>
      <c r="O193" s="16"/>
      <c r="P193" s="48">
        <f t="shared" si="13"/>
        <v>8775.9064374999998</v>
      </c>
      <c r="Q193" s="16"/>
      <c r="R193" s="48">
        <f t="shared" si="14"/>
        <v>381.64619621875005</v>
      </c>
      <c r="S193" s="14"/>
    </row>
    <row r="194" spans="1:19">
      <c r="A194" s="14" t="s">
        <v>17</v>
      </c>
      <c r="B194" s="15" t="s">
        <v>677</v>
      </c>
      <c r="C194" s="15" t="s">
        <v>678</v>
      </c>
      <c r="D194" s="14" t="s">
        <v>679</v>
      </c>
      <c r="E194" s="15" t="s">
        <v>216</v>
      </c>
      <c r="F194" s="14" t="s">
        <v>22</v>
      </c>
      <c r="G194" s="15" t="s">
        <v>23</v>
      </c>
      <c r="H194" s="15" t="s">
        <v>1525</v>
      </c>
      <c r="I194" s="15">
        <v>201409</v>
      </c>
      <c r="J194" s="16">
        <v>6.37</v>
      </c>
      <c r="K194" s="44">
        <f t="shared" si="15"/>
        <v>41883</v>
      </c>
      <c r="L194" s="45">
        <f t="shared" si="11"/>
        <v>9</v>
      </c>
      <c r="M194" s="17">
        <v>1.4833299999999999E-3</v>
      </c>
      <c r="N194" s="46">
        <f t="shared" si="12"/>
        <v>8.5039308899999999E-2</v>
      </c>
      <c r="O194" s="16"/>
      <c r="P194" s="48">
        <f t="shared" si="13"/>
        <v>3.3044375000000001</v>
      </c>
      <c r="Q194" s="16"/>
      <c r="R194" s="48">
        <f t="shared" si="14"/>
        <v>0.14370321875000003</v>
      </c>
      <c r="S194" s="14"/>
    </row>
    <row r="195" spans="1:19">
      <c r="A195" s="14" t="s">
        <v>238</v>
      </c>
      <c r="B195" s="15" t="s">
        <v>680</v>
      </c>
      <c r="C195" s="15" t="s">
        <v>681</v>
      </c>
      <c r="D195" s="14" t="s">
        <v>682</v>
      </c>
      <c r="E195" s="15" t="s">
        <v>683</v>
      </c>
      <c r="F195" s="14" t="s">
        <v>684</v>
      </c>
      <c r="G195" s="15" t="s">
        <v>23</v>
      </c>
      <c r="H195" s="15" t="s">
        <v>1528</v>
      </c>
      <c r="I195" s="15">
        <v>201409</v>
      </c>
      <c r="J195" s="16">
        <v>-215.87</v>
      </c>
      <c r="K195" s="44">
        <f t="shared" si="15"/>
        <v>41883</v>
      </c>
      <c r="L195" s="45">
        <f t="shared" si="11"/>
        <v>9</v>
      </c>
      <c r="M195" s="17">
        <v>2.3833299999999999E-3</v>
      </c>
      <c r="N195" s="46">
        <f t="shared" si="12"/>
        <v>-4.6304050238999999</v>
      </c>
      <c r="O195" s="16"/>
      <c r="P195" s="48">
        <f t="shared" si="13"/>
        <v>-111.98256250000001</v>
      </c>
      <c r="Q195" s="16"/>
      <c r="R195" s="48">
        <f t="shared" si="14"/>
        <v>-4.8698922812500003</v>
      </c>
      <c r="S195" s="14"/>
    </row>
    <row r="196" spans="1:19">
      <c r="A196" s="14" t="s">
        <v>17</v>
      </c>
      <c r="B196" s="15" t="s">
        <v>685</v>
      </c>
      <c r="C196" s="15" t="s">
        <v>686</v>
      </c>
      <c r="D196" s="14" t="s">
        <v>687</v>
      </c>
      <c r="E196" s="15" t="s">
        <v>40</v>
      </c>
      <c r="F196" s="14" t="s">
        <v>41</v>
      </c>
      <c r="G196" s="15" t="s">
        <v>23</v>
      </c>
      <c r="H196" s="15" t="s">
        <v>1526</v>
      </c>
      <c r="I196" s="15">
        <v>201409</v>
      </c>
      <c r="J196" s="16">
        <v>-5404.17</v>
      </c>
      <c r="K196" s="44">
        <f t="shared" si="15"/>
        <v>41883</v>
      </c>
      <c r="L196" s="45">
        <f t="shared" si="11"/>
        <v>9</v>
      </c>
      <c r="M196" s="17">
        <v>1.4833299999999999E-3</v>
      </c>
      <c r="N196" s="46">
        <f t="shared" si="12"/>
        <v>-72.145507374899992</v>
      </c>
      <c r="O196" s="16"/>
      <c r="P196" s="48">
        <f t="shared" si="13"/>
        <v>-2803.4131875000003</v>
      </c>
      <c r="Q196" s="16"/>
      <c r="R196" s="48">
        <f t="shared" si="14"/>
        <v>-121.91469759375002</v>
      </c>
      <c r="S196" s="14"/>
    </row>
    <row r="197" spans="1:19">
      <c r="A197" s="14" t="s">
        <v>17</v>
      </c>
      <c r="B197" s="15" t="s">
        <v>688</v>
      </c>
      <c r="C197" s="15" t="s">
        <v>689</v>
      </c>
      <c r="D197" s="14" t="s">
        <v>690</v>
      </c>
      <c r="E197" s="15" t="s">
        <v>141</v>
      </c>
      <c r="F197" s="14" t="s">
        <v>142</v>
      </c>
      <c r="G197" s="15" t="s">
        <v>23</v>
      </c>
      <c r="H197" s="15" t="s">
        <v>1525</v>
      </c>
      <c r="I197" s="15">
        <v>201409</v>
      </c>
      <c r="J197" s="16">
        <v>-919.54</v>
      </c>
      <c r="K197" s="44">
        <f t="shared" si="15"/>
        <v>41883</v>
      </c>
      <c r="L197" s="45">
        <f t="shared" si="11"/>
        <v>9</v>
      </c>
      <c r="M197" s="17">
        <v>1.4833299999999999E-3</v>
      </c>
      <c r="N197" s="46">
        <f t="shared" si="12"/>
        <v>-12.275831413799999</v>
      </c>
      <c r="O197" s="16"/>
      <c r="P197" s="48">
        <f t="shared" si="13"/>
        <v>-477.01137500000004</v>
      </c>
      <c r="Q197" s="16"/>
      <c r="R197" s="48">
        <f t="shared" si="14"/>
        <v>-20.7442476875</v>
      </c>
      <c r="S197" s="14"/>
    </row>
    <row r="198" spans="1:19">
      <c r="A198" s="18" t="s">
        <v>17</v>
      </c>
      <c r="B198" s="15" t="s">
        <v>691</v>
      </c>
      <c r="C198" s="15" t="s">
        <v>692</v>
      </c>
      <c r="D198" s="14" t="s">
        <v>693</v>
      </c>
      <c r="E198" s="15" t="s">
        <v>58</v>
      </c>
      <c r="F198" s="14" t="s">
        <v>22</v>
      </c>
      <c r="G198" s="15" t="s">
        <v>23</v>
      </c>
      <c r="H198" s="15" t="s">
        <v>1525</v>
      </c>
      <c r="I198" s="15">
        <v>201409</v>
      </c>
      <c r="J198" s="16">
        <v>-115.71</v>
      </c>
      <c r="K198" s="44">
        <f t="shared" si="15"/>
        <v>41883</v>
      </c>
      <c r="L198" s="45">
        <f t="shared" ref="L198:L261" si="16">((YEAR($L$1)-YEAR(K198))*12+MONTH($L$1)-MONTH(K198))</f>
        <v>9</v>
      </c>
      <c r="M198" s="17">
        <v>1.4833299999999999E-3</v>
      </c>
      <c r="N198" s="46">
        <f t="shared" ref="N198:N261" si="17">M198*L198*J198</f>
        <v>-1.5447250286999998</v>
      </c>
      <c r="O198" s="16"/>
      <c r="P198" s="48">
        <f t="shared" ref="P198:P261" si="18">$P$4*J198</f>
        <v>-60.024562500000002</v>
      </c>
      <c r="Q198" s="16"/>
      <c r="R198" s="48">
        <f t="shared" ref="R198:R261" si="19">$R$4*J198*$U$9</f>
        <v>-2.6103452812499999</v>
      </c>
      <c r="S198" s="14"/>
    </row>
    <row r="199" spans="1:19">
      <c r="A199" s="18" t="s">
        <v>17</v>
      </c>
      <c r="B199" s="15" t="s">
        <v>694</v>
      </c>
      <c r="C199" s="15" t="s">
        <v>695</v>
      </c>
      <c r="D199" s="14" t="s">
        <v>696</v>
      </c>
      <c r="E199" s="15" t="s">
        <v>141</v>
      </c>
      <c r="F199" s="14" t="s">
        <v>142</v>
      </c>
      <c r="G199" s="15" t="s">
        <v>23</v>
      </c>
      <c r="H199" s="15" t="s">
        <v>1525</v>
      </c>
      <c r="I199" s="15">
        <v>201409</v>
      </c>
      <c r="J199" s="16">
        <v>-90.01</v>
      </c>
      <c r="K199" s="44">
        <f t="shared" si="15"/>
        <v>41883</v>
      </c>
      <c r="L199" s="45">
        <f t="shared" si="16"/>
        <v>9</v>
      </c>
      <c r="M199" s="17">
        <v>1.4833299999999999E-3</v>
      </c>
      <c r="N199" s="46">
        <f t="shared" si="17"/>
        <v>-1.2016307997</v>
      </c>
      <c r="O199" s="16"/>
      <c r="P199" s="48">
        <f t="shared" si="18"/>
        <v>-46.692687500000005</v>
      </c>
      <c r="Q199" s="16"/>
      <c r="R199" s="48">
        <f t="shared" si="19"/>
        <v>-2.0305693437500003</v>
      </c>
      <c r="S199" s="14"/>
    </row>
    <row r="200" spans="1:19">
      <c r="A200" s="18" t="s">
        <v>17</v>
      </c>
      <c r="B200" s="15" t="s">
        <v>697</v>
      </c>
      <c r="C200" s="15" t="s">
        <v>698</v>
      </c>
      <c r="D200" s="14" t="s">
        <v>699</v>
      </c>
      <c r="E200" s="15" t="s">
        <v>108</v>
      </c>
      <c r="F200" s="14" t="s">
        <v>28</v>
      </c>
      <c r="G200" s="15" t="s">
        <v>23</v>
      </c>
      <c r="H200" s="15" t="s">
        <v>1525</v>
      </c>
      <c r="I200" s="15">
        <v>201409</v>
      </c>
      <c r="J200" s="16">
        <v>-61.29</v>
      </c>
      <c r="K200" s="44">
        <f t="shared" si="15"/>
        <v>41883</v>
      </c>
      <c r="L200" s="45">
        <f t="shared" si="16"/>
        <v>9</v>
      </c>
      <c r="M200" s="17">
        <v>1.4833299999999999E-3</v>
      </c>
      <c r="N200" s="46">
        <f t="shared" si="17"/>
        <v>-0.8182196612999999</v>
      </c>
      <c r="O200" s="16"/>
      <c r="P200" s="48">
        <f t="shared" si="18"/>
        <v>-31.794187500000003</v>
      </c>
      <c r="Q200" s="16"/>
      <c r="R200" s="48">
        <f t="shared" si="19"/>
        <v>-1.3826640937500001</v>
      </c>
      <c r="S200" s="14"/>
    </row>
    <row r="201" spans="1:19">
      <c r="A201" s="18" t="s">
        <v>17</v>
      </c>
      <c r="B201" s="15" t="s">
        <v>700</v>
      </c>
      <c r="C201" s="15" t="s">
        <v>701</v>
      </c>
      <c r="D201" s="14" t="s">
        <v>702</v>
      </c>
      <c r="E201" s="15" t="s">
        <v>703</v>
      </c>
      <c r="F201" s="14" t="s">
        <v>142</v>
      </c>
      <c r="G201" s="15" t="s">
        <v>23</v>
      </c>
      <c r="H201" s="15" t="s">
        <v>1525</v>
      </c>
      <c r="I201" s="15">
        <v>201409</v>
      </c>
      <c r="J201" s="16">
        <v>-1328.44</v>
      </c>
      <c r="K201" s="44">
        <f t="shared" si="15"/>
        <v>41883</v>
      </c>
      <c r="L201" s="45">
        <f t="shared" si="16"/>
        <v>9</v>
      </c>
      <c r="M201" s="17">
        <v>1.4833299999999999E-3</v>
      </c>
      <c r="N201" s="46">
        <f t="shared" si="17"/>
        <v>-17.734634146800001</v>
      </c>
      <c r="O201" s="16"/>
      <c r="P201" s="48">
        <f t="shared" si="18"/>
        <v>-689.12825000000009</v>
      </c>
      <c r="Q201" s="16"/>
      <c r="R201" s="48">
        <f t="shared" si="19"/>
        <v>-29.968776125000005</v>
      </c>
      <c r="S201" s="14"/>
    </row>
    <row r="202" spans="1:19">
      <c r="A202" s="14" t="s">
        <v>17</v>
      </c>
      <c r="B202" s="15" t="s">
        <v>704</v>
      </c>
      <c r="C202" s="15" t="s">
        <v>705</v>
      </c>
      <c r="D202" s="14" t="s">
        <v>706</v>
      </c>
      <c r="E202" s="15" t="s">
        <v>58</v>
      </c>
      <c r="F202" s="14" t="s">
        <v>22</v>
      </c>
      <c r="G202" s="15" t="s">
        <v>23</v>
      </c>
      <c r="H202" s="15" t="s">
        <v>1525</v>
      </c>
      <c r="I202" s="15">
        <v>201409</v>
      </c>
      <c r="J202" s="16">
        <v>-1908.15</v>
      </c>
      <c r="K202" s="44">
        <f t="shared" si="15"/>
        <v>41883</v>
      </c>
      <c r="L202" s="45">
        <f t="shared" si="16"/>
        <v>9</v>
      </c>
      <c r="M202" s="17">
        <v>1.4833299999999999E-3</v>
      </c>
      <c r="N202" s="46">
        <f t="shared" si="17"/>
        <v>-25.473745255499999</v>
      </c>
      <c r="O202" s="16"/>
      <c r="P202" s="48">
        <f t="shared" si="18"/>
        <v>-989.85281250000014</v>
      </c>
      <c r="Q202" s="16"/>
      <c r="R202" s="48">
        <f t="shared" si="19"/>
        <v>-43.046671406250006</v>
      </c>
      <c r="S202" s="14"/>
    </row>
    <row r="203" spans="1:19">
      <c r="A203" s="18" t="s">
        <v>54</v>
      </c>
      <c r="B203" s="15" t="s">
        <v>707</v>
      </c>
      <c r="C203" s="15" t="s">
        <v>708</v>
      </c>
      <c r="D203" s="14" t="s">
        <v>709</v>
      </c>
      <c r="E203" s="15" t="s">
        <v>62</v>
      </c>
      <c r="F203" s="14" t="s">
        <v>22</v>
      </c>
      <c r="G203" s="15" t="s">
        <v>23</v>
      </c>
      <c r="H203" s="15" t="s">
        <v>1525</v>
      </c>
      <c r="I203" s="15">
        <v>201409</v>
      </c>
      <c r="J203" s="16">
        <v>-1477.33</v>
      </c>
      <c r="K203" s="44">
        <f t="shared" si="15"/>
        <v>41883</v>
      </c>
      <c r="L203" s="45">
        <f t="shared" si="16"/>
        <v>9</v>
      </c>
      <c r="M203" s="17">
        <v>1.4833299999999999E-3</v>
      </c>
      <c r="N203" s="46">
        <f t="shared" si="17"/>
        <v>-19.722311180099997</v>
      </c>
      <c r="O203" s="16"/>
      <c r="P203" s="48">
        <f t="shared" si="18"/>
        <v>-766.3649375</v>
      </c>
      <c r="Q203" s="16"/>
      <c r="R203" s="48">
        <f t="shared" si="19"/>
        <v>-33.327641468750002</v>
      </c>
      <c r="S203" s="14"/>
    </row>
    <row r="204" spans="1:19">
      <c r="A204" s="18" t="s">
        <v>17</v>
      </c>
      <c r="B204" s="15" t="s">
        <v>710</v>
      </c>
      <c r="C204" s="15" t="s">
        <v>711</v>
      </c>
      <c r="D204" s="14" t="s">
        <v>712</v>
      </c>
      <c r="E204" s="15" t="s">
        <v>45</v>
      </c>
      <c r="F204" s="14" t="s">
        <v>22</v>
      </c>
      <c r="G204" s="15" t="s">
        <v>23</v>
      </c>
      <c r="H204" s="15" t="s">
        <v>1525</v>
      </c>
      <c r="I204" s="15">
        <v>201409</v>
      </c>
      <c r="J204" s="16">
        <v>-5845.57</v>
      </c>
      <c r="K204" s="44">
        <f t="shared" si="15"/>
        <v>41883</v>
      </c>
      <c r="L204" s="45">
        <f t="shared" si="16"/>
        <v>9</v>
      </c>
      <c r="M204" s="17">
        <v>1.4833299999999999E-3</v>
      </c>
      <c r="N204" s="46">
        <f t="shared" si="17"/>
        <v>-78.038184132899985</v>
      </c>
      <c r="O204" s="16"/>
      <c r="P204" s="48">
        <f t="shared" si="18"/>
        <v>-3032.3894375</v>
      </c>
      <c r="Q204" s="16"/>
      <c r="R204" s="48">
        <f t="shared" si="19"/>
        <v>-131.87240571875</v>
      </c>
      <c r="S204" s="14"/>
    </row>
    <row r="205" spans="1:19">
      <c r="A205" s="18" t="s">
        <v>17</v>
      </c>
      <c r="B205" s="15" t="s">
        <v>713</v>
      </c>
      <c r="C205" s="15" t="s">
        <v>714</v>
      </c>
      <c r="D205" s="14" t="s">
        <v>715</v>
      </c>
      <c r="E205" s="15" t="s">
        <v>258</v>
      </c>
      <c r="F205" s="14" t="s">
        <v>259</v>
      </c>
      <c r="G205" s="15" t="s">
        <v>23</v>
      </c>
      <c r="H205" s="15" t="s">
        <v>1525</v>
      </c>
      <c r="I205" s="15">
        <v>201409</v>
      </c>
      <c r="J205" s="16">
        <v>-332.16</v>
      </c>
      <c r="K205" s="44">
        <f t="shared" si="15"/>
        <v>41883</v>
      </c>
      <c r="L205" s="45">
        <f t="shared" si="16"/>
        <v>9</v>
      </c>
      <c r="M205" s="17">
        <v>1.4833299999999999E-3</v>
      </c>
      <c r="N205" s="46">
        <f t="shared" si="17"/>
        <v>-4.4343260351999998</v>
      </c>
      <c r="O205" s="16"/>
      <c r="P205" s="48">
        <f t="shared" si="18"/>
        <v>-172.30800000000002</v>
      </c>
      <c r="Q205" s="16"/>
      <c r="R205" s="48">
        <f t="shared" si="19"/>
        <v>-7.4933220000000009</v>
      </c>
      <c r="S205" s="14"/>
    </row>
    <row r="206" spans="1:19">
      <c r="A206" s="18" t="s">
        <v>17</v>
      </c>
      <c r="B206" s="15" t="s">
        <v>716</v>
      </c>
      <c r="C206" s="15" t="s">
        <v>717</v>
      </c>
      <c r="D206" s="14" t="s">
        <v>718</v>
      </c>
      <c r="E206" s="15" t="s">
        <v>104</v>
      </c>
      <c r="F206" s="14" t="s">
        <v>41</v>
      </c>
      <c r="G206" s="15" t="s">
        <v>23</v>
      </c>
      <c r="H206" s="15" t="s">
        <v>1526</v>
      </c>
      <c r="I206" s="15">
        <v>201409</v>
      </c>
      <c r="J206" s="16">
        <v>-46.05</v>
      </c>
      <c r="K206" s="44">
        <f t="shared" si="15"/>
        <v>41883</v>
      </c>
      <c r="L206" s="45">
        <f t="shared" si="16"/>
        <v>9</v>
      </c>
      <c r="M206" s="17">
        <v>1.4833299999999999E-3</v>
      </c>
      <c r="N206" s="46">
        <f t="shared" si="17"/>
        <v>-0.61476611849999996</v>
      </c>
      <c r="O206" s="16"/>
      <c r="P206" s="48">
        <f t="shared" si="18"/>
        <v>-23.888437500000002</v>
      </c>
      <c r="Q206" s="16"/>
      <c r="R206" s="48">
        <f t="shared" si="19"/>
        <v>-1.0388592187499999</v>
      </c>
      <c r="S206" s="14"/>
    </row>
    <row r="207" spans="1:19">
      <c r="A207" s="18" t="s">
        <v>54</v>
      </c>
      <c r="B207" s="15" t="s">
        <v>719</v>
      </c>
      <c r="C207" s="15" t="s">
        <v>720</v>
      </c>
      <c r="D207" s="14" t="s">
        <v>721</v>
      </c>
      <c r="E207" s="15" t="s">
        <v>27</v>
      </c>
      <c r="F207" s="14" t="s">
        <v>28</v>
      </c>
      <c r="G207" s="15" t="s">
        <v>23</v>
      </c>
      <c r="H207" s="15" t="s">
        <v>1525</v>
      </c>
      <c r="I207" s="15">
        <v>201409</v>
      </c>
      <c r="J207" s="16">
        <v>-622.91</v>
      </c>
      <c r="K207" s="44">
        <f t="shared" si="15"/>
        <v>41883</v>
      </c>
      <c r="L207" s="45">
        <f t="shared" si="16"/>
        <v>9</v>
      </c>
      <c r="M207" s="17">
        <v>1.4833299999999999E-3</v>
      </c>
      <c r="N207" s="46">
        <f t="shared" si="17"/>
        <v>-8.3158298126999988</v>
      </c>
      <c r="O207" s="16"/>
      <c r="P207" s="48">
        <f t="shared" si="18"/>
        <v>-323.13456250000002</v>
      </c>
      <c r="Q207" s="16"/>
      <c r="R207" s="48">
        <f t="shared" si="19"/>
        <v>-14.052460281250001</v>
      </c>
      <c r="S207" s="14"/>
    </row>
    <row r="208" spans="1:19">
      <c r="A208" s="18" t="s">
        <v>54</v>
      </c>
      <c r="B208" s="15" t="s">
        <v>722</v>
      </c>
      <c r="C208" s="15" t="s">
        <v>723</v>
      </c>
      <c r="D208" s="14" t="s">
        <v>724</v>
      </c>
      <c r="E208" s="15" t="s">
        <v>40</v>
      </c>
      <c r="F208" s="14" t="s">
        <v>41</v>
      </c>
      <c r="G208" s="15" t="s">
        <v>23</v>
      </c>
      <c r="H208" s="15" t="s">
        <v>1526</v>
      </c>
      <c r="I208" s="15">
        <v>201409</v>
      </c>
      <c r="J208" s="16">
        <v>-3374.08</v>
      </c>
      <c r="K208" s="44">
        <f t="shared" si="15"/>
        <v>41883</v>
      </c>
      <c r="L208" s="45">
        <f t="shared" si="16"/>
        <v>9</v>
      </c>
      <c r="M208" s="17">
        <v>1.4833299999999999E-3</v>
      </c>
      <c r="N208" s="46">
        <f t="shared" si="17"/>
        <v>-45.043866777599995</v>
      </c>
      <c r="O208" s="16"/>
      <c r="P208" s="48">
        <f t="shared" si="18"/>
        <v>-1750.3040000000001</v>
      </c>
      <c r="Q208" s="16"/>
      <c r="R208" s="48">
        <f t="shared" si="19"/>
        <v>-76.117136000000002</v>
      </c>
      <c r="S208" s="14"/>
    </row>
    <row r="209" spans="1:19">
      <c r="A209" s="18" t="s">
        <v>17</v>
      </c>
      <c r="B209" s="15" t="s">
        <v>725</v>
      </c>
      <c r="C209" s="15" t="s">
        <v>726</v>
      </c>
      <c r="D209" s="14" t="s">
        <v>727</v>
      </c>
      <c r="E209" s="15" t="s">
        <v>141</v>
      </c>
      <c r="F209" s="14" t="s">
        <v>142</v>
      </c>
      <c r="G209" s="15" t="s">
        <v>23</v>
      </c>
      <c r="H209" s="15" t="s">
        <v>1525</v>
      </c>
      <c r="I209" s="15">
        <v>201409</v>
      </c>
      <c r="J209" s="16">
        <v>-1433.54</v>
      </c>
      <c r="K209" s="44">
        <f t="shared" si="15"/>
        <v>41883</v>
      </c>
      <c r="L209" s="45">
        <f t="shared" si="16"/>
        <v>9</v>
      </c>
      <c r="M209" s="17">
        <v>1.4833299999999999E-3</v>
      </c>
      <c r="N209" s="46">
        <f t="shared" si="17"/>
        <v>-19.137715993799997</v>
      </c>
      <c r="O209" s="16"/>
      <c r="P209" s="48">
        <f t="shared" si="18"/>
        <v>-743.64887500000009</v>
      </c>
      <c r="Q209" s="16"/>
      <c r="R209" s="48">
        <f t="shared" si="19"/>
        <v>-32.339766437500003</v>
      </c>
      <c r="S209" s="14"/>
    </row>
    <row r="210" spans="1:19">
      <c r="A210" s="18" t="s">
        <v>17</v>
      </c>
      <c r="B210" s="15" t="s">
        <v>728</v>
      </c>
      <c r="C210" s="15" t="s">
        <v>729</v>
      </c>
      <c r="D210" s="14" t="s">
        <v>730</v>
      </c>
      <c r="E210" s="15" t="s">
        <v>141</v>
      </c>
      <c r="F210" s="14" t="s">
        <v>142</v>
      </c>
      <c r="G210" s="15" t="s">
        <v>23</v>
      </c>
      <c r="H210" s="15" t="s">
        <v>1525</v>
      </c>
      <c r="I210" s="15">
        <v>201409</v>
      </c>
      <c r="J210" s="16">
        <v>-505.02</v>
      </c>
      <c r="K210" s="44">
        <f t="shared" si="15"/>
        <v>41883</v>
      </c>
      <c r="L210" s="45">
        <f t="shared" si="16"/>
        <v>9</v>
      </c>
      <c r="M210" s="17">
        <v>1.4833299999999999E-3</v>
      </c>
      <c r="N210" s="46">
        <f t="shared" si="17"/>
        <v>-6.7420018493999994</v>
      </c>
      <c r="O210" s="16"/>
      <c r="P210" s="48">
        <f t="shared" si="18"/>
        <v>-261.97912500000001</v>
      </c>
      <c r="Q210" s="16"/>
      <c r="R210" s="48">
        <f t="shared" si="19"/>
        <v>-11.3929355625</v>
      </c>
      <c r="S210" s="14"/>
    </row>
    <row r="211" spans="1:19">
      <c r="A211" s="18" t="s">
        <v>54</v>
      </c>
      <c r="B211" s="15" t="s">
        <v>731</v>
      </c>
      <c r="C211" s="15" t="s">
        <v>732</v>
      </c>
      <c r="D211" s="14" t="s">
        <v>733</v>
      </c>
      <c r="E211" s="15" t="s">
        <v>104</v>
      </c>
      <c r="F211" s="14" t="s">
        <v>41</v>
      </c>
      <c r="G211" s="15" t="s">
        <v>23</v>
      </c>
      <c r="H211" s="15" t="s">
        <v>1526</v>
      </c>
      <c r="I211" s="15">
        <v>201409</v>
      </c>
      <c r="J211" s="16">
        <v>-1019.7</v>
      </c>
      <c r="K211" s="44">
        <f t="shared" si="15"/>
        <v>41883</v>
      </c>
      <c r="L211" s="45">
        <f t="shared" si="16"/>
        <v>9</v>
      </c>
      <c r="M211" s="17">
        <v>1.4833299999999999E-3</v>
      </c>
      <c r="N211" s="46">
        <f t="shared" si="17"/>
        <v>-13.612964409</v>
      </c>
      <c r="O211" s="16"/>
      <c r="P211" s="48">
        <f t="shared" si="18"/>
        <v>-528.96937500000001</v>
      </c>
      <c r="Q211" s="16"/>
      <c r="R211" s="48">
        <f t="shared" si="19"/>
        <v>-23.003794687500001</v>
      </c>
      <c r="S211" s="14"/>
    </row>
    <row r="212" spans="1:19">
      <c r="A212" s="14" t="s">
        <v>66</v>
      </c>
      <c r="B212" s="15" t="s">
        <v>734</v>
      </c>
      <c r="C212" s="15" t="s">
        <v>735</v>
      </c>
      <c r="D212" s="14" t="s">
        <v>736</v>
      </c>
      <c r="E212" s="15" t="s">
        <v>737</v>
      </c>
      <c r="F212" s="14" t="s">
        <v>624</v>
      </c>
      <c r="G212" s="15" t="s">
        <v>23</v>
      </c>
      <c r="H212" s="15" t="s">
        <v>1527</v>
      </c>
      <c r="I212" s="15">
        <v>201409</v>
      </c>
      <c r="J212" s="16">
        <v>-44.18</v>
      </c>
      <c r="K212" s="44">
        <f t="shared" si="15"/>
        <v>41883</v>
      </c>
      <c r="L212" s="45">
        <f t="shared" si="16"/>
        <v>9</v>
      </c>
      <c r="M212" s="17">
        <v>2.23333E-3</v>
      </c>
      <c r="N212" s="46">
        <f t="shared" si="17"/>
        <v>-0.88801667459999989</v>
      </c>
      <c r="O212" s="16"/>
      <c r="P212" s="48">
        <f t="shared" si="18"/>
        <v>-22.918375000000001</v>
      </c>
      <c r="Q212" s="16"/>
      <c r="R212" s="48">
        <f t="shared" si="19"/>
        <v>-0.99667318750000011</v>
      </c>
      <c r="S212" s="14"/>
    </row>
    <row r="213" spans="1:19">
      <c r="A213" s="14" t="s">
        <v>66</v>
      </c>
      <c r="B213" s="15" t="s">
        <v>738</v>
      </c>
      <c r="C213" s="15" t="s">
        <v>739</v>
      </c>
      <c r="D213" s="14" t="s">
        <v>69</v>
      </c>
      <c r="E213" s="15" t="s">
        <v>740</v>
      </c>
      <c r="F213" s="14" t="s">
        <v>71</v>
      </c>
      <c r="G213" s="15" t="s">
        <v>23</v>
      </c>
      <c r="H213" s="15" t="s">
        <v>1530</v>
      </c>
      <c r="I213" s="15">
        <v>201409</v>
      </c>
      <c r="J213" s="16">
        <v>29.7</v>
      </c>
      <c r="K213" s="44">
        <f t="shared" si="15"/>
        <v>41883</v>
      </c>
      <c r="L213" s="45">
        <f t="shared" si="16"/>
        <v>9</v>
      </c>
      <c r="M213" s="17">
        <v>2.23333E-3</v>
      </c>
      <c r="N213" s="46">
        <f t="shared" si="17"/>
        <v>0.59696910899999989</v>
      </c>
      <c r="O213" s="16"/>
      <c r="P213" s="48">
        <f t="shared" si="18"/>
        <v>15.406875000000001</v>
      </c>
      <c r="Q213" s="16"/>
      <c r="R213" s="48">
        <f t="shared" si="19"/>
        <v>0.67001343749999998</v>
      </c>
      <c r="S213" s="14"/>
    </row>
    <row r="214" spans="1:19">
      <c r="A214" s="14" t="s">
        <v>66</v>
      </c>
      <c r="B214" s="15" t="s">
        <v>741</v>
      </c>
      <c r="C214" s="15" t="s">
        <v>742</v>
      </c>
      <c r="D214" s="14" t="s">
        <v>69</v>
      </c>
      <c r="E214" s="15" t="s">
        <v>70</v>
      </c>
      <c r="F214" s="14" t="s">
        <v>71</v>
      </c>
      <c r="G214" s="15" t="s">
        <v>23</v>
      </c>
      <c r="H214" s="15" t="s">
        <v>1530</v>
      </c>
      <c r="I214" s="15">
        <v>201409</v>
      </c>
      <c r="J214" s="16">
        <v>1203.8</v>
      </c>
      <c r="K214" s="44">
        <f t="shared" si="15"/>
        <v>41883</v>
      </c>
      <c r="L214" s="45">
        <f t="shared" si="16"/>
        <v>9</v>
      </c>
      <c r="M214" s="17">
        <v>2.23333E-3</v>
      </c>
      <c r="N214" s="46">
        <f t="shared" si="17"/>
        <v>24.196343885999998</v>
      </c>
      <c r="O214" s="16"/>
      <c r="P214" s="48">
        <f t="shared" si="18"/>
        <v>624.47125000000005</v>
      </c>
      <c r="Q214" s="16"/>
      <c r="R214" s="48">
        <f t="shared" si="19"/>
        <v>27.156975625000001</v>
      </c>
      <c r="S214" s="14"/>
    </row>
    <row r="215" spans="1:19">
      <c r="A215" s="14" t="s">
        <v>66</v>
      </c>
      <c r="B215" s="15" t="s">
        <v>743</v>
      </c>
      <c r="C215" s="15" t="s">
        <v>744</v>
      </c>
      <c r="D215" s="14" t="s">
        <v>745</v>
      </c>
      <c r="E215" s="15" t="s">
        <v>746</v>
      </c>
      <c r="F215" s="14" t="s">
        <v>80</v>
      </c>
      <c r="G215" s="15" t="s">
        <v>23</v>
      </c>
      <c r="H215" s="15" t="s">
        <v>1530</v>
      </c>
      <c r="I215" s="15">
        <v>201409</v>
      </c>
      <c r="J215" s="16">
        <v>47053.64</v>
      </c>
      <c r="K215" s="44">
        <f t="shared" si="15"/>
        <v>41883</v>
      </c>
      <c r="L215" s="45">
        <f t="shared" si="16"/>
        <v>9</v>
      </c>
      <c r="M215" s="17">
        <v>2.23333E-3</v>
      </c>
      <c r="N215" s="46">
        <f t="shared" si="17"/>
        <v>945.77675239079986</v>
      </c>
      <c r="O215" s="16"/>
      <c r="P215" s="48">
        <f t="shared" si="18"/>
        <v>24409.07575</v>
      </c>
      <c r="Q215" s="16"/>
      <c r="R215" s="48">
        <f t="shared" si="19"/>
        <v>1061.500709875</v>
      </c>
      <c r="S215" s="14"/>
    </row>
    <row r="216" spans="1:19">
      <c r="A216" s="14" t="s">
        <v>66</v>
      </c>
      <c r="B216" s="15" t="s">
        <v>747</v>
      </c>
      <c r="C216" s="15" t="s">
        <v>748</v>
      </c>
      <c r="D216" s="14" t="s">
        <v>78</v>
      </c>
      <c r="E216" s="15" t="s">
        <v>749</v>
      </c>
      <c r="F216" s="14" t="s">
        <v>80</v>
      </c>
      <c r="G216" s="15" t="s">
        <v>23</v>
      </c>
      <c r="H216" s="15" t="s">
        <v>1530</v>
      </c>
      <c r="I216" s="15">
        <v>201409</v>
      </c>
      <c r="J216" s="16">
        <v>103995.5</v>
      </c>
      <c r="K216" s="44">
        <f t="shared" si="15"/>
        <v>41883</v>
      </c>
      <c r="L216" s="45">
        <f t="shared" si="16"/>
        <v>9</v>
      </c>
      <c r="M216" s="17">
        <v>2.23333E-3</v>
      </c>
      <c r="N216" s="46">
        <f t="shared" si="17"/>
        <v>2090.306430135</v>
      </c>
      <c r="O216" s="16"/>
      <c r="P216" s="48">
        <f t="shared" si="18"/>
        <v>53947.665625000001</v>
      </c>
      <c r="Q216" s="16"/>
      <c r="R216" s="48">
        <f t="shared" si="19"/>
        <v>2346.0734828125001</v>
      </c>
      <c r="S216" s="14"/>
    </row>
    <row r="217" spans="1:19">
      <c r="A217" s="14" t="s">
        <v>66</v>
      </c>
      <c r="B217" s="15" t="s">
        <v>750</v>
      </c>
      <c r="C217" s="15" t="s">
        <v>751</v>
      </c>
      <c r="D217" s="14" t="s">
        <v>78</v>
      </c>
      <c r="E217" s="15" t="s">
        <v>752</v>
      </c>
      <c r="F217" s="14" t="s">
        <v>80</v>
      </c>
      <c r="G217" s="15" t="s">
        <v>23</v>
      </c>
      <c r="H217" s="15" t="s">
        <v>1530</v>
      </c>
      <c r="I217" s="15">
        <v>201409</v>
      </c>
      <c r="J217" s="16">
        <v>-0.62</v>
      </c>
      <c r="K217" s="44">
        <f t="shared" ref="K217:K280" si="20">+K216</f>
        <v>41883</v>
      </c>
      <c r="L217" s="45">
        <f t="shared" si="16"/>
        <v>9</v>
      </c>
      <c r="M217" s="17">
        <v>2.23333E-3</v>
      </c>
      <c r="N217" s="46">
        <f t="shared" si="17"/>
        <v>-1.2461981399999999E-2</v>
      </c>
      <c r="O217" s="16"/>
      <c r="P217" s="48">
        <f t="shared" si="18"/>
        <v>-0.32162500000000005</v>
      </c>
      <c r="Q217" s="16"/>
      <c r="R217" s="48">
        <f t="shared" si="19"/>
        <v>-1.3986812500000001E-2</v>
      </c>
      <c r="S217" s="14"/>
    </row>
    <row r="218" spans="1:19">
      <c r="A218" s="14" t="s">
        <v>66</v>
      </c>
      <c r="B218" s="15" t="s">
        <v>753</v>
      </c>
      <c r="C218" s="15" t="s">
        <v>754</v>
      </c>
      <c r="D218" s="14" t="s">
        <v>206</v>
      </c>
      <c r="E218" s="15" t="s">
        <v>755</v>
      </c>
      <c r="F218" s="14" t="s">
        <v>97</v>
      </c>
      <c r="G218" s="15" t="s">
        <v>23</v>
      </c>
      <c r="H218" s="15" t="s">
        <v>1530</v>
      </c>
      <c r="I218" s="15">
        <v>201409</v>
      </c>
      <c r="J218" s="16">
        <v>7053.44</v>
      </c>
      <c r="K218" s="44">
        <f t="shared" si="20"/>
        <v>41883</v>
      </c>
      <c r="L218" s="45">
        <f t="shared" si="16"/>
        <v>9</v>
      </c>
      <c r="M218" s="17">
        <v>2.23333E-3</v>
      </c>
      <c r="N218" s="46">
        <f t="shared" si="17"/>
        <v>141.77393239679998</v>
      </c>
      <c r="O218" s="16"/>
      <c r="P218" s="48">
        <f t="shared" si="18"/>
        <v>3658.9720000000002</v>
      </c>
      <c r="Q218" s="16"/>
      <c r="R218" s="48">
        <f t="shared" si="19"/>
        <v>159.12119799999999</v>
      </c>
      <c r="S218" s="14"/>
    </row>
    <row r="219" spans="1:19">
      <c r="A219" s="14" t="s">
        <v>17</v>
      </c>
      <c r="B219" s="15" t="s">
        <v>756</v>
      </c>
      <c r="C219" s="15" t="s">
        <v>757</v>
      </c>
      <c r="D219" s="14" t="s">
        <v>758</v>
      </c>
      <c r="E219" s="15" t="s">
        <v>141</v>
      </c>
      <c r="F219" s="14" t="s">
        <v>142</v>
      </c>
      <c r="G219" s="15" t="s">
        <v>23</v>
      </c>
      <c r="H219" s="15" t="s">
        <v>1525</v>
      </c>
      <c r="I219" s="15">
        <v>201409</v>
      </c>
      <c r="J219" s="16">
        <v>-4641.3900000000003</v>
      </c>
      <c r="K219" s="44">
        <f t="shared" si="20"/>
        <v>41883</v>
      </c>
      <c r="L219" s="45">
        <f t="shared" si="16"/>
        <v>9</v>
      </c>
      <c r="M219" s="17">
        <v>1.4833299999999999E-3</v>
      </c>
      <c r="N219" s="46">
        <f t="shared" si="17"/>
        <v>-61.9624172583</v>
      </c>
      <c r="O219" s="16"/>
      <c r="P219" s="48">
        <f t="shared" si="18"/>
        <v>-2407.7210625000002</v>
      </c>
      <c r="Q219" s="16"/>
      <c r="R219" s="48">
        <f t="shared" si="19"/>
        <v>-104.70685753125002</v>
      </c>
      <c r="S219" s="14"/>
    </row>
    <row r="220" spans="1:19">
      <c r="A220" s="14" t="s">
        <v>17</v>
      </c>
      <c r="B220" s="15" t="s">
        <v>759</v>
      </c>
      <c r="C220" s="15" t="s">
        <v>760</v>
      </c>
      <c r="D220" s="14" t="s">
        <v>761</v>
      </c>
      <c r="E220" s="15" t="s">
        <v>62</v>
      </c>
      <c r="F220" s="14" t="s">
        <v>22</v>
      </c>
      <c r="G220" s="15" t="s">
        <v>23</v>
      </c>
      <c r="H220" s="15" t="s">
        <v>1525</v>
      </c>
      <c r="I220" s="15">
        <v>201409</v>
      </c>
      <c r="J220" s="16">
        <v>-84.14</v>
      </c>
      <c r="K220" s="44">
        <f t="shared" si="20"/>
        <v>41883</v>
      </c>
      <c r="L220" s="45">
        <f t="shared" si="16"/>
        <v>9</v>
      </c>
      <c r="M220" s="17">
        <v>1.4833299999999999E-3</v>
      </c>
      <c r="N220" s="46">
        <f t="shared" si="17"/>
        <v>-1.1232664757999999</v>
      </c>
      <c r="O220" s="16"/>
      <c r="P220" s="48">
        <f t="shared" si="18"/>
        <v>-43.647625000000005</v>
      </c>
      <c r="Q220" s="16"/>
      <c r="R220" s="48">
        <f t="shared" si="19"/>
        <v>-1.8981458125000001</v>
      </c>
      <c r="S220" s="14"/>
    </row>
    <row r="221" spans="1:19">
      <c r="A221" s="14" t="s">
        <v>238</v>
      </c>
      <c r="B221" s="15" t="s">
        <v>762</v>
      </c>
      <c r="C221" s="15" t="s">
        <v>763</v>
      </c>
      <c r="D221" s="14" t="s">
        <v>764</v>
      </c>
      <c r="E221" s="15" t="s">
        <v>168</v>
      </c>
      <c r="F221" s="14" t="s">
        <v>169</v>
      </c>
      <c r="G221" s="15" t="s">
        <v>23</v>
      </c>
      <c r="H221" s="15" t="s">
        <v>1528</v>
      </c>
      <c r="I221" s="15">
        <v>201409</v>
      </c>
      <c r="J221" s="16">
        <v>-567.96</v>
      </c>
      <c r="K221" s="44">
        <f t="shared" si="20"/>
        <v>41883</v>
      </c>
      <c r="L221" s="45">
        <f t="shared" si="16"/>
        <v>9</v>
      </c>
      <c r="M221" s="17">
        <v>2.3833299999999999E-3</v>
      </c>
      <c r="N221" s="46">
        <f t="shared" si="17"/>
        <v>-12.1827249612</v>
      </c>
      <c r="O221" s="16"/>
      <c r="P221" s="48">
        <f t="shared" si="18"/>
        <v>-294.62925000000007</v>
      </c>
      <c r="Q221" s="16"/>
      <c r="R221" s="48">
        <f t="shared" si="19"/>
        <v>-12.812822625000003</v>
      </c>
      <c r="S221" s="14"/>
    </row>
    <row r="222" spans="1:19">
      <c r="A222" s="14" t="s">
        <v>17</v>
      </c>
      <c r="B222" s="15" t="s">
        <v>765</v>
      </c>
      <c r="C222" s="15" t="s">
        <v>766</v>
      </c>
      <c r="D222" s="14" t="s">
        <v>767</v>
      </c>
      <c r="E222" s="15" t="s">
        <v>216</v>
      </c>
      <c r="F222" s="14" t="s">
        <v>22</v>
      </c>
      <c r="G222" s="15" t="s">
        <v>23</v>
      </c>
      <c r="H222" s="15" t="s">
        <v>1525</v>
      </c>
      <c r="I222" s="15">
        <v>201409</v>
      </c>
      <c r="J222" s="16">
        <v>-1384.18</v>
      </c>
      <c r="K222" s="44">
        <f t="shared" si="20"/>
        <v>41883</v>
      </c>
      <c r="L222" s="45">
        <f t="shared" si="16"/>
        <v>9</v>
      </c>
      <c r="M222" s="17">
        <v>1.4833299999999999E-3</v>
      </c>
      <c r="N222" s="46">
        <f t="shared" si="17"/>
        <v>-18.478761474599999</v>
      </c>
      <c r="O222" s="16"/>
      <c r="P222" s="48">
        <f t="shared" si="18"/>
        <v>-718.04337500000008</v>
      </c>
      <c r="Q222" s="16"/>
      <c r="R222" s="48">
        <f t="shared" si="19"/>
        <v>-31.226235687500004</v>
      </c>
      <c r="S222" s="14"/>
    </row>
    <row r="223" spans="1:19">
      <c r="A223" s="14" t="s">
        <v>17</v>
      </c>
      <c r="B223" s="15" t="s">
        <v>768</v>
      </c>
      <c r="C223" s="15" t="s">
        <v>769</v>
      </c>
      <c r="D223" s="14" t="s">
        <v>770</v>
      </c>
      <c r="E223" s="15" t="s">
        <v>104</v>
      </c>
      <c r="F223" s="14" t="s">
        <v>41</v>
      </c>
      <c r="G223" s="15" t="s">
        <v>23</v>
      </c>
      <c r="H223" s="15" t="s">
        <v>1526</v>
      </c>
      <c r="I223" s="15">
        <v>201409</v>
      </c>
      <c r="J223" s="16">
        <v>-630.88</v>
      </c>
      <c r="K223" s="44">
        <f t="shared" si="20"/>
        <v>41883</v>
      </c>
      <c r="L223" s="45">
        <f t="shared" si="16"/>
        <v>9</v>
      </c>
      <c r="M223" s="17">
        <v>1.4833299999999999E-3</v>
      </c>
      <c r="N223" s="46">
        <f t="shared" si="17"/>
        <v>-8.4222290735999987</v>
      </c>
      <c r="O223" s="16"/>
      <c r="P223" s="48">
        <f t="shared" si="18"/>
        <v>-327.26900000000001</v>
      </c>
      <c r="Q223" s="16"/>
      <c r="R223" s="48">
        <f t="shared" si="19"/>
        <v>-14.2322585</v>
      </c>
      <c r="S223" s="14"/>
    </row>
    <row r="224" spans="1:19">
      <c r="A224" s="14" t="s">
        <v>238</v>
      </c>
      <c r="B224" s="15" t="s">
        <v>771</v>
      </c>
      <c r="C224" s="15" t="s">
        <v>772</v>
      </c>
      <c r="D224" s="14" t="s">
        <v>773</v>
      </c>
      <c r="E224" s="15" t="s">
        <v>168</v>
      </c>
      <c r="F224" s="14" t="s">
        <v>169</v>
      </c>
      <c r="G224" s="15" t="s">
        <v>23</v>
      </c>
      <c r="H224" s="15" t="s">
        <v>1528</v>
      </c>
      <c r="I224" s="15">
        <v>201409</v>
      </c>
      <c r="J224" s="16">
        <v>-212.27</v>
      </c>
      <c r="K224" s="44">
        <f t="shared" si="20"/>
        <v>41883</v>
      </c>
      <c r="L224" s="45">
        <f t="shared" si="16"/>
        <v>9</v>
      </c>
      <c r="M224" s="17">
        <v>2.3833299999999999E-3</v>
      </c>
      <c r="N224" s="46">
        <f t="shared" si="17"/>
        <v>-4.5531851319000003</v>
      </c>
      <c r="O224" s="16"/>
      <c r="P224" s="48">
        <f t="shared" si="18"/>
        <v>-110.11506250000002</v>
      </c>
      <c r="Q224" s="16"/>
      <c r="R224" s="48">
        <f t="shared" si="19"/>
        <v>-4.7886785312500004</v>
      </c>
      <c r="S224" s="14"/>
    </row>
    <row r="225" spans="1:19">
      <c r="A225" s="14" t="s">
        <v>238</v>
      </c>
      <c r="B225" s="15" t="s">
        <v>774</v>
      </c>
      <c r="C225" s="15" t="s">
        <v>775</v>
      </c>
      <c r="D225" s="14" t="s">
        <v>776</v>
      </c>
      <c r="E225" s="15" t="s">
        <v>168</v>
      </c>
      <c r="F225" s="14" t="s">
        <v>169</v>
      </c>
      <c r="G225" s="15" t="s">
        <v>23</v>
      </c>
      <c r="H225" s="15" t="s">
        <v>1528</v>
      </c>
      <c r="I225" s="15">
        <v>201409</v>
      </c>
      <c r="J225" s="16">
        <v>12.14</v>
      </c>
      <c r="K225" s="44">
        <f t="shared" si="20"/>
        <v>41883</v>
      </c>
      <c r="L225" s="45">
        <f t="shared" si="16"/>
        <v>9</v>
      </c>
      <c r="M225" s="17">
        <v>2.3833299999999999E-3</v>
      </c>
      <c r="N225" s="46">
        <f t="shared" si="17"/>
        <v>0.2604026358</v>
      </c>
      <c r="O225" s="16"/>
      <c r="P225" s="48">
        <f t="shared" si="18"/>
        <v>6.2976250000000009</v>
      </c>
      <c r="Q225" s="16"/>
      <c r="R225" s="48">
        <f t="shared" si="19"/>
        <v>0.27387081250000006</v>
      </c>
      <c r="S225" s="14"/>
    </row>
    <row r="226" spans="1:19">
      <c r="A226" s="14" t="s">
        <v>17</v>
      </c>
      <c r="B226" s="15" t="s">
        <v>777</v>
      </c>
      <c r="C226" s="15" t="s">
        <v>778</v>
      </c>
      <c r="D226" s="14" t="s">
        <v>779</v>
      </c>
      <c r="E226" s="15" t="s">
        <v>62</v>
      </c>
      <c r="F226" s="14" t="s">
        <v>22</v>
      </c>
      <c r="G226" s="15" t="s">
        <v>23</v>
      </c>
      <c r="H226" s="15" t="s">
        <v>1525</v>
      </c>
      <c r="I226" s="15">
        <v>201409</v>
      </c>
      <c r="J226" s="16">
        <v>-66.150000000000006</v>
      </c>
      <c r="K226" s="44">
        <f t="shared" si="20"/>
        <v>41883</v>
      </c>
      <c r="L226" s="45">
        <f t="shared" si="16"/>
        <v>9</v>
      </c>
      <c r="M226" s="17">
        <v>1.4833299999999999E-3</v>
      </c>
      <c r="N226" s="46">
        <f t="shared" si="17"/>
        <v>-0.88310051550000002</v>
      </c>
      <c r="O226" s="16"/>
      <c r="P226" s="48">
        <f t="shared" si="18"/>
        <v>-34.315312500000005</v>
      </c>
      <c r="Q226" s="16"/>
      <c r="R226" s="48">
        <f t="shared" si="19"/>
        <v>-1.4923026562500001</v>
      </c>
      <c r="S226" s="14"/>
    </row>
    <row r="227" spans="1:19">
      <c r="A227" s="14" t="s">
        <v>17</v>
      </c>
      <c r="B227" s="15" t="s">
        <v>780</v>
      </c>
      <c r="C227" s="15" t="s">
        <v>781</v>
      </c>
      <c r="D227" s="14" t="s">
        <v>782</v>
      </c>
      <c r="E227" s="15" t="s">
        <v>141</v>
      </c>
      <c r="F227" s="14" t="s">
        <v>142</v>
      </c>
      <c r="G227" s="15" t="s">
        <v>23</v>
      </c>
      <c r="H227" s="15" t="s">
        <v>1525</v>
      </c>
      <c r="I227" s="15">
        <v>201409</v>
      </c>
      <c r="J227" s="16">
        <v>-1734.87</v>
      </c>
      <c r="K227" s="44">
        <f t="shared" si="20"/>
        <v>41883</v>
      </c>
      <c r="L227" s="45">
        <f t="shared" si="16"/>
        <v>9</v>
      </c>
      <c r="M227" s="17">
        <v>1.4833299999999999E-3</v>
      </c>
      <c r="N227" s="46">
        <f t="shared" si="17"/>
        <v>-23.160462453899996</v>
      </c>
      <c r="O227" s="16"/>
      <c r="P227" s="48">
        <f t="shared" si="18"/>
        <v>-899.96381250000002</v>
      </c>
      <c r="Q227" s="16"/>
      <c r="R227" s="48">
        <f t="shared" si="19"/>
        <v>-39.137582906250003</v>
      </c>
      <c r="S227" s="14"/>
    </row>
    <row r="228" spans="1:19">
      <c r="A228" s="14" t="s">
        <v>17</v>
      </c>
      <c r="B228" s="15" t="s">
        <v>783</v>
      </c>
      <c r="C228" s="15" t="s">
        <v>784</v>
      </c>
      <c r="D228" s="14" t="s">
        <v>785</v>
      </c>
      <c r="E228" s="15" t="s">
        <v>141</v>
      </c>
      <c r="F228" s="14" t="s">
        <v>142</v>
      </c>
      <c r="G228" s="15" t="s">
        <v>23</v>
      </c>
      <c r="H228" s="15" t="s">
        <v>1525</v>
      </c>
      <c r="I228" s="15">
        <v>201409</v>
      </c>
      <c r="J228" s="16">
        <v>-2330.69</v>
      </c>
      <c r="K228" s="44">
        <f t="shared" si="20"/>
        <v>41883</v>
      </c>
      <c r="L228" s="45">
        <f t="shared" si="16"/>
        <v>9</v>
      </c>
      <c r="M228" s="17">
        <v>1.4833299999999999E-3</v>
      </c>
      <c r="N228" s="46">
        <f t="shared" si="17"/>
        <v>-31.114641579299999</v>
      </c>
      <c r="O228" s="16"/>
      <c r="P228" s="48">
        <f t="shared" si="18"/>
        <v>-1209.0454375000002</v>
      </c>
      <c r="Q228" s="16"/>
      <c r="R228" s="48">
        <f t="shared" si="19"/>
        <v>-52.578909718750005</v>
      </c>
      <c r="S228" s="14"/>
    </row>
    <row r="229" spans="1:19">
      <c r="A229" s="14" t="s">
        <v>17</v>
      </c>
      <c r="B229" s="15" t="s">
        <v>786</v>
      </c>
      <c r="C229" s="15" t="s">
        <v>787</v>
      </c>
      <c r="D229" s="14" t="s">
        <v>788</v>
      </c>
      <c r="E229" s="15" t="s">
        <v>246</v>
      </c>
      <c r="F229" s="14" t="s">
        <v>247</v>
      </c>
      <c r="G229" s="15" t="s">
        <v>23</v>
      </c>
      <c r="H229" s="15" t="s">
        <v>1525</v>
      </c>
      <c r="I229" s="15">
        <v>201409</v>
      </c>
      <c r="J229" s="16">
        <v>-15326.11</v>
      </c>
      <c r="K229" s="44">
        <f t="shared" si="20"/>
        <v>41883</v>
      </c>
      <c r="L229" s="45">
        <f t="shared" si="16"/>
        <v>9</v>
      </c>
      <c r="M229" s="17">
        <v>1.4833299999999999E-3</v>
      </c>
      <c r="N229" s="46">
        <f t="shared" si="17"/>
        <v>-204.60310871670001</v>
      </c>
      <c r="O229" s="16"/>
      <c r="P229" s="48">
        <f t="shared" si="18"/>
        <v>-7950.4195625000011</v>
      </c>
      <c r="Q229" s="16"/>
      <c r="R229" s="48">
        <f t="shared" si="19"/>
        <v>-345.74746278125008</v>
      </c>
      <c r="S229" s="14"/>
    </row>
    <row r="230" spans="1:19">
      <c r="A230" s="14" t="s">
        <v>17</v>
      </c>
      <c r="B230" s="15" t="s">
        <v>789</v>
      </c>
      <c r="C230" s="15" t="s">
        <v>790</v>
      </c>
      <c r="D230" s="14" t="s">
        <v>791</v>
      </c>
      <c r="E230" s="15" t="s">
        <v>246</v>
      </c>
      <c r="F230" s="14" t="s">
        <v>247</v>
      </c>
      <c r="G230" s="15" t="s">
        <v>23</v>
      </c>
      <c r="H230" s="15" t="s">
        <v>1525</v>
      </c>
      <c r="I230" s="15">
        <v>201409</v>
      </c>
      <c r="J230" s="16">
        <v>-1896.12</v>
      </c>
      <c r="K230" s="44">
        <f t="shared" si="20"/>
        <v>41883</v>
      </c>
      <c r="L230" s="45">
        <f t="shared" si="16"/>
        <v>9</v>
      </c>
      <c r="M230" s="17">
        <v>1.4833299999999999E-3</v>
      </c>
      <c r="N230" s="46">
        <f t="shared" si="17"/>
        <v>-25.313145116399998</v>
      </c>
      <c r="O230" s="16"/>
      <c r="P230" s="48">
        <f t="shared" si="18"/>
        <v>-983.61225000000002</v>
      </c>
      <c r="Q230" s="16"/>
      <c r="R230" s="48">
        <f t="shared" si="19"/>
        <v>-42.775282125000004</v>
      </c>
      <c r="S230" s="14"/>
    </row>
    <row r="231" spans="1:19">
      <c r="A231" s="14" t="s">
        <v>54</v>
      </c>
      <c r="B231" s="15" t="s">
        <v>792</v>
      </c>
      <c r="C231" s="15" t="s">
        <v>793</v>
      </c>
      <c r="D231" s="14" t="s">
        <v>794</v>
      </c>
      <c r="E231" s="15" t="s">
        <v>58</v>
      </c>
      <c r="F231" s="14" t="s">
        <v>22</v>
      </c>
      <c r="G231" s="15" t="s">
        <v>23</v>
      </c>
      <c r="H231" s="15" t="s">
        <v>1525</v>
      </c>
      <c r="I231" s="15">
        <v>201409</v>
      </c>
      <c r="J231" s="16">
        <v>-672.99</v>
      </c>
      <c r="K231" s="44">
        <f t="shared" si="20"/>
        <v>41883</v>
      </c>
      <c r="L231" s="45">
        <f t="shared" si="16"/>
        <v>9</v>
      </c>
      <c r="M231" s="17">
        <v>1.4833299999999999E-3</v>
      </c>
      <c r="N231" s="46">
        <f t="shared" si="17"/>
        <v>-8.9843963102999993</v>
      </c>
      <c r="O231" s="16"/>
      <c r="P231" s="48">
        <f t="shared" si="18"/>
        <v>-349.11356250000006</v>
      </c>
      <c r="Q231" s="16"/>
      <c r="R231" s="48">
        <f t="shared" si="19"/>
        <v>-15.182233781250002</v>
      </c>
      <c r="S231" s="14"/>
    </row>
    <row r="232" spans="1:19">
      <c r="A232" s="14" t="s">
        <v>17</v>
      </c>
      <c r="B232" s="15" t="s">
        <v>795</v>
      </c>
      <c r="C232" s="15" t="s">
        <v>796</v>
      </c>
      <c r="D232" s="14" t="s">
        <v>797</v>
      </c>
      <c r="E232" s="15" t="s">
        <v>176</v>
      </c>
      <c r="F232" s="14" t="s">
        <v>28</v>
      </c>
      <c r="G232" s="15" t="s">
        <v>23</v>
      </c>
      <c r="H232" s="15" t="s">
        <v>1525</v>
      </c>
      <c r="I232" s="15">
        <v>201409</v>
      </c>
      <c r="J232" s="16">
        <v>-155.05000000000001</v>
      </c>
      <c r="K232" s="44">
        <f t="shared" si="20"/>
        <v>41883</v>
      </c>
      <c r="L232" s="45">
        <f t="shared" si="16"/>
        <v>9</v>
      </c>
      <c r="M232" s="17">
        <v>1.4833299999999999E-3</v>
      </c>
      <c r="N232" s="46">
        <f t="shared" si="17"/>
        <v>-2.0699128485</v>
      </c>
      <c r="O232" s="16"/>
      <c r="P232" s="48">
        <f t="shared" si="18"/>
        <v>-80.432187500000012</v>
      </c>
      <c r="Q232" s="16"/>
      <c r="R232" s="48">
        <f t="shared" si="19"/>
        <v>-3.4978310937500008</v>
      </c>
      <c r="S232" s="14"/>
    </row>
    <row r="233" spans="1:19">
      <c r="A233" s="14" t="s">
        <v>17</v>
      </c>
      <c r="B233" s="15" t="s">
        <v>798</v>
      </c>
      <c r="C233" s="15" t="s">
        <v>799</v>
      </c>
      <c r="D233" s="14" t="s">
        <v>800</v>
      </c>
      <c r="E233" s="15" t="s">
        <v>62</v>
      </c>
      <c r="F233" s="14" t="s">
        <v>22</v>
      </c>
      <c r="G233" s="15" t="s">
        <v>23</v>
      </c>
      <c r="H233" s="15" t="s">
        <v>1525</v>
      </c>
      <c r="I233" s="15">
        <v>201409</v>
      </c>
      <c r="J233" s="16">
        <v>-228.89</v>
      </c>
      <c r="K233" s="44">
        <f t="shared" si="20"/>
        <v>41883</v>
      </c>
      <c r="L233" s="45">
        <f t="shared" si="16"/>
        <v>9</v>
      </c>
      <c r="M233" s="17">
        <v>1.4833299999999999E-3</v>
      </c>
      <c r="N233" s="46">
        <f t="shared" si="17"/>
        <v>-3.0556746332999998</v>
      </c>
      <c r="O233" s="16"/>
      <c r="P233" s="48">
        <f t="shared" si="18"/>
        <v>-118.7366875</v>
      </c>
      <c r="Q233" s="16"/>
      <c r="R233" s="48">
        <f t="shared" si="19"/>
        <v>-5.1636153437500001</v>
      </c>
      <c r="S233" s="14"/>
    </row>
    <row r="234" spans="1:19">
      <c r="A234" s="14" t="s">
        <v>17</v>
      </c>
      <c r="B234" s="15" t="s">
        <v>801</v>
      </c>
      <c r="C234" s="15" t="s">
        <v>802</v>
      </c>
      <c r="D234" s="14" t="s">
        <v>803</v>
      </c>
      <c r="E234" s="15" t="s">
        <v>440</v>
      </c>
      <c r="F234" s="14" t="s">
        <v>28</v>
      </c>
      <c r="G234" s="15" t="s">
        <v>23</v>
      </c>
      <c r="H234" s="15" t="s">
        <v>1525</v>
      </c>
      <c r="I234" s="15">
        <v>201409</v>
      </c>
      <c r="J234" s="16">
        <v>-553.08000000000004</v>
      </c>
      <c r="K234" s="44">
        <f t="shared" si="20"/>
        <v>41883</v>
      </c>
      <c r="L234" s="45">
        <f t="shared" si="16"/>
        <v>9</v>
      </c>
      <c r="M234" s="17">
        <v>1.4833299999999999E-3</v>
      </c>
      <c r="N234" s="46">
        <f t="shared" si="17"/>
        <v>-7.3836014076000005</v>
      </c>
      <c r="O234" s="16"/>
      <c r="P234" s="48">
        <f t="shared" si="18"/>
        <v>-286.91025000000002</v>
      </c>
      <c r="Q234" s="16"/>
      <c r="R234" s="48">
        <f t="shared" si="19"/>
        <v>-12.477139125000001</v>
      </c>
      <c r="S234" s="14"/>
    </row>
    <row r="235" spans="1:19">
      <c r="A235" s="14" t="s">
        <v>17</v>
      </c>
      <c r="B235" s="15" t="s">
        <v>804</v>
      </c>
      <c r="C235" s="15" t="s">
        <v>805</v>
      </c>
      <c r="D235" s="14" t="s">
        <v>806</v>
      </c>
      <c r="E235" s="15" t="s">
        <v>141</v>
      </c>
      <c r="F235" s="14" t="s">
        <v>142</v>
      </c>
      <c r="G235" s="15" t="s">
        <v>23</v>
      </c>
      <c r="H235" s="15" t="s">
        <v>1525</v>
      </c>
      <c r="I235" s="15">
        <v>201409</v>
      </c>
      <c r="J235" s="16">
        <v>-540.4</v>
      </c>
      <c r="K235" s="44">
        <f t="shared" si="20"/>
        <v>41883</v>
      </c>
      <c r="L235" s="45">
        <f t="shared" si="16"/>
        <v>9</v>
      </c>
      <c r="M235" s="17">
        <v>1.4833299999999999E-3</v>
      </c>
      <c r="N235" s="46">
        <f t="shared" si="17"/>
        <v>-7.2143237879999988</v>
      </c>
      <c r="O235" s="16"/>
      <c r="P235" s="48">
        <f t="shared" si="18"/>
        <v>-280.33250000000004</v>
      </c>
      <c r="Q235" s="16"/>
      <c r="R235" s="48">
        <f t="shared" si="19"/>
        <v>-12.191086250000001</v>
      </c>
      <c r="S235" s="14"/>
    </row>
    <row r="236" spans="1:19">
      <c r="A236" s="14" t="s">
        <v>17</v>
      </c>
      <c r="B236" s="15" t="s">
        <v>807</v>
      </c>
      <c r="C236" s="15" t="s">
        <v>808</v>
      </c>
      <c r="D236" s="14" t="s">
        <v>809</v>
      </c>
      <c r="E236" s="15" t="s">
        <v>108</v>
      </c>
      <c r="F236" s="14" t="s">
        <v>28</v>
      </c>
      <c r="G236" s="15" t="s">
        <v>23</v>
      </c>
      <c r="H236" s="15" t="s">
        <v>1525</v>
      </c>
      <c r="I236" s="15">
        <v>201409</v>
      </c>
      <c r="J236" s="16">
        <v>27.48</v>
      </c>
      <c r="K236" s="44">
        <f t="shared" si="20"/>
        <v>41883</v>
      </c>
      <c r="L236" s="45">
        <f t="shared" si="16"/>
        <v>9</v>
      </c>
      <c r="M236" s="17">
        <v>1.4833299999999999E-3</v>
      </c>
      <c r="N236" s="46">
        <f t="shared" si="17"/>
        <v>0.36685717559999997</v>
      </c>
      <c r="O236" s="16"/>
      <c r="P236" s="48">
        <f t="shared" si="18"/>
        <v>14.255250000000002</v>
      </c>
      <c r="Q236" s="16"/>
      <c r="R236" s="48">
        <f t="shared" si="19"/>
        <v>0.61993162499999999</v>
      </c>
      <c r="S236" s="14"/>
    </row>
    <row r="237" spans="1:19">
      <c r="A237" s="14" t="s">
        <v>17</v>
      </c>
      <c r="B237" s="15" t="s">
        <v>810</v>
      </c>
      <c r="C237" s="15" t="s">
        <v>811</v>
      </c>
      <c r="D237" s="14" t="s">
        <v>812</v>
      </c>
      <c r="E237" s="15" t="s">
        <v>104</v>
      </c>
      <c r="F237" s="14" t="s">
        <v>41</v>
      </c>
      <c r="G237" s="15" t="s">
        <v>23</v>
      </c>
      <c r="H237" s="15" t="s">
        <v>1526</v>
      </c>
      <c r="I237" s="15">
        <v>201409</v>
      </c>
      <c r="J237" s="16">
        <v>-22637.86</v>
      </c>
      <c r="K237" s="44">
        <f t="shared" si="20"/>
        <v>41883</v>
      </c>
      <c r="L237" s="45">
        <f t="shared" si="16"/>
        <v>9</v>
      </c>
      <c r="M237" s="17">
        <v>1.4833299999999999E-3</v>
      </c>
      <c r="N237" s="46">
        <f t="shared" si="17"/>
        <v>-302.21475186419997</v>
      </c>
      <c r="O237" s="16"/>
      <c r="P237" s="48">
        <f t="shared" si="18"/>
        <v>-11743.389875000001</v>
      </c>
      <c r="Q237" s="16"/>
      <c r="R237" s="48">
        <f t="shared" si="19"/>
        <v>-510.69597293750007</v>
      </c>
      <c r="S237" s="14"/>
    </row>
    <row r="238" spans="1:19">
      <c r="A238" s="14" t="s">
        <v>54</v>
      </c>
      <c r="B238" s="15" t="s">
        <v>810</v>
      </c>
      <c r="C238" s="15" t="s">
        <v>811</v>
      </c>
      <c r="D238" s="14" t="s">
        <v>812</v>
      </c>
      <c r="E238" s="15" t="s">
        <v>104</v>
      </c>
      <c r="F238" s="14" t="s">
        <v>41</v>
      </c>
      <c r="G238" s="15" t="s">
        <v>23</v>
      </c>
      <c r="H238" s="15" t="s">
        <v>1526</v>
      </c>
      <c r="I238" s="15">
        <v>201409</v>
      </c>
      <c r="J238" s="16">
        <v>22317.37</v>
      </c>
      <c r="K238" s="44">
        <f t="shared" si="20"/>
        <v>41883</v>
      </c>
      <c r="L238" s="45">
        <f t="shared" si="16"/>
        <v>9</v>
      </c>
      <c r="M238" s="17">
        <v>1.4833299999999999E-3</v>
      </c>
      <c r="N238" s="46">
        <f t="shared" si="17"/>
        <v>297.93621997889994</v>
      </c>
      <c r="O238" s="16"/>
      <c r="P238" s="48">
        <f t="shared" si="18"/>
        <v>11577.1356875</v>
      </c>
      <c r="Q238" s="16"/>
      <c r="R238" s="48">
        <f t="shared" si="19"/>
        <v>503.46591884375005</v>
      </c>
      <c r="S238" s="14"/>
    </row>
    <row r="239" spans="1:19">
      <c r="A239" s="14" t="s">
        <v>54</v>
      </c>
      <c r="B239" s="15" t="s">
        <v>816</v>
      </c>
      <c r="C239" s="15" t="s">
        <v>817</v>
      </c>
      <c r="D239" s="14" t="s">
        <v>818</v>
      </c>
      <c r="E239" s="15" t="s">
        <v>62</v>
      </c>
      <c r="F239" s="14" t="s">
        <v>22</v>
      </c>
      <c r="G239" s="15" t="s">
        <v>23</v>
      </c>
      <c r="H239" s="15" t="s">
        <v>1525</v>
      </c>
      <c r="I239" s="15">
        <v>201409</v>
      </c>
      <c r="J239" s="16">
        <v>-900.72</v>
      </c>
      <c r="K239" s="44">
        <f t="shared" si="20"/>
        <v>41883</v>
      </c>
      <c r="L239" s="45">
        <f t="shared" si="16"/>
        <v>9</v>
      </c>
      <c r="M239" s="17">
        <v>1.4833299999999999E-3</v>
      </c>
      <c r="N239" s="46">
        <f t="shared" si="17"/>
        <v>-12.0245849784</v>
      </c>
      <c r="O239" s="16"/>
      <c r="P239" s="48">
        <f t="shared" si="18"/>
        <v>-467.24850000000004</v>
      </c>
      <c r="Q239" s="16"/>
      <c r="R239" s="48">
        <f t="shared" si="19"/>
        <v>-20.319680250000005</v>
      </c>
      <c r="S239" s="14"/>
    </row>
    <row r="240" spans="1:19">
      <c r="A240" s="14" t="s">
        <v>17</v>
      </c>
      <c r="B240" s="15" t="s">
        <v>819</v>
      </c>
      <c r="C240" s="15" t="s">
        <v>820</v>
      </c>
      <c r="D240" s="14" t="s">
        <v>821</v>
      </c>
      <c r="E240" s="15" t="s">
        <v>822</v>
      </c>
      <c r="F240" s="14" t="s">
        <v>823</v>
      </c>
      <c r="G240" s="15" t="s">
        <v>23</v>
      </c>
      <c r="H240" s="15" t="s">
        <v>1526</v>
      </c>
      <c r="I240" s="15">
        <v>201409</v>
      </c>
      <c r="J240" s="16">
        <v>-1563.62</v>
      </c>
      <c r="K240" s="44">
        <f t="shared" si="20"/>
        <v>41883</v>
      </c>
      <c r="L240" s="45">
        <f t="shared" si="16"/>
        <v>9</v>
      </c>
      <c r="M240" s="17">
        <v>1.4833299999999999E-3</v>
      </c>
      <c r="N240" s="46">
        <f t="shared" si="17"/>
        <v>-20.874280091399996</v>
      </c>
      <c r="O240" s="16"/>
      <c r="P240" s="48">
        <f t="shared" si="18"/>
        <v>-811.12787500000002</v>
      </c>
      <c r="Q240" s="16"/>
      <c r="R240" s="48">
        <f t="shared" si="19"/>
        <v>-35.274289937500001</v>
      </c>
      <c r="S240" s="14"/>
    </row>
    <row r="241" spans="1:19">
      <c r="A241" s="14" t="s">
        <v>54</v>
      </c>
      <c r="B241" s="15" t="s">
        <v>827</v>
      </c>
      <c r="C241" s="15" t="s">
        <v>828</v>
      </c>
      <c r="D241" s="14" t="s">
        <v>829</v>
      </c>
      <c r="E241" s="15" t="s">
        <v>62</v>
      </c>
      <c r="F241" s="14" t="s">
        <v>22</v>
      </c>
      <c r="G241" s="15" t="s">
        <v>23</v>
      </c>
      <c r="H241" s="15" t="s">
        <v>1525</v>
      </c>
      <c r="I241" s="15">
        <v>201409</v>
      </c>
      <c r="J241" s="16">
        <v>-72.66</v>
      </c>
      <c r="K241" s="44">
        <f t="shared" si="20"/>
        <v>41883</v>
      </c>
      <c r="L241" s="45">
        <f t="shared" si="16"/>
        <v>9</v>
      </c>
      <c r="M241" s="17">
        <v>1.4833299999999999E-3</v>
      </c>
      <c r="N241" s="46">
        <f t="shared" si="17"/>
        <v>-0.9700088201999999</v>
      </c>
      <c r="O241" s="16"/>
      <c r="P241" s="48">
        <f t="shared" si="18"/>
        <v>-37.692374999999998</v>
      </c>
      <c r="Q241" s="16"/>
      <c r="R241" s="48">
        <f t="shared" si="19"/>
        <v>-1.6391641875</v>
      </c>
      <c r="S241" s="14"/>
    </row>
    <row r="242" spans="1:19">
      <c r="A242" s="14" t="s">
        <v>66</v>
      </c>
      <c r="B242" s="15" t="s">
        <v>833</v>
      </c>
      <c r="C242" s="15" t="s">
        <v>834</v>
      </c>
      <c r="D242" s="14" t="s">
        <v>835</v>
      </c>
      <c r="E242" s="15" t="s">
        <v>40</v>
      </c>
      <c r="F242" s="14" t="s">
        <v>41</v>
      </c>
      <c r="G242" s="15" t="s">
        <v>23</v>
      </c>
      <c r="H242" s="15" t="s">
        <v>1526</v>
      </c>
      <c r="I242" s="15">
        <v>201409</v>
      </c>
      <c r="J242" s="16">
        <v>-307.58</v>
      </c>
      <c r="K242" s="44">
        <f t="shared" si="20"/>
        <v>41883</v>
      </c>
      <c r="L242" s="45">
        <f t="shared" si="16"/>
        <v>9</v>
      </c>
      <c r="M242" s="17">
        <v>2.23333E-3</v>
      </c>
      <c r="N242" s="46">
        <f t="shared" si="17"/>
        <v>-6.1823487725999993</v>
      </c>
      <c r="O242" s="16"/>
      <c r="P242" s="48">
        <f t="shared" si="18"/>
        <v>-159.55712500000001</v>
      </c>
      <c r="Q242" s="16"/>
      <c r="R242" s="48">
        <f t="shared" si="19"/>
        <v>-6.9388125624999999</v>
      </c>
      <c r="S242" s="14"/>
    </row>
    <row r="243" spans="1:19">
      <c r="A243" s="14" t="s">
        <v>54</v>
      </c>
      <c r="B243" s="15" t="s">
        <v>836</v>
      </c>
      <c r="C243" s="15" t="s">
        <v>837</v>
      </c>
      <c r="D243" s="14" t="s">
        <v>838</v>
      </c>
      <c r="E243" s="15" t="s">
        <v>21</v>
      </c>
      <c r="F243" s="14" t="s">
        <v>22</v>
      </c>
      <c r="G243" s="15" t="s">
        <v>23</v>
      </c>
      <c r="H243" s="15" t="s">
        <v>1525</v>
      </c>
      <c r="I243" s="15">
        <v>201409</v>
      </c>
      <c r="J243" s="16">
        <v>-828.96</v>
      </c>
      <c r="K243" s="44">
        <f t="shared" si="20"/>
        <v>41883</v>
      </c>
      <c r="L243" s="45">
        <f t="shared" si="16"/>
        <v>9</v>
      </c>
      <c r="M243" s="17">
        <v>1.4833299999999999E-3</v>
      </c>
      <c r="N243" s="46">
        <f t="shared" si="17"/>
        <v>-11.066591131199999</v>
      </c>
      <c r="O243" s="16"/>
      <c r="P243" s="48">
        <f t="shared" si="18"/>
        <v>-430.02300000000008</v>
      </c>
      <c r="Q243" s="16"/>
      <c r="R243" s="48">
        <f t="shared" si="19"/>
        <v>-18.700819500000001</v>
      </c>
      <c r="S243" s="14"/>
    </row>
    <row r="244" spans="1:19">
      <c r="A244" s="14" t="s">
        <v>66</v>
      </c>
      <c r="B244" s="15" t="s">
        <v>839</v>
      </c>
      <c r="C244" s="15" t="s">
        <v>840</v>
      </c>
      <c r="D244" s="14" t="s">
        <v>841</v>
      </c>
      <c r="E244" s="15" t="s">
        <v>842</v>
      </c>
      <c r="F244" s="14" t="s">
        <v>624</v>
      </c>
      <c r="G244" s="15" t="s">
        <v>23</v>
      </c>
      <c r="H244" s="15" t="s">
        <v>1527</v>
      </c>
      <c r="I244" s="15">
        <v>201409</v>
      </c>
      <c r="J244" s="16">
        <v>-113.44</v>
      </c>
      <c r="K244" s="44">
        <f t="shared" si="20"/>
        <v>41883</v>
      </c>
      <c r="L244" s="45">
        <f t="shared" si="16"/>
        <v>9</v>
      </c>
      <c r="M244" s="17">
        <v>2.23333E-3</v>
      </c>
      <c r="N244" s="46">
        <f t="shared" si="17"/>
        <v>-2.2801405967999999</v>
      </c>
      <c r="O244" s="16"/>
      <c r="P244" s="48">
        <f t="shared" si="18"/>
        <v>-58.847000000000001</v>
      </c>
      <c r="Q244" s="16"/>
      <c r="R244" s="48">
        <f t="shared" si="19"/>
        <v>-2.5591355</v>
      </c>
      <c r="S244" s="14"/>
    </row>
    <row r="245" spans="1:19">
      <c r="A245" s="14" t="s">
        <v>17</v>
      </c>
      <c r="B245" s="15" t="s">
        <v>843</v>
      </c>
      <c r="C245" s="15" t="s">
        <v>844</v>
      </c>
      <c r="D245" s="14" t="s">
        <v>845</v>
      </c>
      <c r="E245" s="15" t="s">
        <v>45</v>
      </c>
      <c r="F245" s="14" t="s">
        <v>22</v>
      </c>
      <c r="G245" s="15" t="s">
        <v>23</v>
      </c>
      <c r="H245" s="15" t="s">
        <v>1525</v>
      </c>
      <c r="I245" s="15">
        <v>201409</v>
      </c>
      <c r="J245" s="16">
        <v>149.26</v>
      </c>
      <c r="K245" s="44">
        <f t="shared" si="20"/>
        <v>41883</v>
      </c>
      <c r="L245" s="45">
        <f t="shared" si="16"/>
        <v>9</v>
      </c>
      <c r="M245" s="17">
        <v>1.4833299999999999E-3</v>
      </c>
      <c r="N245" s="46">
        <f t="shared" si="17"/>
        <v>1.9926165221999999</v>
      </c>
      <c r="O245" s="16"/>
      <c r="P245" s="48">
        <f t="shared" si="18"/>
        <v>77.428624999999997</v>
      </c>
      <c r="Q245" s="16"/>
      <c r="R245" s="48">
        <f t="shared" si="19"/>
        <v>3.3672123124999995</v>
      </c>
      <c r="S245" s="14"/>
    </row>
    <row r="246" spans="1:19">
      <c r="A246" s="14" t="s">
        <v>54</v>
      </c>
      <c r="B246" s="15" t="s">
        <v>846</v>
      </c>
      <c r="C246" s="15" t="s">
        <v>847</v>
      </c>
      <c r="D246" s="14" t="s">
        <v>848</v>
      </c>
      <c r="E246" s="15" t="s">
        <v>141</v>
      </c>
      <c r="F246" s="14" t="s">
        <v>142</v>
      </c>
      <c r="G246" s="15" t="s">
        <v>23</v>
      </c>
      <c r="H246" s="15" t="s">
        <v>1525</v>
      </c>
      <c r="I246" s="15">
        <v>201409</v>
      </c>
      <c r="J246" s="16">
        <v>1253310.78</v>
      </c>
      <c r="K246" s="44">
        <f t="shared" si="20"/>
        <v>41883</v>
      </c>
      <c r="L246" s="45">
        <f t="shared" si="16"/>
        <v>9</v>
      </c>
      <c r="M246" s="17">
        <v>1.4833299999999999E-3</v>
      </c>
      <c r="N246" s="46">
        <f t="shared" si="17"/>
        <v>16731.661313676599</v>
      </c>
      <c r="O246" s="16"/>
      <c r="P246" s="48">
        <f t="shared" si="18"/>
        <v>650154.96712500008</v>
      </c>
      <c r="Q246" s="16"/>
      <c r="R246" s="48">
        <f t="shared" si="19"/>
        <v>28273.907877562502</v>
      </c>
      <c r="S246" s="14"/>
    </row>
    <row r="247" spans="1:19">
      <c r="A247" s="14" t="s">
        <v>17</v>
      </c>
      <c r="B247" s="15" t="s">
        <v>849</v>
      </c>
      <c r="C247" s="15" t="s">
        <v>850</v>
      </c>
      <c r="D247" s="14" t="s">
        <v>851</v>
      </c>
      <c r="E247" s="15" t="s">
        <v>27</v>
      </c>
      <c r="F247" s="14" t="s">
        <v>28</v>
      </c>
      <c r="G247" s="15" t="s">
        <v>23</v>
      </c>
      <c r="H247" s="15" t="s">
        <v>1525</v>
      </c>
      <c r="I247" s="15">
        <v>201409</v>
      </c>
      <c r="J247" s="16">
        <v>-269.87</v>
      </c>
      <c r="K247" s="44">
        <f t="shared" si="20"/>
        <v>41883</v>
      </c>
      <c r="L247" s="45">
        <f t="shared" si="16"/>
        <v>9</v>
      </c>
      <c r="M247" s="17">
        <v>1.4833299999999999E-3</v>
      </c>
      <c r="N247" s="46">
        <f t="shared" si="17"/>
        <v>-3.6027564039</v>
      </c>
      <c r="O247" s="16"/>
      <c r="P247" s="48">
        <f t="shared" si="18"/>
        <v>-139.99506250000002</v>
      </c>
      <c r="Q247" s="16"/>
      <c r="R247" s="48">
        <f t="shared" si="19"/>
        <v>-6.08809853125</v>
      </c>
      <c r="S247" s="14"/>
    </row>
    <row r="248" spans="1:19">
      <c r="A248" s="14" t="s">
        <v>54</v>
      </c>
      <c r="B248" s="15" t="s">
        <v>855</v>
      </c>
      <c r="C248" s="15" t="s">
        <v>856</v>
      </c>
      <c r="D248" s="14" t="s">
        <v>857</v>
      </c>
      <c r="E248" s="15" t="s">
        <v>62</v>
      </c>
      <c r="F248" s="14" t="s">
        <v>22</v>
      </c>
      <c r="G248" s="15" t="s">
        <v>23</v>
      </c>
      <c r="H248" s="15" t="s">
        <v>1525</v>
      </c>
      <c r="I248" s="15">
        <v>201409</v>
      </c>
      <c r="J248" s="16">
        <v>1326.56</v>
      </c>
      <c r="K248" s="44">
        <f t="shared" si="20"/>
        <v>41883</v>
      </c>
      <c r="L248" s="45">
        <f t="shared" si="16"/>
        <v>9</v>
      </c>
      <c r="M248" s="17">
        <v>1.4833299999999999E-3</v>
      </c>
      <c r="N248" s="46">
        <f t="shared" si="17"/>
        <v>17.709536203199999</v>
      </c>
      <c r="O248" s="16"/>
      <c r="P248" s="48">
        <f t="shared" si="18"/>
        <v>688.15300000000002</v>
      </c>
      <c r="Q248" s="16"/>
      <c r="R248" s="48">
        <f t="shared" si="19"/>
        <v>29.926364499999998</v>
      </c>
      <c r="S248" s="14"/>
    </row>
    <row r="249" spans="1:19">
      <c r="A249" s="14" t="s">
        <v>54</v>
      </c>
      <c r="B249" s="15" t="s">
        <v>858</v>
      </c>
      <c r="C249" s="15" t="s">
        <v>859</v>
      </c>
      <c r="D249" s="14" t="s">
        <v>860</v>
      </c>
      <c r="E249" s="15" t="s">
        <v>62</v>
      </c>
      <c r="F249" s="14" t="s">
        <v>22</v>
      </c>
      <c r="G249" s="15" t="s">
        <v>23</v>
      </c>
      <c r="H249" s="15" t="s">
        <v>1525</v>
      </c>
      <c r="I249" s="15">
        <v>201409</v>
      </c>
      <c r="J249" s="16">
        <v>89949.2</v>
      </c>
      <c r="K249" s="44">
        <f t="shared" si="20"/>
        <v>41883</v>
      </c>
      <c r="L249" s="45">
        <f t="shared" si="16"/>
        <v>9</v>
      </c>
      <c r="M249" s="17">
        <v>1.4833299999999999E-3</v>
      </c>
      <c r="N249" s="46">
        <f t="shared" si="17"/>
        <v>1200.8191215239999</v>
      </c>
      <c r="O249" s="16"/>
      <c r="P249" s="48">
        <f t="shared" si="18"/>
        <v>46661.147499999999</v>
      </c>
      <c r="Q249" s="16"/>
      <c r="R249" s="48">
        <f t="shared" si="19"/>
        <v>2029.19773375</v>
      </c>
      <c r="S249" s="14"/>
    </row>
    <row r="250" spans="1:19">
      <c r="A250" s="14" t="s">
        <v>54</v>
      </c>
      <c r="B250" s="15" t="s">
        <v>861</v>
      </c>
      <c r="C250" s="15" t="s">
        <v>862</v>
      </c>
      <c r="D250" s="14" t="s">
        <v>863</v>
      </c>
      <c r="E250" s="15" t="s">
        <v>45</v>
      </c>
      <c r="F250" s="14" t="s">
        <v>22</v>
      </c>
      <c r="G250" s="15" t="s">
        <v>23</v>
      </c>
      <c r="H250" s="15" t="s">
        <v>1525</v>
      </c>
      <c r="I250" s="15">
        <v>201409</v>
      </c>
      <c r="J250" s="16">
        <v>-304.48</v>
      </c>
      <c r="K250" s="44">
        <f t="shared" si="20"/>
        <v>41883</v>
      </c>
      <c r="L250" s="45">
        <f t="shared" si="16"/>
        <v>9</v>
      </c>
      <c r="M250" s="17">
        <v>1.4833299999999999E-3</v>
      </c>
      <c r="N250" s="46">
        <f t="shared" si="17"/>
        <v>-4.0647988656000003</v>
      </c>
      <c r="O250" s="16"/>
      <c r="P250" s="48">
        <f t="shared" si="18"/>
        <v>-157.94900000000001</v>
      </c>
      <c r="Q250" s="16"/>
      <c r="R250" s="48">
        <f t="shared" si="19"/>
        <v>-6.868878500000001</v>
      </c>
      <c r="S250" s="14"/>
    </row>
    <row r="251" spans="1:19">
      <c r="A251" s="14" t="s">
        <v>54</v>
      </c>
      <c r="B251" s="15" t="s">
        <v>864</v>
      </c>
      <c r="C251" s="15" t="s">
        <v>865</v>
      </c>
      <c r="D251" s="14" t="s">
        <v>866</v>
      </c>
      <c r="E251" s="15" t="s">
        <v>141</v>
      </c>
      <c r="F251" s="14" t="s">
        <v>142</v>
      </c>
      <c r="G251" s="15" t="s">
        <v>23</v>
      </c>
      <c r="H251" s="15" t="s">
        <v>1525</v>
      </c>
      <c r="I251" s="15">
        <v>201409</v>
      </c>
      <c r="J251" s="16">
        <v>-738.77</v>
      </c>
      <c r="K251" s="44">
        <f t="shared" si="20"/>
        <v>41883</v>
      </c>
      <c r="L251" s="45">
        <f t="shared" si="16"/>
        <v>9</v>
      </c>
      <c r="M251" s="17">
        <v>1.4833299999999999E-3</v>
      </c>
      <c r="N251" s="46">
        <f t="shared" si="17"/>
        <v>-9.8625573368999984</v>
      </c>
      <c r="O251" s="16"/>
      <c r="P251" s="48">
        <f t="shared" si="18"/>
        <v>-383.23693750000001</v>
      </c>
      <c r="Q251" s="16"/>
      <c r="R251" s="48">
        <f t="shared" si="19"/>
        <v>-16.666189468750002</v>
      </c>
      <c r="S251" s="14"/>
    </row>
    <row r="252" spans="1:19">
      <c r="A252" s="14" t="s">
        <v>54</v>
      </c>
      <c r="B252" s="15" t="s">
        <v>867</v>
      </c>
      <c r="C252" s="15" t="s">
        <v>868</v>
      </c>
      <c r="D252" s="14" t="s">
        <v>869</v>
      </c>
      <c r="E252" s="15" t="s">
        <v>36</v>
      </c>
      <c r="F252" s="14" t="s">
        <v>22</v>
      </c>
      <c r="G252" s="15" t="s">
        <v>23</v>
      </c>
      <c r="H252" s="15" t="s">
        <v>1525</v>
      </c>
      <c r="I252" s="15">
        <v>201409</v>
      </c>
      <c r="J252" s="16">
        <v>-73.569999999999993</v>
      </c>
      <c r="K252" s="44">
        <f t="shared" si="20"/>
        <v>41883</v>
      </c>
      <c r="L252" s="45">
        <f t="shared" si="16"/>
        <v>9</v>
      </c>
      <c r="M252" s="17">
        <v>1.4833299999999999E-3</v>
      </c>
      <c r="N252" s="46">
        <f t="shared" si="17"/>
        <v>-0.98215729289999987</v>
      </c>
      <c r="O252" s="16"/>
      <c r="P252" s="48">
        <f t="shared" si="18"/>
        <v>-38.164437499999998</v>
      </c>
      <c r="Q252" s="16"/>
      <c r="R252" s="48">
        <f t="shared" si="19"/>
        <v>-1.65969321875</v>
      </c>
      <c r="S252" s="14"/>
    </row>
    <row r="253" spans="1:19">
      <c r="A253" s="14" t="s">
        <v>54</v>
      </c>
      <c r="B253" s="15" t="s">
        <v>870</v>
      </c>
      <c r="C253" s="15" t="s">
        <v>871</v>
      </c>
      <c r="D253" s="14" t="s">
        <v>872</v>
      </c>
      <c r="E253" s="15" t="s">
        <v>108</v>
      </c>
      <c r="F253" s="14" t="s">
        <v>28</v>
      </c>
      <c r="G253" s="15" t="s">
        <v>23</v>
      </c>
      <c r="H253" s="15" t="s">
        <v>1525</v>
      </c>
      <c r="I253" s="15">
        <v>201409</v>
      </c>
      <c r="J253" s="16">
        <v>-159.66</v>
      </c>
      <c r="K253" s="44">
        <f t="shared" si="20"/>
        <v>41883</v>
      </c>
      <c r="L253" s="45">
        <f t="shared" si="16"/>
        <v>9</v>
      </c>
      <c r="M253" s="17">
        <v>1.4833299999999999E-3</v>
      </c>
      <c r="N253" s="46">
        <f t="shared" si="17"/>
        <v>-2.1314562101999996</v>
      </c>
      <c r="O253" s="16"/>
      <c r="P253" s="48">
        <f t="shared" si="18"/>
        <v>-82.823625000000007</v>
      </c>
      <c r="Q253" s="16"/>
      <c r="R253" s="48">
        <f t="shared" si="19"/>
        <v>-3.6018298125000001</v>
      </c>
      <c r="S253" s="14"/>
    </row>
    <row r="254" spans="1:19">
      <c r="A254" s="14" t="s">
        <v>54</v>
      </c>
      <c r="B254" s="15" t="s">
        <v>873</v>
      </c>
      <c r="C254" s="15" t="s">
        <v>874</v>
      </c>
      <c r="D254" s="14" t="s">
        <v>875</v>
      </c>
      <c r="E254" s="15" t="s">
        <v>36</v>
      </c>
      <c r="F254" s="14" t="s">
        <v>22</v>
      </c>
      <c r="G254" s="15" t="s">
        <v>23</v>
      </c>
      <c r="H254" s="15" t="s">
        <v>1525</v>
      </c>
      <c r="I254" s="15">
        <v>201409</v>
      </c>
      <c r="J254" s="16">
        <v>-132.54</v>
      </c>
      <c r="K254" s="44">
        <f t="shared" si="20"/>
        <v>41883</v>
      </c>
      <c r="L254" s="45">
        <f t="shared" si="16"/>
        <v>9</v>
      </c>
      <c r="M254" s="17">
        <v>1.4833299999999999E-3</v>
      </c>
      <c r="N254" s="46">
        <f t="shared" si="17"/>
        <v>-1.7694050237999999</v>
      </c>
      <c r="O254" s="16"/>
      <c r="P254" s="48">
        <f t="shared" si="18"/>
        <v>-68.755125000000007</v>
      </c>
      <c r="Q254" s="16"/>
      <c r="R254" s="48">
        <f t="shared" si="19"/>
        <v>-2.9900195624999997</v>
      </c>
      <c r="S254" s="14"/>
    </row>
    <row r="255" spans="1:19">
      <c r="A255" s="14" t="s">
        <v>54</v>
      </c>
      <c r="B255" s="15" t="s">
        <v>879</v>
      </c>
      <c r="C255" s="15" t="s">
        <v>880</v>
      </c>
      <c r="D255" s="14" t="s">
        <v>881</v>
      </c>
      <c r="E255" s="15" t="s">
        <v>53</v>
      </c>
      <c r="F255" s="14" t="s">
        <v>41</v>
      </c>
      <c r="G255" s="15" t="s">
        <v>23</v>
      </c>
      <c r="H255" s="15" t="s">
        <v>1526</v>
      </c>
      <c r="I255" s="15">
        <v>201409</v>
      </c>
      <c r="J255" s="16">
        <v>-421.12</v>
      </c>
      <c r="K255" s="44">
        <f t="shared" si="20"/>
        <v>41883</v>
      </c>
      <c r="L255" s="45">
        <f t="shared" si="16"/>
        <v>9</v>
      </c>
      <c r="M255" s="17">
        <v>1.4833299999999999E-3</v>
      </c>
      <c r="N255" s="46">
        <f t="shared" si="17"/>
        <v>-5.6219393663999995</v>
      </c>
      <c r="O255" s="16"/>
      <c r="P255" s="48">
        <f t="shared" si="18"/>
        <v>-218.45600000000002</v>
      </c>
      <c r="Q255" s="16"/>
      <c r="R255" s="48">
        <f t="shared" si="19"/>
        <v>-9.5002040000000001</v>
      </c>
      <c r="S255" s="14"/>
    </row>
    <row r="256" spans="1:19">
      <c r="A256" s="14" t="s">
        <v>17</v>
      </c>
      <c r="B256" s="15" t="s">
        <v>882</v>
      </c>
      <c r="C256" s="15" t="s">
        <v>883</v>
      </c>
      <c r="D256" s="14" t="s">
        <v>884</v>
      </c>
      <c r="E256" s="15" t="s">
        <v>216</v>
      </c>
      <c r="F256" s="14" t="s">
        <v>22</v>
      </c>
      <c r="G256" s="15" t="s">
        <v>23</v>
      </c>
      <c r="H256" s="15" t="s">
        <v>1525</v>
      </c>
      <c r="I256" s="15">
        <v>201409</v>
      </c>
      <c r="J256" s="16">
        <v>-0.43</v>
      </c>
      <c r="K256" s="44">
        <f t="shared" si="20"/>
        <v>41883</v>
      </c>
      <c r="L256" s="45">
        <f t="shared" si="16"/>
        <v>9</v>
      </c>
      <c r="M256" s="17">
        <v>1.4833299999999999E-3</v>
      </c>
      <c r="N256" s="46">
        <f t="shared" si="17"/>
        <v>-5.7404870999999994E-3</v>
      </c>
      <c r="O256" s="16"/>
      <c r="P256" s="48">
        <f t="shared" si="18"/>
        <v>-0.22306250000000002</v>
      </c>
      <c r="Q256" s="16"/>
      <c r="R256" s="48">
        <f t="shared" si="19"/>
        <v>-9.70053125E-3</v>
      </c>
      <c r="S256" s="14"/>
    </row>
    <row r="257" spans="1:19">
      <c r="A257" s="14" t="s">
        <v>54</v>
      </c>
      <c r="B257" s="15" t="s">
        <v>882</v>
      </c>
      <c r="C257" s="15" t="s">
        <v>883</v>
      </c>
      <c r="D257" s="14" t="s">
        <v>884</v>
      </c>
      <c r="E257" s="15" t="s">
        <v>216</v>
      </c>
      <c r="F257" s="14" t="s">
        <v>22</v>
      </c>
      <c r="G257" s="15" t="s">
        <v>23</v>
      </c>
      <c r="H257" s="15" t="s">
        <v>1525</v>
      </c>
      <c r="I257" s="15">
        <v>201409</v>
      </c>
      <c r="J257" s="16">
        <v>-114.88</v>
      </c>
      <c r="K257" s="44">
        <f t="shared" si="20"/>
        <v>41883</v>
      </c>
      <c r="L257" s="45">
        <f t="shared" si="16"/>
        <v>9</v>
      </c>
      <c r="M257" s="17">
        <v>1.4833299999999999E-3</v>
      </c>
      <c r="N257" s="46">
        <f t="shared" si="17"/>
        <v>-1.5336445535999998</v>
      </c>
      <c r="O257" s="16"/>
      <c r="P257" s="48">
        <f t="shared" si="18"/>
        <v>-59.594000000000001</v>
      </c>
      <c r="Q257" s="16"/>
      <c r="R257" s="48">
        <f t="shared" si="19"/>
        <v>-2.591621</v>
      </c>
      <c r="S257" s="14"/>
    </row>
    <row r="258" spans="1:19">
      <c r="A258" s="14" t="s">
        <v>54</v>
      </c>
      <c r="B258" s="15" t="s">
        <v>885</v>
      </c>
      <c r="C258" s="15" t="s">
        <v>886</v>
      </c>
      <c r="D258" s="14" t="s">
        <v>887</v>
      </c>
      <c r="E258" s="15" t="s">
        <v>141</v>
      </c>
      <c r="F258" s="14" t="s">
        <v>142</v>
      </c>
      <c r="G258" s="15" t="s">
        <v>23</v>
      </c>
      <c r="H258" s="15" t="s">
        <v>1525</v>
      </c>
      <c r="I258" s="15">
        <v>201409</v>
      </c>
      <c r="J258" s="16">
        <v>45.46</v>
      </c>
      <c r="K258" s="44">
        <f t="shared" si="20"/>
        <v>41883</v>
      </c>
      <c r="L258" s="45">
        <f t="shared" si="16"/>
        <v>9</v>
      </c>
      <c r="M258" s="17">
        <v>1.4833299999999999E-3</v>
      </c>
      <c r="N258" s="46">
        <f t="shared" si="17"/>
        <v>0.60688963620000003</v>
      </c>
      <c r="O258" s="16"/>
      <c r="P258" s="48">
        <f t="shared" si="18"/>
        <v>23.582375000000003</v>
      </c>
      <c r="Q258" s="16"/>
      <c r="R258" s="48">
        <f t="shared" si="19"/>
        <v>1.0255491875</v>
      </c>
      <c r="S258" s="14"/>
    </row>
    <row r="259" spans="1:19">
      <c r="A259" s="14" t="s">
        <v>54</v>
      </c>
      <c r="B259" s="15" t="s">
        <v>888</v>
      </c>
      <c r="C259" s="15" t="s">
        <v>889</v>
      </c>
      <c r="D259" s="14" t="s">
        <v>890</v>
      </c>
      <c r="E259" s="15" t="s">
        <v>32</v>
      </c>
      <c r="F259" s="14" t="s">
        <v>22</v>
      </c>
      <c r="G259" s="15" t="s">
        <v>23</v>
      </c>
      <c r="H259" s="15" t="s">
        <v>1525</v>
      </c>
      <c r="I259" s="15">
        <v>201409</v>
      </c>
      <c r="J259" s="16">
        <v>-1910.67</v>
      </c>
      <c r="K259" s="44">
        <f t="shared" si="20"/>
        <v>41883</v>
      </c>
      <c r="L259" s="45">
        <f t="shared" si="16"/>
        <v>9</v>
      </c>
      <c r="M259" s="17">
        <v>1.4833299999999999E-3</v>
      </c>
      <c r="N259" s="46">
        <f t="shared" si="17"/>
        <v>-25.5073871799</v>
      </c>
      <c r="O259" s="16"/>
      <c r="P259" s="48">
        <f t="shared" si="18"/>
        <v>-991.16006250000009</v>
      </c>
      <c r="Q259" s="16"/>
      <c r="R259" s="48">
        <f t="shared" si="19"/>
        <v>-43.103521031249997</v>
      </c>
      <c r="S259" s="14"/>
    </row>
    <row r="260" spans="1:19">
      <c r="A260" s="14" t="s">
        <v>66</v>
      </c>
      <c r="B260" s="15" t="s">
        <v>1102</v>
      </c>
      <c r="C260" s="15" t="s">
        <v>1103</v>
      </c>
      <c r="D260" s="14" t="s">
        <v>1104</v>
      </c>
      <c r="E260" s="15" t="s">
        <v>466</v>
      </c>
      <c r="F260" s="14" t="s">
        <v>467</v>
      </c>
      <c r="G260" s="15" t="s">
        <v>23</v>
      </c>
      <c r="H260" s="15" t="s">
        <v>1527</v>
      </c>
      <c r="I260" s="15">
        <v>201409</v>
      </c>
      <c r="J260" s="16">
        <v>4582.03</v>
      </c>
      <c r="K260" s="44">
        <f t="shared" si="20"/>
        <v>41883</v>
      </c>
      <c r="L260" s="45">
        <f t="shared" si="16"/>
        <v>9</v>
      </c>
      <c r="M260" s="17">
        <v>2.23333E-3</v>
      </c>
      <c r="N260" s="46">
        <f t="shared" si="17"/>
        <v>92.098665539099983</v>
      </c>
      <c r="O260" s="16"/>
      <c r="P260" s="48">
        <f t="shared" si="18"/>
        <v>2376.9280625000001</v>
      </c>
      <c r="Q260" s="16"/>
      <c r="R260" s="48">
        <f t="shared" si="19"/>
        <v>103.36773303125</v>
      </c>
      <c r="S260" s="14"/>
    </row>
    <row r="261" spans="1:19">
      <c r="A261" s="14" t="s">
        <v>17</v>
      </c>
      <c r="B261" s="15" t="s">
        <v>891</v>
      </c>
      <c r="C261" s="15" t="s">
        <v>892</v>
      </c>
      <c r="D261" s="14" t="s">
        <v>893</v>
      </c>
      <c r="E261" s="15" t="s">
        <v>32</v>
      </c>
      <c r="F261" s="14" t="s">
        <v>22</v>
      </c>
      <c r="G261" s="15" t="s">
        <v>23</v>
      </c>
      <c r="H261" s="15" t="s">
        <v>1525</v>
      </c>
      <c r="I261" s="15">
        <v>201409</v>
      </c>
      <c r="J261" s="16">
        <v>946.06</v>
      </c>
      <c r="K261" s="44">
        <f t="shared" si="20"/>
        <v>41883</v>
      </c>
      <c r="L261" s="45">
        <f t="shared" si="16"/>
        <v>9</v>
      </c>
      <c r="M261" s="17">
        <v>1.4833299999999999E-3</v>
      </c>
      <c r="N261" s="46">
        <f t="shared" si="17"/>
        <v>12.629872618199999</v>
      </c>
      <c r="O261" s="16"/>
      <c r="P261" s="48">
        <f t="shared" si="18"/>
        <v>490.76862499999999</v>
      </c>
      <c r="Q261" s="16"/>
      <c r="R261" s="48">
        <f t="shared" si="19"/>
        <v>21.342522312500002</v>
      </c>
      <c r="S261" s="14"/>
    </row>
    <row r="262" spans="1:19">
      <c r="A262" s="14" t="s">
        <v>17</v>
      </c>
      <c r="B262" s="15" t="s">
        <v>894</v>
      </c>
      <c r="C262" s="15" t="s">
        <v>895</v>
      </c>
      <c r="D262" s="14" t="s">
        <v>896</v>
      </c>
      <c r="E262" s="15" t="s">
        <v>440</v>
      </c>
      <c r="F262" s="14" t="s">
        <v>28</v>
      </c>
      <c r="G262" s="15" t="s">
        <v>23</v>
      </c>
      <c r="H262" s="15" t="s">
        <v>1525</v>
      </c>
      <c r="I262" s="15">
        <v>201409</v>
      </c>
      <c r="J262" s="16">
        <v>-159.26</v>
      </c>
      <c r="K262" s="44">
        <f t="shared" si="20"/>
        <v>41883</v>
      </c>
      <c r="L262" s="45">
        <f t="shared" ref="L262:L335" si="21">((YEAR($L$1)-YEAR(K262))*12+MONTH($L$1)-MONTH(K262))</f>
        <v>9</v>
      </c>
      <c r="M262" s="17">
        <v>1.4833299999999999E-3</v>
      </c>
      <c r="N262" s="46">
        <f t="shared" ref="N262:N335" si="22">M262*L262*J262</f>
        <v>-2.1261162221999999</v>
      </c>
      <c r="O262" s="16"/>
      <c r="P262" s="48">
        <f t="shared" ref="P262:P290" si="23">$P$4*J262</f>
        <v>-82.616124999999997</v>
      </c>
      <c r="Q262" s="16"/>
      <c r="R262" s="48">
        <f t="shared" ref="R262:R290" si="24">$R$4*J262*$U$9</f>
        <v>-3.5928060625000002</v>
      </c>
      <c r="S262" s="14"/>
    </row>
    <row r="263" spans="1:19">
      <c r="A263" s="14" t="s">
        <v>54</v>
      </c>
      <c r="B263" s="15" t="s">
        <v>897</v>
      </c>
      <c r="C263" s="15" t="s">
        <v>898</v>
      </c>
      <c r="D263" s="14" t="s">
        <v>899</v>
      </c>
      <c r="E263" s="15" t="s">
        <v>45</v>
      </c>
      <c r="F263" s="14" t="s">
        <v>22</v>
      </c>
      <c r="G263" s="15" t="s">
        <v>23</v>
      </c>
      <c r="H263" s="15" t="s">
        <v>1525</v>
      </c>
      <c r="I263" s="15">
        <v>201409</v>
      </c>
      <c r="J263" s="16">
        <v>-4885.22</v>
      </c>
      <c r="K263" s="44">
        <f t="shared" si="20"/>
        <v>41883</v>
      </c>
      <c r="L263" s="45">
        <f t="shared" si="21"/>
        <v>9</v>
      </c>
      <c r="M263" s="17">
        <v>1.4833299999999999E-3</v>
      </c>
      <c r="N263" s="46">
        <f t="shared" si="22"/>
        <v>-65.217540443399997</v>
      </c>
      <c r="O263" s="16"/>
      <c r="P263" s="48">
        <f t="shared" si="23"/>
        <v>-2534.2078750000005</v>
      </c>
      <c r="Q263" s="16"/>
      <c r="R263" s="48">
        <f t="shared" si="24"/>
        <v>-110.20750993750001</v>
      </c>
      <c r="S263" s="14"/>
    </row>
    <row r="264" spans="1:19">
      <c r="A264" s="14" t="s">
        <v>54</v>
      </c>
      <c r="B264" s="15" t="s">
        <v>900</v>
      </c>
      <c r="C264" s="15" t="s">
        <v>901</v>
      </c>
      <c r="D264" s="14" t="s">
        <v>902</v>
      </c>
      <c r="E264" s="15" t="s">
        <v>462</v>
      </c>
      <c r="F264" s="14" t="s">
        <v>142</v>
      </c>
      <c r="G264" s="15" t="s">
        <v>23</v>
      </c>
      <c r="H264" s="15" t="s">
        <v>1525</v>
      </c>
      <c r="I264" s="15">
        <v>201409</v>
      </c>
      <c r="J264" s="16">
        <v>1294.2</v>
      </c>
      <c r="K264" s="44">
        <f t="shared" si="20"/>
        <v>41883</v>
      </c>
      <c r="L264" s="45">
        <f t="shared" si="21"/>
        <v>9</v>
      </c>
      <c r="M264" s="17">
        <v>1.4833299999999999E-3</v>
      </c>
      <c r="N264" s="46">
        <f t="shared" si="22"/>
        <v>17.277531174</v>
      </c>
      <c r="O264" s="16"/>
      <c r="P264" s="48">
        <f t="shared" si="23"/>
        <v>671.36625000000004</v>
      </c>
      <c r="Q264" s="16"/>
      <c r="R264" s="48">
        <f t="shared" si="24"/>
        <v>29.196343125000006</v>
      </c>
      <c r="S264" s="14"/>
    </row>
    <row r="265" spans="1:19">
      <c r="A265" s="14" t="s">
        <v>17</v>
      </c>
      <c r="B265" s="15" t="s">
        <v>903</v>
      </c>
      <c r="C265" s="15" t="s">
        <v>904</v>
      </c>
      <c r="D265" s="14" t="s">
        <v>905</v>
      </c>
      <c r="E265" s="15" t="s">
        <v>49</v>
      </c>
      <c r="F265" s="14" t="s">
        <v>22</v>
      </c>
      <c r="G265" s="15" t="s">
        <v>23</v>
      </c>
      <c r="H265" s="15" t="s">
        <v>1525</v>
      </c>
      <c r="I265" s="15">
        <v>201409</v>
      </c>
      <c r="J265" s="16">
        <v>2797.11</v>
      </c>
      <c r="K265" s="44">
        <f t="shared" si="20"/>
        <v>41883</v>
      </c>
      <c r="L265" s="45">
        <f t="shared" si="21"/>
        <v>9</v>
      </c>
      <c r="M265" s="17">
        <v>1.4833299999999999E-3</v>
      </c>
      <c r="N265" s="46">
        <f t="shared" si="22"/>
        <v>37.3413345867</v>
      </c>
      <c r="O265" s="16"/>
      <c r="P265" s="48">
        <f t="shared" si="23"/>
        <v>1451.0008125000002</v>
      </c>
      <c r="Q265" s="16"/>
      <c r="R265" s="48">
        <f t="shared" si="24"/>
        <v>63.101053406250003</v>
      </c>
      <c r="S265" s="14"/>
    </row>
    <row r="266" spans="1:19">
      <c r="A266" s="14" t="s">
        <v>54</v>
      </c>
      <c r="B266" s="15" t="s">
        <v>906</v>
      </c>
      <c r="C266" s="15" t="s">
        <v>907</v>
      </c>
      <c r="D266" s="14" t="s">
        <v>908</v>
      </c>
      <c r="E266" s="15" t="s">
        <v>909</v>
      </c>
      <c r="F266" s="14" t="s">
        <v>22</v>
      </c>
      <c r="G266" s="15" t="s">
        <v>23</v>
      </c>
      <c r="H266" s="15" t="s">
        <v>1525</v>
      </c>
      <c r="I266" s="15">
        <v>201409</v>
      </c>
      <c r="J266" s="16">
        <v>-193.96</v>
      </c>
      <c r="K266" s="44">
        <f t="shared" si="20"/>
        <v>41883</v>
      </c>
      <c r="L266" s="45">
        <f t="shared" si="21"/>
        <v>9</v>
      </c>
      <c r="M266" s="17">
        <v>1.4833299999999999E-3</v>
      </c>
      <c r="N266" s="46">
        <f t="shared" si="22"/>
        <v>-2.5893601812</v>
      </c>
      <c r="O266" s="16"/>
      <c r="P266" s="48">
        <f t="shared" si="23"/>
        <v>-100.61675000000001</v>
      </c>
      <c r="Q266" s="16"/>
      <c r="R266" s="48">
        <f t="shared" si="24"/>
        <v>-4.3756163750000008</v>
      </c>
      <c r="S266" s="14"/>
    </row>
    <row r="267" spans="1:19">
      <c r="A267" s="14" t="s">
        <v>17</v>
      </c>
      <c r="B267" s="15" t="s">
        <v>910</v>
      </c>
      <c r="C267" s="15" t="s">
        <v>911</v>
      </c>
      <c r="D267" s="14" t="s">
        <v>912</v>
      </c>
      <c r="E267" s="15" t="s">
        <v>362</v>
      </c>
      <c r="F267" s="14" t="s">
        <v>41</v>
      </c>
      <c r="G267" s="15" t="s">
        <v>23</v>
      </c>
      <c r="H267" s="15" t="s">
        <v>1526</v>
      </c>
      <c r="I267" s="15">
        <v>201409</v>
      </c>
      <c r="J267" s="16">
        <v>-58.71</v>
      </c>
      <c r="K267" s="44">
        <f t="shared" si="20"/>
        <v>41883</v>
      </c>
      <c r="L267" s="45">
        <f t="shared" si="21"/>
        <v>9</v>
      </c>
      <c r="M267" s="17">
        <v>1.4833299999999999E-3</v>
      </c>
      <c r="N267" s="46">
        <f t="shared" si="22"/>
        <v>-0.78377673869999998</v>
      </c>
      <c r="O267" s="16"/>
      <c r="P267" s="48">
        <f t="shared" si="23"/>
        <v>-30.455812500000004</v>
      </c>
      <c r="Q267" s="16"/>
      <c r="R267" s="48">
        <f t="shared" si="24"/>
        <v>-1.3244609062500001</v>
      </c>
      <c r="S267" s="14"/>
    </row>
    <row r="268" spans="1:19">
      <c r="A268" s="14" t="s">
        <v>54</v>
      </c>
      <c r="B268" s="15" t="s">
        <v>913</v>
      </c>
      <c r="C268" s="15" t="s">
        <v>914</v>
      </c>
      <c r="D268" s="14" t="s">
        <v>915</v>
      </c>
      <c r="E268" s="15" t="s">
        <v>36</v>
      </c>
      <c r="F268" s="14" t="s">
        <v>22</v>
      </c>
      <c r="G268" s="15" t="s">
        <v>23</v>
      </c>
      <c r="H268" s="15" t="s">
        <v>1525</v>
      </c>
      <c r="I268" s="15">
        <v>201409</v>
      </c>
      <c r="J268" s="16">
        <v>10702.77</v>
      </c>
      <c r="K268" s="44">
        <f t="shared" si="20"/>
        <v>41883</v>
      </c>
      <c r="L268" s="45">
        <f t="shared" si="21"/>
        <v>9</v>
      </c>
      <c r="M268" s="17">
        <v>1.4833299999999999E-3</v>
      </c>
      <c r="N268" s="46">
        <f t="shared" si="22"/>
        <v>142.8816584169</v>
      </c>
      <c r="O268" s="16"/>
      <c r="P268" s="48">
        <f t="shared" si="23"/>
        <v>5552.0619375000006</v>
      </c>
      <c r="Q268" s="16"/>
      <c r="R268" s="48">
        <f t="shared" si="24"/>
        <v>241.44780196875001</v>
      </c>
      <c r="S268" s="14"/>
    </row>
    <row r="269" spans="1:19">
      <c r="A269" s="14" t="s">
        <v>54</v>
      </c>
      <c r="B269" s="15" t="s">
        <v>916</v>
      </c>
      <c r="C269" s="15" t="s">
        <v>917</v>
      </c>
      <c r="D269" s="14" t="s">
        <v>918</v>
      </c>
      <c r="E269" s="15" t="s">
        <v>909</v>
      </c>
      <c r="F269" s="14" t="s">
        <v>22</v>
      </c>
      <c r="G269" s="15" t="s">
        <v>23</v>
      </c>
      <c r="H269" s="15" t="s">
        <v>1525</v>
      </c>
      <c r="I269" s="15">
        <v>201409</v>
      </c>
      <c r="J269" s="16">
        <v>6119.67</v>
      </c>
      <c r="K269" s="44">
        <f t="shared" si="20"/>
        <v>41883</v>
      </c>
      <c r="L269" s="45">
        <f t="shared" si="21"/>
        <v>9</v>
      </c>
      <c r="M269" s="17">
        <v>1.4833299999999999E-3</v>
      </c>
      <c r="N269" s="46">
        <f t="shared" si="22"/>
        <v>81.6974109099</v>
      </c>
      <c r="O269" s="16"/>
      <c r="P269" s="48">
        <f t="shared" si="23"/>
        <v>3174.5788125000004</v>
      </c>
      <c r="Q269" s="16"/>
      <c r="R269" s="48">
        <f t="shared" si="24"/>
        <v>138.05593040625001</v>
      </c>
      <c r="S269" s="14"/>
    </row>
    <row r="270" spans="1:19">
      <c r="A270" s="14" t="s">
        <v>54</v>
      </c>
      <c r="B270" s="15" t="s">
        <v>926</v>
      </c>
      <c r="C270" s="15" t="s">
        <v>927</v>
      </c>
      <c r="D270" s="14" t="s">
        <v>928</v>
      </c>
      <c r="E270" s="15" t="s">
        <v>141</v>
      </c>
      <c r="F270" s="14" t="s">
        <v>142</v>
      </c>
      <c r="G270" s="15" t="s">
        <v>23</v>
      </c>
      <c r="H270" s="15" t="s">
        <v>1525</v>
      </c>
      <c r="I270" s="15">
        <v>201409</v>
      </c>
      <c r="J270" s="16">
        <v>10991.12</v>
      </c>
      <c r="K270" s="44">
        <f t="shared" si="20"/>
        <v>41883</v>
      </c>
      <c r="L270" s="45">
        <f t="shared" si="21"/>
        <v>9</v>
      </c>
      <c r="M270" s="17">
        <v>1.4833299999999999E-3</v>
      </c>
      <c r="N270" s="46">
        <f t="shared" si="22"/>
        <v>146.73112226640001</v>
      </c>
      <c r="O270" s="16"/>
      <c r="P270" s="48">
        <f t="shared" si="23"/>
        <v>5701.643500000001</v>
      </c>
      <c r="Q270" s="16"/>
      <c r="R270" s="48">
        <f t="shared" si="24"/>
        <v>247.95279775000006</v>
      </c>
      <c r="S270" s="14"/>
    </row>
    <row r="271" spans="1:19">
      <c r="A271" s="14" t="s">
        <v>17</v>
      </c>
      <c r="B271" s="15" t="s">
        <v>932</v>
      </c>
      <c r="C271" s="15" t="s">
        <v>933</v>
      </c>
      <c r="D271" s="14" t="s">
        <v>934</v>
      </c>
      <c r="E271" s="15" t="s">
        <v>925</v>
      </c>
      <c r="F271" s="14" t="s">
        <v>41</v>
      </c>
      <c r="G271" s="15" t="s">
        <v>23</v>
      </c>
      <c r="H271" s="15" t="s">
        <v>1526</v>
      </c>
      <c r="I271" s="15">
        <v>201409</v>
      </c>
      <c r="J271" s="16">
        <v>72544.160000000003</v>
      </c>
      <c r="K271" s="44">
        <f t="shared" si="20"/>
        <v>41883</v>
      </c>
      <c r="L271" s="45">
        <f t="shared" si="21"/>
        <v>9</v>
      </c>
      <c r="M271" s="17">
        <v>1.4833299999999999E-3</v>
      </c>
      <c r="N271" s="46">
        <f t="shared" si="22"/>
        <v>968.46235967519999</v>
      </c>
      <c r="O271" s="16"/>
      <c r="P271" s="48">
        <f t="shared" si="23"/>
        <v>37632.283000000003</v>
      </c>
      <c r="Q271" s="16"/>
      <c r="R271" s="48">
        <f t="shared" si="24"/>
        <v>1636.5509095000002</v>
      </c>
      <c r="S271" s="14"/>
    </row>
    <row r="272" spans="1:19">
      <c r="A272" s="14" t="s">
        <v>17</v>
      </c>
      <c r="B272" s="15" t="s">
        <v>935</v>
      </c>
      <c r="C272" s="15" t="s">
        <v>936</v>
      </c>
      <c r="D272" s="14" t="s">
        <v>937</v>
      </c>
      <c r="E272" s="15" t="s">
        <v>53</v>
      </c>
      <c r="F272" s="14" t="s">
        <v>41</v>
      </c>
      <c r="G272" s="15" t="s">
        <v>23</v>
      </c>
      <c r="H272" s="15" t="s">
        <v>1526</v>
      </c>
      <c r="I272" s="15">
        <v>201409</v>
      </c>
      <c r="J272" s="16">
        <v>319.49</v>
      </c>
      <c r="K272" s="44">
        <f t="shared" si="20"/>
        <v>41883</v>
      </c>
      <c r="L272" s="45">
        <f t="shared" si="21"/>
        <v>9</v>
      </c>
      <c r="M272" s="17">
        <v>1.4833299999999999E-3</v>
      </c>
      <c r="N272" s="46">
        <f t="shared" si="22"/>
        <v>4.2651819152999995</v>
      </c>
      <c r="O272" s="16"/>
      <c r="P272" s="48">
        <f t="shared" si="23"/>
        <v>165.73543750000002</v>
      </c>
      <c r="Q272" s="16"/>
      <c r="R272" s="48">
        <f t="shared" si="24"/>
        <v>7.2074947187500005</v>
      </c>
      <c r="S272" s="14"/>
    </row>
    <row r="273" spans="1:19">
      <c r="A273" s="14" t="s">
        <v>54</v>
      </c>
      <c r="B273" s="15" t="s">
        <v>938</v>
      </c>
      <c r="C273" s="15" t="s">
        <v>939</v>
      </c>
      <c r="D273" s="14" t="s">
        <v>940</v>
      </c>
      <c r="E273" s="15" t="s">
        <v>141</v>
      </c>
      <c r="F273" s="14" t="s">
        <v>142</v>
      </c>
      <c r="G273" s="15" t="s">
        <v>23</v>
      </c>
      <c r="H273" s="15" t="s">
        <v>1525</v>
      </c>
      <c r="I273" s="15">
        <v>201409</v>
      </c>
      <c r="J273" s="16">
        <v>32210.09</v>
      </c>
      <c r="K273" s="44">
        <f t="shared" si="20"/>
        <v>41883</v>
      </c>
      <c r="L273" s="45">
        <f t="shared" si="21"/>
        <v>9</v>
      </c>
      <c r="M273" s="17">
        <v>1.4833299999999999E-3</v>
      </c>
      <c r="N273" s="46">
        <f t="shared" si="22"/>
        <v>430.00373519729999</v>
      </c>
      <c r="O273" s="16"/>
      <c r="P273" s="48">
        <f t="shared" si="23"/>
        <v>16708.984187500002</v>
      </c>
      <c r="Q273" s="16"/>
      <c r="R273" s="48">
        <f t="shared" si="24"/>
        <v>726.63949909375003</v>
      </c>
      <c r="S273" s="14"/>
    </row>
    <row r="274" spans="1:19">
      <c r="A274" s="14" t="s">
        <v>66</v>
      </c>
      <c r="B274" s="15" t="s">
        <v>941</v>
      </c>
      <c r="C274" s="15" t="s">
        <v>942</v>
      </c>
      <c r="D274" s="14" t="s">
        <v>943</v>
      </c>
      <c r="E274" s="15" t="s">
        <v>369</v>
      </c>
      <c r="F274" s="14" t="s">
        <v>41</v>
      </c>
      <c r="G274" s="15" t="s">
        <v>23</v>
      </c>
      <c r="H274" s="15" t="s">
        <v>1526</v>
      </c>
      <c r="I274" s="15">
        <v>201409</v>
      </c>
      <c r="J274" s="16">
        <v>-49.67</v>
      </c>
      <c r="K274" s="44">
        <f t="shared" si="20"/>
        <v>41883</v>
      </c>
      <c r="L274" s="45">
        <f t="shared" si="21"/>
        <v>9</v>
      </c>
      <c r="M274" s="17">
        <v>2.23333E-3</v>
      </c>
      <c r="N274" s="46">
        <f t="shared" si="22"/>
        <v>-0.99836550989999995</v>
      </c>
      <c r="O274" s="16"/>
      <c r="P274" s="48">
        <f t="shared" si="23"/>
        <v>-25.766312500000002</v>
      </c>
      <c r="Q274" s="16"/>
      <c r="R274" s="48">
        <f t="shared" si="24"/>
        <v>-1.1205241562500001</v>
      </c>
      <c r="S274" s="14"/>
    </row>
    <row r="275" spans="1:19">
      <c r="A275" s="14" t="s">
        <v>17</v>
      </c>
      <c r="B275" s="15" t="s">
        <v>944</v>
      </c>
      <c r="C275" s="15" t="s">
        <v>945</v>
      </c>
      <c r="D275" s="14" t="s">
        <v>946</v>
      </c>
      <c r="E275" s="15" t="s">
        <v>104</v>
      </c>
      <c r="F275" s="14" t="s">
        <v>41</v>
      </c>
      <c r="G275" s="15" t="s">
        <v>23</v>
      </c>
      <c r="H275" s="15" t="s">
        <v>1526</v>
      </c>
      <c r="I275" s="15">
        <v>201409</v>
      </c>
      <c r="J275" s="16">
        <v>3364.94</v>
      </c>
      <c r="K275" s="44">
        <f t="shared" si="20"/>
        <v>41883</v>
      </c>
      <c r="L275" s="45">
        <f t="shared" si="21"/>
        <v>9</v>
      </c>
      <c r="M275" s="17">
        <v>1.4833299999999999E-3</v>
      </c>
      <c r="N275" s="46">
        <f t="shared" si="22"/>
        <v>44.921848051799998</v>
      </c>
      <c r="O275" s="16"/>
      <c r="P275" s="48">
        <f t="shared" si="23"/>
        <v>1745.5626250000003</v>
      </c>
      <c r="Q275" s="16"/>
      <c r="R275" s="48">
        <f t="shared" si="24"/>
        <v>75.910943312500009</v>
      </c>
      <c r="S275" s="14"/>
    </row>
    <row r="276" spans="1:19">
      <c r="A276" s="14" t="s">
        <v>54</v>
      </c>
      <c r="B276" s="15" t="s">
        <v>950</v>
      </c>
      <c r="C276" s="15" t="s">
        <v>951</v>
      </c>
      <c r="D276" s="14" t="s">
        <v>952</v>
      </c>
      <c r="E276" s="15" t="s">
        <v>141</v>
      </c>
      <c r="F276" s="14" t="s">
        <v>142</v>
      </c>
      <c r="G276" s="15" t="s">
        <v>23</v>
      </c>
      <c r="H276" s="15" t="s">
        <v>1525</v>
      </c>
      <c r="I276" s="15">
        <v>201409</v>
      </c>
      <c r="J276" s="16">
        <v>84619.839999999997</v>
      </c>
      <c r="K276" s="44">
        <f t="shared" si="20"/>
        <v>41883</v>
      </c>
      <c r="L276" s="45">
        <f t="shared" si="21"/>
        <v>9</v>
      </c>
      <c r="M276" s="17">
        <v>1.4833299999999999E-3</v>
      </c>
      <c r="N276" s="46">
        <f t="shared" si="22"/>
        <v>1129.6723254047999</v>
      </c>
      <c r="O276" s="16"/>
      <c r="P276" s="48">
        <f t="shared" si="23"/>
        <v>43896.542000000001</v>
      </c>
      <c r="Q276" s="16"/>
      <c r="R276" s="48">
        <f t="shared" si="24"/>
        <v>1908.970703</v>
      </c>
      <c r="S276" s="14"/>
    </row>
    <row r="277" spans="1:19">
      <c r="A277" s="14" t="s">
        <v>17</v>
      </c>
      <c r="B277" s="15" t="s">
        <v>953</v>
      </c>
      <c r="C277" s="15" t="s">
        <v>954</v>
      </c>
      <c r="D277" s="14" t="s">
        <v>955</v>
      </c>
      <c r="E277" s="15" t="s">
        <v>40</v>
      </c>
      <c r="F277" s="14" t="s">
        <v>41</v>
      </c>
      <c r="G277" s="15" t="s">
        <v>23</v>
      </c>
      <c r="H277" s="15" t="s">
        <v>1526</v>
      </c>
      <c r="I277" s="15">
        <v>201409</v>
      </c>
      <c r="J277" s="16">
        <v>-925.65</v>
      </c>
      <c r="K277" s="44">
        <f t="shared" si="20"/>
        <v>41883</v>
      </c>
      <c r="L277" s="45">
        <f t="shared" si="21"/>
        <v>9</v>
      </c>
      <c r="M277" s="17">
        <v>1.4833299999999999E-3</v>
      </c>
      <c r="N277" s="46">
        <f t="shared" si="22"/>
        <v>-12.357399730499999</v>
      </c>
      <c r="O277" s="16"/>
      <c r="P277" s="48">
        <f t="shared" si="23"/>
        <v>-480.18093750000003</v>
      </c>
      <c r="Q277" s="16"/>
      <c r="R277" s="48">
        <f t="shared" si="24"/>
        <v>-20.882085468750002</v>
      </c>
      <c r="S277" s="14"/>
    </row>
    <row r="278" spans="1:19">
      <c r="A278" s="14" t="s">
        <v>17</v>
      </c>
      <c r="B278" s="15" t="s">
        <v>956</v>
      </c>
      <c r="C278" s="15" t="s">
        <v>957</v>
      </c>
      <c r="D278" s="14" t="s">
        <v>958</v>
      </c>
      <c r="E278" s="15" t="s">
        <v>40</v>
      </c>
      <c r="F278" s="14" t="s">
        <v>41</v>
      </c>
      <c r="G278" s="15" t="s">
        <v>23</v>
      </c>
      <c r="H278" s="15" t="s">
        <v>1526</v>
      </c>
      <c r="I278" s="15">
        <v>201409</v>
      </c>
      <c r="J278" s="16">
        <v>2817.01</v>
      </c>
      <c r="K278" s="44">
        <f t="shared" si="20"/>
        <v>41883</v>
      </c>
      <c r="L278" s="45">
        <f t="shared" si="21"/>
        <v>9</v>
      </c>
      <c r="M278" s="17">
        <v>1.4833299999999999E-3</v>
      </c>
      <c r="N278" s="46">
        <f t="shared" si="22"/>
        <v>37.606998989700003</v>
      </c>
      <c r="O278" s="16"/>
      <c r="P278" s="48">
        <f t="shared" si="23"/>
        <v>1461.3239375000003</v>
      </c>
      <c r="Q278" s="16"/>
      <c r="R278" s="48">
        <f t="shared" si="24"/>
        <v>63.54998496875001</v>
      </c>
      <c r="S278" s="14"/>
    </row>
    <row r="279" spans="1:19">
      <c r="A279" s="14" t="s">
        <v>17</v>
      </c>
      <c r="B279" s="15" t="s">
        <v>959</v>
      </c>
      <c r="C279" s="15" t="s">
        <v>960</v>
      </c>
      <c r="D279" s="14" t="s">
        <v>961</v>
      </c>
      <c r="E279" s="15" t="s">
        <v>40</v>
      </c>
      <c r="F279" s="14" t="s">
        <v>41</v>
      </c>
      <c r="G279" s="15" t="s">
        <v>23</v>
      </c>
      <c r="H279" s="15" t="s">
        <v>1526</v>
      </c>
      <c r="I279" s="15">
        <v>201409</v>
      </c>
      <c r="J279" s="16">
        <v>94.14</v>
      </c>
      <c r="K279" s="44">
        <f t="shared" si="20"/>
        <v>41883</v>
      </c>
      <c r="L279" s="45">
        <f t="shared" si="21"/>
        <v>9</v>
      </c>
      <c r="M279" s="17">
        <v>1.4833299999999999E-3</v>
      </c>
      <c r="N279" s="46">
        <f t="shared" si="22"/>
        <v>1.2567661757999999</v>
      </c>
      <c r="O279" s="16"/>
      <c r="P279" s="48">
        <f t="shared" si="23"/>
        <v>48.835125000000005</v>
      </c>
      <c r="Q279" s="16"/>
      <c r="R279" s="48">
        <f t="shared" si="24"/>
        <v>2.1237395625000004</v>
      </c>
      <c r="S279" s="14"/>
    </row>
    <row r="280" spans="1:19">
      <c r="A280" s="14" t="s">
        <v>54</v>
      </c>
      <c r="B280" s="15" t="s">
        <v>962</v>
      </c>
      <c r="C280" s="15" t="s">
        <v>963</v>
      </c>
      <c r="D280" s="14" t="s">
        <v>964</v>
      </c>
      <c r="E280" s="15" t="s">
        <v>40</v>
      </c>
      <c r="F280" s="14" t="s">
        <v>41</v>
      </c>
      <c r="G280" s="15" t="s">
        <v>23</v>
      </c>
      <c r="H280" s="15" t="s">
        <v>1526</v>
      </c>
      <c r="I280" s="15">
        <v>201409</v>
      </c>
      <c r="J280" s="16">
        <v>77244.5</v>
      </c>
      <c r="K280" s="44">
        <f t="shared" si="20"/>
        <v>41883</v>
      </c>
      <c r="L280" s="45">
        <f t="shared" si="21"/>
        <v>9</v>
      </c>
      <c r="M280" s="17">
        <v>1.4833299999999999E-3</v>
      </c>
      <c r="N280" s="46">
        <f t="shared" si="22"/>
        <v>1031.2117576650001</v>
      </c>
      <c r="O280" s="16"/>
      <c r="P280" s="48">
        <f t="shared" si="23"/>
        <v>40070.584375000006</v>
      </c>
      <c r="Q280" s="16"/>
      <c r="R280" s="48">
        <f t="shared" si="24"/>
        <v>1742.5876421875</v>
      </c>
      <c r="S280" s="14"/>
    </row>
    <row r="281" spans="1:19">
      <c r="A281" s="14" t="s">
        <v>54</v>
      </c>
      <c r="B281" s="15" t="s">
        <v>965</v>
      </c>
      <c r="C281" s="15" t="s">
        <v>966</v>
      </c>
      <c r="D281" s="14" t="s">
        <v>967</v>
      </c>
      <c r="E281" s="15" t="s">
        <v>53</v>
      </c>
      <c r="F281" s="14" t="s">
        <v>41</v>
      </c>
      <c r="G281" s="15" t="s">
        <v>23</v>
      </c>
      <c r="H281" s="15" t="s">
        <v>1526</v>
      </c>
      <c r="I281" s="15">
        <v>201409</v>
      </c>
      <c r="J281" s="16">
        <v>8672.4699999999993</v>
      </c>
      <c r="K281" s="44">
        <f t="shared" ref="K281:K299" si="25">+K280</f>
        <v>41883</v>
      </c>
      <c r="L281" s="45">
        <f t="shared" si="21"/>
        <v>9</v>
      </c>
      <c r="M281" s="17">
        <v>1.4833299999999999E-3</v>
      </c>
      <c r="N281" s="46">
        <f t="shared" si="22"/>
        <v>115.77721432589999</v>
      </c>
      <c r="O281" s="16"/>
      <c r="P281" s="48">
        <f t="shared" si="23"/>
        <v>4498.8438125000002</v>
      </c>
      <c r="Q281" s="16"/>
      <c r="R281" s="48">
        <f t="shared" si="24"/>
        <v>195.64550290624999</v>
      </c>
      <c r="S281" s="14"/>
    </row>
    <row r="282" spans="1:19">
      <c r="A282" s="14" t="s">
        <v>54</v>
      </c>
      <c r="B282" s="15" t="s">
        <v>974</v>
      </c>
      <c r="C282" s="15" t="s">
        <v>975</v>
      </c>
      <c r="D282" s="14" t="s">
        <v>976</v>
      </c>
      <c r="E282" s="15" t="s">
        <v>141</v>
      </c>
      <c r="F282" s="14" t="s">
        <v>142</v>
      </c>
      <c r="G282" s="15" t="s">
        <v>23</v>
      </c>
      <c r="H282" s="15" t="s">
        <v>1525</v>
      </c>
      <c r="I282" s="15">
        <v>201409</v>
      </c>
      <c r="J282" s="16">
        <v>1598.77</v>
      </c>
      <c r="K282" s="44">
        <f t="shared" si="25"/>
        <v>41883</v>
      </c>
      <c r="L282" s="45">
        <f t="shared" si="21"/>
        <v>9</v>
      </c>
      <c r="M282" s="17">
        <v>1.4833299999999999E-3</v>
      </c>
      <c r="N282" s="46">
        <f t="shared" si="22"/>
        <v>21.343531536899999</v>
      </c>
      <c r="O282" s="16"/>
      <c r="P282" s="48">
        <f t="shared" si="23"/>
        <v>829.36193750000007</v>
      </c>
      <c r="Q282" s="16"/>
      <c r="R282" s="48">
        <f t="shared" si="24"/>
        <v>36.06725196875</v>
      </c>
      <c r="S282" s="14"/>
    </row>
    <row r="283" spans="1:19">
      <c r="A283" s="14" t="s">
        <v>54</v>
      </c>
      <c r="B283" s="15" t="s">
        <v>977</v>
      </c>
      <c r="C283" s="15" t="s">
        <v>978</v>
      </c>
      <c r="D283" s="14" t="s">
        <v>979</v>
      </c>
      <c r="E283" s="15" t="s">
        <v>980</v>
      </c>
      <c r="F283" s="14" t="s">
        <v>259</v>
      </c>
      <c r="G283" s="15" t="s">
        <v>23</v>
      </c>
      <c r="H283" s="15" t="s">
        <v>1525</v>
      </c>
      <c r="I283" s="15">
        <v>201409</v>
      </c>
      <c r="J283" s="16">
        <v>502.39</v>
      </c>
      <c r="K283" s="44">
        <f t="shared" si="25"/>
        <v>41883</v>
      </c>
      <c r="L283" s="45">
        <f t="shared" si="21"/>
        <v>9</v>
      </c>
      <c r="M283" s="17">
        <v>1.4833299999999999E-3</v>
      </c>
      <c r="N283" s="46">
        <f t="shared" si="22"/>
        <v>6.7068914282999996</v>
      </c>
      <c r="O283" s="16"/>
      <c r="P283" s="48">
        <f t="shared" si="23"/>
        <v>260.61481250000003</v>
      </c>
      <c r="Q283" s="16"/>
      <c r="R283" s="48">
        <f t="shared" si="24"/>
        <v>11.33360440625</v>
      </c>
      <c r="S283" s="14"/>
    </row>
    <row r="284" spans="1:19">
      <c r="A284" s="14" t="s">
        <v>17</v>
      </c>
      <c r="B284" s="15" t="s">
        <v>981</v>
      </c>
      <c r="C284" s="15" t="s">
        <v>982</v>
      </c>
      <c r="D284" s="14" t="s">
        <v>983</v>
      </c>
      <c r="E284" s="15" t="s">
        <v>440</v>
      </c>
      <c r="F284" s="14" t="s">
        <v>28</v>
      </c>
      <c r="G284" s="15" t="s">
        <v>23</v>
      </c>
      <c r="H284" s="15" t="s">
        <v>1525</v>
      </c>
      <c r="I284" s="15">
        <v>201409</v>
      </c>
      <c r="J284" s="16">
        <v>53.69</v>
      </c>
      <c r="K284" s="44">
        <f t="shared" si="25"/>
        <v>41883</v>
      </c>
      <c r="L284" s="45">
        <f t="shared" si="21"/>
        <v>9</v>
      </c>
      <c r="M284" s="17">
        <v>1.4833299999999999E-3</v>
      </c>
      <c r="N284" s="46">
        <f t="shared" si="22"/>
        <v>0.7167598892999999</v>
      </c>
      <c r="O284" s="16"/>
      <c r="P284" s="48">
        <f t="shared" si="23"/>
        <v>27.851687500000001</v>
      </c>
      <c r="Q284" s="16"/>
      <c r="R284" s="48">
        <f t="shared" si="24"/>
        <v>1.21121284375</v>
      </c>
      <c r="S284" s="14"/>
    </row>
    <row r="285" spans="1:19">
      <c r="A285" s="14" t="s">
        <v>54</v>
      </c>
      <c r="B285" s="15" t="s">
        <v>984</v>
      </c>
      <c r="C285" s="15" t="s">
        <v>985</v>
      </c>
      <c r="D285" s="14" t="s">
        <v>986</v>
      </c>
      <c r="E285" s="15" t="s">
        <v>141</v>
      </c>
      <c r="F285" s="14" t="s">
        <v>142</v>
      </c>
      <c r="G285" s="15" t="s">
        <v>23</v>
      </c>
      <c r="H285" s="15" t="s">
        <v>1525</v>
      </c>
      <c r="I285" s="15">
        <v>201409</v>
      </c>
      <c r="J285" s="16">
        <v>76.45</v>
      </c>
      <c r="K285" s="44">
        <f t="shared" si="25"/>
        <v>41883</v>
      </c>
      <c r="L285" s="45">
        <f t="shared" si="21"/>
        <v>9</v>
      </c>
      <c r="M285" s="17">
        <v>1.4833299999999999E-3</v>
      </c>
      <c r="N285" s="46">
        <f t="shared" si="22"/>
        <v>1.0206052065</v>
      </c>
      <c r="O285" s="16"/>
      <c r="P285" s="48">
        <f t="shared" si="23"/>
        <v>39.658437500000005</v>
      </c>
      <c r="Q285" s="16"/>
      <c r="R285" s="48">
        <f t="shared" si="24"/>
        <v>1.7246642187500003</v>
      </c>
      <c r="S285" s="14"/>
    </row>
    <row r="286" spans="1:19">
      <c r="A286" s="14" t="s">
        <v>17</v>
      </c>
      <c r="B286" s="15" t="s">
        <v>987</v>
      </c>
      <c r="C286" s="15" t="s">
        <v>988</v>
      </c>
      <c r="D286" s="14" t="s">
        <v>989</v>
      </c>
      <c r="E286" s="15" t="s">
        <v>45</v>
      </c>
      <c r="F286" s="14" t="s">
        <v>22</v>
      </c>
      <c r="G286" s="15" t="s">
        <v>23</v>
      </c>
      <c r="H286" s="15" t="s">
        <v>1525</v>
      </c>
      <c r="I286" s="15">
        <v>201409</v>
      </c>
      <c r="J286" s="16">
        <v>92.14</v>
      </c>
      <c r="K286" s="44">
        <f t="shared" si="25"/>
        <v>41883</v>
      </c>
      <c r="L286" s="45">
        <f t="shared" si="21"/>
        <v>9</v>
      </c>
      <c r="M286" s="17">
        <v>1.4833299999999999E-3</v>
      </c>
      <c r="N286" s="46">
        <f t="shared" si="22"/>
        <v>1.2300662357999999</v>
      </c>
      <c r="O286" s="16"/>
      <c r="P286" s="48">
        <f t="shared" si="23"/>
        <v>47.797625000000004</v>
      </c>
      <c r="Q286" s="16"/>
      <c r="R286" s="48">
        <f t="shared" si="24"/>
        <v>2.0786208125000001</v>
      </c>
      <c r="S286" s="14"/>
    </row>
    <row r="287" spans="1:19">
      <c r="A287" s="14" t="s">
        <v>17</v>
      </c>
      <c r="B287" s="15" t="s">
        <v>999</v>
      </c>
      <c r="C287" s="15" t="s">
        <v>1000</v>
      </c>
      <c r="D287" s="14" t="s">
        <v>1001</v>
      </c>
      <c r="E287" s="15" t="s">
        <v>176</v>
      </c>
      <c r="F287" s="14" t="s">
        <v>28</v>
      </c>
      <c r="G287" s="15" t="s">
        <v>23</v>
      </c>
      <c r="H287" s="15" t="s">
        <v>1525</v>
      </c>
      <c r="I287" s="15">
        <v>201409</v>
      </c>
      <c r="J287" s="16">
        <v>167.22</v>
      </c>
      <c r="K287" s="44">
        <f t="shared" si="25"/>
        <v>41883</v>
      </c>
      <c r="L287" s="45">
        <f t="shared" si="21"/>
        <v>9</v>
      </c>
      <c r="M287" s="17">
        <v>1.4833299999999999E-3</v>
      </c>
      <c r="N287" s="46">
        <f t="shared" si="22"/>
        <v>2.2323819833999998</v>
      </c>
      <c r="O287" s="16"/>
      <c r="P287" s="48">
        <f t="shared" si="23"/>
        <v>86.74537500000001</v>
      </c>
      <c r="Q287" s="16"/>
      <c r="R287" s="48">
        <f t="shared" si="24"/>
        <v>3.7723786875000003</v>
      </c>
      <c r="S287" s="14"/>
    </row>
    <row r="288" spans="1:19">
      <c r="A288" s="14" t="s">
        <v>54</v>
      </c>
      <c r="B288" s="15" t="s">
        <v>1008</v>
      </c>
      <c r="C288" s="15" t="s">
        <v>1009</v>
      </c>
      <c r="D288" s="14" t="s">
        <v>1010</v>
      </c>
      <c r="E288" s="15" t="s">
        <v>49</v>
      </c>
      <c r="F288" s="14" t="s">
        <v>22</v>
      </c>
      <c r="G288" s="15" t="s">
        <v>23</v>
      </c>
      <c r="H288" s="15" t="s">
        <v>1525</v>
      </c>
      <c r="I288" s="15">
        <v>201409</v>
      </c>
      <c r="J288" s="16">
        <v>428.36</v>
      </c>
      <c r="K288" s="44">
        <f t="shared" si="25"/>
        <v>41883</v>
      </c>
      <c r="L288" s="45">
        <f t="shared" si="21"/>
        <v>9</v>
      </c>
      <c r="M288" s="17">
        <v>1.4833299999999999E-3</v>
      </c>
      <c r="N288" s="46">
        <f t="shared" si="22"/>
        <v>5.7185931492000002</v>
      </c>
      <c r="O288" s="16"/>
      <c r="P288" s="48">
        <f t="shared" si="23"/>
        <v>222.21175000000002</v>
      </c>
      <c r="Q288" s="16"/>
      <c r="R288" s="48">
        <f t="shared" si="24"/>
        <v>9.6635338750000006</v>
      </c>
      <c r="S288" s="14"/>
    </row>
    <row r="289" spans="1:19">
      <c r="A289" s="14" t="s">
        <v>54</v>
      </c>
      <c r="B289" s="15" t="s">
        <v>1011</v>
      </c>
      <c r="C289" s="15" t="s">
        <v>1012</v>
      </c>
      <c r="D289" s="14" t="s">
        <v>1013</v>
      </c>
      <c r="E289" s="15" t="s">
        <v>21</v>
      </c>
      <c r="F289" s="14" t="s">
        <v>22</v>
      </c>
      <c r="G289" s="15" t="s">
        <v>23</v>
      </c>
      <c r="H289" s="15" t="s">
        <v>1525</v>
      </c>
      <c r="I289" s="15">
        <v>201409</v>
      </c>
      <c r="J289" s="16">
        <v>4250.08</v>
      </c>
      <c r="K289" s="44">
        <f t="shared" si="25"/>
        <v>41883</v>
      </c>
      <c r="L289" s="45">
        <f t="shared" si="21"/>
        <v>9</v>
      </c>
      <c r="M289" s="17">
        <v>1.4833299999999999E-3</v>
      </c>
      <c r="N289" s="46">
        <f t="shared" si="22"/>
        <v>56.738440497599996</v>
      </c>
      <c r="O289" s="16"/>
      <c r="P289" s="48">
        <f t="shared" si="23"/>
        <v>2204.7290000000003</v>
      </c>
      <c r="Q289" s="16"/>
      <c r="R289" s="48">
        <f t="shared" si="24"/>
        <v>95.879148500000014</v>
      </c>
      <c r="S289" s="14"/>
    </row>
    <row r="290" spans="1:19">
      <c r="A290" s="14" t="s">
        <v>54</v>
      </c>
      <c r="B290" s="15" t="s">
        <v>1021</v>
      </c>
      <c r="C290" s="15" t="s">
        <v>1022</v>
      </c>
      <c r="D290" s="14" t="s">
        <v>1023</v>
      </c>
      <c r="E290" s="15" t="s">
        <v>108</v>
      </c>
      <c r="F290" s="14" t="s">
        <v>28</v>
      </c>
      <c r="G290" s="15" t="s">
        <v>23</v>
      </c>
      <c r="H290" s="15" t="s">
        <v>1525</v>
      </c>
      <c r="I290" s="15">
        <v>201409</v>
      </c>
      <c r="J290" s="16">
        <v>906.93</v>
      </c>
      <c r="K290" s="44">
        <f t="shared" si="25"/>
        <v>41883</v>
      </c>
      <c r="L290" s="45">
        <f t="shared" si="21"/>
        <v>9</v>
      </c>
      <c r="M290" s="17">
        <v>1.4833299999999999E-3</v>
      </c>
      <c r="N290" s="46">
        <f t="shared" si="22"/>
        <v>12.107488292099999</v>
      </c>
      <c r="O290" s="16"/>
      <c r="P290" s="48">
        <f t="shared" si="23"/>
        <v>470.46993750000001</v>
      </c>
      <c r="Q290" s="16"/>
      <c r="R290" s="48">
        <f t="shared" si="24"/>
        <v>20.45977396875</v>
      </c>
      <c r="S290" s="14"/>
    </row>
    <row r="291" spans="1:19">
      <c r="A291" s="203" t="s">
        <v>1584</v>
      </c>
      <c r="B291" s="204" t="s">
        <v>1586</v>
      </c>
      <c r="C291" s="204" t="s">
        <v>1587</v>
      </c>
      <c r="D291" s="203" t="s">
        <v>1588</v>
      </c>
      <c r="E291" s="204" t="s">
        <v>1589</v>
      </c>
      <c r="F291" s="203" t="s">
        <v>1590</v>
      </c>
      <c r="G291" s="204" t="s">
        <v>23</v>
      </c>
      <c r="H291" s="15" t="s">
        <v>1530</v>
      </c>
      <c r="I291" s="204">
        <v>201409</v>
      </c>
      <c r="J291" s="205">
        <v>3649.84</v>
      </c>
      <c r="K291" s="44">
        <f t="shared" si="25"/>
        <v>41883</v>
      </c>
      <c r="L291" s="45">
        <f t="shared" si="21"/>
        <v>9</v>
      </c>
      <c r="M291" s="206">
        <v>2.0333333000000001E-3</v>
      </c>
      <c r="N291" s="46">
        <f t="shared" si="22"/>
        <v>66.792070905048007</v>
      </c>
      <c r="O291" s="14"/>
      <c r="P291" s="48">
        <f t="shared" ref="P291:P299" si="26">$P$4*J291</f>
        <v>1893.3545000000001</v>
      </c>
      <c r="Q291" s="16"/>
      <c r="R291" s="48">
        <f t="shared" ref="R291:R299" si="27">$R$4*J291*$U$9</f>
        <v>82.338109250000002</v>
      </c>
      <c r="S291" s="14"/>
    </row>
    <row r="292" spans="1:19">
      <c r="A292" s="203" t="s">
        <v>1584</v>
      </c>
      <c r="B292" s="204" t="s">
        <v>1591</v>
      </c>
      <c r="C292" s="204" t="s">
        <v>1592</v>
      </c>
      <c r="D292" s="203" t="s">
        <v>1593</v>
      </c>
      <c r="E292" s="204" t="s">
        <v>1594</v>
      </c>
      <c r="F292" s="203" t="s">
        <v>1590</v>
      </c>
      <c r="G292" s="204" t="s">
        <v>23</v>
      </c>
      <c r="H292" s="15" t="s">
        <v>1530</v>
      </c>
      <c r="I292" s="204">
        <v>201409</v>
      </c>
      <c r="J292" s="205">
        <v>1343.76</v>
      </c>
      <c r="K292" s="44">
        <f t="shared" si="25"/>
        <v>41883</v>
      </c>
      <c r="L292" s="45">
        <f t="shared" si="21"/>
        <v>9</v>
      </c>
      <c r="M292" s="206">
        <v>2.0333333000000001E-3</v>
      </c>
      <c r="N292" s="46">
        <f t="shared" si="22"/>
        <v>24.590807596872001</v>
      </c>
      <c r="O292" s="14"/>
      <c r="P292" s="48">
        <f t="shared" si="26"/>
        <v>697.07550000000003</v>
      </c>
      <c r="Q292" s="16"/>
      <c r="R292" s="48">
        <f t="shared" si="27"/>
        <v>30.31438575</v>
      </c>
      <c r="S292" s="14"/>
    </row>
    <row r="293" spans="1:19">
      <c r="A293" s="203" t="s">
        <v>1584</v>
      </c>
      <c r="B293" s="204" t="s">
        <v>1595</v>
      </c>
      <c r="C293" s="204" t="s">
        <v>1596</v>
      </c>
      <c r="D293" s="203" t="s">
        <v>1593</v>
      </c>
      <c r="E293" s="204" t="s">
        <v>1597</v>
      </c>
      <c r="F293" s="203" t="s">
        <v>1590</v>
      </c>
      <c r="G293" s="204" t="s">
        <v>23</v>
      </c>
      <c r="H293" s="15" t="s">
        <v>1530</v>
      </c>
      <c r="I293" s="204">
        <v>201409</v>
      </c>
      <c r="J293" s="205">
        <v>34137.56</v>
      </c>
      <c r="K293" s="44">
        <f t="shared" si="25"/>
        <v>41883</v>
      </c>
      <c r="L293" s="45">
        <f t="shared" si="21"/>
        <v>9</v>
      </c>
      <c r="M293" s="206">
        <v>2.0333333000000001E-3</v>
      </c>
      <c r="N293" s="46">
        <f t="shared" si="22"/>
        <v>624.7173377587319</v>
      </c>
      <c r="O293" s="14"/>
      <c r="P293" s="48">
        <f t="shared" si="26"/>
        <v>17708.859250000001</v>
      </c>
      <c r="Q293" s="16"/>
      <c r="R293" s="48">
        <f t="shared" si="27"/>
        <v>770.12201762500001</v>
      </c>
      <c r="S293" s="14"/>
    </row>
    <row r="294" spans="1:19">
      <c r="A294" s="203" t="s">
        <v>1584</v>
      </c>
      <c r="B294" s="204" t="s">
        <v>1598</v>
      </c>
      <c r="C294" s="204" t="s">
        <v>1599</v>
      </c>
      <c r="D294" s="203" t="s">
        <v>1600</v>
      </c>
      <c r="E294" s="204" t="s">
        <v>1601</v>
      </c>
      <c r="F294" s="203" t="s">
        <v>1590</v>
      </c>
      <c r="G294" s="204" t="s">
        <v>23</v>
      </c>
      <c r="H294" s="15" t="s">
        <v>1530</v>
      </c>
      <c r="I294" s="204">
        <v>201409</v>
      </c>
      <c r="J294" s="205">
        <v>34733.839999999997</v>
      </c>
      <c r="K294" s="44">
        <f t="shared" si="25"/>
        <v>41883</v>
      </c>
      <c r="L294" s="45">
        <f t="shared" si="21"/>
        <v>9</v>
      </c>
      <c r="M294" s="206">
        <v>2.0333333000000001E-3</v>
      </c>
      <c r="N294" s="46">
        <f t="shared" si="22"/>
        <v>635.62926157984793</v>
      </c>
      <c r="O294" s="14"/>
      <c r="P294" s="48">
        <f t="shared" si="26"/>
        <v>18018.179499999998</v>
      </c>
      <c r="Q294" s="16"/>
      <c r="R294" s="48">
        <f t="shared" si="27"/>
        <v>783.57372175</v>
      </c>
      <c r="S294" s="14"/>
    </row>
    <row r="295" spans="1:19">
      <c r="A295" s="203" t="s">
        <v>1584</v>
      </c>
      <c r="B295" s="204" t="s">
        <v>1602</v>
      </c>
      <c r="C295" s="204" t="s">
        <v>1603</v>
      </c>
      <c r="D295" s="203" t="s">
        <v>1588</v>
      </c>
      <c r="E295" s="204" t="s">
        <v>1604</v>
      </c>
      <c r="F295" s="203" t="s">
        <v>1590</v>
      </c>
      <c r="G295" s="204" t="s">
        <v>23</v>
      </c>
      <c r="H295" s="15" t="s">
        <v>1530</v>
      </c>
      <c r="I295" s="204">
        <v>201409</v>
      </c>
      <c r="J295" s="205">
        <v>-4.0199999999999996</v>
      </c>
      <c r="K295" s="44">
        <f t="shared" si="25"/>
        <v>41883</v>
      </c>
      <c r="L295" s="45">
        <f t="shared" si="21"/>
        <v>9</v>
      </c>
      <c r="M295" s="206">
        <v>2.0333333000000001E-3</v>
      </c>
      <c r="N295" s="46">
        <f t="shared" si="22"/>
        <v>-7.3565998793999984E-2</v>
      </c>
      <c r="O295" s="14"/>
      <c r="P295" s="48">
        <f t="shared" si="26"/>
        <v>-2.085375</v>
      </c>
      <c r="Q295" s="16"/>
      <c r="R295" s="48">
        <f t="shared" si="27"/>
        <v>-9.0688687500000004E-2</v>
      </c>
      <c r="S295" s="14"/>
    </row>
    <row r="296" spans="1:19">
      <c r="A296" s="203" t="s">
        <v>1584</v>
      </c>
      <c r="B296" s="204" t="s">
        <v>1605</v>
      </c>
      <c r="C296" s="204" t="s">
        <v>1606</v>
      </c>
      <c r="D296" s="203" t="s">
        <v>1607</v>
      </c>
      <c r="E296" s="204" t="s">
        <v>1608</v>
      </c>
      <c r="F296" s="203" t="s">
        <v>1590</v>
      </c>
      <c r="G296" s="204" t="s">
        <v>23</v>
      </c>
      <c r="H296" s="15" t="s">
        <v>1530</v>
      </c>
      <c r="I296" s="204">
        <v>201409</v>
      </c>
      <c r="J296" s="205">
        <v>14022.68</v>
      </c>
      <c r="K296" s="44">
        <f t="shared" si="25"/>
        <v>41883</v>
      </c>
      <c r="L296" s="45">
        <f t="shared" si="21"/>
        <v>9</v>
      </c>
      <c r="M296" s="206">
        <v>2.0333333000000001E-3</v>
      </c>
      <c r="N296" s="46">
        <f t="shared" si="22"/>
        <v>256.61503979319599</v>
      </c>
      <c r="O296" s="14"/>
      <c r="P296" s="48">
        <f t="shared" si="26"/>
        <v>7274.2652500000004</v>
      </c>
      <c r="Q296" s="16"/>
      <c r="R296" s="48">
        <f t="shared" si="27"/>
        <v>316.34289662500004</v>
      </c>
      <c r="S296" s="14"/>
    </row>
    <row r="297" spans="1:19">
      <c r="A297" s="203" t="s">
        <v>1584</v>
      </c>
      <c r="B297" s="204" t="s">
        <v>1609</v>
      </c>
      <c r="C297" s="204" t="s">
        <v>1610</v>
      </c>
      <c r="D297" s="203" t="s">
        <v>1588</v>
      </c>
      <c r="E297" s="204" t="s">
        <v>1611</v>
      </c>
      <c r="F297" s="203" t="s">
        <v>1590</v>
      </c>
      <c r="G297" s="204" t="s">
        <v>23</v>
      </c>
      <c r="H297" s="15" t="s">
        <v>1530</v>
      </c>
      <c r="I297" s="204">
        <v>201409</v>
      </c>
      <c r="J297" s="205">
        <v>-5.08</v>
      </c>
      <c r="K297" s="44">
        <f t="shared" si="25"/>
        <v>41883</v>
      </c>
      <c r="L297" s="45">
        <f t="shared" si="21"/>
        <v>9</v>
      </c>
      <c r="M297" s="206">
        <v>2.0333333000000001E-3</v>
      </c>
      <c r="N297" s="46">
        <f t="shared" si="22"/>
        <v>-9.2963998475999995E-2</v>
      </c>
      <c r="O297" s="14"/>
      <c r="P297" s="48">
        <f t="shared" si="26"/>
        <v>-2.6352500000000001</v>
      </c>
      <c r="Q297" s="16"/>
      <c r="R297" s="48">
        <f t="shared" si="27"/>
        <v>-0.11460162500000001</v>
      </c>
      <c r="S297" s="14"/>
    </row>
    <row r="298" spans="1:19">
      <c r="A298" s="203" t="s">
        <v>1584</v>
      </c>
      <c r="B298" s="204" t="s">
        <v>1612</v>
      </c>
      <c r="C298" s="204" t="s">
        <v>1613</v>
      </c>
      <c r="D298" s="203" t="s">
        <v>1588</v>
      </c>
      <c r="E298" s="204" t="s">
        <v>1614</v>
      </c>
      <c r="F298" s="203" t="s">
        <v>1590</v>
      </c>
      <c r="G298" s="204" t="s">
        <v>23</v>
      </c>
      <c r="H298" s="15" t="s">
        <v>1530</v>
      </c>
      <c r="I298" s="204">
        <v>201409</v>
      </c>
      <c r="J298" s="205">
        <v>453.16</v>
      </c>
      <c r="K298" s="44">
        <f t="shared" si="25"/>
        <v>41883</v>
      </c>
      <c r="L298" s="45">
        <f t="shared" si="21"/>
        <v>9</v>
      </c>
      <c r="M298" s="206">
        <v>2.0333333000000001E-3</v>
      </c>
      <c r="N298" s="46">
        <f t="shared" si="22"/>
        <v>8.2928278640520006</v>
      </c>
      <c r="O298" s="14"/>
      <c r="P298" s="48">
        <f t="shared" si="26"/>
        <v>235.07675000000003</v>
      </c>
      <c r="Q298" s="16"/>
      <c r="R298" s="48">
        <f t="shared" si="27"/>
        <v>10.223006375000001</v>
      </c>
      <c r="S298" s="14"/>
    </row>
    <row r="299" spans="1:19" ht="15.75" thickBot="1">
      <c r="A299" s="203" t="s">
        <v>1584</v>
      </c>
      <c r="B299" s="204" t="s">
        <v>1615</v>
      </c>
      <c r="C299" s="204" t="s">
        <v>1616</v>
      </c>
      <c r="D299" s="203" t="s">
        <v>1593</v>
      </c>
      <c r="E299" s="204" t="s">
        <v>1617</v>
      </c>
      <c r="F299" s="203" t="s">
        <v>1590</v>
      </c>
      <c r="G299" s="204" t="s">
        <v>23</v>
      </c>
      <c r="H299" s="15" t="s">
        <v>1530</v>
      </c>
      <c r="I299" s="204">
        <v>201409</v>
      </c>
      <c r="J299" s="205">
        <v>13225.13</v>
      </c>
      <c r="K299" s="44">
        <f t="shared" si="25"/>
        <v>41883</v>
      </c>
      <c r="L299" s="45">
        <f t="shared" si="21"/>
        <v>9</v>
      </c>
      <c r="M299" s="206">
        <v>2.0333333000000001E-3</v>
      </c>
      <c r="N299" s="46">
        <f t="shared" si="22"/>
        <v>242.01987503246099</v>
      </c>
      <c r="O299" s="14"/>
      <c r="P299" s="48">
        <f t="shared" si="26"/>
        <v>6860.5361874999999</v>
      </c>
      <c r="Q299" s="16"/>
      <c r="R299" s="48">
        <f t="shared" si="27"/>
        <v>298.35066709374996</v>
      </c>
      <c r="S299" s="14"/>
    </row>
    <row r="300" spans="1:19" ht="28.5" customHeight="1">
      <c r="A300" s="14"/>
      <c r="B300" s="15"/>
      <c r="C300" s="15"/>
      <c r="D300" s="14"/>
      <c r="E300" s="15"/>
      <c r="F300" s="14"/>
      <c r="G300" s="15"/>
      <c r="H300" s="15"/>
      <c r="I300" s="178"/>
      <c r="J300" s="175"/>
      <c r="K300" s="176" t="s">
        <v>2244</v>
      </c>
      <c r="L300" s="177"/>
      <c r="M300" s="179"/>
      <c r="N300" s="46"/>
      <c r="O300" s="16"/>
      <c r="P300" s="48"/>
      <c r="Q300" s="16"/>
      <c r="R300" s="43">
        <f>0.5+(0.0375*0.5)</f>
        <v>0.51875000000000004</v>
      </c>
      <c r="S300" s="14"/>
    </row>
    <row r="301" spans="1:19">
      <c r="A301" s="14" t="s">
        <v>17</v>
      </c>
      <c r="B301" s="15" t="s">
        <v>50</v>
      </c>
      <c r="C301" s="15" t="s">
        <v>51</v>
      </c>
      <c r="D301" s="14" t="s">
        <v>52</v>
      </c>
      <c r="E301" s="15" t="s">
        <v>53</v>
      </c>
      <c r="F301" s="14" t="s">
        <v>41</v>
      </c>
      <c r="G301" s="15" t="s">
        <v>23</v>
      </c>
      <c r="H301" s="15" t="s">
        <v>1526</v>
      </c>
      <c r="I301" s="15">
        <v>201410</v>
      </c>
      <c r="J301" s="16">
        <v>-17.78</v>
      </c>
      <c r="K301" s="44">
        <v>41913</v>
      </c>
      <c r="L301" s="45">
        <f t="shared" si="21"/>
        <v>8</v>
      </c>
      <c r="M301" s="17">
        <v>1.4833299999999999E-3</v>
      </c>
      <c r="N301" s="46">
        <f t="shared" si="22"/>
        <v>-0.21098885920000002</v>
      </c>
      <c r="O301" s="16"/>
      <c r="P301" s="48"/>
      <c r="Q301" s="16"/>
      <c r="R301" s="48">
        <f>$R$300*J301*$U$9</f>
        <v>-5.7646093750000009</v>
      </c>
      <c r="S301" s="14"/>
    </row>
    <row r="302" spans="1:19">
      <c r="A302" s="14" t="s">
        <v>54</v>
      </c>
      <c r="B302" s="15" t="s">
        <v>59</v>
      </c>
      <c r="C302" s="15" t="s">
        <v>60</v>
      </c>
      <c r="D302" s="14" t="s">
        <v>61</v>
      </c>
      <c r="E302" s="15" t="s">
        <v>62</v>
      </c>
      <c r="F302" s="14" t="s">
        <v>22</v>
      </c>
      <c r="G302" s="15" t="s">
        <v>23</v>
      </c>
      <c r="H302" s="15" t="s">
        <v>1525</v>
      </c>
      <c r="I302" s="15">
        <v>201410</v>
      </c>
      <c r="J302" s="16">
        <v>0</v>
      </c>
      <c r="K302" s="44">
        <f t="shared" ref="K302:K356" si="28">+K301</f>
        <v>41913</v>
      </c>
      <c r="L302" s="45">
        <f t="shared" si="21"/>
        <v>8</v>
      </c>
      <c r="M302" s="17">
        <v>1.4833299999999999E-3</v>
      </c>
      <c r="N302" s="46">
        <f t="shared" si="22"/>
        <v>0</v>
      </c>
      <c r="O302" s="16"/>
      <c r="P302" s="48"/>
      <c r="Q302" s="16"/>
      <c r="R302" s="48">
        <f t="shared" ref="R302:R365" si="29">$R$300*J302*$U$9</f>
        <v>0</v>
      </c>
      <c r="S302" s="14"/>
    </row>
    <row r="303" spans="1:19">
      <c r="A303" s="14" t="s">
        <v>66</v>
      </c>
      <c r="B303" s="15" t="s">
        <v>67</v>
      </c>
      <c r="C303" s="15" t="s">
        <v>68</v>
      </c>
      <c r="D303" s="14" t="s">
        <v>69</v>
      </c>
      <c r="E303" s="15" t="s">
        <v>70</v>
      </c>
      <c r="F303" s="14" t="s">
        <v>71</v>
      </c>
      <c r="G303" s="15" t="s">
        <v>23</v>
      </c>
      <c r="H303" s="15" t="s">
        <v>1530</v>
      </c>
      <c r="I303" s="15">
        <v>201410</v>
      </c>
      <c r="J303" s="16">
        <v>0</v>
      </c>
      <c r="K303" s="44">
        <f t="shared" si="28"/>
        <v>41913</v>
      </c>
      <c r="L303" s="45">
        <f t="shared" si="21"/>
        <v>8</v>
      </c>
      <c r="M303" s="17">
        <v>2.23333E-3</v>
      </c>
      <c r="N303" s="46">
        <f t="shared" si="22"/>
        <v>0</v>
      </c>
      <c r="O303" s="16"/>
      <c r="P303" s="48"/>
      <c r="Q303" s="16"/>
      <c r="R303" s="48">
        <f t="shared" si="29"/>
        <v>0</v>
      </c>
      <c r="S303" s="14"/>
    </row>
    <row r="304" spans="1:19">
      <c r="A304" s="14" t="s">
        <v>66</v>
      </c>
      <c r="B304" s="15" t="s">
        <v>72</v>
      </c>
      <c r="C304" s="15" t="s">
        <v>73</v>
      </c>
      <c r="D304" s="14" t="s">
        <v>74</v>
      </c>
      <c r="E304" s="15" t="s">
        <v>75</v>
      </c>
      <c r="F304" s="14" t="s">
        <v>71</v>
      </c>
      <c r="G304" s="15" t="s">
        <v>23</v>
      </c>
      <c r="H304" s="15" t="s">
        <v>1530</v>
      </c>
      <c r="I304" s="15">
        <v>201410</v>
      </c>
      <c r="J304" s="16">
        <v>170646.25</v>
      </c>
      <c r="K304" s="44">
        <f t="shared" si="28"/>
        <v>41913</v>
      </c>
      <c r="L304" s="45">
        <f t="shared" si="21"/>
        <v>8</v>
      </c>
      <c r="M304" s="17">
        <v>2.23333E-3</v>
      </c>
      <c r="N304" s="46">
        <f t="shared" si="22"/>
        <v>3048.8751161</v>
      </c>
      <c r="O304" s="16"/>
      <c r="P304" s="48"/>
      <c r="Q304" s="16"/>
      <c r="R304" s="48">
        <f t="shared" si="29"/>
        <v>55326.713867187507</v>
      </c>
      <c r="S304" s="14"/>
    </row>
    <row r="305" spans="1:19">
      <c r="A305" s="14" t="s">
        <v>66</v>
      </c>
      <c r="B305" s="15" t="s">
        <v>81</v>
      </c>
      <c r="C305" s="15" t="s">
        <v>82</v>
      </c>
      <c r="D305" s="14" t="s">
        <v>83</v>
      </c>
      <c r="E305" s="15" t="s">
        <v>84</v>
      </c>
      <c r="F305" s="14" t="s">
        <v>85</v>
      </c>
      <c r="G305" s="15" t="s">
        <v>23</v>
      </c>
      <c r="H305" s="15" t="s">
        <v>1530</v>
      </c>
      <c r="I305" s="15">
        <v>201410</v>
      </c>
      <c r="J305" s="16">
        <v>28628.69</v>
      </c>
      <c r="K305" s="44">
        <f t="shared" si="28"/>
        <v>41913</v>
      </c>
      <c r="L305" s="45">
        <f t="shared" si="21"/>
        <v>8</v>
      </c>
      <c r="M305" s="17">
        <v>2.23333E-3</v>
      </c>
      <c r="N305" s="46">
        <f t="shared" si="22"/>
        <v>511.49849790159999</v>
      </c>
      <c r="O305" s="16"/>
      <c r="P305" s="48"/>
      <c r="Q305" s="16"/>
      <c r="R305" s="48">
        <f t="shared" si="29"/>
        <v>9281.9580859375001</v>
      </c>
      <c r="S305" s="14"/>
    </row>
    <row r="306" spans="1:19">
      <c r="A306" s="14" t="s">
        <v>66</v>
      </c>
      <c r="B306" s="15" t="s">
        <v>90</v>
      </c>
      <c r="C306" s="15" t="s">
        <v>91</v>
      </c>
      <c r="D306" s="14" t="s">
        <v>78</v>
      </c>
      <c r="E306" s="15" t="s">
        <v>92</v>
      </c>
      <c r="F306" s="14" t="s">
        <v>80</v>
      </c>
      <c r="G306" s="15" t="s">
        <v>23</v>
      </c>
      <c r="H306" s="15" t="s">
        <v>1530</v>
      </c>
      <c r="I306" s="15">
        <v>201410</v>
      </c>
      <c r="J306" s="16">
        <v>7587.08</v>
      </c>
      <c r="K306" s="44">
        <f t="shared" si="28"/>
        <v>41913</v>
      </c>
      <c r="L306" s="45">
        <f t="shared" si="21"/>
        <v>8</v>
      </c>
      <c r="M306" s="17">
        <v>2.23333E-3</v>
      </c>
      <c r="N306" s="46">
        <f t="shared" si="22"/>
        <v>135.55562701119999</v>
      </c>
      <c r="O306" s="16"/>
      <c r="P306" s="48"/>
      <c r="Q306" s="16"/>
      <c r="R306" s="48">
        <f t="shared" si="29"/>
        <v>2459.8735937500001</v>
      </c>
      <c r="S306" s="14"/>
    </row>
    <row r="307" spans="1:19">
      <c r="A307" s="14" t="s">
        <v>17</v>
      </c>
      <c r="B307" s="15" t="s">
        <v>105</v>
      </c>
      <c r="C307" s="15" t="s">
        <v>106</v>
      </c>
      <c r="D307" s="14" t="s">
        <v>107</v>
      </c>
      <c r="E307" s="15" t="s">
        <v>108</v>
      </c>
      <c r="F307" s="14" t="s">
        <v>28</v>
      </c>
      <c r="G307" s="15" t="s">
        <v>23</v>
      </c>
      <c r="H307" s="15" t="s">
        <v>1525</v>
      </c>
      <c r="I307" s="15">
        <v>201410</v>
      </c>
      <c r="J307" s="16">
        <v>-961.99</v>
      </c>
      <c r="K307" s="44">
        <f t="shared" si="28"/>
        <v>41913</v>
      </c>
      <c r="L307" s="45">
        <f t="shared" si="21"/>
        <v>8</v>
      </c>
      <c r="M307" s="17">
        <v>1.4833299999999999E-3</v>
      </c>
      <c r="N307" s="46">
        <f t="shared" si="22"/>
        <v>-11.4155890136</v>
      </c>
      <c r="O307" s="16"/>
      <c r="P307" s="48"/>
      <c r="Q307" s="16"/>
      <c r="R307" s="48">
        <f t="shared" si="29"/>
        <v>-311.89519531250005</v>
      </c>
      <c r="S307" s="14"/>
    </row>
    <row r="308" spans="1:19">
      <c r="A308" s="14" t="s">
        <v>66</v>
      </c>
      <c r="B308" s="15" t="s">
        <v>192</v>
      </c>
      <c r="C308" s="15" t="s">
        <v>193</v>
      </c>
      <c r="D308" s="14" t="s">
        <v>194</v>
      </c>
      <c r="E308" s="15" t="s">
        <v>195</v>
      </c>
      <c r="F308" s="14" t="s">
        <v>196</v>
      </c>
      <c r="G308" s="15" t="s">
        <v>23</v>
      </c>
      <c r="H308" s="15" t="s">
        <v>1530</v>
      </c>
      <c r="I308" s="15">
        <v>201410</v>
      </c>
      <c r="J308" s="16">
        <v>100.15</v>
      </c>
      <c r="K308" s="44">
        <f t="shared" si="28"/>
        <v>41913</v>
      </c>
      <c r="L308" s="45">
        <f t="shared" si="21"/>
        <v>8</v>
      </c>
      <c r="M308" s="17">
        <v>2.23333E-3</v>
      </c>
      <c r="N308" s="46">
        <f t="shared" si="22"/>
        <v>1.7893439960000002</v>
      </c>
      <c r="O308" s="16"/>
      <c r="P308" s="48"/>
      <c r="Q308" s="16"/>
      <c r="R308" s="48">
        <f t="shared" si="29"/>
        <v>32.470507812500003</v>
      </c>
      <c r="S308" s="14"/>
    </row>
    <row r="309" spans="1:19">
      <c r="A309" s="14" t="s">
        <v>66</v>
      </c>
      <c r="B309" s="15" t="s">
        <v>200</v>
      </c>
      <c r="C309" s="15" t="s">
        <v>201</v>
      </c>
      <c r="D309" s="14" t="s">
        <v>202</v>
      </c>
      <c r="E309" s="15" t="s">
        <v>203</v>
      </c>
      <c r="F309" s="14" t="s">
        <v>80</v>
      </c>
      <c r="G309" s="15" t="s">
        <v>23</v>
      </c>
      <c r="H309" s="15" t="s">
        <v>1530</v>
      </c>
      <c r="I309" s="15">
        <v>201410</v>
      </c>
      <c r="J309" s="16">
        <v>64057.599999999999</v>
      </c>
      <c r="K309" s="44">
        <f t="shared" si="28"/>
        <v>41913</v>
      </c>
      <c r="L309" s="45">
        <f t="shared" si="21"/>
        <v>8</v>
      </c>
      <c r="M309" s="17">
        <v>2.23333E-3</v>
      </c>
      <c r="N309" s="46">
        <f t="shared" si="22"/>
        <v>1144.494078464</v>
      </c>
      <c r="O309" s="16"/>
      <c r="P309" s="48"/>
      <c r="Q309" s="16"/>
      <c r="R309" s="48">
        <f t="shared" si="29"/>
        <v>20768.675000000003</v>
      </c>
      <c r="S309" s="14"/>
    </row>
    <row r="310" spans="1:19">
      <c r="A310" s="18" t="s">
        <v>217</v>
      </c>
      <c r="B310" s="15" t="s">
        <v>218</v>
      </c>
      <c r="C310" s="15" t="s">
        <v>219</v>
      </c>
      <c r="D310" s="14" t="s">
        <v>220</v>
      </c>
      <c r="E310" s="15" t="s">
        <v>221</v>
      </c>
      <c r="F310" s="14" t="s">
        <v>222</v>
      </c>
      <c r="G310" s="15" t="s">
        <v>23</v>
      </c>
      <c r="H310" s="15" t="s">
        <v>1524</v>
      </c>
      <c r="I310" s="15">
        <v>201410</v>
      </c>
      <c r="J310" s="16">
        <v>70665.899999999994</v>
      </c>
      <c r="K310" s="44">
        <f t="shared" si="28"/>
        <v>41913</v>
      </c>
      <c r="L310" s="45">
        <f t="shared" si="21"/>
        <v>8</v>
      </c>
      <c r="M310" s="17">
        <v>1.4833299999999999E-3</v>
      </c>
      <c r="N310" s="46">
        <f t="shared" si="22"/>
        <v>838.56679557599989</v>
      </c>
      <c r="O310" s="16"/>
      <c r="P310" s="48"/>
      <c r="Q310" s="16"/>
      <c r="R310" s="48">
        <f t="shared" si="29"/>
        <v>22911.209765624997</v>
      </c>
      <c r="S310" s="14"/>
    </row>
    <row r="311" spans="1:19">
      <c r="A311" s="14" t="s">
        <v>66</v>
      </c>
      <c r="B311" s="15" t="s">
        <v>226</v>
      </c>
      <c r="C311" s="15" t="s">
        <v>227</v>
      </c>
      <c r="D311" s="14" t="s">
        <v>78</v>
      </c>
      <c r="E311" s="15" t="s">
        <v>228</v>
      </c>
      <c r="F311" s="14" t="s">
        <v>80</v>
      </c>
      <c r="G311" s="15" t="s">
        <v>23</v>
      </c>
      <c r="H311" s="15" t="s">
        <v>1530</v>
      </c>
      <c r="I311" s="15">
        <v>201410</v>
      </c>
      <c r="J311" s="16">
        <v>955.76</v>
      </c>
      <c r="K311" s="44">
        <f t="shared" si="28"/>
        <v>41913</v>
      </c>
      <c r="L311" s="45">
        <f t="shared" si="21"/>
        <v>8</v>
      </c>
      <c r="M311" s="17">
        <v>2.23333E-3</v>
      </c>
      <c r="N311" s="46">
        <f t="shared" si="22"/>
        <v>17.076219846400001</v>
      </c>
      <c r="O311" s="16"/>
      <c r="P311" s="48"/>
      <c r="Q311" s="16"/>
      <c r="R311" s="48">
        <f t="shared" si="29"/>
        <v>309.87531250000006</v>
      </c>
      <c r="S311" s="14"/>
    </row>
    <row r="312" spans="1:19">
      <c r="A312" s="14" t="s">
        <v>66</v>
      </c>
      <c r="B312" s="15" t="s">
        <v>229</v>
      </c>
      <c r="C312" s="15" t="s">
        <v>230</v>
      </c>
      <c r="D312" s="14" t="s">
        <v>78</v>
      </c>
      <c r="E312" s="15" t="s">
        <v>231</v>
      </c>
      <c r="F312" s="14" t="s">
        <v>80</v>
      </c>
      <c r="G312" s="15" t="s">
        <v>23</v>
      </c>
      <c r="H312" s="15" t="s">
        <v>1530</v>
      </c>
      <c r="I312" s="15">
        <v>201410</v>
      </c>
      <c r="J312" s="16">
        <v>7523.71</v>
      </c>
      <c r="K312" s="44">
        <f t="shared" si="28"/>
        <v>41913</v>
      </c>
      <c r="L312" s="45">
        <f t="shared" si="21"/>
        <v>8</v>
      </c>
      <c r="M312" s="17">
        <v>2.23333E-3</v>
      </c>
      <c r="N312" s="46">
        <f t="shared" si="22"/>
        <v>134.42341803439999</v>
      </c>
      <c r="O312" s="16"/>
      <c r="P312" s="48"/>
      <c r="Q312" s="16"/>
      <c r="R312" s="48">
        <f t="shared" si="29"/>
        <v>2439.3278515625002</v>
      </c>
      <c r="S312" s="14"/>
    </row>
    <row r="313" spans="1:19">
      <c r="A313" s="14" t="s">
        <v>17</v>
      </c>
      <c r="B313" s="15" t="s">
        <v>272</v>
      </c>
      <c r="C313" s="15" t="s">
        <v>273</v>
      </c>
      <c r="D313" s="14" t="s">
        <v>274</v>
      </c>
      <c r="E313" s="15" t="s">
        <v>36</v>
      </c>
      <c r="F313" s="14" t="s">
        <v>22</v>
      </c>
      <c r="G313" s="15" t="s">
        <v>23</v>
      </c>
      <c r="H313" s="15" t="s">
        <v>1525</v>
      </c>
      <c r="I313" s="15">
        <v>201410</v>
      </c>
      <c r="J313" s="16">
        <v>-30089.42</v>
      </c>
      <c r="K313" s="44">
        <f t="shared" si="28"/>
        <v>41913</v>
      </c>
      <c r="L313" s="45">
        <f t="shared" si="21"/>
        <v>8</v>
      </c>
      <c r="M313" s="17">
        <v>1.4833299999999999E-3</v>
      </c>
      <c r="N313" s="46">
        <f t="shared" si="22"/>
        <v>-357.06031494879994</v>
      </c>
      <c r="O313" s="16"/>
      <c r="P313" s="48"/>
      <c r="Q313" s="16"/>
      <c r="R313" s="48">
        <f t="shared" si="29"/>
        <v>-9755.5541406250013</v>
      </c>
      <c r="S313" s="14"/>
    </row>
    <row r="314" spans="1:19">
      <c r="A314" s="14" t="s">
        <v>54</v>
      </c>
      <c r="B314" s="15" t="s">
        <v>272</v>
      </c>
      <c r="C314" s="15" t="s">
        <v>273</v>
      </c>
      <c r="D314" s="14" t="s">
        <v>274</v>
      </c>
      <c r="E314" s="15" t="s">
        <v>36</v>
      </c>
      <c r="F314" s="14" t="s">
        <v>22</v>
      </c>
      <c r="G314" s="15" t="s">
        <v>23</v>
      </c>
      <c r="H314" s="15" t="s">
        <v>1525</v>
      </c>
      <c r="I314" s="15">
        <v>201410</v>
      </c>
      <c r="J314" s="16">
        <v>30089.42</v>
      </c>
      <c r="K314" s="44">
        <f t="shared" si="28"/>
        <v>41913</v>
      </c>
      <c r="L314" s="45">
        <f t="shared" si="21"/>
        <v>8</v>
      </c>
      <c r="M314" s="17">
        <v>1.4833299999999999E-3</v>
      </c>
      <c r="N314" s="46">
        <f t="shared" si="22"/>
        <v>357.06031494879994</v>
      </c>
      <c r="O314" s="16"/>
      <c r="P314" s="48"/>
      <c r="Q314" s="16"/>
      <c r="R314" s="48">
        <f t="shared" si="29"/>
        <v>9755.5541406250013</v>
      </c>
      <c r="S314" s="14"/>
    </row>
    <row r="315" spans="1:19">
      <c r="A315" s="14" t="s">
        <v>54</v>
      </c>
      <c r="B315" s="15" t="s">
        <v>284</v>
      </c>
      <c r="C315" s="15" t="s">
        <v>285</v>
      </c>
      <c r="D315" s="14" t="s">
        <v>286</v>
      </c>
      <c r="E315" s="15" t="s">
        <v>58</v>
      </c>
      <c r="F315" s="14" t="s">
        <v>22</v>
      </c>
      <c r="G315" s="15" t="s">
        <v>23</v>
      </c>
      <c r="H315" s="15" t="s">
        <v>1525</v>
      </c>
      <c r="I315" s="15">
        <v>201410</v>
      </c>
      <c r="J315" s="16">
        <v>258234.64</v>
      </c>
      <c r="K315" s="44">
        <f t="shared" si="28"/>
        <v>41913</v>
      </c>
      <c r="L315" s="45">
        <f t="shared" si="21"/>
        <v>8</v>
      </c>
      <c r="M315" s="17">
        <v>1.4833299999999999E-3</v>
      </c>
      <c r="N315" s="46">
        <f t="shared" si="22"/>
        <v>3064.3775084096001</v>
      </c>
      <c r="O315" s="16"/>
      <c r="P315" s="48"/>
      <c r="Q315" s="16"/>
      <c r="R315" s="48">
        <f t="shared" si="29"/>
        <v>83724.512187500004</v>
      </c>
      <c r="S315" s="14"/>
    </row>
    <row r="316" spans="1:19">
      <c r="A316" s="14" t="s">
        <v>54</v>
      </c>
      <c r="B316" s="15" t="s">
        <v>306</v>
      </c>
      <c r="C316" s="15" t="s">
        <v>307</v>
      </c>
      <c r="D316" s="14" t="s">
        <v>308</v>
      </c>
      <c r="E316" s="15" t="s">
        <v>36</v>
      </c>
      <c r="F316" s="14" t="s">
        <v>22</v>
      </c>
      <c r="G316" s="15" t="s">
        <v>23</v>
      </c>
      <c r="H316" s="15" t="s">
        <v>1525</v>
      </c>
      <c r="I316" s="15">
        <v>201410</v>
      </c>
      <c r="J316" s="16">
        <v>0</v>
      </c>
      <c r="K316" s="44">
        <f t="shared" si="28"/>
        <v>41913</v>
      </c>
      <c r="L316" s="45">
        <f t="shared" si="21"/>
        <v>8</v>
      </c>
      <c r="M316" s="17">
        <v>1.4833299999999999E-3</v>
      </c>
      <c r="N316" s="46">
        <f t="shared" si="22"/>
        <v>0</v>
      </c>
      <c r="O316" s="16"/>
      <c r="P316" s="48"/>
      <c r="Q316" s="16"/>
      <c r="R316" s="48">
        <f t="shared" si="29"/>
        <v>0</v>
      </c>
      <c r="S316" s="14"/>
    </row>
    <row r="317" spans="1:19">
      <c r="A317" s="14" t="s">
        <v>17</v>
      </c>
      <c r="B317" s="15" t="s">
        <v>347</v>
      </c>
      <c r="C317" s="15" t="s">
        <v>348</v>
      </c>
      <c r="D317" s="14" t="s">
        <v>349</v>
      </c>
      <c r="E317" s="15" t="s">
        <v>324</v>
      </c>
      <c r="F317" s="14" t="s">
        <v>325</v>
      </c>
      <c r="G317" s="15" t="s">
        <v>23</v>
      </c>
      <c r="H317" s="15" t="s">
        <v>1525</v>
      </c>
      <c r="I317" s="15">
        <v>201410</v>
      </c>
      <c r="J317" s="16">
        <v>940.85</v>
      </c>
      <c r="K317" s="44">
        <f t="shared" si="28"/>
        <v>41913</v>
      </c>
      <c r="L317" s="45">
        <f t="shared" si="21"/>
        <v>8</v>
      </c>
      <c r="M317" s="17">
        <v>1.4833299999999999E-3</v>
      </c>
      <c r="N317" s="46">
        <f t="shared" si="22"/>
        <v>11.164728243999999</v>
      </c>
      <c r="O317" s="16"/>
      <c r="P317" s="48"/>
      <c r="Q317" s="16"/>
      <c r="R317" s="48">
        <f t="shared" si="29"/>
        <v>305.04121093750007</v>
      </c>
      <c r="S317" s="14"/>
    </row>
    <row r="318" spans="1:19">
      <c r="A318" s="14" t="s">
        <v>54</v>
      </c>
      <c r="B318" s="15" t="s">
        <v>359</v>
      </c>
      <c r="C318" s="15" t="s">
        <v>360</v>
      </c>
      <c r="D318" s="14" t="s">
        <v>361</v>
      </c>
      <c r="E318" s="15" t="s">
        <v>362</v>
      </c>
      <c r="F318" s="14" t="s">
        <v>41</v>
      </c>
      <c r="G318" s="15" t="s">
        <v>23</v>
      </c>
      <c r="H318" s="15" t="s">
        <v>1526</v>
      </c>
      <c r="I318" s="15">
        <v>201410</v>
      </c>
      <c r="J318" s="16">
        <v>2800.39</v>
      </c>
      <c r="K318" s="44">
        <f t="shared" si="28"/>
        <v>41913</v>
      </c>
      <c r="L318" s="45">
        <f t="shared" si="21"/>
        <v>8</v>
      </c>
      <c r="M318" s="17">
        <v>1.4833299999999999E-3</v>
      </c>
      <c r="N318" s="46">
        <f t="shared" si="22"/>
        <v>33.2312199896</v>
      </c>
      <c r="O318" s="16"/>
      <c r="P318" s="48"/>
      <c r="Q318" s="16"/>
      <c r="R318" s="48">
        <f t="shared" si="29"/>
        <v>907.93894531249998</v>
      </c>
      <c r="S318" s="14"/>
    </row>
    <row r="319" spans="1:19">
      <c r="A319" s="14" t="s">
        <v>66</v>
      </c>
      <c r="B319" s="15" t="s">
        <v>371</v>
      </c>
      <c r="C319" s="15" t="s">
        <v>372</v>
      </c>
      <c r="D319" s="14" t="s">
        <v>88</v>
      </c>
      <c r="E319" s="15" t="s">
        <v>373</v>
      </c>
      <c r="F319" s="14" t="s">
        <v>85</v>
      </c>
      <c r="G319" s="15" t="s">
        <v>23</v>
      </c>
      <c r="H319" s="15" t="s">
        <v>1530</v>
      </c>
      <c r="I319" s="15">
        <v>201410</v>
      </c>
      <c r="J319" s="16">
        <v>13638.55</v>
      </c>
      <c r="K319" s="44">
        <f t="shared" si="28"/>
        <v>41913</v>
      </c>
      <c r="L319" s="45">
        <f t="shared" si="21"/>
        <v>8</v>
      </c>
      <c r="M319" s="17">
        <v>2.23333E-3</v>
      </c>
      <c r="N319" s="46">
        <f t="shared" si="22"/>
        <v>243.67506297199998</v>
      </c>
      <c r="O319" s="16"/>
      <c r="P319" s="48"/>
      <c r="Q319" s="16"/>
      <c r="R319" s="48">
        <f t="shared" si="29"/>
        <v>4421.8736328124996</v>
      </c>
      <c r="S319" s="14"/>
    </row>
    <row r="320" spans="1:19">
      <c r="A320" s="14" t="s">
        <v>66</v>
      </c>
      <c r="B320" s="15" t="s">
        <v>374</v>
      </c>
      <c r="C320" s="15" t="s">
        <v>375</v>
      </c>
      <c r="D320" s="14" t="s">
        <v>376</v>
      </c>
      <c r="E320" s="15" t="s">
        <v>377</v>
      </c>
      <c r="F320" s="14" t="s">
        <v>378</v>
      </c>
      <c r="G320" s="15" t="s">
        <v>23</v>
      </c>
      <c r="H320" s="15" t="s">
        <v>1530</v>
      </c>
      <c r="I320" s="15">
        <v>201410</v>
      </c>
      <c r="J320" s="16">
        <v>18639.88</v>
      </c>
      <c r="K320" s="44">
        <f t="shared" si="28"/>
        <v>41913</v>
      </c>
      <c r="L320" s="45">
        <f t="shared" si="21"/>
        <v>8</v>
      </c>
      <c r="M320" s="17">
        <v>2.23333E-3</v>
      </c>
      <c r="N320" s="46">
        <f t="shared" si="22"/>
        <v>333.0320256032</v>
      </c>
      <c r="O320" s="16"/>
      <c r="P320" s="48"/>
      <c r="Q320" s="16"/>
      <c r="R320" s="48">
        <f t="shared" si="29"/>
        <v>6043.3985937500001</v>
      </c>
      <c r="S320" s="14"/>
    </row>
    <row r="321" spans="1:19">
      <c r="A321" s="14" t="s">
        <v>66</v>
      </c>
      <c r="B321" s="15" t="s">
        <v>379</v>
      </c>
      <c r="C321" s="15" t="s">
        <v>380</v>
      </c>
      <c r="D321" s="14" t="s">
        <v>381</v>
      </c>
      <c r="E321" s="15" t="s">
        <v>382</v>
      </c>
      <c r="F321" s="14" t="s">
        <v>212</v>
      </c>
      <c r="G321" s="15" t="s">
        <v>23</v>
      </c>
      <c r="H321" s="15" t="s">
        <v>1530</v>
      </c>
      <c r="I321" s="15">
        <v>201410</v>
      </c>
      <c r="J321" s="16">
        <v>44071.92</v>
      </c>
      <c r="K321" s="44">
        <f t="shared" si="28"/>
        <v>41913</v>
      </c>
      <c r="L321" s="45">
        <f t="shared" si="21"/>
        <v>8</v>
      </c>
      <c r="M321" s="17">
        <v>2.23333E-3</v>
      </c>
      <c r="N321" s="46">
        <f t="shared" si="22"/>
        <v>787.4171287488</v>
      </c>
      <c r="O321" s="16"/>
      <c r="P321" s="48"/>
      <c r="Q321" s="16"/>
      <c r="R321" s="48">
        <f t="shared" si="29"/>
        <v>14288.942812500001</v>
      </c>
      <c r="S321" s="14"/>
    </row>
    <row r="322" spans="1:19">
      <c r="A322" s="14" t="s">
        <v>66</v>
      </c>
      <c r="B322" s="15" t="s">
        <v>383</v>
      </c>
      <c r="C322" s="15" t="s">
        <v>384</v>
      </c>
      <c r="D322" s="14" t="s">
        <v>385</v>
      </c>
      <c r="E322" s="15" t="s">
        <v>386</v>
      </c>
      <c r="F322" s="14" t="s">
        <v>387</v>
      </c>
      <c r="G322" s="15" t="s">
        <v>23</v>
      </c>
      <c r="H322" s="15" t="s">
        <v>1530</v>
      </c>
      <c r="I322" s="15">
        <v>201410</v>
      </c>
      <c r="J322" s="16">
        <v>183813.51</v>
      </c>
      <c r="K322" s="44">
        <f t="shared" si="28"/>
        <v>41913</v>
      </c>
      <c r="L322" s="45">
        <f t="shared" si="21"/>
        <v>8</v>
      </c>
      <c r="M322" s="17">
        <v>2.23333E-3</v>
      </c>
      <c r="N322" s="46">
        <f t="shared" si="22"/>
        <v>3284.1298103064</v>
      </c>
      <c r="O322" s="16"/>
      <c r="P322" s="48"/>
      <c r="Q322" s="16"/>
      <c r="R322" s="48">
        <f t="shared" si="29"/>
        <v>59595.786445312508</v>
      </c>
      <c r="S322" s="14"/>
    </row>
    <row r="323" spans="1:19">
      <c r="A323" s="14" t="s">
        <v>66</v>
      </c>
      <c r="B323" s="15" t="s">
        <v>388</v>
      </c>
      <c r="C323" s="15" t="s">
        <v>389</v>
      </c>
      <c r="D323" s="14" t="s">
        <v>385</v>
      </c>
      <c r="E323" s="15" t="s">
        <v>390</v>
      </c>
      <c r="F323" s="14" t="s">
        <v>387</v>
      </c>
      <c r="G323" s="15" t="s">
        <v>23</v>
      </c>
      <c r="H323" s="15" t="s">
        <v>1530</v>
      </c>
      <c r="I323" s="15">
        <v>201410</v>
      </c>
      <c r="J323" s="16">
        <v>30625.17</v>
      </c>
      <c r="K323" s="44">
        <f t="shared" si="28"/>
        <v>41913</v>
      </c>
      <c r="L323" s="45">
        <f t="shared" si="21"/>
        <v>8</v>
      </c>
      <c r="M323" s="17">
        <v>2.23333E-3</v>
      </c>
      <c r="N323" s="46">
        <f t="shared" si="22"/>
        <v>547.1688873288</v>
      </c>
      <c r="O323" s="16"/>
      <c r="P323" s="48"/>
      <c r="Q323" s="16"/>
      <c r="R323" s="48">
        <f t="shared" si="29"/>
        <v>9929.2543359374995</v>
      </c>
      <c r="S323" s="14"/>
    </row>
    <row r="324" spans="1:19">
      <c r="A324" s="14" t="s">
        <v>17</v>
      </c>
      <c r="B324" s="15" t="s">
        <v>391</v>
      </c>
      <c r="C324" s="15" t="s">
        <v>392</v>
      </c>
      <c r="D324" s="14" t="s">
        <v>393</v>
      </c>
      <c r="E324" s="15" t="s">
        <v>394</v>
      </c>
      <c r="F324" s="14" t="s">
        <v>137</v>
      </c>
      <c r="G324" s="15" t="s">
        <v>23</v>
      </c>
      <c r="H324" s="15" t="s">
        <v>1526</v>
      </c>
      <c r="I324" s="15">
        <v>201410</v>
      </c>
      <c r="J324" s="16">
        <v>3963.65</v>
      </c>
      <c r="K324" s="44">
        <f t="shared" si="28"/>
        <v>41913</v>
      </c>
      <c r="L324" s="45">
        <f t="shared" si="21"/>
        <v>8</v>
      </c>
      <c r="M324" s="17">
        <v>1.4833299999999999E-3</v>
      </c>
      <c r="N324" s="46">
        <f t="shared" si="22"/>
        <v>47.035207635999996</v>
      </c>
      <c r="O324" s="16"/>
      <c r="P324" s="48"/>
      <c r="Q324" s="16"/>
      <c r="R324" s="48">
        <f t="shared" si="29"/>
        <v>1285.0896484375003</v>
      </c>
      <c r="S324" s="14"/>
    </row>
    <row r="325" spans="1:19">
      <c r="A325" s="14" t="s">
        <v>54</v>
      </c>
      <c r="B325" s="15" t="s">
        <v>419</v>
      </c>
      <c r="C325" s="15" t="s">
        <v>420</v>
      </c>
      <c r="D325" s="14" t="s">
        <v>421</v>
      </c>
      <c r="E325" s="15" t="s">
        <v>32</v>
      </c>
      <c r="F325" s="14" t="s">
        <v>22</v>
      </c>
      <c r="G325" s="15" t="s">
        <v>23</v>
      </c>
      <c r="H325" s="15" t="s">
        <v>1525</v>
      </c>
      <c r="I325" s="15">
        <v>201410</v>
      </c>
      <c r="J325" s="16">
        <v>129.69</v>
      </c>
      <c r="K325" s="44">
        <f t="shared" si="28"/>
        <v>41913</v>
      </c>
      <c r="L325" s="45">
        <f t="shared" si="21"/>
        <v>8</v>
      </c>
      <c r="M325" s="17">
        <v>1.4833299999999999E-3</v>
      </c>
      <c r="N325" s="46">
        <f t="shared" si="22"/>
        <v>1.5389845415999999</v>
      </c>
      <c r="O325" s="16"/>
      <c r="P325" s="48"/>
      <c r="Q325" s="16"/>
      <c r="R325" s="48">
        <f t="shared" si="29"/>
        <v>42.047929687500002</v>
      </c>
      <c r="S325" s="14"/>
    </row>
    <row r="326" spans="1:19">
      <c r="A326" s="14" t="s">
        <v>54</v>
      </c>
      <c r="B326" s="15" t="s">
        <v>441</v>
      </c>
      <c r="C326" s="15" t="s">
        <v>442</v>
      </c>
      <c r="D326" s="14" t="s">
        <v>443</v>
      </c>
      <c r="E326" s="15" t="s">
        <v>141</v>
      </c>
      <c r="F326" s="14" t="s">
        <v>142</v>
      </c>
      <c r="G326" s="15" t="s">
        <v>23</v>
      </c>
      <c r="H326" s="15" t="s">
        <v>1525</v>
      </c>
      <c r="I326" s="15">
        <v>201410</v>
      </c>
      <c r="J326" s="16">
        <v>0</v>
      </c>
      <c r="K326" s="44">
        <f t="shared" si="28"/>
        <v>41913</v>
      </c>
      <c r="L326" s="45">
        <f t="shared" si="21"/>
        <v>8</v>
      </c>
      <c r="M326" s="17">
        <v>1.4833299999999999E-3</v>
      </c>
      <c r="N326" s="46">
        <f t="shared" si="22"/>
        <v>0</v>
      </c>
      <c r="O326" s="16"/>
      <c r="P326" s="48"/>
      <c r="Q326" s="16"/>
      <c r="R326" s="48">
        <f t="shared" si="29"/>
        <v>0</v>
      </c>
      <c r="S326" s="14"/>
    </row>
    <row r="327" spans="1:19">
      <c r="A327" s="14" t="s">
        <v>54</v>
      </c>
      <c r="B327" s="15" t="s">
        <v>453</v>
      </c>
      <c r="C327" s="15" t="s">
        <v>454</v>
      </c>
      <c r="D327" s="14" t="s">
        <v>455</v>
      </c>
      <c r="E327" s="15" t="s">
        <v>62</v>
      </c>
      <c r="F327" s="14" t="s">
        <v>22</v>
      </c>
      <c r="G327" s="15" t="s">
        <v>23</v>
      </c>
      <c r="H327" s="15" t="s">
        <v>1525</v>
      </c>
      <c r="I327" s="15">
        <v>201410</v>
      </c>
      <c r="J327" s="16">
        <v>1085.5999999999999</v>
      </c>
      <c r="K327" s="44">
        <f t="shared" si="28"/>
        <v>41913</v>
      </c>
      <c r="L327" s="45">
        <f t="shared" si="21"/>
        <v>8</v>
      </c>
      <c r="M327" s="17">
        <v>1.4833299999999999E-3</v>
      </c>
      <c r="N327" s="46">
        <f t="shared" si="22"/>
        <v>12.882424383999998</v>
      </c>
      <c r="O327" s="16"/>
      <c r="P327" s="48"/>
      <c r="Q327" s="16"/>
      <c r="R327" s="48">
        <f t="shared" si="29"/>
        <v>351.97187499999995</v>
      </c>
      <c r="S327" s="14"/>
    </row>
    <row r="328" spans="1:19">
      <c r="A328" s="14" t="s">
        <v>17</v>
      </c>
      <c r="B328" s="15" t="s">
        <v>474</v>
      </c>
      <c r="C328" s="15" t="s">
        <v>475</v>
      </c>
      <c r="D328" s="14" t="s">
        <v>476</v>
      </c>
      <c r="E328" s="15" t="s">
        <v>40</v>
      </c>
      <c r="F328" s="14" t="s">
        <v>41</v>
      </c>
      <c r="G328" s="15" t="s">
        <v>23</v>
      </c>
      <c r="H328" s="15" t="s">
        <v>1526</v>
      </c>
      <c r="I328" s="15">
        <v>201410</v>
      </c>
      <c r="J328" s="16">
        <v>0</v>
      </c>
      <c r="K328" s="44">
        <f t="shared" si="28"/>
        <v>41913</v>
      </c>
      <c r="L328" s="45">
        <f t="shared" si="21"/>
        <v>8</v>
      </c>
      <c r="M328" s="17">
        <v>1.4833299999999999E-3</v>
      </c>
      <c r="N328" s="46">
        <f t="shared" si="22"/>
        <v>0</v>
      </c>
      <c r="O328" s="16"/>
      <c r="P328" s="48"/>
      <c r="Q328" s="16"/>
      <c r="R328" s="48">
        <f t="shared" si="29"/>
        <v>0</v>
      </c>
      <c r="S328" s="14"/>
    </row>
    <row r="329" spans="1:19">
      <c r="A329" s="14" t="s">
        <v>17</v>
      </c>
      <c r="B329" s="15" t="s">
        <v>480</v>
      </c>
      <c r="C329" s="15" t="s">
        <v>481</v>
      </c>
      <c r="D329" s="14" t="s">
        <v>482</v>
      </c>
      <c r="E329" s="15" t="s">
        <v>141</v>
      </c>
      <c r="F329" s="14" t="s">
        <v>142</v>
      </c>
      <c r="G329" s="15" t="s">
        <v>23</v>
      </c>
      <c r="H329" s="15" t="s">
        <v>1525</v>
      </c>
      <c r="I329" s="15">
        <v>201410</v>
      </c>
      <c r="J329" s="16">
        <v>307.39</v>
      </c>
      <c r="K329" s="44">
        <f t="shared" si="28"/>
        <v>41913</v>
      </c>
      <c r="L329" s="45">
        <f t="shared" si="21"/>
        <v>8</v>
      </c>
      <c r="M329" s="17">
        <v>1.4833299999999999E-3</v>
      </c>
      <c r="N329" s="46">
        <f t="shared" si="22"/>
        <v>3.6476864695999995</v>
      </c>
      <c r="O329" s="16"/>
      <c r="P329" s="48"/>
      <c r="Q329" s="16"/>
      <c r="R329" s="48">
        <f t="shared" si="29"/>
        <v>99.661601562499996</v>
      </c>
      <c r="S329" s="14"/>
    </row>
    <row r="330" spans="1:19">
      <c r="A330" s="14" t="s">
        <v>66</v>
      </c>
      <c r="B330" s="15" t="s">
        <v>496</v>
      </c>
      <c r="C330" s="15" t="s">
        <v>497</v>
      </c>
      <c r="D330" s="14" t="s">
        <v>376</v>
      </c>
      <c r="E330" s="15" t="s">
        <v>498</v>
      </c>
      <c r="F330" s="14" t="s">
        <v>378</v>
      </c>
      <c r="G330" s="15" t="s">
        <v>23</v>
      </c>
      <c r="H330" s="15" t="s">
        <v>1530</v>
      </c>
      <c r="I330" s="15">
        <v>201410</v>
      </c>
      <c r="J330" s="16">
        <v>86678.53</v>
      </c>
      <c r="K330" s="44">
        <f t="shared" si="28"/>
        <v>41913</v>
      </c>
      <c r="L330" s="45">
        <f t="shared" si="21"/>
        <v>8</v>
      </c>
      <c r="M330" s="17">
        <v>2.23333E-3</v>
      </c>
      <c r="N330" s="46">
        <f t="shared" si="22"/>
        <v>1548.6540912391999</v>
      </c>
      <c r="O330" s="16"/>
      <c r="P330" s="48"/>
      <c r="Q330" s="16"/>
      <c r="R330" s="48">
        <f t="shared" si="29"/>
        <v>28102.804648437501</v>
      </c>
      <c r="S330" s="14"/>
    </row>
    <row r="331" spans="1:19">
      <c r="A331" s="14" t="s">
        <v>66</v>
      </c>
      <c r="B331" s="15" t="s">
        <v>499</v>
      </c>
      <c r="C331" s="15" t="s">
        <v>500</v>
      </c>
      <c r="D331" s="14" t="s">
        <v>385</v>
      </c>
      <c r="E331" s="15" t="s">
        <v>501</v>
      </c>
      <c r="F331" s="14" t="s">
        <v>387</v>
      </c>
      <c r="G331" s="15" t="s">
        <v>23</v>
      </c>
      <c r="H331" s="15" t="s">
        <v>1530</v>
      </c>
      <c r="I331" s="15">
        <v>201410</v>
      </c>
      <c r="J331" s="16">
        <v>41073.32</v>
      </c>
      <c r="K331" s="44">
        <f t="shared" si="28"/>
        <v>41913</v>
      </c>
      <c r="L331" s="45">
        <f t="shared" si="21"/>
        <v>8</v>
      </c>
      <c r="M331" s="17">
        <v>2.23333E-3</v>
      </c>
      <c r="N331" s="46">
        <f t="shared" si="22"/>
        <v>733.8422220448</v>
      </c>
      <c r="O331" s="16"/>
      <c r="P331" s="48"/>
      <c r="Q331" s="16"/>
      <c r="R331" s="48">
        <f t="shared" si="29"/>
        <v>13316.740468750002</v>
      </c>
      <c r="S331" s="14"/>
    </row>
    <row r="332" spans="1:19">
      <c r="A332" s="14" t="s">
        <v>17</v>
      </c>
      <c r="B332" s="15" t="s">
        <v>511</v>
      </c>
      <c r="C332" s="15" t="s">
        <v>512</v>
      </c>
      <c r="D332" s="14" t="s">
        <v>513</v>
      </c>
      <c r="E332" s="15" t="s">
        <v>324</v>
      </c>
      <c r="F332" s="14" t="s">
        <v>325</v>
      </c>
      <c r="G332" s="15" t="s">
        <v>23</v>
      </c>
      <c r="H332" s="15" t="s">
        <v>1525</v>
      </c>
      <c r="I332" s="15">
        <v>201410</v>
      </c>
      <c r="J332" s="16">
        <v>-2800</v>
      </c>
      <c r="K332" s="44">
        <f t="shared" si="28"/>
        <v>41913</v>
      </c>
      <c r="L332" s="45">
        <f t="shared" si="21"/>
        <v>8</v>
      </c>
      <c r="M332" s="17">
        <v>1.4833299999999999E-3</v>
      </c>
      <c r="N332" s="46">
        <f t="shared" si="22"/>
        <v>-33.226591999999997</v>
      </c>
      <c r="O332" s="16"/>
      <c r="P332" s="48"/>
      <c r="Q332" s="16"/>
      <c r="R332" s="48">
        <f t="shared" si="29"/>
        <v>-907.81250000000011</v>
      </c>
      <c r="S332" s="14"/>
    </row>
    <row r="333" spans="1:19">
      <c r="A333" s="14" t="s">
        <v>54</v>
      </c>
      <c r="B333" s="15" t="s">
        <v>549</v>
      </c>
      <c r="C333" s="15" t="s">
        <v>550</v>
      </c>
      <c r="D333" s="14" t="s">
        <v>551</v>
      </c>
      <c r="E333" s="15" t="s">
        <v>136</v>
      </c>
      <c r="F333" s="14" t="s">
        <v>137</v>
      </c>
      <c r="G333" s="15" t="s">
        <v>23</v>
      </c>
      <c r="H333" s="15" t="s">
        <v>1526</v>
      </c>
      <c r="I333" s="15">
        <v>201410</v>
      </c>
      <c r="J333" s="16">
        <v>0</v>
      </c>
      <c r="K333" s="44">
        <f t="shared" si="28"/>
        <v>41913</v>
      </c>
      <c r="L333" s="45">
        <f t="shared" si="21"/>
        <v>8</v>
      </c>
      <c r="M333" s="17">
        <v>1.4833299999999999E-3</v>
      </c>
      <c r="N333" s="46">
        <f t="shared" si="22"/>
        <v>0</v>
      </c>
      <c r="O333" s="16"/>
      <c r="P333" s="48"/>
      <c r="Q333" s="16"/>
      <c r="R333" s="48">
        <f t="shared" si="29"/>
        <v>0</v>
      </c>
      <c r="S333" s="14"/>
    </row>
    <row r="334" spans="1:19">
      <c r="A334" s="14" t="s">
        <v>17</v>
      </c>
      <c r="B334" s="15" t="s">
        <v>552</v>
      </c>
      <c r="C334" s="15" t="s">
        <v>553</v>
      </c>
      <c r="D334" s="14" t="s">
        <v>554</v>
      </c>
      <c r="E334" s="15" t="s">
        <v>62</v>
      </c>
      <c r="F334" s="14" t="s">
        <v>22</v>
      </c>
      <c r="G334" s="15" t="s">
        <v>23</v>
      </c>
      <c r="H334" s="15" t="s">
        <v>1525</v>
      </c>
      <c r="I334" s="15">
        <v>201410</v>
      </c>
      <c r="J334" s="16">
        <v>48053.65</v>
      </c>
      <c r="K334" s="44">
        <f t="shared" si="28"/>
        <v>41913</v>
      </c>
      <c r="L334" s="45">
        <f t="shared" si="21"/>
        <v>8</v>
      </c>
      <c r="M334" s="17">
        <v>1.4833299999999999E-3</v>
      </c>
      <c r="N334" s="46">
        <f t="shared" si="22"/>
        <v>570.23536523600001</v>
      </c>
      <c r="O334" s="16"/>
      <c r="P334" s="48"/>
      <c r="Q334" s="16"/>
      <c r="R334" s="48">
        <f t="shared" si="29"/>
        <v>15579.894335937501</v>
      </c>
      <c r="S334" s="14"/>
    </row>
    <row r="335" spans="1:19">
      <c r="A335" s="14" t="s">
        <v>54</v>
      </c>
      <c r="B335" s="15" t="s">
        <v>561</v>
      </c>
      <c r="C335" s="15" t="s">
        <v>562</v>
      </c>
      <c r="D335" s="14" t="s">
        <v>563</v>
      </c>
      <c r="E335" s="15" t="s">
        <v>58</v>
      </c>
      <c r="F335" s="14" t="s">
        <v>22</v>
      </c>
      <c r="G335" s="15" t="s">
        <v>23</v>
      </c>
      <c r="H335" s="15" t="s">
        <v>1525</v>
      </c>
      <c r="I335" s="15">
        <v>201410</v>
      </c>
      <c r="J335" s="16">
        <v>0</v>
      </c>
      <c r="K335" s="44">
        <f t="shared" si="28"/>
        <v>41913</v>
      </c>
      <c r="L335" s="45">
        <f t="shared" si="21"/>
        <v>8</v>
      </c>
      <c r="M335" s="17">
        <v>1.4833299999999999E-3</v>
      </c>
      <c r="N335" s="46">
        <f t="shared" si="22"/>
        <v>0</v>
      </c>
      <c r="O335" s="16"/>
      <c r="P335" s="48"/>
      <c r="Q335" s="16"/>
      <c r="R335" s="48">
        <f t="shared" si="29"/>
        <v>0</v>
      </c>
      <c r="S335" s="14"/>
    </row>
    <row r="336" spans="1:19">
      <c r="A336" s="20" t="s">
        <v>238</v>
      </c>
      <c r="B336" s="21" t="s">
        <v>1099</v>
      </c>
      <c r="C336" s="21" t="s">
        <v>1100</v>
      </c>
      <c r="D336" s="20" t="s">
        <v>1101</v>
      </c>
      <c r="E336" s="21" t="s">
        <v>104</v>
      </c>
      <c r="F336" s="20" t="s">
        <v>41</v>
      </c>
      <c r="G336" s="21" t="s">
        <v>23</v>
      </c>
      <c r="H336" s="15" t="s">
        <v>1526</v>
      </c>
      <c r="I336" s="21">
        <v>201410</v>
      </c>
      <c r="J336" s="22">
        <v>162833.78</v>
      </c>
      <c r="K336" s="44">
        <f t="shared" si="28"/>
        <v>41913</v>
      </c>
      <c r="L336" s="45">
        <f t="shared" ref="L336:L399" si="30">((YEAR($L$1)-YEAR(K336))*12+MONTH($L$1)-MONTH(K336))</f>
        <v>8</v>
      </c>
      <c r="M336" s="23">
        <v>2.3833299999999999E-3</v>
      </c>
      <c r="N336" s="46">
        <f t="shared" ref="N336:N399" si="31">M336*L336*J336</f>
        <v>3104.6930630991997</v>
      </c>
      <c r="O336" s="16"/>
      <c r="P336" s="48"/>
      <c r="Q336" s="16"/>
      <c r="R336" s="48">
        <f t="shared" si="29"/>
        <v>52793.764609375001</v>
      </c>
      <c r="S336" s="14"/>
    </row>
    <row r="337" spans="1:19">
      <c r="A337" s="14" t="s">
        <v>17</v>
      </c>
      <c r="B337" s="15" t="s">
        <v>575</v>
      </c>
      <c r="C337" s="15" t="s">
        <v>576</v>
      </c>
      <c r="D337" s="14" t="s">
        <v>577</v>
      </c>
      <c r="E337" s="15" t="s">
        <v>462</v>
      </c>
      <c r="F337" s="14" t="s">
        <v>142</v>
      </c>
      <c r="G337" s="15" t="s">
        <v>23</v>
      </c>
      <c r="H337" s="15" t="s">
        <v>1525</v>
      </c>
      <c r="I337" s="15">
        <v>201410</v>
      </c>
      <c r="J337" s="16">
        <v>-0.05</v>
      </c>
      <c r="K337" s="44">
        <f t="shared" si="28"/>
        <v>41913</v>
      </c>
      <c r="L337" s="45">
        <f t="shared" si="30"/>
        <v>8</v>
      </c>
      <c r="M337" s="17">
        <v>1.4833299999999999E-3</v>
      </c>
      <c r="N337" s="46">
        <f t="shared" si="31"/>
        <v>-5.9333200000000002E-4</v>
      </c>
      <c r="O337" s="16"/>
      <c r="P337" s="48"/>
      <c r="Q337" s="16"/>
      <c r="R337" s="48">
        <f t="shared" si="29"/>
        <v>-1.6210937500000001E-2</v>
      </c>
      <c r="S337" s="14"/>
    </row>
    <row r="338" spans="1:19">
      <c r="A338" s="14" t="s">
        <v>54</v>
      </c>
      <c r="B338" s="15" t="s">
        <v>575</v>
      </c>
      <c r="C338" s="15" t="s">
        <v>576</v>
      </c>
      <c r="D338" s="14" t="s">
        <v>577</v>
      </c>
      <c r="E338" s="15" t="s">
        <v>462</v>
      </c>
      <c r="F338" s="14" t="s">
        <v>142</v>
      </c>
      <c r="G338" s="15" t="s">
        <v>23</v>
      </c>
      <c r="H338" s="15" t="s">
        <v>1525</v>
      </c>
      <c r="I338" s="15">
        <v>201410</v>
      </c>
      <c r="J338" s="16">
        <v>0.05</v>
      </c>
      <c r="K338" s="44">
        <f t="shared" si="28"/>
        <v>41913</v>
      </c>
      <c r="L338" s="45">
        <f t="shared" si="30"/>
        <v>8</v>
      </c>
      <c r="M338" s="17">
        <v>1.4833299999999999E-3</v>
      </c>
      <c r="N338" s="46">
        <f t="shared" si="31"/>
        <v>5.9333200000000002E-4</v>
      </c>
      <c r="O338" s="16"/>
      <c r="P338" s="48"/>
      <c r="Q338" s="16"/>
      <c r="R338" s="48">
        <f t="shared" si="29"/>
        <v>1.6210937500000001E-2</v>
      </c>
      <c r="S338" s="14"/>
    </row>
    <row r="339" spans="1:19">
      <c r="A339" s="14" t="s">
        <v>54</v>
      </c>
      <c r="B339" s="15" t="s">
        <v>581</v>
      </c>
      <c r="C339" s="15" t="s">
        <v>582</v>
      </c>
      <c r="D339" s="14" t="s">
        <v>583</v>
      </c>
      <c r="E339" s="15" t="s">
        <v>104</v>
      </c>
      <c r="F339" s="14" t="s">
        <v>41</v>
      </c>
      <c r="G339" s="15" t="s">
        <v>23</v>
      </c>
      <c r="H339" s="15" t="s">
        <v>1526</v>
      </c>
      <c r="I339" s="15">
        <v>201410</v>
      </c>
      <c r="J339" s="16">
        <v>5658.63</v>
      </c>
      <c r="K339" s="44">
        <f t="shared" si="28"/>
        <v>41913</v>
      </c>
      <c r="L339" s="45">
        <f t="shared" si="30"/>
        <v>8</v>
      </c>
      <c r="M339" s="17">
        <v>1.4833299999999999E-3</v>
      </c>
      <c r="N339" s="46">
        <f t="shared" si="31"/>
        <v>67.1489251032</v>
      </c>
      <c r="O339" s="16"/>
      <c r="P339" s="48"/>
      <c r="Q339" s="16"/>
      <c r="R339" s="48">
        <f t="shared" si="29"/>
        <v>1834.6339453125004</v>
      </c>
      <c r="S339" s="14"/>
    </row>
    <row r="340" spans="1:19">
      <c r="A340" s="14" t="s">
        <v>66</v>
      </c>
      <c r="B340" s="15" t="s">
        <v>595</v>
      </c>
      <c r="C340" s="15" t="s">
        <v>596</v>
      </c>
      <c r="D340" s="14" t="s">
        <v>597</v>
      </c>
      <c r="E340" s="15" t="s">
        <v>598</v>
      </c>
      <c r="F340" s="14" t="s">
        <v>212</v>
      </c>
      <c r="G340" s="15" t="s">
        <v>23</v>
      </c>
      <c r="H340" s="15" t="s">
        <v>1530</v>
      </c>
      <c r="I340" s="15">
        <v>201410</v>
      </c>
      <c r="J340" s="16">
        <v>100421.51</v>
      </c>
      <c r="K340" s="44">
        <f t="shared" si="28"/>
        <v>41913</v>
      </c>
      <c r="L340" s="45">
        <f t="shared" si="30"/>
        <v>8</v>
      </c>
      <c r="M340" s="17">
        <v>2.23333E-3</v>
      </c>
      <c r="N340" s="46">
        <f t="shared" si="31"/>
        <v>1794.1949674263999</v>
      </c>
      <c r="O340" s="16"/>
      <c r="P340" s="48"/>
      <c r="Q340" s="16"/>
      <c r="R340" s="48">
        <f t="shared" si="29"/>
        <v>32558.5364453125</v>
      </c>
      <c r="S340" s="14"/>
    </row>
    <row r="341" spans="1:19">
      <c r="A341" s="14" t="s">
        <v>66</v>
      </c>
      <c r="B341" s="15" t="s">
        <v>599</v>
      </c>
      <c r="C341" s="15" t="s">
        <v>600</v>
      </c>
      <c r="D341" s="14" t="s">
        <v>385</v>
      </c>
      <c r="E341" s="15" t="s">
        <v>601</v>
      </c>
      <c r="F341" s="14" t="s">
        <v>387</v>
      </c>
      <c r="G341" s="15" t="s">
        <v>23</v>
      </c>
      <c r="H341" s="15" t="s">
        <v>1530</v>
      </c>
      <c r="I341" s="15">
        <v>201410</v>
      </c>
      <c r="J341" s="16">
        <v>5829.85</v>
      </c>
      <c r="K341" s="44">
        <f t="shared" si="28"/>
        <v>41913</v>
      </c>
      <c r="L341" s="45">
        <f t="shared" si="30"/>
        <v>8</v>
      </c>
      <c r="M341" s="17">
        <v>2.23333E-3</v>
      </c>
      <c r="N341" s="46">
        <f t="shared" si="31"/>
        <v>104.159831204</v>
      </c>
      <c r="O341" s="16"/>
      <c r="P341" s="48"/>
      <c r="Q341" s="16"/>
      <c r="R341" s="48">
        <f t="shared" si="29"/>
        <v>1890.1466796875002</v>
      </c>
      <c r="S341" s="14"/>
    </row>
    <row r="342" spans="1:19">
      <c r="A342" s="18" t="s">
        <v>17</v>
      </c>
      <c r="B342" s="15" t="s">
        <v>611</v>
      </c>
      <c r="C342" s="15" t="s">
        <v>612</v>
      </c>
      <c r="D342" s="14" t="s">
        <v>613</v>
      </c>
      <c r="E342" s="15" t="s">
        <v>324</v>
      </c>
      <c r="F342" s="14" t="s">
        <v>325</v>
      </c>
      <c r="G342" s="15" t="s">
        <v>23</v>
      </c>
      <c r="H342" s="15" t="s">
        <v>1525</v>
      </c>
      <c r="I342" s="15">
        <v>201410</v>
      </c>
      <c r="J342" s="16">
        <v>0</v>
      </c>
      <c r="K342" s="44">
        <f t="shared" si="28"/>
        <v>41913</v>
      </c>
      <c r="L342" s="45">
        <f t="shared" si="30"/>
        <v>8</v>
      </c>
      <c r="M342" s="17">
        <v>1.4833299999999999E-3</v>
      </c>
      <c r="N342" s="46">
        <f t="shared" si="31"/>
        <v>0</v>
      </c>
      <c r="O342" s="16"/>
      <c r="P342" s="48"/>
      <c r="Q342" s="16"/>
      <c r="R342" s="48">
        <f t="shared" si="29"/>
        <v>0</v>
      </c>
      <c r="S342" s="14"/>
    </row>
    <row r="343" spans="1:19">
      <c r="A343" s="18" t="s">
        <v>17</v>
      </c>
      <c r="B343" s="15" t="s">
        <v>637</v>
      </c>
      <c r="C343" s="15" t="s">
        <v>638</v>
      </c>
      <c r="D343" s="14" t="s">
        <v>639</v>
      </c>
      <c r="E343" s="15" t="s">
        <v>136</v>
      </c>
      <c r="F343" s="14" t="s">
        <v>137</v>
      </c>
      <c r="G343" s="15" t="s">
        <v>23</v>
      </c>
      <c r="H343" s="15" t="s">
        <v>1526</v>
      </c>
      <c r="I343" s="15">
        <v>201410</v>
      </c>
      <c r="J343" s="16">
        <v>-14831.49</v>
      </c>
      <c r="K343" s="44">
        <f t="shared" si="28"/>
        <v>41913</v>
      </c>
      <c r="L343" s="45">
        <f t="shared" si="30"/>
        <v>8</v>
      </c>
      <c r="M343" s="17">
        <v>1.4833299999999999E-3</v>
      </c>
      <c r="N343" s="46">
        <f t="shared" si="31"/>
        <v>-175.99995249359998</v>
      </c>
      <c r="O343" s="16"/>
      <c r="P343" s="48"/>
      <c r="Q343" s="16"/>
      <c r="R343" s="48">
        <f t="shared" si="29"/>
        <v>-4808.6471484375006</v>
      </c>
      <c r="S343" s="14"/>
    </row>
    <row r="344" spans="1:19">
      <c r="A344" s="18" t="s">
        <v>54</v>
      </c>
      <c r="B344" s="15" t="s">
        <v>637</v>
      </c>
      <c r="C344" s="15" t="s">
        <v>638</v>
      </c>
      <c r="D344" s="14" t="s">
        <v>639</v>
      </c>
      <c r="E344" s="15" t="s">
        <v>136</v>
      </c>
      <c r="F344" s="14" t="s">
        <v>137</v>
      </c>
      <c r="G344" s="15" t="s">
        <v>23</v>
      </c>
      <c r="H344" s="15" t="s">
        <v>1526</v>
      </c>
      <c r="I344" s="15">
        <v>201410</v>
      </c>
      <c r="J344" s="16">
        <v>14831.49</v>
      </c>
      <c r="K344" s="44">
        <f t="shared" si="28"/>
        <v>41913</v>
      </c>
      <c r="L344" s="45">
        <f t="shared" si="30"/>
        <v>8</v>
      </c>
      <c r="M344" s="17">
        <v>1.4833299999999999E-3</v>
      </c>
      <c r="N344" s="46">
        <f t="shared" si="31"/>
        <v>175.99995249359998</v>
      </c>
      <c r="O344" s="16"/>
      <c r="P344" s="48"/>
      <c r="Q344" s="16"/>
      <c r="R344" s="48">
        <f t="shared" si="29"/>
        <v>4808.6471484375006</v>
      </c>
      <c r="S344" s="14"/>
    </row>
    <row r="345" spans="1:19">
      <c r="A345" s="14" t="s">
        <v>66</v>
      </c>
      <c r="B345" s="15" t="s">
        <v>671</v>
      </c>
      <c r="C345" s="15" t="s">
        <v>672</v>
      </c>
      <c r="D345" s="14" t="s">
        <v>206</v>
      </c>
      <c r="E345" s="15" t="s">
        <v>673</v>
      </c>
      <c r="F345" s="14" t="s">
        <v>97</v>
      </c>
      <c r="G345" s="15" t="s">
        <v>23</v>
      </c>
      <c r="H345" s="15" t="s">
        <v>1530</v>
      </c>
      <c r="I345" s="15">
        <v>201410</v>
      </c>
      <c r="J345" s="16">
        <v>-743.2</v>
      </c>
      <c r="K345" s="44">
        <f t="shared" si="28"/>
        <v>41913</v>
      </c>
      <c r="L345" s="45">
        <f t="shared" si="30"/>
        <v>8</v>
      </c>
      <c r="M345" s="17">
        <v>2.23333E-3</v>
      </c>
      <c r="N345" s="46">
        <f t="shared" si="31"/>
        <v>-13.278486848</v>
      </c>
      <c r="O345" s="16"/>
      <c r="P345" s="48"/>
      <c r="Q345" s="16"/>
      <c r="R345" s="48">
        <f t="shared" si="29"/>
        <v>-240.95937500000005</v>
      </c>
      <c r="S345" s="14"/>
    </row>
    <row r="346" spans="1:19">
      <c r="A346" s="14" t="s">
        <v>66</v>
      </c>
      <c r="B346" s="15" t="s">
        <v>674</v>
      </c>
      <c r="C346" s="15" t="s">
        <v>675</v>
      </c>
      <c r="D346" s="14" t="s">
        <v>385</v>
      </c>
      <c r="E346" s="15" t="s">
        <v>676</v>
      </c>
      <c r="F346" s="14" t="s">
        <v>387</v>
      </c>
      <c r="G346" s="15" t="s">
        <v>23</v>
      </c>
      <c r="H346" s="15" t="s">
        <v>1530</v>
      </c>
      <c r="I346" s="15">
        <v>201410</v>
      </c>
      <c r="J346" s="16">
        <v>14213.17</v>
      </c>
      <c r="K346" s="44">
        <f t="shared" si="28"/>
        <v>41913</v>
      </c>
      <c r="L346" s="45">
        <f t="shared" si="30"/>
        <v>8</v>
      </c>
      <c r="M346" s="17">
        <v>2.23333E-3</v>
      </c>
      <c r="N346" s="46">
        <f t="shared" si="31"/>
        <v>253.9415916488</v>
      </c>
      <c r="O346" s="16"/>
      <c r="P346" s="48"/>
      <c r="Q346" s="16"/>
      <c r="R346" s="48">
        <f t="shared" si="29"/>
        <v>4608.1762109375004</v>
      </c>
      <c r="S346" s="14"/>
    </row>
    <row r="347" spans="1:19">
      <c r="A347" s="18" t="s">
        <v>54</v>
      </c>
      <c r="B347" s="15" t="s">
        <v>722</v>
      </c>
      <c r="C347" s="15" t="s">
        <v>723</v>
      </c>
      <c r="D347" s="14" t="s">
        <v>724</v>
      </c>
      <c r="E347" s="15" t="s">
        <v>40</v>
      </c>
      <c r="F347" s="14" t="s">
        <v>41</v>
      </c>
      <c r="G347" s="15" t="s">
        <v>23</v>
      </c>
      <c r="H347" s="15" t="s">
        <v>1526</v>
      </c>
      <c r="I347" s="15">
        <v>201410</v>
      </c>
      <c r="J347" s="16">
        <v>0</v>
      </c>
      <c r="K347" s="44">
        <f t="shared" si="28"/>
        <v>41913</v>
      </c>
      <c r="L347" s="45">
        <f t="shared" si="30"/>
        <v>8</v>
      </c>
      <c r="M347" s="17">
        <v>1.4833299999999999E-3</v>
      </c>
      <c r="N347" s="46">
        <f t="shared" si="31"/>
        <v>0</v>
      </c>
      <c r="O347" s="16"/>
      <c r="P347" s="48"/>
      <c r="Q347" s="16"/>
      <c r="R347" s="48">
        <f t="shared" si="29"/>
        <v>0</v>
      </c>
      <c r="S347" s="14"/>
    </row>
    <row r="348" spans="1:19">
      <c r="A348" s="18" t="s">
        <v>54</v>
      </c>
      <c r="B348" s="15" t="s">
        <v>731</v>
      </c>
      <c r="C348" s="15" t="s">
        <v>732</v>
      </c>
      <c r="D348" s="14" t="s">
        <v>733</v>
      </c>
      <c r="E348" s="15" t="s">
        <v>104</v>
      </c>
      <c r="F348" s="14" t="s">
        <v>41</v>
      </c>
      <c r="G348" s="15" t="s">
        <v>23</v>
      </c>
      <c r="H348" s="15" t="s">
        <v>1526</v>
      </c>
      <c r="I348" s="15">
        <v>201410</v>
      </c>
      <c r="J348" s="16">
        <v>0</v>
      </c>
      <c r="K348" s="44">
        <f t="shared" si="28"/>
        <v>41913</v>
      </c>
      <c r="L348" s="45">
        <f t="shared" si="30"/>
        <v>8</v>
      </c>
      <c r="M348" s="17">
        <v>1.4833299999999999E-3</v>
      </c>
      <c r="N348" s="46">
        <f t="shared" si="31"/>
        <v>0</v>
      </c>
      <c r="O348" s="16"/>
      <c r="P348" s="48"/>
      <c r="Q348" s="16"/>
      <c r="R348" s="48">
        <f t="shared" si="29"/>
        <v>0</v>
      </c>
      <c r="S348" s="14"/>
    </row>
    <row r="349" spans="1:19">
      <c r="A349" s="14" t="s">
        <v>66</v>
      </c>
      <c r="B349" s="15" t="s">
        <v>743</v>
      </c>
      <c r="C349" s="15" t="s">
        <v>744</v>
      </c>
      <c r="D349" s="14" t="s">
        <v>745</v>
      </c>
      <c r="E349" s="15" t="s">
        <v>746</v>
      </c>
      <c r="F349" s="14" t="s">
        <v>80</v>
      </c>
      <c r="G349" s="15" t="s">
        <v>23</v>
      </c>
      <c r="H349" s="15" t="s">
        <v>1530</v>
      </c>
      <c r="I349" s="15">
        <v>201410</v>
      </c>
      <c r="J349" s="16">
        <v>49038.54</v>
      </c>
      <c r="K349" s="44">
        <f t="shared" si="28"/>
        <v>41913</v>
      </c>
      <c r="L349" s="45">
        <f t="shared" si="30"/>
        <v>8</v>
      </c>
      <c r="M349" s="17">
        <v>2.23333E-3</v>
      </c>
      <c r="N349" s="46">
        <f t="shared" si="31"/>
        <v>876.15394030560003</v>
      </c>
      <c r="O349" s="16"/>
      <c r="P349" s="48"/>
      <c r="Q349" s="16"/>
      <c r="R349" s="48">
        <f t="shared" si="29"/>
        <v>15899.214140625001</v>
      </c>
      <c r="S349" s="14"/>
    </row>
    <row r="350" spans="1:19">
      <c r="A350" s="14" t="s">
        <v>66</v>
      </c>
      <c r="B350" s="15" t="s">
        <v>747</v>
      </c>
      <c r="C350" s="15" t="s">
        <v>748</v>
      </c>
      <c r="D350" s="14" t="s">
        <v>78</v>
      </c>
      <c r="E350" s="15" t="s">
        <v>749</v>
      </c>
      <c r="F350" s="14" t="s">
        <v>80</v>
      </c>
      <c r="G350" s="15" t="s">
        <v>23</v>
      </c>
      <c r="H350" s="15" t="s">
        <v>1530</v>
      </c>
      <c r="I350" s="15">
        <v>201410</v>
      </c>
      <c r="J350" s="16">
        <v>26052.94</v>
      </c>
      <c r="K350" s="44">
        <f t="shared" si="28"/>
        <v>41913</v>
      </c>
      <c r="L350" s="45">
        <f t="shared" si="30"/>
        <v>8</v>
      </c>
      <c r="M350" s="17">
        <v>2.23333E-3</v>
      </c>
      <c r="N350" s="46">
        <f t="shared" si="31"/>
        <v>465.47849992159996</v>
      </c>
      <c r="O350" s="16"/>
      <c r="P350" s="48"/>
      <c r="Q350" s="16"/>
      <c r="R350" s="48">
        <f t="shared" si="29"/>
        <v>8446.8516406250001</v>
      </c>
      <c r="S350" s="14"/>
    </row>
    <row r="351" spans="1:19">
      <c r="A351" s="14" t="s">
        <v>66</v>
      </c>
      <c r="B351" s="15" t="s">
        <v>753</v>
      </c>
      <c r="C351" s="15" t="s">
        <v>754</v>
      </c>
      <c r="D351" s="14" t="s">
        <v>206</v>
      </c>
      <c r="E351" s="15" t="s">
        <v>755</v>
      </c>
      <c r="F351" s="14" t="s">
        <v>97</v>
      </c>
      <c r="G351" s="15" t="s">
        <v>23</v>
      </c>
      <c r="H351" s="15" t="s">
        <v>1530</v>
      </c>
      <c r="I351" s="15">
        <v>201410</v>
      </c>
      <c r="J351" s="16">
        <v>6651.75</v>
      </c>
      <c r="K351" s="44">
        <f t="shared" si="28"/>
        <v>41913</v>
      </c>
      <c r="L351" s="45">
        <f t="shared" si="30"/>
        <v>8</v>
      </c>
      <c r="M351" s="17">
        <v>2.23333E-3</v>
      </c>
      <c r="N351" s="46">
        <f t="shared" si="31"/>
        <v>118.84442262</v>
      </c>
      <c r="O351" s="16"/>
      <c r="P351" s="48"/>
      <c r="Q351" s="16"/>
      <c r="R351" s="48">
        <f t="shared" si="29"/>
        <v>2156.6220703125</v>
      </c>
      <c r="S351" s="14"/>
    </row>
    <row r="352" spans="1:19">
      <c r="A352" s="14" t="s">
        <v>17</v>
      </c>
      <c r="B352" s="15" t="s">
        <v>759</v>
      </c>
      <c r="C352" s="15" t="s">
        <v>760</v>
      </c>
      <c r="D352" s="14" t="s">
        <v>761</v>
      </c>
      <c r="E352" s="15" t="s">
        <v>62</v>
      </c>
      <c r="F352" s="14" t="s">
        <v>22</v>
      </c>
      <c r="G352" s="15" t="s">
        <v>23</v>
      </c>
      <c r="H352" s="15" t="s">
        <v>1525</v>
      </c>
      <c r="I352" s="15">
        <v>201410</v>
      </c>
      <c r="J352" s="16">
        <v>325.61</v>
      </c>
      <c r="K352" s="44">
        <f t="shared" si="28"/>
        <v>41913</v>
      </c>
      <c r="L352" s="45">
        <f t="shared" si="30"/>
        <v>8</v>
      </c>
      <c r="M352" s="17">
        <v>1.4833299999999999E-3</v>
      </c>
      <c r="N352" s="46">
        <f t="shared" si="31"/>
        <v>3.8638966504000001</v>
      </c>
      <c r="O352" s="16"/>
      <c r="P352" s="48"/>
      <c r="Q352" s="16"/>
      <c r="R352" s="48">
        <f t="shared" si="29"/>
        <v>105.56886718750002</v>
      </c>
      <c r="S352" s="14"/>
    </row>
    <row r="353" spans="1:19">
      <c r="A353" s="14" t="s">
        <v>54</v>
      </c>
      <c r="B353" s="15" t="s">
        <v>816</v>
      </c>
      <c r="C353" s="15" t="s">
        <v>817</v>
      </c>
      <c r="D353" s="14" t="s">
        <v>818</v>
      </c>
      <c r="E353" s="15" t="s">
        <v>62</v>
      </c>
      <c r="F353" s="14" t="s">
        <v>22</v>
      </c>
      <c r="G353" s="15" t="s">
        <v>23</v>
      </c>
      <c r="H353" s="15" t="s">
        <v>1525</v>
      </c>
      <c r="I353" s="15">
        <v>201410</v>
      </c>
      <c r="J353" s="16">
        <v>-119.09</v>
      </c>
      <c r="K353" s="44">
        <f t="shared" si="28"/>
        <v>41913</v>
      </c>
      <c r="L353" s="45">
        <f t="shared" si="30"/>
        <v>8</v>
      </c>
      <c r="M353" s="17">
        <v>1.4833299999999999E-3</v>
      </c>
      <c r="N353" s="46">
        <f t="shared" si="31"/>
        <v>-1.4131981575999999</v>
      </c>
      <c r="O353" s="16"/>
      <c r="P353" s="48"/>
      <c r="Q353" s="16"/>
      <c r="R353" s="48">
        <f t="shared" si="29"/>
        <v>-38.611210937500005</v>
      </c>
      <c r="S353" s="14"/>
    </row>
    <row r="354" spans="1:19">
      <c r="A354" s="14" t="s">
        <v>17</v>
      </c>
      <c r="B354" s="15" t="s">
        <v>819</v>
      </c>
      <c r="C354" s="15" t="s">
        <v>820</v>
      </c>
      <c r="D354" s="14" t="s">
        <v>821</v>
      </c>
      <c r="E354" s="15" t="s">
        <v>822</v>
      </c>
      <c r="F354" s="14" t="s">
        <v>823</v>
      </c>
      <c r="G354" s="15" t="s">
        <v>23</v>
      </c>
      <c r="H354" s="15" t="s">
        <v>1526</v>
      </c>
      <c r="I354" s="15">
        <v>201410</v>
      </c>
      <c r="J354" s="16">
        <v>-165.61</v>
      </c>
      <c r="K354" s="44">
        <f t="shared" si="28"/>
        <v>41913</v>
      </c>
      <c r="L354" s="45">
        <f t="shared" si="30"/>
        <v>8</v>
      </c>
      <c r="M354" s="17">
        <v>1.4833299999999999E-3</v>
      </c>
      <c r="N354" s="46">
        <f t="shared" si="31"/>
        <v>-1.9652342504</v>
      </c>
      <c r="O354" s="16"/>
      <c r="P354" s="48"/>
      <c r="Q354" s="16"/>
      <c r="R354" s="48">
        <f t="shared" si="29"/>
        <v>-53.693867187500011</v>
      </c>
      <c r="S354" s="14"/>
    </row>
    <row r="355" spans="1:19">
      <c r="A355" s="14" t="s">
        <v>54</v>
      </c>
      <c r="B355" s="15" t="s">
        <v>824</v>
      </c>
      <c r="C355" s="15" t="s">
        <v>825</v>
      </c>
      <c r="D355" s="14" t="s">
        <v>826</v>
      </c>
      <c r="E355" s="15" t="s">
        <v>136</v>
      </c>
      <c r="F355" s="14" t="s">
        <v>137</v>
      </c>
      <c r="G355" s="15" t="s">
        <v>23</v>
      </c>
      <c r="H355" s="15" t="s">
        <v>1526</v>
      </c>
      <c r="I355" s="15">
        <v>201410</v>
      </c>
      <c r="J355" s="16">
        <v>6203.97</v>
      </c>
      <c r="K355" s="44">
        <f t="shared" si="28"/>
        <v>41913</v>
      </c>
      <c r="L355" s="45">
        <f t="shared" si="30"/>
        <v>8</v>
      </c>
      <c r="M355" s="17">
        <v>1.4833299999999999E-3</v>
      </c>
      <c r="N355" s="46">
        <f t="shared" si="31"/>
        <v>73.620278560800003</v>
      </c>
      <c r="O355" s="16"/>
      <c r="P355" s="48"/>
      <c r="Q355" s="16"/>
      <c r="R355" s="48">
        <f t="shared" si="29"/>
        <v>2011.4433984375003</v>
      </c>
      <c r="S355" s="14"/>
    </row>
    <row r="356" spans="1:19">
      <c r="A356" s="14" t="s">
        <v>54</v>
      </c>
      <c r="B356" s="15" t="s">
        <v>827</v>
      </c>
      <c r="C356" s="15" t="s">
        <v>828</v>
      </c>
      <c r="D356" s="14" t="s">
        <v>829</v>
      </c>
      <c r="E356" s="15" t="s">
        <v>62</v>
      </c>
      <c r="F356" s="14" t="s">
        <v>22</v>
      </c>
      <c r="G356" s="15" t="s">
        <v>23</v>
      </c>
      <c r="H356" s="15" t="s">
        <v>1525</v>
      </c>
      <c r="I356" s="15">
        <v>201410</v>
      </c>
      <c r="J356" s="16">
        <v>0</v>
      </c>
      <c r="K356" s="44">
        <f t="shared" si="28"/>
        <v>41913</v>
      </c>
      <c r="L356" s="45">
        <f t="shared" si="30"/>
        <v>8</v>
      </c>
      <c r="M356" s="17">
        <v>1.4833299999999999E-3</v>
      </c>
      <c r="N356" s="46">
        <f t="shared" si="31"/>
        <v>0</v>
      </c>
      <c r="O356" s="16"/>
      <c r="P356" s="48"/>
      <c r="Q356" s="16"/>
      <c r="R356" s="48">
        <f t="shared" si="29"/>
        <v>0</v>
      </c>
      <c r="S356" s="14"/>
    </row>
    <row r="357" spans="1:19">
      <c r="A357" s="14" t="s">
        <v>54</v>
      </c>
      <c r="B357" s="15" t="s">
        <v>836</v>
      </c>
      <c r="C357" s="15" t="s">
        <v>837</v>
      </c>
      <c r="D357" s="14" t="s">
        <v>838</v>
      </c>
      <c r="E357" s="15" t="s">
        <v>21</v>
      </c>
      <c r="F357" s="14" t="s">
        <v>22</v>
      </c>
      <c r="G357" s="15" t="s">
        <v>23</v>
      </c>
      <c r="H357" s="15" t="s">
        <v>1525</v>
      </c>
      <c r="I357" s="15">
        <v>201410</v>
      </c>
      <c r="J357" s="16">
        <v>-81.62</v>
      </c>
      <c r="K357" s="44">
        <f t="shared" ref="K357:K427" si="32">+K356</f>
        <v>41913</v>
      </c>
      <c r="L357" s="45">
        <f t="shared" si="30"/>
        <v>8</v>
      </c>
      <c r="M357" s="17">
        <v>1.4833299999999999E-3</v>
      </c>
      <c r="N357" s="46">
        <f t="shared" si="31"/>
        <v>-0.96855515680000004</v>
      </c>
      <c r="O357" s="16"/>
      <c r="P357" s="48"/>
      <c r="Q357" s="16"/>
      <c r="R357" s="48">
        <f t="shared" si="29"/>
        <v>-26.462734375000004</v>
      </c>
      <c r="S357" s="14"/>
    </row>
    <row r="358" spans="1:19">
      <c r="A358" s="14" t="s">
        <v>17</v>
      </c>
      <c r="B358" s="15" t="s">
        <v>843</v>
      </c>
      <c r="C358" s="15" t="s">
        <v>844</v>
      </c>
      <c r="D358" s="14" t="s">
        <v>845</v>
      </c>
      <c r="E358" s="15" t="s">
        <v>45</v>
      </c>
      <c r="F358" s="14" t="s">
        <v>22</v>
      </c>
      <c r="G358" s="15" t="s">
        <v>23</v>
      </c>
      <c r="H358" s="15" t="s">
        <v>1525</v>
      </c>
      <c r="I358" s="15">
        <v>201410</v>
      </c>
      <c r="J358" s="16">
        <v>1828.42</v>
      </c>
      <c r="K358" s="44">
        <f t="shared" si="32"/>
        <v>41913</v>
      </c>
      <c r="L358" s="45">
        <f t="shared" si="30"/>
        <v>8</v>
      </c>
      <c r="M358" s="17">
        <v>1.4833299999999999E-3</v>
      </c>
      <c r="N358" s="46">
        <f t="shared" si="31"/>
        <v>21.6972019088</v>
      </c>
      <c r="O358" s="16"/>
      <c r="P358" s="48"/>
      <c r="Q358" s="16"/>
      <c r="R358" s="48">
        <f t="shared" si="29"/>
        <v>592.80804687500006</v>
      </c>
      <c r="S358" s="14"/>
    </row>
    <row r="359" spans="1:19">
      <c r="A359" s="14" t="s">
        <v>54</v>
      </c>
      <c r="B359" s="15" t="s">
        <v>846</v>
      </c>
      <c r="C359" s="15" t="s">
        <v>847</v>
      </c>
      <c r="D359" s="14" t="s">
        <v>848</v>
      </c>
      <c r="E359" s="15" t="s">
        <v>141</v>
      </c>
      <c r="F359" s="14" t="s">
        <v>142</v>
      </c>
      <c r="G359" s="15" t="s">
        <v>23</v>
      </c>
      <c r="H359" s="15" t="s">
        <v>1525</v>
      </c>
      <c r="I359" s="15">
        <v>201410</v>
      </c>
      <c r="J359" s="16">
        <v>15539.61</v>
      </c>
      <c r="K359" s="44">
        <f t="shared" si="32"/>
        <v>41913</v>
      </c>
      <c r="L359" s="45">
        <f t="shared" si="30"/>
        <v>8</v>
      </c>
      <c r="M359" s="17">
        <v>1.4833299999999999E-3</v>
      </c>
      <c r="N359" s="46">
        <f t="shared" si="31"/>
        <v>184.40295761039999</v>
      </c>
      <c r="O359" s="16"/>
      <c r="P359" s="48"/>
      <c r="Q359" s="16"/>
      <c r="R359" s="48">
        <f t="shared" si="29"/>
        <v>5038.2329296875005</v>
      </c>
      <c r="S359" s="14"/>
    </row>
    <row r="360" spans="1:19">
      <c r="A360" s="14" t="s">
        <v>54</v>
      </c>
      <c r="B360" s="15" t="s">
        <v>852</v>
      </c>
      <c r="C360" s="15" t="s">
        <v>853</v>
      </c>
      <c r="D360" s="14" t="s">
        <v>854</v>
      </c>
      <c r="E360" s="15" t="s">
        <v>62</v>
      </c>
      <c r="F360" s="14" t="s">
        <v>22</v>
      </c>
      <c r="G360" s="15" t="s">
        <v>23</v>
      </c>
      <c r="H360" s="15" t="s">
        <v>1525</v>
      </c>
      <c r="I360" s="15">
        <v>201410</v>
      </c>
      <c r="J360" s="16">
        <v>27394.7</v>
      </c>
      <c r="K360" s="44">
        <f t="shared" si="32"/>
        <v>41913</v>
      </c>
      <c r="L360" s="45">
        <f t="shared" si="30"/>
        <v>8</v>
      </c>
      <c r="M360" s="17">
        <v>1.4833299999999999E-3</v>
      </c>
      <c r="N360" s="46">
        <f t="shared" si="31"/>
        <v>325.08304280800002</v>
      </c>
      <c r="O360" s="16"/>
      <c r="P360" s="48"/>
      <c r="Q360" s="16"/>
      <c r="R360" s="48">
        <f t="shared" si="29"/>
        <v>8881.8753906250022</v>
      </c>
      <c r="S360" s="14"/>
    </row>
    <row r="361" spans="1:19">
      <c r="A361" s="14" t="s">
        <v>54</v>
      </c>
      <c r="B361" s="15" t="s">
        <v>855</v>
      </c>
      <c r="C361" s="15" t="s">
        <v>856</v>
      </c>
      <c r="D361" s="14" t="s">
        <v>857</v>
      </c>
      <c r="E361" s="15" t="s">
        <v>62</v>
      </c>
      <c r="F361" s="14" t="s">
        <v>22</v>
      </c>
      <c r="G361" s="15" t="s">
        <v>23</v>
      </c>
      <c r="H361" s="15" t="s">
        <v>1525</v>
      </c>
      <c r="I361" s="15">
        <v>201410</v>
      </c>
      <c r="J361" s="16">
        <v>-19.38</v>
      </c>
      <c r="K361" s="44">
        <f t="shared" si="32"/>
        <v>41913</v>
      </c>
      <c r="L361" s="45">
        <f t="shared" si="30"/>
        <v>8</v>
      </c>
      <c r="M361" s="17">
        <v>1.4833299999999999E-3</v>
      </c>
      <c r="N361" s="46">
        <f t="shared" si="31"/>
        <v>-0.22997548319999997</v>
      </c>
      <c r="O361" s="16"/>
      <c r="P361" s="48"/>
      <c r="Q361" s="16"/>
      <c r="R361" s="48">
        <f t="shared" si="29"/>
        <v>-6.2833593750000007</v>
      </c>
      <c r="S361" s="14"/>
    </row>
    <row r="362" spans="1:19">
      <c r="A362" s="14" t="s">
        <v>54</v>
      </c>
      <c r="B362" s="15" t="s">
        <v>858</v>
      </c>
      <c r="C362" s="15" t="s">
        <v>859</v>
      </c>
      <c r="D362" s="14" t="s">
        <v>860</v>
      </c>
      <c r="E362" s="15" t="s">
        <v>62</v>
      </c>
      <c r="F362" s="14" t="s">
        <v>22</v>
      </c>
      <c r="G362" s="15" t="s">
        <v>23</v>
      </c>
      <c r="H362" s="15" t="s">
        <v>1525</v>
      </c>
      <c r="I362" s="15">
        <v>201410</v>
      </c>
      <c r="J362" s="16">
        <v>3048.22</v>
      </c>
      <c r="K362" s="44">
        <f t="shared" si="32"/>
        <v>41913</v>
      </c>
      <c r="L362" s="45">
        <f t="shared" si="30"/>
        <v>8</v>
      </c>
      <c r="M362" s="17">
        <v>1.4833299999999999E-3</v>
      </c>
      <c r="N362" s="46">
        <f t="shared" si="31"/>
        <v>36.172129380799994</v>
      </c>
      <c r="O362" s="16"/>
      <c r="P362" s="48"/>
      <c r="Q362" s="16"/>
      <c r="R362" s="48">
        <f t="shared" si="29"/>
        <v>988.29007812499992</v>
      </c>
      <c r="S362" s="14"/>
    </row>
    <row r="363" spans="1:19">
      <c r="A363" s="14" t="s">
        <v>54</v>
      </c>
      <c r="B363" s="15" t="s">
        <v>861</v>
      </c>
      <c r="C363" s="15" t="s">
        <v>862</v>
      </c>
      <c r="D363" s="14" t="s">
        <v>863</v>
      </c>
      <c r="E363" s="15" t="s">
        <v>45</v>
      </c>
      <c r="F363" s="14" t="s">
        <v>22</v>
      </c>
      <c r="G363" s="15" t="s">
        <v>23</v>
      </c>
      <c r="H363" s="15" t="s">
        <v>1525</v>
      </c>
      <c r="I363" s="15">
        <v>201410</v>
      </c>
      <c r="J363" s="16">
        <v>-40.68</v>
      </c>
      <c r="K363" s="44">
        <f t="shared" si="32"/>
        <v>41913</v>
      </c>
      <c r="L363" s="45">
        <f t="shared" si="30"/>
        <v>8</v>
      </c>
      <c r="M363" s="17">
        <v>1.4833299999999999E-3</v>
      </c>
      <c r="N363" s="46">
        <f t="shared" si="31"/>
        <v>-0.4827349152</v>
      </c>
      <c r="O363" s="16"/>
      <c r="P363" s="48"/>
      <c r="Q363" s="16"/>
      <c r="R363" s="48">
        <f t="shared" si="29"/>
        <v>-13.18921875</v>
      </c>
      <c r="S363" s="14"/>
    </row>
    <row r="364" spans="1:19">
      <c r="A364" s="14" t="s">
        <v>54</v>
      </c>
      <c r="B364" s="15" t="s">
        <v>864</v>
      </c>
      <c r="C364" s="15" t="s">
        <v>865</v>
      </c>
      <c r="D364" s="14" t="s">
        <v>866</v>
      </c>
      <c r="E364" s="15" t="s">
        <v>141</v>
      </c>
      <c r="F364" s="14" t="s">
        <v>142</v>
      </c>
      <c r="G364" s="15" t="s">
        <v>23</v>
      </c>
      <c r="H364" s="15" t="s">
        <v>1525</v>
      </c>
      <c r="I364" s="15">
        <v>201410</v>
      </c>
      <c r="J364" s="16">
        <v>-89.02</v>
      </c>
      <c r="K364" s="44">
        <f t="shared" si="32"/>
        <v>41913</v>
      </c>
      <c r="L364" s="45">
        <f t="shared" si="30"/>
        <v>8</v>
      </c>
      <c r="M364" s="17">
        <v>1.4833299999999999E-3</v>
      </c>
      <c r="N364" s="46">
        <f t="shared" si="31"/>
        <v>-1.0563682928</v>
      </c>
      <c r="O364" s="16"/>
      <c r="P364" s="48"/>
      <c r="Q364" s="16"/>
      <c r="R364" s="48">
        <f t="shared" si="29"/>
        <v>-28.861953124999999</v>
      </c>
      <c r="S364" s="14"/>
    </row>
    <row r="365" spans="1:19">
      <c r="A365" s="14" t="s">
        <v>54</v>
      </c>
      <c r="B365" s="15" t="s">
        <v>867</v>
      </c>
      <c r="C365" s="15" t="s">
        <v>868</v>
      </c>
      <c r="D365" s="14" t="s">
        <v>869</v>
      </c>
      <c r="E365" s="15" t="s">
        <v>36</v>
      </c>
      <c r="F365" s="14" t="s">
        <v>22</v>
      </c>
      <c r="G365" s="15" t="s">
        <v>23</v>
      </c>
      <c r="H365" s="15" t="s">
        <v>1525</v>
      </c>
      <c r="I365" s="15">
        <v>201410</v>
      </c>
      <c r="J365" s="16">
        <v>-21.63</v>
      </c>
      <c r="K365" s="44">
        <f t="shared" si="32"/>
        <v>41913</v>
      </c>
      <c r="L365" s="45">
        <f t="shared" si="30"/>
        <v>8</v>
      </c>
      <c r="M365" s="17">
        <v>1.4833299999999999E-3</v>
      </c>
      <c r="N365" s="46">
        <f t="shared" si="31"/>
        <v>-0.25667542319999997</v>
      </c>
      <c r="O365" s="16"/>
      <c r="P365" s="48"/>
      <c r="Q365" s="16"/>
      <c r="R365" s="48">
        <f t="shared" si="29"/>
        <v>-7.0128515624999999</v>
      </c>
      <c r="S365" s="14"/>
    </row>
    <row r="366" spans="1:19">
      <c r="A366" s="14" t="s">
        <v>54</v>
      </c>
      <c r="B366" s="15" t="s">
        <v>870</v>
      </c>
      <c r="C366" s="15" t="s">
        <v>871</v>
      </c>
      <c r="D366" s="14" t="s">
        <v>872</v>
      </c>
      <c r="E366" s="15" t="s">
        <v>108</v>
      </c>
      <c r="F366" s="14" t="s">
        <v>28</v>
      </c>
      <c r="G366" s="15" t="s">
        <v>23</v>
      </c>
      <c r="H366" s="15" t="s">
        <v>1525</v>
      </c>
      <c r="I366" s="15">
        <v>201410</v>
      </c>
      <c r="J366" s="16">
        <v>-10.32</v>
      </c>
      <c r="K366" s="44">
        <f t="shared" si="32"/>
        <v>41913</v>
      </c>
      <c r="L366" s="45">
        <f t="shared" si="30"/>
        <v>8</v>
      </c>
      <c r="M366" s="17">
        <v>1.4833299999999999E-3</v>
      </c>
      <c r="N366" s="46">
        <f t="shared" si="31"/>
        <v>-0.12246372479999999</v>
      </c>
      <c r="O366" s="16"/>
      <c r="P366" s="48"/>
      <c r="Q366" s="16"/>
      <c r="R366" s="48">
        <f t="shared" ref="R366:R429" si="33">$R$300*J366*$U$9</f>
        <v>-3.3459375000000002</v>
      </c>
      <c r="S366" s="14"/>
    </row>
    <row r="367" spans="1:19">
      <c r="A367" s="14" t="s">
        <v>54</v>
      </c>
      <c r="B367" s="15" t="s">
        <v>873</v>
      </c>
      <c r="C367" s="15" t="s">
        <v>874</v>
      </c>
      <c r="D367" s="14" t="s">
        <v>875</v>
      </c>
      <c r="E367" s="15" t="s">
        <v>36</v>
      </c>
      <c r="F367" s="14" t="s">
        <v>22</v>
      </c>
      <c r="G367" s="15" t="s">
        <v>23</v>
      </c>
      <c r="H367" s="15" t="s">
        <v>1525</v>
      </c>
      <c r="I367" s="15">
        <v>201410</v>
      </c>
      <c r="J367" s="16">
        <v>-14.44</v>
      </c>
      <c r="K367" s="44">
        <f t="shared" si="32"/>
        <v>41913</v>
      </c>
      <c r="L367" s="45">
        <f t="shared" si="30"/>
        <v>8</v>
      </c>
      <c r="M367" s="17">
        <v>1.4833299999999999E-3</v>
      </c>
      <c r="N367" s="46">
        <f t="shared" si="31"/>
        <v>-0.17135428159999999</v>
      </c>
      <c r="O367" s="16"/>
      <c r="P367" s="48"/>
      <c r="Q367" s="16"/>
      <c r="R367" s="48">
        <f t="shared" si="33"/>
        <v>-4.6817187499999999</v>
      </c>
      <c r="S367" s="14"/>
    </row>
    <row r="368" spans="1:19">
      <c r="A368" s="14" t="s">
        <v>54</v>
      </c>
      <c r="B368" s="15" t="s">
        <v>876</v>
      </c>
      <c r="C368" s="15" t="s">
        <v>877</v>
      </c>
      <c r="D368" s="14" t="s">
        <v>878</v>
      </c>
      <c r="E368" s="15" t="s">
        <v>62</v>
      </c>
      <c r="F368" s="14" t="s">
        <v>22</v>
      </c>
      <c r="G368" s="15" t="s">
        <v>23</v>
      </c>
      <c r="H368" s="15" t="s">
        <v>1525</v>
      </c>
      <c r="I368" s="15">
        <v>201410</v>
      </c>
      <c r="J368" s="16">
        <v>40690.879999999997</v>
      </c>
      <c r="K368" s="44">
        <f t="shared" si="32"/>
        <v>41913</v>
      </c>
      <c r="L368" s="45">
        <f t="shared" si="30"/>
        <v>8</v>
      </c>
      <c r="M368" s="17">
        <v>1.4833299999999999E-3</v>
      </c>
      <c r="N368" s="46">
        <f t="shared" si="31"/>
        <v>482.86402424319994</v>
      </c>
      <c r="O368" s="16"/>
      <c r="P368" s="48"/>
      <c r="Q368" s="16"/>
      <c r="R368" s="48">
        <f t="shared" si="33"/>
        <v>13192.74625</v>
      </c>
      <c r="S368" s="14"/>
    </row>
    <row r="369" spans="1:19">
      <c r="A369" s="14" t="s">
        <v>54</v>
      </c>
      <c r="B369" s="15" t="s">
        <v>879</v>
      </c>
      <c r="C369" s="15" t="s">
        <v>880</v>
      </c>
      <c r="D369" s="14" t="s">
        <v>881</v>
      </c>
      <c r="E369" s="15" t="s">
        <v>53</v>
      </c>
      <c r="F369" s="14" t="s">
        <v>41</v>
      </c>
      <c r="G369" s="15" t="s">
        <v>23</v>
      </c>
      <c r="H369" s="15" t="s">
        <v>1526</v>
      </c>
      <c r="I369" s="15">
        <v>201410</v>
      </c>
      <c r="J369" s="16">
        <v>-7153.05</v>
      </c>
      <c r="K369" s="44">
        <f t="shared" si="32"/>
        <v>41913</v>
      </c>
      <c r="L369" s="45">
        <f t="shared" si="30"/>
        <v>8</v>
      </c>
      <c r="M369" s="17">
        <v>1.4833299999999999E-3</v>
      </c>
      <c r="N369" s="46">
        <f t="shared" si="31"/>
        <v>-84.882669251999999</v>
      </c>
      <c r="O369" s="16"/>
      <c r="P369" s="48"/>
      <c r="Q369" s="16"/>
      <c r="R369" s="48">
        <f t="shared" si="33"/>
        <v>-2319.1529296875005</v>
      </c>
      <c r="S369" s="14"/>
    </row>
    <row r="370" spans="1:19">
      <c r="A370" s="14" t="s">
        <v>17</v>
      </c>
      <c r="B370" s="15" t="s">
        <v>882</v>
      </c>
      <c r="C370" s="15" t="s">
        <v>883</v>
      </c>
      <c r="D370" s="14" t="s">
        <v>884</v>
      </c>
      <c r="E370" s="15" t="s">
        <v>216</v>
      </c>
      <c r="F370" s="14" t="s">
        <v>22</v>
      </c>
      <c r="G370" s="15" t="s">
        <v>23</v>
      </c>
      <c r="H370" s="15" t="s">
        <v>1525</v>
      </c>
      <c r="I370" s="15">
        <v>201410</v>
      </c>
      <c r="J370" s="16">
        <v>-23.54</v>
      </c>
      <c r="K370" s="44">
        <f t="shared" si="32"/>
        <v>41913</v>
      </c>
      <c r="L370" s="45">
        <f t="shared" si="30"/>
        <v>8</v>
      </c>
      <c r="M370" s="17">
        <v>1.4833299999999999E-3</v>
      </c>
      <c r="N370" s="46">
        <f t="shared" si="31"/>
        <v>-0.27934070559999996</v>
      </c>
      <c r="O370" s="16"/>
      <c r="P370" s="48"/>
      <c r="Q370" s="16"/>
      <c r="R370" s="48">
        <f t="shared" si="33"/>
        <v>-7.6321093750000006</v>
      </c>
      <c r="S370" s="14"/>
    </row>
    <row r="371" spans="1:19">
      <c r="A371" s="14" t="s">
        <v>54</v>
      </c>
      <c r="B371" s="15" t="s">
        <v>882</v>
      </c>
      <c r="C371" s="15" t="s">
        <v>883</v>
      </c>
      <c r="D371" s="14" t="s">
        <v>884</v>
      </c>
      <c r="E371" s="15" t="s">
        <v>216</v>
      </c>
      <c r="F371" s="14" t="s">
        <v>22</v>
      </c>
      <c r="G371" s="15" t="s">
        <v>23</v>
      </c>
      <c r="H371" s="15" t="s">
        <v>1525</v>
      </c>
      <c r="I371" s="15">
        <v>201410</v>
      </c>
      <c r="J371" s="16">
        <v>5.81</v>
      </c>
      <c r="K371" s="44">
        <f t="shared" si="32"/>
        <v>41913</v>
      </c>
      <c r="L371" s="45">
        <f t="shared" si="30"/>
        <v>8</v>
      </c>
      <c r="M371" s="17">
        <v>1.4833299999999999E-3</v>
      </c>
      <c r="N371" s="46">
        <f t="shared" si="31"/>
        <v>6.8945178399999987E-2</v>
      </c>
      <c r="O371" s="16"/>
      <c r="P371" s="48"/>
      <c r="Q371" s="16"/>
      <c r="R371" s="48">
        <f t="shared" si="33"/>
        <v>1.8837109375000001</v>
      </c>
      <c r="S371" s="14"/>
    </row>
    <row r="372" spans="1:19">
      <c r="A372" s="14" t="s">
        <v>54</v>
      </c>
      <c r="B372" s="15" t="s">
        <v>885</v>
      </c>
      <c r="C372" s="15" t="s">
        <v>886</v>
      </c>
      <c r="D372" s="14" t="s">
        <v>887</v>
      </c>
      <c r="E372" s="15" t="s">
        <v>141</v>
      </c>
      <c r="F372" s="14" t="s">
        <v>142</v>
      </c>
      <c r="G372" s="15" t="s">
        <v>23</v>
      </c>
      <c r="H372" s="15" t="s">
        <v>1525</v>
      </c>
      <c r="I372" s="15">
        <v>201410</v>
      </c>
      <c r="J372" s="16">
        <v>9.77</v>
      </c>
      <c r="K372" s="44">
        <f t="shared" si="32"/>
        <v>41913</v>
      </c>
      <c r="L372" s="45">
        <f t="shared" si="30"/>
        <v>8</v>
      </c>
      <c r="M372" s="17">
        <v>1.4833299999999999E-3</v>
      </c>
      <c r="N372" s="46">
        <f t="shared" si="31"/>
        <v>0.11593707279999999</v>
      </c>
      <c r="O372" s="16"/>
      <c r="P372" s="48"/>
      <c r="Q372" s="16"/>
      <c r="R372" s="48">
        <f t="shared" si="33"/>
        <v>3.1676171875000003</v>
      </c>
      <c r="S372" s="14"/>
    </row>
    <row r="373" spans="1:19">
      <c r="A373" s="14" t="s">
        <v>66</v>
      </c>
      <c r="B373" s="15" t="s">
        <v>1102</v>
      </c>
      <c r="C373" s="15" t="s">
        <v>1103</v>
      </c>
      <c r="D373" s="14" t="s">
        <v>1104</v>
      </c>
      <c r="E373" s="15" t="s">
        <v>466</v>
      </c>
      <c r="F373" s="14" t="s">
        <v>467</v>
      </c>
      <c r="G373" s="15" t="s">
        <v>23</v>
      </c>
      <c r="H373" s="15" t="s">
        <v>1527</v>
      </c>
      <c r="I373" s="15">
        <v>201410</v>
      </c>
      <c r="J373" s="16">
        <v>-0.01</v>
      </c>
      <c r="K373" s="44">
        <f t="shared" si="32"/>
        <v>41913</v>
      </c>
      <c r="L373" s="45">
        <f t="shared" si="30"/>
        <v>8</v>
      </c>
      <c r="M373" s="17">
        <v>2.23333E-3</v>
      </c>
      <c r="N373" s="46">
        <f t="shared" si="31"/>
        <v>-1.7866639999999999E-4</v>
      </c>
      <c r="O373" s="16"/>
      <c r="P373" s="48"/>
      <c r="Q373" s="16"/>
      <c r="R373" s="48">
        <f t="shared" si="33"/>
        <v>-3.2421875000000003E-3</v>
      </c>
      <c r="S373" s="14"/>
    </row>
    <row r="374" spans="1:19">
      <c r="A374" s="14" t="s">
        <v>17</v>
      </c>
      <c r="B374" s="15" t="s">
        <v>894</v>
      </c>
      <c r="C374" s="15" t="s">
        <v>895</v>
      </c>
      <c r="D374" s="14" t="s">
        <v>896</v>
      </c>
      <c r="E374" s="15" t="s">
        <v>440</v>
      </c>
      <c r="F374" s="14" t="s">
        <v>28</v>
      </c>
      <c r="G374" s="15" t="s">
        <v>23</v>
      </c>
      <c r="H374" s="15" t="s">
        <v>1525</v>
      </c>
      <c r="I374" s="15">
        <v>201410</v>
      </c>
      <c r="J374" s="16">
        <v>0</v>
      </c>
      <c r="K374" s="44">
        <f t="shared" si="32"/>
        <v>41913</v>
      </c>
      <c r="L374" s="45">
        <f t="shared" si="30"/>
        <v>8</v>
      </c>
      <c r="M374" s="17">
        <v>1.4833299999999999E-3</v>
      </c>
      <c r="N374" s="46">
        <f t="shared" si="31"/>
        <v>0</v>
      </c>
      <c r="O374" s="16"/>
      <c r="P374" s="48"/>
      <c r="Q374" s="16"/>
      <c r="R374" s="48">
        <f t="shared" si="33"/>
        <v>0</v>
      </c>
      <c r="S374" s="14"/>
    </row>
    <row r="375" spans="1:19">
      <c r="A375" s="14" t="s">
        <v>54</v>
      </c>
      <c r="B375" s="15" t="s">
        <v>897</v>
      </c>
      <c r="C375" s="15" t="s">
        <v>898</v>
      </c>
      <c r="D375" s="14" t="s">
        <v>899</v>
      </c>
      <c r="E375" s="15" t="s">
        <v>45</v>
      </c>
      <c r="F375" s="14" t="s">
        <v>22</v>
      </c>
      <c r="G375" s="15" t="s">
        <v>23</v>
      </c>
      <c r="H375" s="15" t="s">
        <v>1525</v>
      </c>
      <c r="I375" s="15">
        <v>201410</v>
      </c>
      <c r="J375" s="16">
        <v>422.88</v>
      </c>
      <c r="K375" s="44">
        <f t="shared" si="32"/>
        <v>41913</v>
      </c>
      <c r="L375" s="45">
        <f t="shared" si="30"/>
        <v>8</v>
      </c>
      <c r="M375" s="17">
        <v>1.4833299999999999E-3</v>
      </c>
      <c r="N375" s="46">
        <f t="shared" si="31"/>
        <v>5.0181647232</v>
      </c>
      <c r="O375" s="16"/>
      <c r="P375" s="48"/>
      <c r="Q375" s="16"/>
      <c r="R375" s="48">
        <f t="shared" si="33"/>
        <v>137.10562500000003</v>
      </c>
      <c r="S375" s="14"/>
    </row>
    <row r="376" spans="1:19">
      <c r="A376" s="14" t="s">
        <v>54</v>
      </c>
      <c r="B376" s="15" t="s">
        <v>900</v>
      </c>
      <c r="C376" s="15" t="s">
        <v>901</v>
      </c>
      <c r="D376" s="14" t="s">
        <v>902</v>
      </c>
      <c r="E376" s="15" t="s">
        <v>462</v>
      </c>
      <c r="F376" s="14" t="s">
        <v>142</v>
      </c>
      <c r="G376" s="15" t="s">
        <v>23</v>
      </c>
      <c r="H376" s="15" t="s">
        <v>1525</v>
      </c>
      <c r="I376" s="15">
        <v>201410</v>
      </c>
      <c r="J376" s="16">
        <v>8.59</v>
      </c>
      <c r="K376" s="44">
        <f t="shared" si="32"/>
        <v>41913</v>
      </c>
      <c r="L376" s="45">
        <f t="shared" si="30"/>
        <v>8</v>
      </c>
      <c r="M376" s="17">
        <v>1.4833299999999999E-3</v>
      </c>
      <c r="N376" s="46">
        <f t="shared" si="31"/>
        <v>0.1019344376</v>
      </c>
      <c r="O376" s="16"/>
      <c r="P376" s="48"/>
      <c r="Q376" s="16"/>
      <c r="R376" s="48">
        <f t="shared" si="33"/>
        <v>2.7850390625000006</v>
      </c>
      <c r="S376" s="14"/>
    </row>
    <row r="377" spans="1:19">
      <c r="A377" s="14" t="s">
        <v>17</v>
      </c>
      <c r="B377" s="15" t="s">
        <v>903</v>
      </c>
      <c r="C377" s="15" t="s">
        <v>904</v>
      </c>
      <c r="D377" s="14" t="s">
        <v>905</v>
      </c>
      <c r="E377" s="15" t="s">
        <v>49</v>
      </c>
      <c r="F377" s="14" t="s">
        <v>22</v>
      </c>
      <c r="G377" s="15" t="s">
        <v>23</v>
      </c>
      <c r="H377" s="15" t="s">
        <v>1525</v>
      </c>
      <c r="I377" s="15">
        <v>201410</v>
      </c>
      <c r="J377" s="16">
        <v>343.32</v>
      </c>
      <c r="K377" s="44">
        <f t="shared" si="32"/>
        <v>41913</v>
      </c>
      <c r="L377" s="45">
        <f t="shared" si="30"/>
        <v>8</v>
      </c>
      <c r="M377" s="17">
        <v>1.4833299999999999E-3</v>
      </c>
      <c r="N377" s="46">
        <f t="shared" si="31"/>
        <v>4.0740548448</v>
      </c>
      <c r="O377" s="16"/>
      <c r="P377" s="48"/>
      <c r="Q377" s="16"/>
      <c r="R377" s="48">
        <f t="shared" si="33"/>
        <v>111.31078125000001</v>
      </c>
      <c r="S377" s="14"/>
    </row>
    <row r="378" spans="1:19">
      <c r="A378" s="14" t="s">
        <v>17</v>
      </c>
      <c r="B378" s="15" t="s">
        <v>910</v>
      </c>
      <c r="C378" s="15" t="s">
        <v>911</v>
      </c>
      <c r="D378" s="14" t="s">
        <v>912</v>
      </c>
      <c r="E378" s="15" t="s">
        <v>362</v>
      </c>
      <c r="F378" s="14" t="s">
        <v>41</v>
      </c>
      <c r="G378" s="15" t="s">
        <v>23</v>
      </c>
      <c r="H378" s="15" t="s">
        <v>1526</v>
      </c>
      <c r="I378" s="15">
        <v>201410</v>
      </c>
      <c r="J378" s="16">
        <v>0</v>
      </c>
      <c r="K378" s="44">
        <f t="shared" si="32"/>
        <v>41913</v>
      </c>
      <c r="L378" s="45">
        <f t="shared" si="30"/>
        <v>8</v>
      </c>
      <c r="M378" s="17">
        <v>1.4833299999999999E-3</v>
      </c>
      <c r="N378" s="46">
        <f t="shared" si="31"/>
        <v>0</v>
      </c>
      <c r="O378" s="16"/>
      <c r="P378" s="48"/>
      <c r="Q378" s="16"/>
      <c r="R378" s="48">
        <f t="shared" si="33"/>
        <v>0</v>
      </c>
      <c r="S378" s="14"/>
    </row>
    <row r="379" spans="1:19">
      <c r="A379" s="14" t="s">
        <v>54</v>
      </c>
      <c r="B379" s="15" t="s">
        <v>913</v>
      </c>
      <c r="C379" s="15" t="s">
        <v>914</v>
      </c>
      <c r="D379" s="14" t="s">
        <v>915</v>
      </c>
      <c r="E379" s="15" t="s">
        <v>36</v>
      </c>
      <c r="F379" s="14" t="s">
        <v>22</v>
      </c>
      <c r="G379" s="15" t="s">
        <v>23</v>
      </c>
      <c r="H379" s="15" t="s">
        <v>1525</v>
      </c>
      <c r="I379" s="15">
        <v>201410</v>
      </c>
      <c r="J379" s="16">
        <v>38.01</v>
      </c>
      <c r="K379" s="44">
        <f t="shared" si="32"/>
        <v>41913</v>
      </c>
      <c r="L379" s="45">
        <f t="shared" si="30"/>
        <v>8</v>
      </c>
      <c r="M379" s="17">
        <v>1.4833299999999999E-3</v>
      </c>
      <c r="N379" s="46">
        <f t="shared" si="31"/>
        <v>0.45105098639999996</v>
      </c>
      <c r="O379" s="16"/>
      <c r="P379" s="48"/>
      <c r="Q379" s="16"/>
      <c r="R379" s="48">
        <f t="shared" si="33"/>
        <v>12.3235546875</v>
      </c>
      <c r="S379" s="14"/>
    </row>
    <row r="380" spans="1:19">
      <c r="A380" s="14" t="s">
        <v>54</v>
      </c>
      <c r="B380" s="15" t="s">
        <v>916</v>
      </c>
      <c r="C380" s="15" t="s">
        <v>917</v>
      </c>
      <c r="D380" s="14" t="s">
        <v>918</v>
      </c>
      <c r="E380" s="15" t="s">
        <v>909</v>
      </c>
      <c r="F380" s="14" t="s">
        <v>22</v>
      </c>
      <c r="G380" s="15" t="s">
        <v>23</v>
      </c>
      <c r="H380" s="15" t="s">
        <v>1525</v>
      </c>
      <c r="I380" s="15">
        <v>201410</v>
      </c>
      <c r="J380" s="16">
        <v>0.82</v>
      </c>
      <c r="K380" s="44">
        <f t="shared" si="32"/>
        <v>41913</v>
      </c>
      <c r="L380" s="45">
        <f t="shared" si="30"/>
        <v>8</v>
      </c>
      <c r="M380" s="17">
        <v>1.4833299999999999E-3</v>
      </c>
      <c r="N380" s="46">
        <f t="shared" si="31"/>
        <v>9.7306447999999986E-3</v>
      </c>
      <c r="O380" s="16"/>
      <c r="P380" s="48"/>
      <c r="Q380" s="16"/>
      <c r="R380" s="48">
        <f t="shared" si="33"/>
        <v>0.26585937500000001</v>
      </c>
      <c r="S380" s="14"/>
    </row>
    <row r="381" spans="1:19">
      <c r="A381" s="14" t="s">
        <v>54</v>
      </c>
      <c r="B381" s="15" t="s">
        <v>926</v>
      </c>
      <c r="C381" s="15" t="s">
        <v>927</v>
      </c>
      <c r="D381" s="14" t="s">
        <v>928</v>
      </c>
      <c r="E381" s="15" t="s">
        <v>141</v>
      </c>
      <c r="F381" s="14" t="s">
        <v>142</v>
      </c>
      <c r="G381" s="15" t="s">
        <v>23</v>
      </c>
      <c r="H381" s="15" t="s">
        <v>1525</v>
      </c>
      <c r="I381" s="15">
        <v>201410</v>
      </c>
      <c r="J381" s="16">
        <v>129.80000000000001</v>
      </c>
      <c r="K381" s="44">
        <f t="shared" si="32"/>
        <v>41913</v>
      </c>
      <c r="L381" s="45">
        <f t="shared" si="30"/>
        <v>8</v>
      </c>
      <c r="M381" s="17">
        <v>1.4833299999999999E-3</v>
      </c>
      <c r="N381" s="46">
        <f t="shared" si="31"/>
        <v>1.540289872</v>
      </c>
      <c r="O381" s="16"/>
      <c r="P381" s="48"/>
      <c r="Q381" s="16"/>
      <c r="R381" s="48">
        <f t="shared" si="33"/>
        <v>42.083593750000006</v>
      </c>
      <c r="S381" s="14"/>
    </row>
    <row r="382" spans="1:19">
      <c r="A382" s="14" t="s">
        <v>17</v>
      </c>
      <c r="B382" s="15" t="s">
        <v>932</v>
      </c>
      <c r="C382" s="15" t="s">
        <v>933</v>
      </c>
      <c r="D382" s="14" t="s">
        <v>934</v>
      </c>
      <c r="E382" s="15" t="s">
        <v>925</v>
      </c>
      <c r="F382" s="14" t="s">
        <v>41</v>
      </c>
      <c r="G382" s="15" t="s">
        <v>23</v>
      </c>
      <c r="H382" s="15" t="s">
        <v>1526</v>
      </c>
      <c r="I382" s="15">
        <v>201410</v>
      </c>
      <c r="J382" s="16">
        <v>163.34</v>
      </c>
      <c r="K382" s="44">
        <f t="shared" si="32"/>
        <v>41913</v>
      </c>
      <c r="L382" s="45">
        <f t="shared" si="30"/>
        <v>8</v>
      </c>
      <c r="M382" s="17">
        <v>1.4833299999999999E-3</v>
      </c>
      <c r="N382" s="46">
        <f t="shared" si="31"/>
        <v>1.9382969775999999</v>
      </c>
      <c r="O382" s="16"/>
      <c r="P382" s="48"/>
      <c r="Q382" s="16"/>
      <c r="R382" s="48">
        <f t="shared" si="33"/>
        <v>52.957890625000005</v>
      </c>
      <c r="S382" s="14"/>
    </row>
    <row r="383" spans="1:19">
      <c r="A383" s="14" t="s">
        <v>54</v>
      </c>
      <c r="B383" s="15" t="s">
        <v>938</v>
      </c>
      <c r="C383" s="15" t="s">
        <v>939</v>
      </c>
      <c r="D383" s="14" t="s">
        <v>940</v>
      </c>
      <c r="E383" s="15" t="s">
        <v>141</v>
      </c>
      <c r="F383" s="14" t="s">
        <v>142</v>
      </c>
      <c r="G383" s="15" t="s">
        <v>23</v>
      </c>
      <c r="H383" s="15" t="s">
        <v>1525</v>
      </c>
      <c r="I383" s="15">
        <v>201410</v>
      </c>
      <c r="J383" s="16">
        <v>9145.27</v>
      </c>
      <c r="K383" s="44">
        <f t="shared" si="32"/>
        <v>41913</v>
      </c>
      <c r="L383" s="45">
        <f t="shared" si="30"/>
        <v>8</v>
      </c>
      <c r="M383" s="17">
        <v>1.4833299999999999E-3</v>
      </c>
      <c r="N383" s="46">
        <f t="shared" si="31"/>
        <v>108.5236267928</v>
      </c>
      <c r="O383" s="16"/>
      <c r="P383" s="48"/>
      <c r="Q383" s="16"/>
      <c r="R383" s="48">
        <f t="shared" si="33"/>
        <v>2965.0680078125006</v>
      </c>
      <c r="S383" s="14"/>
    </row>
    <row r="384" spans="1:19">
      <c r="A384" s="14" t="s">
        <v>17</v>
      </c>
      <c r="B384" s="15" t="s">
        <v>944</v>
      </c>
      <c r="C384" s="15" t="s">
        <v>945</v>
      </c>
      <c r="D384" s="14" t="s">
        <v>946</v>
      </c>
      <c r="E384" s="15" t="s">
        <v>104</v>
      </c>
      <c r="F384" s="14" t="s">
        <v>41</v>
      </c>
      <c r="G384" s="15" t="s">
        <v>23</v>
      </c>
      <c r="H384" s="15" t="s">
        <v>1526</v>
      </c>
      <c r="I384" s="15">
        <v>201410</v>
      </c>
      <c r="J384" s="16">
        <v>904.96</v>
      </c>
      <c r="K384" s="44">
        <f t="shared" si="32"/>
        <v>41913</v>
      </c>
      <c r="L384" s="45">
        <f t="shared" si="30"/>
        <v>8</v>
      </c>
      <c r="M384" s="17">
        <v>1.4833299999999999E-3</v>
      </c>
      <c r="N384" s="46">
        <f t="shared" si="31"/>
        <v>10.7388345344</v>
      </c>
      <c r="O384" s="16"/>
      <c r="P384" s="48"/>
      <c r="Q384" s="16"/>
      <c r="R384" s="48">
        <f t="shared" si="33"/>
        <v>293.40500000000003</v>
      </c>
      <c r="S384" s="14"/>
    </row>
    <row r="385" spans="1:19">
      <c r="A385" s="14" t="s">
        <v>54</v>
      </c>
      <c r="B385" s="15" t="s">
        <v>947</v>
      </c>
      <c r="C385" s="15" t="s">
        <v>948</v>
      </c>
      <c r="D385" s="14" t="s">
        <v>949</v>
      </c>
      <c r="E385" s="15" t="s">
        <v>141</v>
      </c>
      <c r="F385" s="14" t="s">
        <v>142</v>
      </c>
      <c r="G385" s="15" t="s">
        <v>23</v>
      </c>
      <c r="H385" s="15" t="s">
        <v>1525</v>
      </c>
      <c r="I385" s="15">
        <v>201410</v>
      </c>
      <c r="J385" s="16">
        <v>110798.91</v>
      </c>
      <c r="K385" s="44">
        <f t="shared" si="32"/>
        <v>41913</v>
      </c>
      <c r="L385" s="45">
        <f t="shared" si="30"/>
        <v>8</v>
      </c>
      <c r="M385" s="17">
        <v>1.4833299999999999E-3</v>
      </c>
      <c r="N385" s="46">
        <f t="shared" si="31"/>
        <v>1314.8107773623999</v>
      </c>
      <c r="O385" s="16"/>
      <c r="P385" s="48"/>
      <c r="Q385" s="16"/>
      <c r="R385" s="48">
        <f t="shared" si="33"/>
        <v>35923.084101562505</v>
      </c>
      <c r="S385" s="14"/>
    </row>
    <row r="386" spans="1:19">
      <c r="A386" s="14" t="s">
        <v>54</v>
      </c>
      <c r="B386" s="15" t="s">
        <v>950</v>
      </c>
      <c r="C386" s="15" t="s">
        <v>951</v>
      </c>
      <c r="D386" s="14" t="s">
        <v>952</v>
      </c>
      <c r="E386" s="15" t="s">
        <v>141</v>
      </c>
      <c r="F386" s="14" t="s">
        <v>142</v>
      </c>
      <c r="G386" s="15" t="s">
        <v>23</v>
      </c>
      <c r="H386" s="15" t="s">
        <v>1525</v>
      </c>
      <c r="I386" s="15">
        <v>201410</v>
      </c>
      <c r="J386" s="16">
        <v>15389.95</v>
      </c>
      <c r="K386" s="44">
        <f t="shared" si="32"/>
        <v>41913</v>
      </c>
      <c r="L386" s="45">
        <f t="shared" si="30"/>
        <v>8</v>
      </c>
      <c r="M386" s="17">
        <v>1.4833299999999999E-3</v>
      </c>
      <c r="N386" s="46">
        <f t="shared" si="31"/>
        <v>182.626996268</v>
      </c>
      <c r="O386" s="16"/>
      <c r="P386" s="48"/>
      <c r="Q386" s="16"/>
      <c r="R386" s="48">
        <f t="shared" si="33"/>
        <v>4989.7103515625004</v>
      </c>
      <c r="S386" s="14"/>
    </row>
    <row r="387" spans="1:19">
      <c r="A387" s="14" t="s">
        <v>17</v>
      </c>
      <c r="B387" s="15" t="s">
        <v>956</v>
      </c>
      <c r="C387" s="15" t="s">
        <v>957</v>
      </c>
      <c r="D387" s="14" t="s">
        <v>958</v>
      </c>
      <c r="E387" s="15" t="s">
        <v>40</v>
      </c>
      <c r="F387" s="14" t="s">
        <v>41</v>
      </c>
      <c r="G387" s="15" t="s">
        <v>23</v>
      </c>
      <c r="H387" s="15" t="s">
        <v>1526</v>
      </c>
      <c r="I387" s="15">
        <v>201410</v>
      </c>
      <c r="J387" s="16">
        <v>977.06</v>
      </c>
      <c r="K387" s="44">
        <f t="shared" si="32"/>
        <v>41913</v>
      </c>
      <c r="L387" s="45">
        <f t="shared" si="30"/>
        <v>8</v>
      </c>
      <c r="M387" s="17">
        <v>1.4833299999999999E-3</v>
      </c>
      <c r="N387" s="46">
        <f t="shared" si="31"/>
        <v>11.594419278399998</v>
      </c>
      <c r="O387" s="16"/>
      <c r="P387" s="48"/>
      <c r="Q387" s="16"/>
      <c r="R387" s="48">
        <f t="shared" si="33"/>
        <v>316.78117187499998</v>
      </c>
      <c r="S387" s="14"/>
    </row>
    <row r="388" spans="1:19">
      <c r="A388" s="14" t="s">
        <v>17</v>
      </c>
      <c r="B388" s="15" t="s">
        <v>959</v>
      </c>
      <c r="C388" s="15" t="s">
        <v>960</v>
      </c>
      <c r="D388" s="14" t="s">
        <v>961</v>
      </c>
      <c r="E388" s="15" t="s">
        <v>40</v>
      </c>
      <c r="F388" s="14" t="s">
        <v>41</v>
      </c>
      <c r="G388" s="15" t="s">
        <v>23</v>
      </c>
      <c r="H388" s="15" t="s">
        <v>1526</v>
      </c>
      <c r="I388" s="15">
        <v>201410</v>
      </c>
      <c r="J388" s="16">
        <v>-0.49</v>
      </c>
      <c r="K388" s="44">
        <f t="shared" si="32"/>
        <v>41913</v>
      </c>
      <c r="L388" s="45">
        <f t="shared" si="30"/>
        <v>8</v>
      </c>
      <c r="M388" s="17">
        <v>1.4833299999999999E-3</v>
      </c>
      <c r="N388" s="46">
        <f t="shared" si="31"/>
        <v>-5.8146535999999997E-3</v>
      </c>
      <c r="O388" s="16"/>
      <c r="P388" s="48"/>
      <c r="Q388" s="16"/>
      <c r="R388" s="48">
        <f t="shared" si="33"/>
        <v>-0.15886718750000001</v>
      </c>
      <c r="S388" s="14"/>
    </row>
    <row r="389" spans="1:19">
      <c r="A389" s="14" t="s">
        <v>54</v>
      </c>
      <c r="B389" s="15" t="s">
        <v>962</v>
      </c>
      <c r="C389" s="15" t="s">
        <v>963</v>
      </c>
      <c r="D389" s="14" t="s">
        <v>964</v>
      </c>
      <c r="E389" s="15" t="s">
        <v>40</v>
      </c>
      <c r="F389" s="14" t="s">
        <v>41</v>
      </c>
      <c r="G389" s="15" t="s">
        <v>23</v>
      </c>
      <c r="H389" s="15" t="s">
        <v>1526</v>
      </c>
      <c r="I389" s="15">
        <v>201410</v>
      </c>
      <c r="J389" s="16">
        <v>190.86</v>
      </c>
      <c r="K389" s="44">
        <f t="shared" si="32"/>
        <v>41913</v>
      </c>
      <c r="L389" s="45">
        <f t="shared" si="30"/>
        <v>8</v>
      </c>
      <c r="M389" s="17">
        <v>1.4833299999999999E-3</v>
      </c>
      <c r="N389" s="46">
        <f t="shared" si="31"/>
        <v>2.2648669103999999</v>
      </c>
      <c r="O389" s="16"/>
      <c r="P389" s="48"/>
      <c r="Q389" s="16"/>
      <c r="R389" s="48">
        <f t="shared" si="33"/>
        <v>61.880390625000004</v>
      </c>
      <c r="S389" s="14"/>
    </row>
    <row r="390" spans="1:19">
      <c r="A390" s="14" t="s">
        <v>54</v>
      </c>
      <c r="B390" s="15" t="s">
        <v>965</v>
      </c>
      <c r="C390" s="15" t="s">
        <v>966</v>
      </c>
      <c r="D390" s="14" t="s">
        <v>967</v>
      </c>
      <c r="E390" s="15" t="s">
        <v>53</v>
      </c>
      <c r="F390" s="14" t="s">
        <v>41</v>
      </c>
      <c r="G390" s="15" t="s">
        <v>23</v>
      </c>
      <c r="H390" s="15" t="s">
        <v>1526</v>
      </c>
      <c r="I390" s="15">
        <v>201410</v>
      </c>
      <c r="J390" s="16">
        <v>-9961.83</v>
      </c>
      <c r="K390" s="44">
        <f t="shared" si="32"/>
        <v>41913</v>
      </c>
      <c r="L390" s="45">
        <f t="shared" si="30"/>
        <v>8</v>
      </c>
      <c r="M390" s="17">
        <v>1.4833299999999999E-3</v>
      </c>
      <c r="N390" s="46">
        <f t="shared" si="31"/>
        <v>-118.2134503512</v>
      </c>
      <c r="O390" s="16"/>
      <c r="P390" s="48"/>
      <c r="Q390" s="16"/>
      <c r="R390" s="48">
        <f t="shared" si="33"/>
        <v>-3229.8120703125005</v>
      </c>
      <c r="S390" s="14"/>
    </row>
    <row r="391" spans="1:19">
      <c r="A391" s="14" t="s">
        <v>54</v>
      </c>
      <c r="B391" s="15" t="s">
        <v>974</v>
      </c>
      <c r="C391" s="15" t="s">
        <v>975</v>
      </c>
      <c r="D391" s="14" t="s">
        <v>976</v>
      </c>
      <c r="E391" s="15" t="s">
        <v>141</v>
      </c>
      <c r="F391" s="14" t="s">
        <v>142</v>
      </c>
      <c r="G391" s="15" t="s">
        <v>23</v>
      </c>
      <c r="H391" s="15" t="s">
        <v>1525</v>
      </c>
      <c r="I391" s="15">
        <v>201410</v>
      </c>
      <c r="J391" s="16">
        <v>4514.09</v>
      </c>
      <c r="K391" s="44">
        <f t="shared" si="32"/>
        <v>41913</v>
      </c>
      <c r="L391" s="45">
        <f t="shared" si="30"/>
        <v>8</v>
      </c>
      <c r="M391" s="17">
        <v>1.4833299999999999E-3</v>
      </c>
      <c r="N391" s="46">
        <f t="shared" si="31"/>
        <v>53.567080957599998</v>
      </c>
      <c r="O391" s="16"/>
      <c r="P391" s="48"/>
      <c r="Q391" s="16"/>
      <c r="R391" s="48">
        <f t="shared" si="33"/>
        <v>1463.5526171875003</v>
      </c>
      <c r="S391" s="14"/>
    </row>
    <row r="392" spans="1:19">
      <c r="A392" s="14" t="s">
        <v>54</v>
      </c>
      <c r="B392" s="15" t="s">
        <v>977</v>
      </c>
      <c r="C392" s="15" t="s">
        <v>978</v>
      </c>
      <c r="D392" s="14" t="s">
        <v>979</v>
      </c>
      <c r="E392" s="15" t="s">
        <v>980</v>
      </c>
      <c r="F392" s="14" t="s">
        <v>259</v>
      </c>
      <c r="G392" s="15" t="s">
        <v>23</v>
      </c>
      <c r="H392" s="15" t="s">
        <v>1525</v>
      </c>
      <c r="I392" s="15">
        <v>201410</v>
      </c>
      <c r="J392" s="16">
        <v>0.51</v>
      </c>
      <c r="K392" s="44">
        <f t="shared" si="32"/>
        <v>41913</v>
      </c>
      <c r="L392" s="45">
        <f t="shared" si="30"/>
        <v>8</v>
      </c>
      <c r="M392" s="17">
        <v>1.4833299999999999E-3</v>
      </c>
      <c r="N392" s="46">
        <f t="shared" si="31"/>
        <v>6.0519863999999998E-3</v>
      </c>
      <c r="O392" s="16"/>
      <c r="P392" s="48"/>
      <c r="Q392" s="16"/>
      <c r="R392" s="48">
        <f t="shared" si="33"/>
        <v>0.16535156250000002</v>
      </c>
      <c r="S392" s="14"/>
    </row>
    <row r="393" spans="1:19">
      <c r="A393" s="14" t="s">
        <v>17</v>
      </c>
      <c r="B393" s="15" t="s">
        <v>987</v>
      </c>
      <c r="C393" s="15" t="s">
        <v>988</v>
      </c>
      <c r="D393" s="14" t="s">
        <v>989</v>
      </c>
      <c r="E393" s="15" t="s">
        <v>45</v>
      </c>
      <c r="F393" s="14" t="s">
        <v>22</v>
      </c>
      <c r="G393" s="15" t="s">
        <v>23</v>
      </c>
      <c r="H393" s="15" t="s">
        <v>1525</v>
      </c>
      <c r="I393" s="15">
        <v>201410</v>
      </c>
      <c r="J393" s="16">
        <v>0.63</v>
      </c>
      <c r="K393" s="44">
        <f t="shared" si="32"/>
        <v>41913</v>
      </c>
      <c r="L393" s="45">
        <f t="shared" si="30"/>
        <v>8</v>
      </c>
      <c r="M393" s="17">
        <v>1.4833299999999999E-3</v>
      </c>
      <c r="N393" s="46">
        <f t="shared" si="31"/>
        <v>7.4759831999999995E-3</v>
      </c>
      <c r="O393" s="16"/>
      <c r="P393" s="48"/>
      <c r="Q393" s="16"/>
      <c r="R393" s="48">
        <f t="shared" si="33"/>
        <v>0.2042578125</v>
      </c>
      <c r="S393" s="14"/>
    </row>
    <row r="394" spans="1:19">
      <c r="A394" s="14" t="s">
        <v>54</v>
      </c>
      <c r="B394" s="15" t="s">
        <v>990</v>
      </c>
      <c r="C394" s="15" t="s">
        <v>991</v>
      </c>
      <c r="D394" s="14" t="s">
        <v>992</v>
      </c>
      <c r="E394" s="15" t="s">
        <v>141</v>
      </c>
      <c r="F394" s="14" t="s">
        <v>142</v>
      </c>
      <c r="G394" s="15" t="s">
        <v>23</v>
      </c>
      <c r="H394" s="15" t="s">
        <v>1525</v>
      </c>
      <c r="I394" s="15">
        <v>201410</v>
      </c>
      <c r="J394" s="16">
        <v>123284.96</v>
      </c>
      <c r="K394" s="44">
        <f t="shared" si="32"/>
        <v>41913</v>
      </c>
      <c r="L394" s="45">
        <f t="shared" si="30"/>
        <v>8</v>
      </c>
      <c r="M394" s="17">
        <v>1.4833299999999999E-3</v>
      </c>
      <c r="N394" s="46">
        <f t="shared" si="31"/>
        <v>1462.9782377344</v>
      </c>
      <c r="O394" s="16"/>
      <c r="P394" s="48"/>
      <c r="Q394" s="16"/>
      <c r="R394" s="48">
        <f t="shared" si="33"/>
        <v>39971.295625000006</v>
      </c>
      <c r="S394" s="14"/>
    </row>
    <row r="395" spans="1:19">
      <c r="A395" s="14" t="s">
        <v>17</v>
      </c>
      <c r="B395" s="15" t="s">
        <v>999</v>
      </c>
      <c r="C395" s="15" t="s">
        <v>1000</v>
      </c>
      <c r="D395" s="14" t="s">
        <v>1001</v>
      </c>
      <c r="E395" s="15" t="s">
        <v>176</v>
      </c>
      <c r="F395" s="14" t="s">
        <v>28</v>
      </c>
      <c r="G395" s="15" t="s">
        <v>23</v>
      </c>
      <c r="H395" s="15" t="s">
        <v>1525</v>
      </c>
      <c r="I395" s="15">
        <v>201410</v>
      </c>
      <c r="J395" s="16">
        <v>2626.89</v>
      </c>
      <c r="K395" s="44">
        <f t="shared" si="32"/>
        <v>41913</v>
      </c>
      <c r="L395" s="45">
        <f t="shared" si="30"/>
        <v>8</v>
      </c>
      <c r="M395" s="17">
        <v>1.4833299999999999E-3</v>
      </c>
      <c r="N395" s="46">
        <f t="shared" si="31"/>
        <v>31.172357949599999</v>
      </c>
      <c r="O395" s="16"/>
      <c r="P395" s="48"/>
      <c r="Q395" s="16"/>
      <c r="R395" s="48">
        <f t="shared" si="33"/>
        <v>851.6869921875001</v>
      </c>
      <c r="S395" s="14"/>
    </row>
    <row r="396" spans="1:19">
      <c r="A396" s="14" t="s">
        <v>54</v>
      </c>
      <c r="B396" s="15" t="s">
        <v>1005</v>
      </c>
      <c r="C396" s="15" t="s">
        <v>1006</v>
      </c>
      <c r="D396" s="14" t="s">
        <v>1007</v>
      </c>
      <c r="E396" s="15" t="s">
        <v>141</v>
      </c>
      <c r="F396" s="14" t="s">
        <v>142</v>
      </c>
      <c r="G396" s="15" t="s">
        <v>23</v>
      </c>
      <c r="H396" s="15" t="s">
        <v>1525</v>
      </c>
      <c r="I396" s="15">
        <v>201410</v>
      </c>
      <c r="J396" s="16">
        <v>28474.67</v>
      </c>
      <c r="K396" s="44">
        <f t="shared" si="32"/>
        <v>41913</v>
      </c>
      <c r="L396" s="45">
        <f t="shared" si="30"/>
        <v>8</v>
      </c>
      <c r="M396" s="17">
        <v>1.4833299999999999E-3</v>
      </c>
      <c r="N396" s="46">
        <f t="shared" si="31"/>
        <v>337.89865800879994</v>
      </c>
      <c r="O396" s="16"/>
      <c r="P396" s="48"/>
      <c r="Q396" s="16"/>
      <c r="R396" s="48">
        <f t="shared" si="33"/>
        <v>9232.0219140624995</v>
      </c>
      <c r="S396" s="14"/>
    </row>
    <row r="397" spans="1:19">
      <c r="A397" s="14" t="s">
        <v>54</v>
      </c>
      <c r="B397" s="15" t="s">
        <v>1008</v>
      </c>
      <c r="C397" s="15" t="s">
        <v>1009</v>
      </c>
      <c r="D397" s="14" t="s">
        <v>1010</v>
      </c>
      <c r="E397" s="15" t="s">
        <v>49</v>
      </c>
      <c r="F397" s="14" t="s">
        <v>22</v>
      </c>
      <c r="G397" s="15" t="s">
        <v>23</v>
      </c>
      <c r="H397" s="15" t="s">
        <v>1525</v>
      </c>
      <c r="I397" s="15">
        <v>201410</v>
      </c>
      <c r="J397" s="16">
        <v>19575.849999999999</v>
      </c>
      <c r="K397" s="44">
        <f t="shared" si="32"/>
        <v>41913</v>
      </c>
      <c r="L397" s="45">
        <f t="shared" si="30"/>
        <v>8</v>
      </c>
      <c r="M397" s="17">
        <v>1.4833299999999999E-3</v>
      </c>
      <c r="N397" s="46">
        <f t="shared" si="31"/>
        <v>232.29956464399999</v>
      </c>
      <c r="O397" s="16"/>
      <c r="P397" s="48"/>
      <c r="Q397" s="16"/>
      <c r="R397" s="48">
        <f t="shared" si="33"/>
        <v>6346.8576171874993</v>
      </c>
      <c r="S397" s="14"/>
    </row>
    <row r="398" spans="1:19">
      <c r="A398" s="14" t="s">
        <v>54</v>
      </c>
      <c r="B398" s="15" t="s">
        <v>1014</v>
      </c>
      <c r="C398" s="15" t="s">
        <v>1015</v>
      </c>
      <c r="D398" s="14" t="s">
        <v>1016</v>
      </c>
      <c r="E398" s="15" t="s">
        <v>296</v>
      </c>
      <c r="F398" s="14" t="s">
        <v>28</v>
      </c>
      <c r="G398" s="15" t="s">
        <v>23</v>
      </c>
      <c r="H398" s="15" t="s">
        <v>1525</v>
      </c>
      <c r="I398" s="15">
        <v>201410</v>
      </c>
      <c r="J398" s="16">
        <v>8804.85</v>
      </c>
      <c r="K398" s="44">
        <f t="shared" si="32"/>
        <v>41913</v>
      </c>
      <c r="L398" s="45">
        <f t="shared" si="30"/>
        <v>8</v>
      </c>
      <c r="M398" s="17">
        <v>1.4833299999999999E-3</v>
      </c>
      <c r="N398" s="46">
        <f t="shared" si="31"/>
        <v>104.48398520400001</v>
      </c>
      <c r="O398" s="16"/>
      <c r="P398" s="48"/>
      <c r="Q398" s="16"/>
      <c r="R398" s="48">
        <f t="shared" si="33"/>
        <v>2854.6974609375002</v>
      </c>
      <c r="S398" s="14"/>
    </row>
    <row r="399" spans="1:19">
      <c r="A399" s="14" t="s">
        <v>54</v>
      </c>
      <c r="B399" s="15" t="s">
        <v>1017</v>
      </c>
      <c r="C399" s="15" t="s">
        <v>1018</v>
      </c>
      <c r="D399" s="14" t="s">
        <v>1019</v>
      </c>
      <c r="E399" s="15" t="s">
        <v>1020</v>
      </c>
      <c r="F399" s="14" t="s">
        <v>22</v>
      </c>
      <c r="G399" s="15" t="s">
        <v>23</v>
      </c>
      <c r="H399" s="15" t="s">
        <v>1525</v>
      </c>
      <c r="I399" s="15">
        <v>201410</v>
      </c>
      <c r="J399" s="16">
        <v>6323.2</v>
      </c>
      <c r="K399" s="44">
        <f t="shared" si="32"/>
        <v>41913</v>
      </c>
      <c r="L399" s="45">
        <f t="shared" si="30"/>
        <v>8</v>
      </c>
      <c r="M399" s="17">
        <v>1.4833299999999999E-3</v>
      </c>
      <c r="N399" s="46">
        <f t="shared" si="31"/>
        <v>75.035138047999993</v>
      </c>
      <c r="O399" s="16"/>
      <c r="P399" s="48"/>
      <c r="Q399" s="16"/>
      <c r="R399" s="48">
        <f t="shared" si="33"/>
        <v>2050.1000000000004</v>
      </c>
      <c r="S399" s="14"/>
    </row>
    <row r="400" spans="1:19">
      <c r="A400" s="14" t="s">
        <v>54</v>
      </c>
      <c r="B400" s="15" t="s">
        <v>1021</v>
      </c>
      <c r="C400" s="15" t="s">
        <v>1022</v>
      </c>
      <c r="D400" s="14" t="s">
        <v>1023</v>
      </c>
      <c r="E400" s="15" t="s">
        <v>108</v>
      </c>
      <c r="F400" s="14" t="s">
        <v>28</v>
      </c>
      <c r="G400" s="15" t="s">
        <v>23</v>
      </c>
      <c r="H400" s="15" t="s">
        <v>1525</v>
      </c>
      <c r="I400" s="15">
        <v>201410</v>
      </c>
      <c r="J400" s="16">
        <v>293.01</v>
      </c>
      <c r="K400" s="44">
        <f t="shared" si="32"/>
        <v>41913</v>
      </c>
      <c r="L400" s="45">
        <f t="shared" ref="L400:L470" si="34">((YEAR($L$1)-YEAR(K400))*12+MONTH($L$1)-MONTH(K400))</f>
        <v>8</v>
      </c>
      <c r="M400" s="17">
        <v>1.4833299999999999E-3</v>
      </c>
      <c r="N400" s="46">
        <f t="shared" ref="N400:N470" si="35">M400*L400*J400</f>
        <v>3.4770441863999997</v>
      </c>
      <c r="O400" s="16"/>
      <c r="P400" s="48"/>
      <c r="Q400" s="16"/>
      <c r="R400" s="48">
        <f t="shared" si="33"/>
        <v>94.999335937500007</v>
      </c>
      <c r="S400" s="14"/>
    </row>
    <row r="401" spans="1:19">
      <c r="A401" s="14" t="s">
        <v>66</v>
      </c>
      <c r="B401" s="15" t="s">
        <v>1105</v>
      </c>
      <c r="C401" s="15" t="s">
        <v>1106</v>
      </c>
      <c r="D401" s="14" t="s">
        <v>1107</v>
      </c>
      <c r="E401" s="15" t="s">
        <v>466</v>
      </c>
      <c r="F401" s="14" t="s">
        <v>467</v>
      </c>
      <c r="G401" s="15" t="s">
        <v>23</v>
      </c>
      <c r="H401" s="15" t="s">
        <v>1527</v>
      </c>
      <c r="I401" s="15">
        <v>201410</v>
      </c>
      <c r="J401" s="16">
        <v>1314.76</v>
      </c>
      <c r="K401" s="44">
        <f t="shared" si="32"/>
        <v>41913</v>
      </c>
      <c r="L401" s="45">
        <f t="shared" si="34"/>
        <v>8</v>
      </c>
      <c r="M401" s="17">
        <v>2.23333E-3</v>
      </c>
      <c r="N401" s="46">
        <f t="shared" si="35"/>
        <v>23.4903436064</v>
      </c>
      <c r="O401" s="16"/>
      <c r="P401" s="48"/>
      <c r="Q401" s="16"/>
      <c r="R401" s="48">
        <f t="shared" si="33"/>
        <v>426.26984375000006</v>
      </c>
      <c r="S401" s="14"/>
    </row>
    <row r="402" spans="1:19">
      <c r="A402" s="203" t="s">
        <v>1584</v>
      </c>
      <c r="B402" s="204" t="s">
        <v>1586</v>
      </c>
      <c r="C402" s="204" t="s">
        <v>1587</v>
      </c>
      <c r="D402" s="203" t="s">
        <v>1588</v>
      </c>
      <c r="E402" s="204" t="s">
        <v>1589</v>
      </c>
      <c r="F402" s="203" t="s">
        <v>1590</v>
      </c>
      <c r="G402" s="204" t="s">
        <v>23</v>
      </c>
      <c r="H402" s="15" t="s">
        <v>1530</v>
      </c>
      <c r="I402" s="204">
        <v>201410</v>
      </c>
      <c r="J402" s="205">
        <v>10750.98</v>
      </c>
      <c r="K402" s="44">
        <f t="shared" si="32"/>
        <v>41913</v>
      </c>
      <c r="L402" s="45">
        <f t="shared" ref="L402:L408" si="36">((YEAR($L$1)-YEAR(K402))*12+MONTH($L$1)-MONTH(K402))</f>
        <v>8</v>
      </c>
      <c r="M402" s="206">
        <v>2.0333333000000001E-3</v>
      </c>
      <c r="N402" s="46">
        <f t="shared" si="35"/>
        <v>174.88260513307199</v>
      </c>
      <c r="O402" s="14"/>
      <c r="P402" s="48"/>
      <c r="Q402" s="16"/>
      <c r="R402" s="48">
        <f t="shared" si="33"/>
        <v>3485.6692968750003</v>
      </c>
      <c r="S402" s="14"/>
    </row>
    <row r="403" spans="1:19">
      <c r="A403" s="203" t="s">
        <v>1584</v>
      </c>
      <c r="B403" s="204" t="s">
        <v>1591</v>
      </c>
      <c r="C403" s="204" t="s">
        <v>1592</v>
      </c>
      <c r="D403" s="203" t="s">
        <v>1593</v>
      </c>
      <c r="E403" s="204" t="s">
        <v>1594</v>
      </c>
      <c r="F403" s="203" t="s">
        <v>1590</v>
      </c>
      <c r="G403" s="204" t="s">
        <v>23</v>
      </c>
      <c r="H403" s="15" t="s">
        <v>1530</v>
      </c>
      <c r="I403" s="204">
        <v>201410</v>
      </c>
      <c r="J403" s="205">
        <v>2397.15</v>
      </c>
      <c r="K403" s="44">
        <f t="shared" si="32"/>
        <v>41913</v>
      </c>
      <c r="L403" s="45">
        <f t="shared" si="36"/>
        <v>8</v>
      </c>
      <c r="M403" s="206">
        <v>2.0333333000000001E-3</v>
      </c>
      <c r="N403" s="46">
        <f t="shared" si="35"/>
        <v>38.993639360760007</v>
      </c>
      <c r="O403" s="14"/>
      <c r="P403" s="48"/>
      <c r="Q403" s="16"/>
      <c r="R403" s="48">
        <f t="shared" si="33"/>
        <v>777.20097656250005</v>
      </c>
      <c r="S403" s="14"/>
    </row>
    <row r="404" spans="1:19">
      <c r="A404" s="203" t="s">
        <v>1584</v>
      </c>
      <c r="B404" s="204" t="s">
        <v>1595</v>
      </c>
      <c r="C404" s="204" t="s">
        <v>1596</v>
      </c>
      <c r="D404" s="203" t="s">
        <v>1593</v>
      </c>
      <c r="E404" s="204" t="s">
        <v>1597</v>
      </c>
      <c r="F404" s="203" t="s">
        <v>1590</v>
      </c>
      <c r="G404" s="204" t="s">
        <v>23</v>
      </c>
      <c r="H404" s="15" t="s">
        <v>1530</v>
      </c>
      <c r="I404" s="204">
        <v>201410</v>
      </c>
      <c r="J404" s="205">
        <v>26051.41</v>
      </c>
      <c r="K404" s="44">
        <f t="shared" si="32"/>
        <v>41913</v>
      </c>
      <c r="L404" s="45">
        <f t="shared" si="36"/>
        <v>8</v>
      </c>
      <c r="M404" s="206">
        <v>2.0333333000000001E-3</v>
      </c>
      <c r="N404" s="46">
        <f t="shared" si="35"/>
        <v>423.76959571962402</v>
      </c>
      <c r="O404" s="14"/>
      <c r="P404" s="48"/>
      <c r="Q404" s="16"/>
      <c r="R404" s="48">
        <f t="shared" si="33"/>
        <v>8446.355585937501</v>
      </c>
      <c r="S404" s="14"/>
    </row>
    <row r="405" spans="1:19">
      <c r="A405" s="203" t="s">
        <v>1584</v>
      </c>
      <c r="B405" s="204" t="s">
        <v>1598</v>
      </c>
      <c r="C405" s="204" t="s">
        <v>1599</v>
      </c>
      <c r="D405" s="203" t="s">
        <v>1600</v>
      </c>
      <c r="E405" s="204" t="s">
        <v>1601</v>
      </c>
      <c r="F405" s="203" t="s">
        <v>1590</v>
      </c>
      <c r="G405" s="204" t="s">
        <v>23</v>
      </c>
      <c r="H405" s="15" t="s">
        <v>1530</v>
      </c>
      <c r="I405" s="204">
        <v>201410</v>
      </c>
      <c r="J405" s="205">
        <v>8169.02</v>
      </c>
      <c r="K405" s="44">
        <f t="shared" si="32"/>
        <v>41913</v>
      </c>
      <c r="L405" s="45">
        <f t="shared" si="36"/>
        <v>8</v>
      </c>
      <c r="M405" s="206">
        <v>2.0333333000000001E-3</v>
      </c>
      <c r="N405" s="46">
        <f t="shared" si="35"/>
        <v>132.88272315492802</v>
      </c>
      <c r="O405" s="14"/>
      <c r="P405" s="48"/>
      <c r="Q405" s="16"/>
      <c r="R405" s="48">
        <f t="shared" si="33"/>
        <v>2648.5494531250006</v>
      </c>
      <c r="S405" s="14"/>
    </row>
    <row r="406" spans="1:19">
      <c r="A406" s="203" t="s">
        <v>1584</v>
      </c>
      <c r="B406" s="204" t="s">
        <v>1605</v>
      </c>
      <c r="C406" s="204" t="s">
        <v>1606</v>
      </c>
      <c r="D406" s="203" t="s">
        <v>1607</v>
      </c>
      <c r="E406" s="204" t="s">
        <v>1608</v>
      </c>
      <c r="F406" s="203" t="s">
        <v>1590</v>
      </c>
      <c r="G406" s="204" t="s">
        <v>23</v>
      </c>
      <c r="H406" s="15" t="s">
        <v>1530</v>
      </c>
      <c r="I406" s="204">
        <v>201410</v>
      </c>
      <c r="J406" s="205">
        <v>18008.71</v>
      </c>
      <c r="K406" s="44">
        <f t="shared" si="32"/>
        <v>41913</v>
      </c>
      <c r="L406" s="45">
        <f t="shared" si="36"/>
        <v>8</v>
      </c>
      <c r="M406" s="206">
        <v>2.0333333000000001E-3</v>
      </c>
      <c r="N406" s="46">
        <f t="shared" si="35"/>
        <v>292.941677864344</v>
      </c>
      <c r="O406" s="14"/>
      <c r="P406" s="48"/>
      <c r="Q406" s="16"/>
      <c r="R406" s="48">
        <f t="shared" si="33"/>
        <v>5838.7614453125007</v>
      </c>
      <c r="S406" s="14"/>
    </row>
    <row r="407" spans="1:19">
      <c r="A407" s="203" t="s">
        <v>1584</v>
      </c>
      <c r="B407" s="204" t="s">
        <v>1612</v>
      </c>
      <c r="C407" s="204" t="s">
        <v>1613</v>
      </c>
      <c r="D407" s="203" t="s">
        <v>1588</v>
      </c>
      <c r="E407" s="204" t="s">
        <v>1614</v>
      </c>
      <c r="F407" s="203" t="s">
        <v>1590</v>
      </c>
      <c r="G407" s="204" t="s">
        <v>23</v>
      </c>
      <c r="H407" s="15" t="s">
        <v>1530</v>
      </c>
      <c r="I407" s="204">
        <v>201410</v>
      </c>
      <c r="J407" s="205">
        <v>434.13</v>
      </c>
      <c r="K407" s="44">
        <f t="shared" si="32"/>
        <v>41913</v>
      </c>
      <c r="L407" s="45">
        <f t="shared" si="36"/>
        <v>8</v>
      </c>
      <c r="M407" s="206">
        <v>2.0333333000000001E-3</v>
      </c>
      <c r="N407" s="46">
        <f t="shared" si="35"/>
        <v>7.0618478842320007</v>
      </c>
      <c r="O407" s="14"/>
      <c r="P407" s="48"/>
      <c r="Q407" s="16"/>
      <c r="R407" s="48">
        <f t="shared" si="33"/>
        <v>140.75308593750003</v>
      </c>
      <c r="S407" s="14"/>
    </row>
    <row r="408" spans="1:19">
      <c r="A408" s="203" t="s">
        <v>1584</v>
      </c>
      <c r="B408" s="204" t="s">
        <v>1615</v>
      </c>
      <c r="C408" s="204" t="s">
        <v>1616</v>
      </c>
      <c r="D408" s="203" t="s">
        <v>1593</v>
      </c>
      <c r="E408" s="204" t="s">
        <v>1617</v>
      </c>
      <c r="F408" s="203" t="s">
        <v>1590</v>
      </c>
      <c r="G408" s="204" t="s">
        <v>23</v>
      </c>
      <c r="H408" s="15" t="s">
        <v>1530</v>
      </c>
      <c r="I408" s="204">
        <v>201410</v>
      </c>
      <c r="J408" s="205">
        <v>4029.73</v>
      </c>
      <c r="K408" s="44">
        <f t="shared" si="32"/>
        <v>41913</v>
      </c>
      <c r="L408" s="45">
        <f t="shared" si="36"/>
        <v>8</v>
      </c>
      <c r="M408" s="206">
        <v>2.0333333000000001E-3</v>
      </c>
      <c r="N408" s="46">
        <f t="shared" si="35"/>
        <v>65.550273592072003</v>
      </c>
      <c r="O408" s="14"/>
      <c r="P408" s="48"/>
      <c r="Q408" s="16"/>
      <c r="R408" s="48">
        <f t="shared" si="33"/>
        <v>1306.5140234375003</v>
      </c>
      <c r="S408" s="14"/>
    </row>
    <row r="409" spans="1:19">
      <c r="A409" s="14" t="s">
        <v>54</v>
      </c>
      <c r="B409" s="15" t="s">
        <v>55</v>
      </c>
      <c r="C409" s="15" t="s">
        <v>56</v>
      </c>
      <c r="D409" s="14" t="s">
        <v>57</v>
      </c>
      <c r="E409" s="15" t="s">
        <v>58</v>
      </c>
      <c r="F409" s="14" t="s">
        <v>22</v>
      </c>
      <c r="G409" s="15" t="s">
        <v>23</v>
      </c>
      <c r="H409" s="15" t="s">
        <v>1525</v>
      </c>
      <c r="I409" s="15">
        <v>201411</v>
      </c>
      <c r="J409" s="16">
        <v>180848.77</v>
      </c>
      <c r="K409" s="44">
        <v>41944</v>
      </c>
      <c r="L409" s="45">
        <f t="shared" si="34"/>
        <v>7</v>
      </c>
      <c r="M409" s="17">
        <v>1.4833299999999999E-3</v>
      </c>
      <c r="N409" s="46">
        <f t="shared" si="35"/>
        <v>1877.8088420286999</v>
      </c>
      <c r="O409" s="16"/>
      <c r="P409" s="48"/>
      <c r="Q409" s="16"/>
      <c r="R409" s="48">
        <f t="shared" si="33"/>
        <v>58634.562148437501</v>
      </c>
      <c r="S409" s="14"/>
    </row>
    <row r="410" spans="1:19">
      <c r="A410" s="14" t="s">
        <v>66</v>
      </c>
      <c r="B410" s="15" t="s">
        <v>72</v>
      </c>
      <c r="C410" s="15" t="s">
        <v>73</v>
      </c>
      <c r="D410" s="14" t="s">
        <v>74</v>
      </c>
      <c r="E410" s="15" t="s">
        <v>75</v>
      </c>
      <c r="F410" s="14" t="s">
        <v>71</v>
      </c>
      <c r="G410" s="15" t="s">
        <v>23</v>
      </c>
      <c r="H410" s="15" t="s">
        <v>1530</v>
      </c>
      <c r="I410" s="15">
        <v>201411</v>
      </c>
      <c r="J410" s="16">
        <v>75040.75</v>
      </c>
      <c r="K410" s="44">
        <f t="shared" si="32"/>
        <v>41944</v>
      </c>
      <c r="L410" s="45">
        <f t="shared" si="34"/>
        <v>7</v>
      </c>
      <c r="M410" s="17">
        <v>2.23333E-3</v>
      </c>
      <c r="N410" s="46">
        <f t="shared" si="35"/>
        <v>1173.1353073825001</v>
      </c>
      <c r="O410" s="16"/>
      <c r="P410" s="48"/>
      <c r="Q410" s="16"/>
      <c r="R410" s="48">
        <f t="shared" si="33"/>
        <v>24329.618164062504</v>
      </c>
      <c r="S410" s="14"/>
    </row>
    <row r="411" spans="1:19">
      <c r="A411" s="14" t="s">
        <v>66</v>
      </c>
      <c r="B411" s="15" t="s">
        <v>81</v>
      </c>
      <c r="C411" s="15" t="s">
        <v>82</v>
      </c>
      <c r="D411" s="14" t="s">
        <v>83</v>
      </c>
      <c r="E411" s="15" t="s">
        <v>84</v>
      </c>
      <c r="F411" s="14" t="s">
        <v>85</v>
      </c>
      <c r="G411" s="15" t="s">
        <v>23</v>
      </c>
      <c r="H411" s="15" t="s">
        <v>1530</v>
      </c>
      <c r="I411" s="15">
        <v>201411</v>
      </c>
      <c r="J411" s="16">
        <v>18288.689999999999</v>
      </c>
      <c r="K411" s="44">
        <f t="shared" si="32"/>
        <v>41944</v>
      </c>
      <c r="L411" s="45">
        <f t="shared" si="34"/>
        <v>7</v>
      </c>
      <c r="M411" s="17">
        <v>2.23333E-3</v>
      </c>
      <c r="N411" s="46">
        <f t="shared" si="35"/>
        <v>285.9127602639</v>
      </c>
      <c r="O411" s="16"/>
      <c r="P411" s="48"/>
      <c r="Q411" s="16"/>
      <c r="R411" s="48">
        <f t="shared" si="33"/>
        <v>5929.5362109375001</v>
      </c>
      <c r="S411" s="14"/>
    </row>
    <row r="412" spans="1:19">
      <c r="A412" s="14" t="s">
        <v>66</v>
      </c>
      <c r="B412" s="15" t="s">
        <v>90</v>
      </c>
      <c r="C412" s="15" t="s">
        <v>91</v>
      </c>
      <c r="D412" s="14" t="s">
        <v>78</v>
      </c>
      <c r="E412" s="15" t="s">
        <v>92</v>
      </c>
      <c r="F412" s="14" t="s">
        <v>80</v>
      </c>
      <c r="G412" s="15" t="s">
        <v>23</v>
      </c>
      <c r="H412" s="15" t="s">
        <v>1530</v>
      </c>
      <c r="I412" s="15">
        <v>201411</v>
      </c>
      <c r="J412" s="16">
        <v>25805.41</v>
      </c>
      <c r="K412" s="44">
        <f t="shared" si="32"/>
        <v>41944</v>
      </c>
      <c r="L412" s="45">
        <f t="shared" si="34"/>
        <v>7</v>
      </c>
      <c r="M412" s="17">
        <v>2.23333E-3</v>
      </c>
      <c r="N412" s="46">
        <f t="shared" si="35"/>
        <v>403.4239742071</v>
      </c>
      <c r="O412" s="16"/>
      <c r="P412" s="48"/>
      <c r="Q412" s="16"/>
      <c r="R412" s="48">
        <f t="shared" si="33"/>
        <v>8366.597773437501</v>
      </c>
      <c r="S412" s="14"/>
    </row>
    <row r="413" spans="1:19">
      <c r="A413" s="14" t="s">
        <v>17</v>
      </c>
      <c r="B413" s="15" t="s">
        <v>105</v>
      </c>
      <c r="C413" s="15" t="s">
        <v>106</v>
      </c>
      <c r="D413" s="14" t="s">
        <v>107</v>
      </c>
      <c r="E413" s="15" t="s">
        <v>108</v>
      </c>
      <c r="F413" s="14" t="s">
        <v>28</v>
      </c>
      <c r="G413" s="15" t="s">
        <v>23</v>
      </c>
      <c r="H413" s="15" t="s">
        <v>1525</v>
      </c>
      <c r="I413" s="15">
        <v>201411</v>
      </c>
      <c r="J413" s="16">
        <v>132.91</v>
      </c>
      <c r="K413" s="44">
        <f t="shared" si="32"/>
        <v>41944</v>
      </c>
      <c r="L413" s="45">
        <f t="shared" si="34"/>
        <v>7</v>
      </c>
      <c r="M413" s="17">
        <v>1.4833299999999999E-3</v>
      </c>
      <c r="N413" s="46">
        <f t="shared" si="35"/>
        <v>1.3800457320999999</v>
      </c>
      <c r="O413" s="16"/>
      <c r="P413" s="48"/>
      <c r="Q413" s="16"/>
      <c r="R413" s="48">
        <f t="shared" si="33"/>
        <v>43.091914062500003</v>
      </c>
      <c r="S413" s="14"/>
    </row>
    <row r="414" spans="1:19">
      <c r="A414" s="14" t="s">
        <v>54</v>
      </c>
      <c r="B414" s="15" t="s">
        <v>146</v>
      </c>
      <c r="C414" s="15" t="s">
        <v>147</v>
      </c>
      <c r="D414" s="14" t="s">
        <v>148</v>
      </c>
      <c r="E414" s="15" t="s">
        <v>62</v>
      </c>
      <c r="F414" s="14" t="s">
        <v>22</v>
      </c>
      <c r="G414" s="15" t="s">
        <v>23</v>
      </c>
      <c r="H414" s="15" t="s">
        <v>1525</v>
      </c>
      <c r="I414" s="15">
        <v>201411</v>
      </c>
      <c r="J414" s="16">
        <v>800090.36</v>
      </c>
      <c r="K414" s="44">
        <f t="shared" si="32"/>
        <v>41944</v>
      </c>
      <c r="L414" s="45">
        <f t="shared" si="34"/>
        <v>7</v>
      </c>
      <c r="M414" s="17">
        <v>1.4833299999999999E-3</v>
      </c>
      <c r="N414" s="46">
        <f t="shared" si="35"/>
        <v>8307.5862358916002</v>
      </c>
      <c r="O414" s="16"/>
      <c r="P414" s="48"/>
      <c r="Q414" s="16"/>
      <c r="R414" s="48">
        <f t="shared" si="33"/>
        <v>259404.29640625004</v>
      </c>
      <c r="S414" s="14"/>
    </row>
    <row r="415" spans="1:19">
      <c r="A415" s="18" t="s">
        <v>17</v>
      </c>
      <c r="B415" s="15" t="s">
        <v>189</v>
      </c>
      <c r="C415" s="15" t="s">
        <v>190</v>
      </c>
      <c r="D415" s="14" t="s">
        <v>191</v>
      </c>
      <c r="E415" s="15" t="s">
        <v>62</v>
      </c>
      <c r="F415" s="14" t="s">
        <v>22</v>
      </c>
      <c r="G415" s="15" t="s">
        <v>23</v>
      </c>
      <c r="H415" s="15" t="s">
        <v>1525</v>
      </c>
      <c r="I415" s="15">
        <v>201411</v>
      </c>
      <c r="J415" s="16">
        <v>-151959.22</v>
      </c>
      <c r="K415" s="44">
        <f t="shared" si="32"/>
        <v>41944</v>
      </c>
      <c r="L415" s="45">
        <f t="shared" si="34"/>
        <v>7</v>
      </c>
      <c r="M415" s="17">
        <v>1.4833299999999999E-3</v>
      </c>
      <c r="N415" s="46">
        <f t="shared" si="35"/>
        <v>-1577.8396886181999</v>
      </c>
      <c r="O415" s="16"/>
      <c r="P415" s="48"/>
      <c r="Q415" s="16"/>
      <c r="R415" s="48">
        <f t="shared" si="33"/>
        <v>-49268.028359375006</v>
      </c>
      <c r="S415" s="14"/>
    </row>
    <row r="416" spans="1:19">
      <c r="A416" s="18" t="s">
        <v>54</v>
      </c>
      <c r="B416" s="15" t="s">
        <v>189</v>
      </c>
      <c r="C416" s="15" t="s">
        <v>190</v>
      </c>
      <c r="D416" s="14" t="s">
        <v>191</v>
      </c>
      <c r="E416" s="15" t="s">
        <v>62</v>
      </c>
      <c r="F416" s="14" t="s">
        <v>22</v>
      </c>
      <c r="G416" s="15" t="s">
        <v>23</v>
      </c>
      <c r="H416" s="15" t="s">
        <v>1525</v>
      </c>
      <c r="I416" s="15">
        <v>201411</v>
      </c>
      <c r="J416" s="16">
        <v>151959.22</v>
      </c>
      <c r="K416" s="44">
        <f t="shared" si="32"/>
        <v>41944</v>
      </c>
      <c r="L416" s="45">
        <f t="shared" si="34"/>
        <v>7</v>
      </c>
      <c r="M416" s="17">
        <v>1.4833299999999999E-3</v>
      </c>
      <c r="N416" s="46">
        <f t="shared" si="35"/>
        <v>1577.8396886181999</v>
      </c>
      <c r="O416" s="16"/>
      <c r="P416" s="48"/>
      <c r="Q416" s="16"/>
      <c r="R416" s="48">
        <f t="shared" si="33"/>
        <v>49268.028359375006</v>
      </c>
      <c r="S416" s="14"/>
    </row>
    <row r="417" spans="1:19">
      <c r="A417" s="14" t="s">
        <v>66</v>
      </c>
      <c r="B417" s="15" t="s">
        <v>192</v>
      </c>
      <c r="C417" s="15" t="s">
        <v>193</v>
      </c>
      <c r="D417" s="14" t="s">
        <v>194</v>
      </c>
      <c r="E417" s="15" t="s">
        <v>195</v>
      </c>
      <c r="F417" s="14" t="s">
        <v>196</v>
      </c>
      <c r="G417" s="15" t="s">
        <v>23</v>
      </c>
      <c r="H417" s="15" t="s">
        <v>1530</v>
      </c>
      <c r="I417" s="15">
        <v>201411</v>
      </c>
      <c r="J417" s="16">
        <v>-2.78</v>
      </c>
      <c r="K417" s="44">
        <f t="shared" si="32"/>
        <v>41944</v>
      </c>
      <c r="L417" s="45">
        <f t="shared" si="34"/>
        <v>7</v>
      </c>
      <c r="M417" s="17">
        <v>2.23333E-3</v>
      </c>
      <c r="N417" s="46">
        <f t="shared" si="35"/>
        <v>-4.3460601799999998E-2</v>
      </c>
      <c r="O417" s="16"/>
      <c r="P417" s="48"/>
      <c r="Q417" s="16"/>
      <c r="R417" s="48">
        <f t="shared" si="33"/>
        <v>-0.90132812500000004</v>
      </c>
      <c r="S417" s="14"/>
    </row>
    <row r="418" spans="1:19">
      <c r="A418" s="14" t="s">
        <v>66</v>
      </c>
      <c r="B418" s="15" t="s">
        <v>197</v>
      </c>
      <c r="C418" s="15" t="s">
        <v>198</v>
      </c>
      <c r="D418" s="14" t="s">
        <v>69</v>
      </c>
      <c r="E418" s="15" t="s">
        <v>199</v>
      </c>
      <c r="F418" s="14" t="s">
        <v>71</v>
      </c>
      <c r="G418" s="15" t="s">
        <v>23</v>
      </c>
      <c r="H418" s="15" t="s">
        <v>1530</v>
      </c>
      <c r="I418" s="15">
        <v>201411</v>
      </c>
      <c r="J418" s="16">
        <v>-444.19</v>
      </c>
      <c r="K418" s="44">
        <f t="shared" si="32"/>
        <v>41944</v>
      </c>
      <c r="L418" s="45">
        <f t="shared" si="34"/>
        <v>7</v>
      </c>
      <c r="M418" s="17">
        <v>2.23333E-3</v>
      </c>
      <c r="N418" s="46">
        <f t="shared" si="35"/>
        <v>-6.9441599689000002</v>
      </c>
      <c r="O418" s="16"/>
      <c r="P418" s="48"/>
      <c r="Q418" s="16"/>
      <c r="R418" s="48">
        <f t="shared" si="33"/>
        <v>-144.01472656250002</v>
      </c>
      <c r="S418" s="14"/>
    </row>
    <row r="419" spans="1:19">
      <c r="A419" s="14" t="s">
        <v>66</v>
      </c>
      <c r="B419" s="15" t="s">
        <v>200</v>
      </c>
      <c r="C419" s="15" t="s">
        <v>201</v>
      </c>
      <c r="D419" s="14" t="s">
        <v>202</v>
      </c>
      <c r="E419" s="15" t="s">
        <v>203</v>
      </c>
      <c r="F419" s="14" t="s">
        <v>80</v>
      </c>
      <c r="G419" s="15" t="s">
        <v>23</v>
      </c>
      <c r="H419" s="15" t="s">
        <v>1530</v>
      </c>
      <c r="I419" s="15">
        <v>201411</v>
      </c>
      <c r="J419" s="16">
        <v>8450.75</v>
      </c>
      <c r="K419" s="44">
        <f t="shared" si="32"/>
        <v>41944</v>
      </c>
      <c r="L419" s="45">
        <f t="shared" si="34"/>
        <v>7</v>
      </c>
      <c r="M419" s="17">
        <v>2.23333E-3</v>
      </c>
      <c r="N419" s="46">
        <f t="shared" si="35"/>
        <v>132.11319448250001</v>
      </c>
      <c r="O419" s="16"/>
      <c r="P419" s="48"/>
      <c r="Q419" s="16"/>
      <c r="R419" s="48">
        <f t="shared" si="33"/>
        <v>2739.8916015625</v>
      </c>
      <c r="S419" s="14"/>
    </row>
    <row r="420" spans="1:19">
      <c r="A420" s="18" t="s">
        <v>217</v>
      </c>
      <c r="B420" s="15" t="s">
        <v>218</v>
      </c>
      <c r="C420" s="15" t="s">
        <v>219</v>
      </c>
      <c r="D420" s="14" t="s">
        <v>220</v>
      </c>
      <c r="E420" s="15" t="s">
        <v>221</v>
      </c>
      <c r="F420" s="14" t="s">
        <v>222</v>
      </c>
      <c r="G420" s="15" t="s">
        <v>23</v>
      </c>
      <c r="H420" s="15" t="s">
        <v>1524</v>
      </c>
      <c r="I420" s="15">
        <v>201411</v>
      </c>
      <c r="J420" s="16">
        <v>63472.43</v>
      </c>
      <c r="K420" s="44">
        <f t="shared" si="32"/>
        <v>41944</v>
      </c>
      <c r="L420" s="45">
        <f t="shared" si="34"/>
        <v>7</v>
      </c>
      <c r="M420" s="17">
        <v>1.4833299999999999E-3</v>
      </c>
      <c r="N420" s="46">
        <f t="shared" si="35"/>
        <v>659.05391714329994</v>
      </c>
      <c r="O420" s="16"/>
      <c r="P420" s="48"/>
      <c r="Q420" s="16"/>
      <c r="R420" s="48">
        <f t="shared" si="33"/>
        <v>20578.951914062498</v>
      </c>
      <c r="S420" s="14"/>
    </row>
    <row r="421" spans="1:19">
      <c r="A421" s="14" t="s">
        <v>66</v>
      </c>
      <c r="B421" s="15" t="s">
        <v>223</v>
      </c>
      <c r="C421" s="15" t="s">
        <v>224</v>
      </c>
      <c r="D421" s="14" t="s">
        <v>88</v>
      </c>
      <c r="E421" s="15" t="s">
        <v>225</v>
      </c>
      <c r="F421" s="14" t="s">
        <v>85</v>
      </c>
      <c r="G421" s="15" t="s">
        <v>23</v>
      </c>
      <c r="H421" s="15" t="s">
        <v>1530</v>
      </c>
      <c r="I421" s="15">
        <v>201411</v>
      </c>
      <c r="J421" s="16">
        <v>-864.28</v>
      </c>
      <c r="K421" s="44">
        <f t="shared" si="32"/>
        <v>41944</v>
      </c>
      <c r="L421" s="45">
        <f t="shared" si="34"/>
        <v>7</v>
      </c>
      <c r="M421" s="17">
        <v>2.23333E-3</v>
      </c>
      <c r="N421" s="46">
        <f t="shared" si="35"/>
        <v>-13.511557166800001</v>
      </c>
      <c r="O421" s="16"/>
      <c r="P421" s="48"/>
      <c r="Q421" s="16"/>
      <c r="R421" s="48">
        <f t="shared" si="33"/>
        <v>-280.21578125000002</v>
      </c>
      <c r="S421" s="14"/>
    </row>
    <row r="422" spans="1:19">
      <c r="A422" s="14" t="s">
        <v>66</v>
      </c>
      <c r="B422" s="15" t="s">
        <v>226</v>
      </c>
      <c r="C422" s="15" t="s">
        <v>227</v>
      </c>
      <c r="D422" s="14" t="s">
        <v>78</v>
      </c>
      <c r="E422" s="15" t="s">
        <v>228</v>
      </c>
      <c r="F422" s="14" t="s">
        <v>80</v>
      </c>
      <c r="G422" s="15" t="s">
        <v>23</v>
      </c>
      <c r="H422" s="15" t="s">
        <v>1530</v>
      </c>
      <c r="I422" s="15">
        <v>201411</v>
      </c>
      <c r="J422" s="16">
        <v>-783.88</v>
      </c>
      <c r="K422" s="44">
        <f t="shared" si="32"/>
        <v>41944</v>
      </c>
      <c r="L422" s="45">
        <f t="shared" si="34"/>
        <v>7</v>
      </c>
      <c r="M422" s="17">
        <v>2.23333E-3</v>
      </c>
      <c r="N422" s="46">
        <f t="shared" si="35"/>
        <v>-12.254639042800001</v>
      </c>
      <c r="O422" s="16"/>
      <c r="P422" s="48"/>
      <c r="Q422" s="16"/>
      <c r="R422" s="48">
        <f t="shared" si="33"/>
        <v>-254.14859375000003</v>
      </c>
      <c r="S422" s="14"/>
    </row>
    <row r="423" spans="1:19">
      <c r="A423" s="14" t="s">
        <v>66</v>
      </c>
      <c r="B423" s="15" t="s">
        <v>229</v>
      </c>
      <c r="C423" s="15" t="s">
        <v>230</v>
      </c>
      <c r="D423" s="14" t="s">
        <v>78</v>
      </c>
      <c r="E423" s="15" t="s">
        <v>231</v>
      </c>
      <c r="F423" s="14" t="s">
        <v>80</v>
      </c>
      <c r="G423" s="15" t="s">
        <v>23</v>
      </c>
      <c r="H423" s="15" t="s">
        <v>1530</v>
      </c>
      <c r="I423" s="15">
        <v>201411</v>
      </c>
      <c r="J423" s="16">
        <v>-3450.23</v>
      </c>
      <c r="K423" s="44">
        <f t="shared" si="32"/>
        <v>41944</v>
      </c>
      <c r="L423" s="45">
        <f t="shared" si="34"/>
        <v>7</v>
      </c>
      <c r="M423" s="17">
        <v>2.23333E-3</v>
      </c>
      <c r="N423" s="46">
        <f t="shared" si="35"/>
        <v>-53.938515161300003</v>
      </c>
      <c r="O423" s="16"/>
      <c r="P423" s="48"/>
      <c r="Q423" s="16"/>
      <c r="R423" s="48">
        <f t="shared" si="33"/>
        <v>-1118.6292578125001</v>
      </c>
      <c r="S423" s="14"/>
    </row>
    <row r="424" spans="1:19">
      <c r="A424" s="14" t="s">
        <v>54</v>
      </c>
      <c r="B424" s="15" t="s">
        <v>303</v>
      </c>
      <c r="C424" s="15" t="s">
        <v>304</v>
      </c>
      <c r="D424" s="14" t="s">
        <v>305</v>
      </c>
      <c r="E424" s="15" t="s">
        <v>104</v>
      </c>
      <c r="F424" s="14" t="s">
        <v>41</v>
      </c>
      <c r="G424" s="15" t="s">
        <v>23</v>
      </c>
      <c r="H424" s="15" t="s">
        <v>1526</v>
      </c>
      <c r="I424" s="15">
        <v>201411</v>
      </c>
      <c r="J424" s="16">
        <v>0</v>
      </c>
      <c r="K424" s="44">
        <f t="shared" si="32"/>
        <v>41944</v>
      </c>
      <c r="L424" s="45">
        <f t="shared" si="34"/>
        <v>7</v>
      </c>
      <c r="M424" s="17">
        <v>1.4833299999999999E-3</v>
      </c>
      <c r="N424" s="46">
        <f t="shared" si="35"/>
        <v>0</v>
      </c>
      <c r="O424" s="16"/>
      <c r="P424" s="48"/>
      <c r="Q424" s="16"/>
      <c r="R424" s="48">
        <f t="shared" si="33"/>
        <v>0</v>
      </c>
      <c r="S424" s="14"/>
    </row>
    <row r="425" spans="1:19">
      <c r="A425" s="14" t="s">
        <v>54</v>
      </c>
      <c r="B425" s="15" t="s">
        <v>309</v>
      </c>
      <c r="C425" s="15" t="s">
        <v>310</v>
      </c>
      <c r="D425" s="14" t="s">
        <v>311</v>
      </c>
      <c r="E425" s="15" t="s">
        <v>216</v>
      </c>
      <c r="F425" s="14" t="s">
        <v>22</v>
      </c>
      <c r="G425" s="15" t="s">
        <v>23</v>
      </c>
      <c r="H425" s="15" t="s">
        <v>1525</v>
      </c>
      <c r="I425" s="15">
        <v>201411</v>
      </c>
      <c r="J425" s="16">
        <v>40780.9</v>
      </c>
      <c r="K425" s="44">
        <f t="shared" si="32"/>
        <v>41944</v>
      </c>
      <c r="L425" s="45">
        <f t="shared" si="34"/>
        <v>7</v>
      </c>
      <c r="M425" s="17">
        <v>1.4833299999999999E-3</v>
      </c>
      <c r="N425" s="46">
        <f t="shared" si="35"/>
        <v>423.44072677899999</v>
      </c>
      <c r="O425" s="16"/>
      <c r="P425" s="48"/>
      <c r="Q425" s="16"/>
      <c r="R425" s="48">
        <f t="shared" si="33"/>
        <v>13221.932421875001</v>
      </c>
      <c r="S425" s="14"/>
    </row>
    <row r="426" spans="1:19">
      <c r="A426" s="14" t="s">
        <v>17</v>
      </c>
      <c r="B426" s="15" t="s">
        <v>347</v>
      </c>
      <c r="C426" s="15" t="s">
        <v>348</v>
      </c>
      <c r="D426" s="14" t="s">
        <v>349</v>
      </c>
      <c r="E426" s="15" t="s">
        <v>324</v>
      </c>
      <c r="F426" s="14" t="s">
        <v>325</v>
      </c>
      <c r="G426" s="15" t="s">
        <v>23</v>
      </c>
      <c r="H426" s="15" t="s">
        <v>1525</v>
      </c>
      <c r="I426" s="15">
        <v>201411</v>
      </c>
      <c r="J426" s="16">
        <v>1085.29</v>
      </c>
      <c r="K426" s="44">
        <f t="shared" si="32"/>
        <v>41944</v>
      </c>
      <c r="L426" s="45">
        <f t="shared" si="34"/>
        <v>7</v>
      </c>
      <c r="M426" s="17">
        <v>1.4833299999999999E-3</v>
      </c>
      <c r="N426" s="46">
        <f t="shared" si="35"/>
        <v>11.2689025099</v>
      </c>
      <c r="O426" s="16"/>
      <c r="P426" s="48"/>
      <c r="Q426" s="16"/>
      <c r="R426" s="48">
        <f t="shared" si="33"/>
        <v>351.87136718750003</v>
      </c>
      <c r="S426" s="14"/>
    </row>
    <row r="427" spans="1:19">
      <c r="A427" s="14" t="s">
        <v>54</v>
      </c>
      <c r="B427" s="15" t="s">
        <v>359</v>
      </c>
      <c r="C427" s="15" t="s">
        <v>360</v>
      </c>
      <c r="D427" s="14" t="s">
        <v>361</v>
      </c>
      <c r="E427" s="15" t="s">
        <v>362</v>
      </c>
      <c r="F427" s="14" t="s">
        <v>41</v>
      </c>
      <c r="G427" s="15" t="s">
        <v>23</v>
      </c>
      <c r="H427" s="15" t="s">
        <v>1526</v>
      </c>
      <c r="I427" s="15">
        <v>201411</v>
      </c>
      <c r="J427" s="16">
        <v>-76.47</v>
      </c>
      <c r="K427" s="44">
        <f t="shared" si="32"/>
        <v>41944</v>
      </c>
      <c r="L427" s="45">
        <f t="shared" si="34"/>
        <v>7</v>
      </c>
      <c r="M427" s="17">
        <v>1.4833299999999999E-3</v>
      </c>
      <c r="N427" s="46">
        <f t="shared" si="35"/>
        <v>-0.79401171569999995</v>
      </c>
      <c r="O427" s="16"/>
      <c r="P427" s="48"/>
      <c r="Q427" s="16"/>
      <c r="R427" s="48">
        <f t="shared" si="33"/>
        <v>-24.793007812500001</v>
      </c>
      <c r="S427" s="14"/>
    </row>
    <row r="428" spans="1:19">
      <c r="A428" s="14" t="s">
        <v>17</v>
      </c>
      <c r="B428" s="15" t="s">
        <v>366</v>
      </c>
      <c r="C428" s="15" t="s">
        <v>367</v>
      </c>
      <c r="D428" s="14" t="s">
        <v>368</v>
      </c>
      <c r="E428" s="15" t="s">
        <v>369</v>
      </c>
      <c r="F428" s="14" t="s">
        <v>41</v>
      </c>
      <c r="G428" s="15" t="s">
        <v>23</v>
      </c>
      <c r="H428" s="15" t="s">
        <v>1526</v>
      </c>
      <c r="I428" s="15">
        <v>201411</v>
      </c>
      <c r="J428" s="16">
        <v>3575265.61</v>
      </c>
      <c r="K428" s="44">
        <f t="shared" ref="K428:K491" si="37">+K427</f>
        <v>41944</v>
      </c>
      <c r="L428" s="45">
        <f t="shared" si="34"/>
        <v>7</v>
      </c>
      <c r="M428" s="17">
        <v>1.4833299999999999E-3</v>
      </c>
      <c r="N428" s="46">
        <f t="shared" si="35"/>
        <v>37123.091160969096</v>
      </c>
      <c r="O428" s="16"/>
      <c r="P428" s="48"/>
      <c r="Q428" s="16"/>
      <c r="R428" s="48">
        <f t="shared" si="33"/>
        <v>1159168.1469921875</v>
      </c>
      <c r="S428" s="14"/>
    </row>
    <row r="429" spans="1:19">
      <c r="A429" s="14" t="s">
        <v>17</v>
      </c>
      <c r="B429" s="15" t="s">
        <v>366</v>
      </c>
      <c r="C429" s="15" t="s">
        <v>367</v>
      </c>
      <c r="D429" s="14" t="s">
        <v>370</v>
      </c>
      <c r="E429" s="15" t="s">
        <v>369</v>
      </c>
      <c r="F429" s="14" t="s">
        <v>41</v>
      </c>
      <c r="G429" s="15" t="s">
        <v>23</v>
      </c>
      <c r="H429" s="15" t="s">
        <v>1526</v>
      </c>
      <c r="I429" s="15">
        <v>201411</v>
      </c>
      <c r="J429" s="16">
        <v>-1179275</v>
      </c>
      <c r="K429" s="44">
        <f t="shared" si="37"/>
        <v>41944</v>
      </c>
      <c r="L429" s="45">
        <f t="shared" si="34"/>
        <v>7</v>
      </c>
      <c r="M429" s="17">
        <v>1.4833299999999999E-3</v>
      </c>
      <c r="N429" s="46">
        <f t="shared" si="35"/>
        <v>-12244.777900249999</v>
      </c>
      <c r="O429" s="16"/>
      <c r="P429" s="48"/>
      <c r="Q429" s="16"/>
      <c r="R429" s="48">
        <f t="shared" si="33"/>
        <v>-382343.06640625</v>
      </c>
      <c r="S429" s="14"/>
    </row>
    <row r="430" spans="1:19">
      <c r="A430" s="14" t="s">
        <v>66</v>
      </c>
      <c r="B430" s="15" t="s">
        <v>371</v>
      </c>
      <c r="C430" s="15" t="s">
        <v>372</v>
      </c>
      <c r="D430" s="14" t="s">
        <v>88</v>
      </c>
      <c r="E430" s="15" t="s">
        <v>373</v>
      </c>
      <c r="F430" s="14" t="s">
        <v>85</v>
      </c>
      <c r="G430" s="15" t="s">
        <v>23</v>
      </c>
      <c r="H430" s="15" t="s">
        <v>1530</v>
      </c>
      <c r="I430" s="15">
        <v>201411</v>
      </c>
      <c r="J430" s="16">
        <v>-288.35000000000002</v>
      </c>
      <c r="K430" s="44">
        <f t="shared" si="37"/>
        <v>41944</v>
      </c>
      <c r="L430" s="45">
        <f t="shared" si="34"/>
        <v>7</v>
      </c>
      <c r="M430" s="17">
        <v>2.23333E-3</v>
      </c>
      <c r="N430" s="46">
        <f t="shared" si="35"/>
        <v>-4.5078649385000009</v>
      </c>
      <c r="O430" s="16"/>
      <c r="P430" s="48"/>
      <c r="Q430" s="16"/>
      <c r="R430" s="48">
        <f t="shared" ref="R430:R493" si="38">$R$300*J430*$U$9</f>
        <v>-93.488476562500011</v>
      </c>
      <c r="S430" s="14"/>
    </row>
    <row r="431" spans="1:19">
      <c r="A431" s="14" t="s">
        <v>66</v>
      </c>
      <c r="B431" s="15" t="s">
        <v>374</v>
      </c>
      <c r="C431" s="15" t="s">
        <v>375</v>
      </c>
      <c r="D431" s="14" t="s">
        <v>376</v>
      </c>
      <c r="E431" s="15" t="s">
        <v>377</v>
      </c>
      <c r="F431" s="14" t="s">
        <v>378</v>
      </c>
      <c r="G431" s="15" t="s">
        <v>23</v>
      </c>
      <c r="H431" s="15" t="s">
        <v>1530</v>
      </c>
      <c r="I431" s="15">
        <v>201411</v>
      </c>
      <c r="J431" s="16">
        <v>-119.93</v>
      </c>
      <c r="K431" s="44">
        <f t="shared" si="37"/>
        <v>41944</v>
      </c>
      <c r="L431" s="45">
        <f t="shared" si="34"/>
        <v>7</v>
      </c>
      <c r="M431" s="17">
        <v>2.23333E-3</v>
      </c>
      <c r="N431" s="46">
        <f t="shared" si="35"/>
        <v>-1.8749028683000002</v>
      </c>
      <c r="O431" s="16"/>
      <c r="P431" s="48"/>
      <c r="Q431" s="16"/>
      <c r="R431" s="48">
        <f t="shared" si="38"/>
        <v>-38.883554687500002</v>
      </c>
      <c r="S431" s="14"/>
    </row>
    <row r="432" spans="1:19">
      <c r="A432" s="14" t="s">
        <v>66</v>
      </c>
      <c r="B432" s="15" t="s">
        <v>379</v>
      </c>
      <c r="C432" s="15" t="s">
        <v>380</v>
      </c>
      <c r="D432" s="14" t="s">
        <v>381</v>
      </c>
      <c r="E432" s="15" t="s">
        <v>382</v>
      </c>
      <c r="F432" s="14" t="s">
        <v>212</v>
      </c>
      <c r="G432" s="15" t="s">
        <v>23</v>
      </c>
      <c r="H432" s="15" t="s">
        <v>1530</v>
      </c>
      <c r="I432" s="15">
        <v>201411</v>
      </c>
      <c r="J432" s="16">
        <v>8632.84</v>
      </c>
      <c r="K432" s="44">
        <f t="shared" si="37"/>
        <v>41944</v>
      </c>
      <c r="L432" s="45">
        <f t="shared" si="34"/>
        <v>7</v>
      </c>
      <c r="M432" s="17">
        <v>2.23333E-3</v>
      </c>
      <c r="N432" s="46">
        <f t="shared" si="35"/>
        <v>134.95986390040002</v>
      </c>
      <c r="O432" s="16"/>
      <c r="P432" s="48"/>
      <c r="Q432" s="16"/>
      <c r="R432" s="48">
        <f t="shared" si="38"/>
        <v>2798.9285937499999</v>
      </c>
      <c r="S432" s="14"/>
    </row>
    <row r="433" spans="1:19">
      <c r="A433" s="14" t="s">
        <v>66</v>
      </c>
      <c r="B433" s="15" t="s">
        <v>383</v>
      </c>
      <c r="C433" s="15" t="s">
        <v>384</v>
      </c>
      <c r="D433" s="14" t="s">
        <v>385</v>
      </c>
      <c r="E433" s="15" t="s">
        <v>386</v>
      </c>
      <c r="F433" s="14" t="s">
        <v>387</v>
      </c>
      <c r="G433" s="15" t="s">
        <v>23</v>
      </c>
      <c r="H433" s="15" t="s">
        <v>1530</v>
      </c>
      <c r="I433" s="15">
        <v>201411</v>
      </c>
      <c r="J433" s="16">
        <v>112142.79</v>
      </c>
      <c r="K433" s="44">
        <f t="shared" si="37"/>
        <v>41944</v>
      </c>
      <c r="L433" s="45">
        <f t="shared" si="34"/>
        <v>7</v>
      </c>
      <c r="M433" s="17">
        <v>2.23333E-3</v>
      </c>
      <c r="N433" s="46">
        <f t="shared" si="35"/>
        <v>1753.1630003349001</v>
      </c>
      <c r="O433" s="16"/>
      <c r="P433" s="48"/>
      <c r="Q433" s="16"/>
      <c r="R433" s="48">
        <f t="shared" si="38"/>
        <v>36358.795195312501</v>
      </c>
      <c r="S433" s="14"/>
    </row>
    <row r="434" spans="1:19">
      <c r="A434" s="14" t="s">
        <v>66</v>
      </c>
      <c r="B434" s="15" t="s">
        <v>388</v>
      </c>
      <c r="C434" s="15" t="s">
        <v>389</v>
      </c>
      <c r="D434" s="14" t="s">
        <v>385</v>
      </c>
      <c r="E434" s="15" t="s">
        <v>390</v>
      </c>
      <c r="F434" s="14" t="s">
        <v>387</v>
      </c>
      <c r="G434" s="15" t="s">
        <v>23</v>
      </c>
      <c r="H434" s="15" t="s">
        <v>1530</v>
      </c>
      <c r="I434" s="15">
        <v>201411</v>
      </c>
      <c r="J434" s="16">
        <v>8594.43</v>
      </c>
      <c r="K434" s="44">
        <f t="shared" si="37"/>
        <v>41944</v>
      </c>
      <c r="L434" s="45">
        <f t="shared" si="34"/>
        <v>7</v>
      </c>
      <c r="M434" s="17">
        <v>2.23333E-3</v>
      </c>
      <c r="N434" s="46">
        <f t="shared" si="35"/>
        <v>134.35938846330001</v>
      </c>
      <c r="O434" s="16"/>
      <c r="P434" s="48"/>
      <c r="Q434" s="16"/>
      <c r="R434" s="48">
        <f t="shared" si="38"/>
        <v>2786.4753515625007</v>
      </c>
      <c r="S434" s="14"/>
    </row>
    <row r="435" spans="1:19">
      <c r="A435" s="14" t="s">
        <v>17</v>
      </c>
      <c r="B435" s="15" t="s">
        <v>391</v>
      </c>
      <c r="C435" s="15" t="s">
        <v>392</v>
      </c>
      <c r="D435" s="14" t="s">
        <v>393</v>
      </c>
      <c r="E435" s="15" t="s">
        <v>394</v>
      </c>
      <c r="F435" s="14" t="s">
        <v>137</v>
      </c>
      <c r="G435" s="15" t="s">
        <v>23</v>
      </c>
      <c r="H435" s="15" t="s">
        <v>1526</v>
      </c>
      <c r="I435" s="15">
        <v>201411</v>
      </c>
      <c r="J435" s="16">
        <v>5763.59</v>
      </c>
      <c r="K435" s="44">
        <f t="shared" si="37"/>
        <v>41944</v>
      </c>
      <c r="L435" s="45">
        <f t="shared" si="34"/>
        <v>7</v>
      </c>
      <c r="M435" s="17">
        <v>1.4833299999999999E-3</v>
      </c>
      <c r="N435" s="46">
        <f t="shared" si="35"/>
        <v>59.8451416829</v>
      </c>
      <c r="O435" s="16"/>
      <c r="P435" s="48"/>
      <c r="Q435" s="16"/>
      <c r="R435" s="48">
        <f t="shared" si="38"/>
        <v>1868.6639453125003</v>
      </c>
      <c r="S435" s="14"/>
    </row>
    <row r="436" spans="1:19">
      <c r="A436" s="14" t="s">
        <v>54</v>
      </c>
      <c r="B436" s="15" t="s">
        <v>419</v>
      </c>
      <c r="C436" s="15" t="s">
        <v>420</v>
      </c>
      <c r="D436" s="14" t="s">
        <v>421</v>
      </c>
      <c r="E436" s="15" t="s">
        <v>32</v>
      </c>
      <c r="F436" s="14" t="s">
        <v>22</v>
      </c>
      <c r="G436" s="15" t="s">
        <v>23</v>
      </c>
      <c r="H436" s="15" t="s">
        <v>1525</v>
      </c>
      <c r="I436" s="15">
        <v>201411</v>
      </c>
      <c r="J436" s="16">
        <v>-3.53</v>
      </c>
      <c r="K436" s="44">
        <f t="shared" si="37"/>
        <v>41944</v>
      </c>
      <c r="L436" s="45">
        <f t="shared" si="34"/>
        <v>7</v>
      </c>
      <c r="M436" s="17">
        <v>1.4833299999999999E-3</v>
      </c>
      <c r="N436" s="46">
        <f t="shared" si="35"/>
        <v>-3.66530843E-2</v>
      </c>
      <c r="O436" s="16"/>
      <c r="P436" s="48"/>
      <c r="Q436" s="16"/>
      <c r="R436" s="48">
        <f t="shared" si="38"/>
        <v>-1.1444921875</v>
      </c>
      <c r="S436" s="14"/>
    </row>
    <row r="437" spans="1:19">
      <c r="A437" s="14" t="s">
        <v>54</v>
      </c>
      <c r="B437" s="15" t="s">
        <v>453</v>
      </c>
      <c r="C437" s="15" t="s">
        <v>454</v>
      </c>
      <c r="D437" s="14" t="s">
        <v>455</v>
      </c>
      <c r="E437" s="15" t="s">
        <v>62</v>
      </c>
      <c r="F437" s="14" t="s">
        <v>22</v>
      </c>
      <c r="G437" s="15" t="s">
        <v>23</v>
      </c>
      <c r="H437" s="15" t="s">
        <v>1525</v>
      </c>
      <c r="I437" s="15">
        <v>201411</v>
      </c>
      <c r="J437" s="16">
        <v>-29.65</v>
      </c>
      <c r="K437" s="44">
        <f t="shared" si="37"/>
        <v>41944</v>
      </c>
      <c r="L437" s="45">
        <f t="shared" si="34"/>
        <v>7</v>
      </c>
      <c r="M437" s="17">
        <v>1.4833299999999999E-3</v>
      </c>
      <c r="N437" s="46">
        <f t="shared" si="35"/>
        <v>-0.30786514149999999</v>
      </c>
      <c r="O437" s="16"/>
      <c r="P437" s="48"/>
      <c r="Q437" s="16"/>
      <c r="R437" s="48">
        <f t="shared" si="38"/>
        <v>-9.6130859374999993</v>
      </c>
      <c r="S437" s="14"/>
    </row>
    <row r="438" spans="1:19">
      <c r="A438" s="14" t="s">
        <v>17</v>
      </c>
      <c r="B438" s="15" t="s">
        <v>480</v>
      </c>
      <c r="C438" s="15" t="s">
        <v>481</v>
      </c>
      <c r="D438" s="14" t="s">
        <v>482</v>
      </c>
      <c r="E438" s="15" t="s">
        <v>141</v>
      </c>
      <c r="F438" s="14" t="s">
        <v>142</v>
      </c>
      <c r="G438" s="15" t="s">
        <v>23</v>
      </c>
      <c r="H438" s="15" t="s">
        <v>1525</v>
      </c>
      <c r="I438" s="15">
        <v>201411</v>
      </c>
      <c r="J438" s="16">
        <v>-143.49</v>
      </c>
      <c r="K438" s="44">
        <f t="shared" si="37"/>
        <v>41944</v>
      </c>
      <c r="L438" s="45">
        <f t="shared" si="34"/>
        <v>7</v>
      </c>
      <c r="M438" s="17">
        <v>1.4833299999999999E-3</v>
      </c>
      <c r="N438" s="46">
        <f t="shared" si="35"/>
        <v>-1.4899011519000001</v>
      </c>
      <c r="O438" s="16"/>
      <c r="P438" s="48"/>
      <c r="Q438" s="16"/>
      <c r="R438" s="48">
        <f t="shared" si="38"/>
        <v>-46.522148437500007</v>
      </c>
      <c r="S438" s="14"/>
    </row>
    <row r="439" spans="1:19">
      <c r="A439" s="14" t="s">
        <v>66</v>
      </c>
      <c r="B439" s="15" t="s">
        <v>489</v>
      </c>
      <c r="C439" s="15" t="s">
        <v>490</v>
      </c>
      <c r="D439" s="14" t="s">
        <v>491</v>
      </c>
      <c r="E439" s="15" t="s">
        <v>492</v>
      </c>
      <c r="F439" s="14" t="s">
        <v>378</v>
      </c>
      <c r="G439" s="15" t="s">
        <v>23</v>
      </c>
      <c r="H439" s="15" t="s">
        <v>1530</v>
      </c>
      <c r="I439" s="15">
        <v>201411</v>
      </c>
      <c r="J439" s="16">
        <v>2182.83</v>
      </c>
      <c r="K439" s="44">
        <f t="shared" si="37"/>
        <v>41944</v>
      </c>
      <c r="L439" s="45">
        <f t="shared" si="34"/>
        <v>7</v>
      </c>
      <c r="M439" s="17">
        <v>2.23333E-3</v>
      </c>
      <c r="N439" s="46">
        <f t="shared" si="35"/>
        <v>34.124858067300003</v>
      </c>
      <c r="O439" s="16"/>
      <c r="P439" s="48"/>
      <c r="Q439" s="16"/>
      <c r="R439" s="48">
        <f t="shared" si="38"/>
        <v>707.71441406250005</v>
      </c>
      <c r="S439" s="14"/>
    </row>
    <row r="440" spans="1:19">
      <c r="A440" s="14" t="s">
        <v>66</v>
      </c>
      <c r="B440" s="15" t="s">
        <v>496</v>
      </c>
      <c r="C440" s="15" t="s">
        <v>497</v>
      </c>
      <c r="D440" s="14" t="s">
        <v>376</v>
      </c>
      <c r="E440" s="15" t="s">
        <v>498</v>
      </c>
      <c r="F440" s="14" t="s">
        <v>378</v>
      </c>
      <c r="G440" s="15" t="s">
        <v>23</v>
      </c>
      <c r="H440" s="15" t="s">
        <v>1530</v>
      </c>
      <c r="I440" s="15">
        <v>201411</v>
      </c>
      <c r="J440" s="16">
        <v>467</v>
      </c>
      <c r="K440" s="44">
        <f t="shared" si="37"/>
        <v>41944</v>
      </c>
      <c r="L440" s="45">
        <f t="shared" si="34"/>
        <v>7</v>
      </c>
      <c r="M440" s="17">
        <v>2.23333E-3</v>
      </c>
      <c r="N440" s="46">
        <f t="shared" si="35"/>
        <v>7.3007557700000003</v>
      </c>
      <c r="O440" s="16"/>
      <c r="P440" s="48"/>
      <c r="Q440" s="16"/>
      <c r="R440" s="48">
        <f t="shared" si="38"/>
        <v>151.41015625</v>
      </c>
      <c r="S440" s="14"/>
    </row>
    <row r="441" spans="1:19">
      <c r="A441" s="14" t="s">
        <v>66</v>
      </c>
      <c r="B441" s="15" t="s">
        <v>499</v>
      </c>
      <c r="C441" s="15" t="s">
        <v>500</v>
      </c>
      <c r="D441" s="14" t="s">
        <v>385</v>
      </c>
      <c r="E441" s="15" t="s">
        <v>501</v>
      </c>
      <c r="F441" s="14" t="s">
        <v>387</v>
      </c>
      <c r="G441" s="15" t="s">
        <v>23</v>
      </c>
      <c r="H441" s="15" t="s">
        <v>1530</v>
      </c>
      <c r="I441" s="15">
        <v>201411</v>
      </c>
      <c r="J441" s="16">
        <v>14235.91</v>
      </c>
      <c r="K441" s="44">
        <f t="shared" si="37"/>
        <v>41944</v>
      </c>
      <c r="L441" s="45">
        <f t="shared" si="34"/>
        <v>7</v>
      </c>
      <c r="M441" s="17">
        <v>2.23333E-3</v>
      </c>
      <c r="N441" s="46">
        <f t="shared" si="35"/>
        <v>222.55439416210001</v>
      </c>
      <c r="O441" s="16"/>
      <c r="P441" s="48"/>
      <c r="Q441" s="16"/>
      <c r="R441" s="48">
        <f t="shared" si="38"/>
        <v>4615.548945312501</v>
      </c>
      <c r="S441" s="14"/>
    </row>
    <row r="442" spans="1:19">
      <c r="A442" s="14" t="s">
        <v>54</v>
      </c>
      <c r="B442" s="15" t="s">
        <v>543</v>
      </c>
      <c r="C442" s="15" t="s">
        <v>544</v>
      </c>
      <c r="D442" s="14" t="s">
        <v>545</v>
      </c>
      <c r="E442" s="15" t="s">
        <v>62</v>
      </c>
      <c r="F442" s="14" t="s">
        <v>22</v>
      </c>
      <c r="G442" s="15" t="s">
        <v>23</v>
      </c>
      <c r="H442" s="15" t="s">
        <v>1525</v>
      </c>
      <c r="I442" s="15">
        <v>201411</v>
      </c>
      <c r="J442" s="16">
        <v>26447.34</v>
      </c>
      <c r="K442" s="44">
        <f t="shared" si="37"/>
        <v>41944</v>
      </c>
      <c r="L442" s="45">
        <f t="shared" si="34"/>
        <v>7</v>
      </c>
      <c r="M442" s="17">
        <v>1.4833299999999999E-3</v>
      </c>
      <c r="N442" s="46">
        <f t="shared" si="35"/>
        <v>274.61092989539998</v>
      </c>
      <c r="O442" s="16"/>
      <c r="P442" s="48"/>
      <c r="Q442" s="16"/>
      <c r="R442" s="48">
        <f t="shared" si="38"/>
        <v>8574.7235156250008</v>
      </c>
      <c r="S442" s="14"/>
    </row>
    <row r="443" spans="1:19">
      <c r="A443" s="14" t="s">
        <v>17</v>
      </c>
      <c r="B443" s="15" t="s">
        <v>552</v>
      </c>
      <c r="C443" s="15" t="s">
        <v>553</v>
      </c>
      <c r="D443" s="14" t="s">
        <v>554</v>
      </c>
      <c r="E443" s="15" t="s">
        <v>62</v>
      </c>
      <c r="F443" s="14" t="s">
        <v>22</v>
      </c>
      <c r="G443" s="15" t="s">
        <v>23</v>
      </c>
      <c r="H443" s="15" t="s">
        <v>1525</v>
      </c>
      <c r="I443" s="15">
        <v>201411</v>
      </c>
      <c r="J443" s="16">
        <v>-5700.68</v>
      </c>
      <c r="K443" s="44">
        <f t="shared" si="37"/>
        <v>41944</v>
      </c>
      <c r="L443" s="45">
        <f t="shared" si="34"/>
        <v>7</v>
      </c>
      <c r="M443" s="17">
        <v>1.4833299999999999E-3</v>
      </c>
      <c r="N443" s="46">
        <f t="shared" si="35"/>
        <v>-59.191927650800004</v>
      </c>
      <c r="O443" s="16"/>
      <c r="P443" s="48"/>
      <c r="Q443" s="16"/>
      <c r="R443" s="48">
        <f t="shared" si="38"/>
        <v>-1848.2673437500002</v>
      </c>
      <c r="S443" s="14"/>
    </row>
    <row r="444" spans="1:19">
      <c r="A444" s="20" t="s">
        <v>238</v>
      </c>
      <c r="B444" s="21" t="s">
        <v>1099</v>
      </c>
      <c r="C444" s="21" t="s">
        <v>1100</v>
      </c>
      <c r="D444" s="20" t="s">
        <v>1101</v>
      </c>
      <c r="E444" s="21" t="s">
        <v>104</v>
      </c>
      <c r="F444" s="20" t="s">
        <v>41</v>
      </c>
      <c r="G444" s="21" t="s">
        <v>23</v>
      </c>
      <c r="H444" s="15" t="s">
        <v>1526</v>
      </c>
      <c r="I444" s="21">
        <v>201411</v>
      </c>
      <c r="J444" s="22">
        <v>-831.58</v>
      </c>
      <c r="K444" s="44">
        <f t="shared" si="37"/>
        <v>41944</v>
      </c>
      <c r="L444" s="45">
        <f t="shared" si="34"/>
        <v>7</v>
      </c>
      <c r="M444" s="23">
        <v>2.3833299999999999E-3</v>
      </c>
      <c r="N444" s="46">
        <f t="shared" si="35"/>
        <v>-13.873506929800001</v>
      </c>
      <c r="O444" s="16"/>
      <c r="P444" s="48"/>
      <c r="Q444" s="16"/>
      <c r="R444" s="48">
        <f t="shared" si="38"/>
        <v>-269.613828125</v>
      </c>
      <c r="S444" s="14"/>
    </row>
    <row r="445" spans="1:19">
      <c r="A445" s="14" t="s">
        <v>54</v>
      </c>
      <c r="B445" s="15" t="s">
        <v>581</v>
      </c>
      <c r="C445" s="15" t="s">
        <v>582</v>
      </c>
      <c r="D445" s="14" t="s">
        <v>583</v>
      </c>
      <c r="E445" s="15" t="s">
        <v>104</v>
      </c>
      <c r="F445" s="14" t="s">
        <v>41</v>
      </c>
      <c r="G445" s="15" t="s">
        <v>23</v>
      </c>
      <c r="H445" s="15" t="s">
        <v>1526</v>
      </c>
      <c r="I445" s="15">
        <v>201411</v>
      </c>
      <c r="J445" s="16">
        <v>-154.51</v>
      </c>
      <c r="K445" s="44">
        <f t="shared" si="37"/>
        <v>41944</v>
      </c>
      <c r="L445" s="45">
        <f t="shared" si="34"/>
        <v>7</v>
      </c>
      <c r="M445" s="17">
        <v>1.4833299999999999E-3</v>
      </c>
      <c r="N445" s="46">
        <f t="shared" si="35"/>
        <v>-1.6043252280999998</v>
      </c>
      <c r="O445" s="16"/>
      <c r="P445" s="48"/>
      <c r="Q445" s="16"/>
      <c r="R445" s="48">
        <f t="shared" si="38"/>
        <v>-50.0950390625</v>
      </c>
      <c r="S445" s="14"/>
    </row>
    <row r="446" spans="1:19">
      <c r="A446" s="14" t="s">
        <v>66</v>
      </c>
      <c r="B446" s="15" t="s">
        <v>595</v>
      </c>
      <c r="C446" s="15" t="s">
        <v>596</v>
      </c>
      <c r="D446" s="14" t="s">
        <v>597</v>
      </c>
      <c r="E446" s="15" t="s">
        <v>598</v>
      </c>
      <c r="F446" s="14" t="s">
        <v>212</v>
      </c>
      <c r="G446" s="15" t="s">
        <v>23</v>
      </c>
      <c r="H446" s="15" t="s">
        <v>1530</v>
      </c>
      <c r="I446" s="15">
        <v>201411</v>
      </c>
      <c r="J446" s="16">
        <v>46466.6</v>
      </c>
      <c r="K446" s="44">
        <f t="shared" si="37"/>
        <v>41944</v>
      </c>
      <c r="L446" s="45">
        <f t="shared" si="34"/>
        <v>7</v>
      </c>
      <c r="M446" s="17">
        <v>2.23333E-3</v>
      </c>
      <c r="N446" s="46">
        <f t="shared" si="35"/>
        <v>726.426762446</v>
      </c>
      <c r="O446" s="16"/>
      <c r="P446" s="48"/>
      <c r="Q446" s="16"/>
      <c r="R446" s="48">
        <f t="shared" si="38"/>
        <v>15065.342968750001</v>
      </c>
      <c r="S446" s="14"/>
    </row>
    <row r="447" spans="1:19">
      <c r="A447" s="14" t="s">
        <v>66</v>
      </c>
      <c r="B447" s="15" t="s">
        <v>599</v>
      </c>
      <c r="C447" s="15" t="s">
        <v>600</v>
      </c>
      <c r="D447" s="14" t="s">
        <v>385</v>
      </c>
      <c r="E447" s="15" t="s">
        <v>601</v>
      </c>
      <c r="F447" s="14" t="s">
        <v>387</v>
      </c>
      <c r="G447" s="15" t="s">
        <v>23</v>
      </c>
      <c r="H447" s="15" t="s">
        <v>1530</v>
      </c>
      <c r="I447" s="15">
        <v>201411</v>
      </c>
      <c r="J447" s="16">
        <v>5494.87</v>
      </c>
      <c r="K447" s="44">
        <f t="shared" si="37"/>
        <v>41944</v>
      </c>
      <c r="L447" s="45">
        <f t="shared" si="34"/>
        <v>7</v>
      </c>
      <c r="M447" s="17">
        <v>2.23333E-3</v>
      </c>
      <c r="N447" s="46">
        <f t="shared" si="35"/>
        <v>85.903006119700009</v>
      </c>
      <c r="O447" s="16"/>
      <c r="P447" s="48"/>
      <c r="Q447" s="16"/>
      <c r="R447" s="48">
        <f t="shared" si="38"/>
        <v>1781.5398828125001</v>
      </c>
      <c r="S447" s="14"/>
    </row>
    <row r="448" spans="1:19">
      <c r="A448" s="18" t="s">
        <v>17</v>
      </c>
      <c r="B448" s="15" t="s">
        <v>646</v>
      </c>
      <c r="C448" s="15" t="s">
        <v>647</v>
      </c>
      <c r="D448" s="14" t="s">
        <v>648</v>
      </c>
      <c r="E448" s="15" t="s">
        <v>176</v>
      </c>
      <c r="F448" s="14" t="s">
        <v>28</v>
      </c>
      <c r="G448" s="15" t="s">
        <v>23</v>
      </c>
      <c r="H448" s="15" t="s">
        <v>1525</v>
      </c>
      <c r="I448" s="15">
        <v>201411</v>
      </c>
      <c r="J448" s="16">
        <v>18.21</v>
      </c>
      <c r="K448" s="44">
        <f t="shared" si="37"/>
        <v>41944</v>
      </c>
      <c r="L448" s="45">
        <f t="shared" si="34"/>
        <v>7</v>
      </c>
      <c r="M448" s="17">
        <v>1.4833299999999999E-3</v>
      </c>
      <c r="N448" s="46">
        <f t="shared" si="35"/>
        <v>0.18908007509999999</v>
      </c>
      <c r="O448" s="16"/>
      <c r="P448" s="48"/>
      <c r="Q448" s="16"/>
      <c r="R448" s="48">
        <f t="shared" si="38"/>
        <v>5.9040234375000011</v>
      </c>
      <c r="S448" s="14"/>
    </row>
    <row r="449" spans="1:19">
      <c r="A449" s="14" t="s">
        <v>66</v>
      </c>
      <c r="B449" s="15" t="s">
        <v>671</v>
      </c>
      <c r="C449" s="15" t="s">
        <v>672</v>
      </c>
      <c r="D449" s="14" t="s">
        <v>206</v>
      </c>
      <c r="E449" s="15" t="s">
        <v>673</v>
      </c>
      <c r="F449" s="14" t="s">
        <v>97</v>
      </c>
      <c r="G449" s="15" t="s">
        <v>23</v>
      </c>
      <c r="H449" s="15" t="s">
        <v>1530</v>
      </c>
      <c r="I449" s="15">
        <v>201411</v>
      </c>
      <c r="J449" s="16">
        <v>20.29</v>
      </c>
      <c r="K449" s="44">
        <f t="shared" si="37"/>
        <v>41944</v>
      </c>
      <c r="L449" s="45">
        <f t="shared" si="34"/>
        <v>7</v>
      </c>
      <c r="M449" s="17">
        <v>2.23333E-3</v>
      </c>
      <c r="N449" s="46">
        <f t="shared" si="35"/>
        <v>0.31719985989999999</v>
      </c>
      <c r="O449" s="16"/>
      <c r="P449" s="48"/>
      <c r="Q449" s="16"/>
      <c r="R449" s="48">
        <f t="shared" si="38"/>
        <v>6.5783984375000006</v>
      </c>
      <c r="S449" s="14"/>
    </row>
    <row r="450" spans="1:19">
      <c r="A450" s="14" t="s">
        <v>66</v>
      </c>
      <c r="B450" s="15" t="s">
        <v>674</v>
      </c>
      <c r="C450" s="15" t="s">
        <v>675</v>
      </c>
      <c r="D450" s="14" t="s">
        <v>385</v>
      </c>
      <c r="E450" s="15" t="s">
        <v>676</v>
      </c>
      <c r="F450" s="14" t="s">
        <v>387</v>
      </c>
      <c r="G450" s="15" t="s">
        <v>23</v>
      </c>
      <c r="H450" s="15" t="s">
        <v>1530</v>
      </c>
      <c r="I450" s="15">
        <v>201411</v>
      </c>
      <c r="J450" s="16">
        <v>-5090.0600000000004</v>
      </c>
      <c r="K450" s="44">
        <f t="shared" si="37"/>
        <v>41944</v>
      </c>
      <c r="L450" s="45">
        <f t="shared" si="34"/>
        <v>7</v>
      </c>
      <c r="M450" s="17">
        <v>2.23333E-3</v>
      </c>
      <c r="N450" s="46">
        <f t="shared" si="35"/>
        <v>-79.574485898600017</v>
      </c>
      <c r="O450" s="16"/>
      <c r="P450" s="48"/>
      <c r="Q450" s="16"/>
      <c r="R450" s="48">
        <f t="shared" si="38"/>
        <v>-1650.2928906250004</v>
      </c>
      <c r="S450" s="14"/>
    </row>
    <row r="451" spans="1:19">
      <c r="A451" s="18" t="s">
        <v>17</v>
      </c>
      <c r="B451" s="15" t="s">
        <v>704</v>
      </c>
      <c r="C451" s="15" t="s">
        <v>705</v>
      </c>
      <c r="D451" s="14" t="s">
        <v>706</v>
      </c>
      <c r="E451" s="15" t="s">
        <v>58</v>
      </c>
      <c r="F451" s="14" t="s">
        <v>22</v>
      </c>
      <c r="G451" s="15" t="s">
        <v>23</v>
      </c>
      <c r="H451" s="15" t="s">
        <v>1525</v>
      </c>
      <c r="I451" s="15">
        <v>201411</v>
      </c>
      <c r="J451" s="16">
        <v>5238.34</v>
      </c>
      <c r="K451" s="44">
        <f t="shared" si="37"/>
        <v>41944</v>
      </c>
      <c r="L451" s="45">
        <f t="shared" si="34"/>
        <v>7</v>
      </c>
      <c r="M451" s="17">
        <v>1.4833299999999999E-3</v>
      </c>
      <c r="N451" s="46">
        <f t="shared" si="35"/>
        <v>54.3913081054</v>
      </c>
      <c r="O451" s="16"/>
      <c r="P451" s="48"/>
      <c r="Q451" s="16"/>
      <c r="R451" s="48">
        <f t="shared" si="38"/>
        <v>1698.3680468750001</v>
      </c>
      <c r="S451" s="14"/>
    </row>
    <row r="452" spans="1:19">
      <c r="A452" s="14" t="s">
        <v>54</v>
      </c>
      <c r="B452" s="15" t="s">
        <v>719</v>
      </c>
      <c r="C452" s="15" t="s">
        <v>720</v>
      </c>
      <c r="D452" s="14" t="s">
        <v>721</v>
      </c>
      <c r="E452" s="15" t="s">
        <v>27</v>
      </c>
      <c r="F452" s="14" t="s">
        <v>28</v>
      </c>
      <c r="G452" s="15" t="s">
        <v>23</v>
      </c>
      <c r="H452" s="15" t="s">
        <v>1525</v>
      </c>
      <c r="I452" s="15">
        <v>201411</v>
      </c>
      <c r="J452" s="16">
        <v>0</v>
      </c>
      <c r="K452" s="44">
        <f t="shared" si="37"/>
        <v>41944</v>
      </c>
      <c r="L452" s="45">
        <f t="shared" si="34"/>
        <v>7</v>
      </c>
      <c r="M452" s="17">
        <v>1.4833299999999999E-3</v>
      </c>
      <c r="N452" s="46">
        <f t="shared" si="35"/>
        <v>0</v>
      </c>
      <c r="O452" s="16"/>
      <c r="P452" s="48"/>
      <c r="Q452" s="16"/>
      <c r="R452" s="48">
        <f t="shared" si="38"/>
        <v>0</v>
      </c>
      <c r="S452" s="14"/>
    </row>
    <row r="453" spans="1:19">
      <c r="A453" s="14" t="s">
        <v>66</v>
      </c>
      <c r="B453" s="15" t="s">
        <v>741</v>
      </c>
      <c r="C453" s="15" t="s">
        <v>742</v>
      </c>
      <c r="D453" s="14" t="s">
        <v>69</v>
      </c>
      <c r="E453" s="15" t="s">
        <v>70</v>
      </c>
      <c r="F453" s="14" t="s">
        <v>71</v>
      </c>
      <c r="G453" s="15" t="s">
        <v>23</v>
      </c>
      <c r="H453" s="15" t="s">
        <v>1530</v>
      </c>
      <c r="I453" s="15">
        <v>201411</v>
      </c>
      <c r="J453" s="16">
        <v>-127.08</v>
      </c>
      <c r="K453" s="44">
        <f t="shared" si="37"/>
        <v>41944</v>
      </c>
      <c r="L453" s="45">
        <f t="shared" si="34"/>
        <v>7</v>
      </c>
      <c r="M453" s="17">
        <v>2.23333E-3</v>
      </c>
      <c r="N453" s="46">
        <f t="shared" si="35"/>
        <v>-1.9866810348000001</v>
      </c>
      <c r="O453" s="16"/>
      <c r="P453" s="48"/>
      <c r="Q453" s="16"/>
      <c r="R453" s="48">
        <f t="shared" si="38"/>
        <v>-41.201718750000005</v>
      </c>
      <c r="S453" s="14"/>
    </row>
    <row r="454" spans="1:19">
      <c r="A454" s="14" t="s">
        <v>66</v>
      </c>
      <c r="B454" s="15" t="s">
        <v>743</v>
      </c>
      <c r="C454" s="15" t="s">
        <v>744</v>
      </c>
      <c r="D454" s="14" t="s">
        <v>745</v>
      </c>
      <c r="E454" s="15" t="s">
        <v>746</v>
      </c>
      <c r="F454" s="14" t="s">
        <v>80</v>
      </c>
      <c r="G454" s="15" t="s">
        <v>23</v>
      </c>
      <c r="H454" s="15" t="s">
        <v>1530</v>
      </c>
      <c r="I454" s="15">
        <v>201411</v>
      </c>
      <c r="J454" s="16">
        <v>8037.46</v>
      </c>
      <c r="K454" s="44">
        <f t="shared" si="37"/>
        <v>41944</v>
      </c>
      <c r="L454" s="45">
        <f t="shared" si="34"/>
        <v>7</v>
      </c>
      <c r="M454" s="17">
        <v>2.23333E-3</v>
      </c>
      <c r="N454" s="46">
        <f t="shared" si="35"/>
        <v>125.6521037926</v>
      </c>
      <c r="O454" s="16"/>
      <c r="P454" s="48"/>
      <c r="Q454" s="16"/>
      <c r="R454" s="48">
        <f t="shared" si="38"/>
        <v>2605.8952343750002</v>
      </c>
      <c r="S454" s="14"/>
    </row>
    <row r="455" spans="1:19">
      <c r="A455" s="14" t="s">
        <v>66</v>
      </c>
      <c r="B455" s="15" t="s">
        <v>747</v>
      </c>
      <c r="C455" s="15" t="s">
        <v>748</v>
      </c>
      <c r="D455" s="14" t="s">
        <v>78</v>
      </c>
      <c r="E455" s="15" t="s">
        <v>749</v>
      </c>
      <c r="F455" s="14" t="s">
        <v>80</v>
      </c>
      <c r="G455" s="15" t="s">
        <v>23</v>
      </c>
      <c r="H455" s="15" t="s">
        <v>1530</v>
      </c>
      <c r="I455" s="15">
        <v>201411</v>
      </c>
      <c r="J455" s="16">
        <v>-983.36</v>
      </c>
      <c r="K455" s="44">
        <f t="shared" si="37"/>
        <v>41944</v>
      </c>
      <c r="L455" s="45">
        <f t="shared" si="34"/>
        <v>7</v>
      </c>
      <c r="M455" s="17">
        <v>2.23333E-3</v>
      </c>
      <c r="N455" s="46">
        <f t="shared" si="35"/>
        <v>-15.3731717216</v>
      </c>
      <c r="O455" s="16"/>
      <c r="P455" s="48"/>
      <c r="Q455" s="16"/>
      <c r="R455" s="48">
        <f t="shared" si="38"/>
        <v>-318.82375000000002</v>
      </c>
      <c r="S455" s="14"/>
    </row>
    <row r="456" spans="1:19">
      <c r="A456" s="14" t="s">
        <v>66</v>
      </c>
      <c r="B456" s="15" t="s">
        <v>753</v>
      </c>
      <c r="C456" s="15" t="s">
        <v>754</v>
      </c>
      <c r="D456" s="14" t="s">
        <v>206</v>
      </c>
      <c r="E456" s="15" t="s">
        <v>755</v>
      </c>
      <c r="F456" s="14" t="s">
        <v>97</v>
      </c>
      <c r="G456" s="15" t="s">
        <v>23</v>
      </c>
      <c r="H456" s="15" t="s">
        <v>1530</v>
      </c>
      <c r="I456" s="15">
        <v>201411</v>
      </c>
      <c r="J456" s="16">
        <v>8010.12</v>
      </c>
      <c r="K456" s="44">
        <f t="shared" si="37"/>
        <v>41944</v>
      </c>
      <c r="L456" s="45">
        <f t="shared" si="34"/>
        <v>7</v>
      </c>
      <c r="M456" s="17">
        <v>2.23333E-3</v>
      </c>
      <c r="N456" s="46">
        <f t="shared" si="35"/>
        <v>125.2246890972</v>
      </c>
      <c r="O456" s="16"/>
      <c r="P456" s="48"/>
      <c r="Q456" s="16"/>
      <c r="R456" s="48">
        <f t="shared" si="38"/>
        <v>2597.0310937499999</v>
      </c>
      <c r="S456" s="14"/>
    </row>
    <row r="457" spans="1:19">
      <c r="A457" s="14" t="s">
        <v>17</v>
      </c>
      <c r="B457" s="15" t="s">
        <v>759</v>
      </c>
      <c r="C457" s="15" t="s">
        <v>760</v>
      </c>
      <c r="D457" s="14" t="s">
        <v>761</v>
      </c>
      <c r="E457" s="15" t="s">
        <v>62</v>
      </c>
      <c r="F457" s="14" t="s">
        <v>22</v>
      </c>
      <c r="G457" s="15" t="s">
        <v>23</v>
      </c>
      <c r="H457" s="15" t="s">
        <v>1525</v>
      </c>
      <c r="I457" s="15">
        <v>201411</v>
      </c>
      <c r="J457" s="16">
        <v>205.63</v>
      </c>
      <c r="K457" s="44">
        <f t="shared" si="37"/>
        <v>41944</v>
      </c>
      <c r="L457" s="45">
        <f t="shared" si="34"/>
        <v>7</v>
      </c>
      <c r="M457" s="17">
        <v>1.4833299999999999E-3</v>
      </c>
      <c r="N457" s="46">
        <f t="shared" si="35"/>
        <v>2.1351200352999999</v>
      </c>
      <c r="O457" s="16"/>
      <c r="P457" s="48"/>
      <c r="Q457" s="16"/>
      <c r="R457" s="48">
        <f t="shared" si="38"/>
        <v>66.669101562500003</v>
      </c>
      <c r="S457" s="14"/>
    </row>
    <row r="458" spans="1:19">
      <c r="A458" s="14" t="s">
        <v>54</v>
      </c>
      <c r="B458" s="15" t="s">
        <v>813</v>
      </c>
      <c r="C458" s="15" t="s">
        <v>814</v>
      </c>
      <c r="D458" s="14" t="s">
        <v>815</v>
      </c>
      <c r="E458" s="15" t="s">
        <v>62</v>
      </c>
      <c r="F458" s="14" t="s">
        <v>22</v>
      </c>
      <c r="G458" s="15" t="s">
        <v>23</v>
      </c>
      <c r="H458" s="15" t="s">
        <v>1525</v>
      </c>
      <c r="I458" s="15">
        <v>201411</v>
      </c>
      <c r="J458" s="16">
        <v>611627.82999999996</v>
      </c>
      <c r="K458" s="44">
        <f t="shared" si="37"/>
        <v>41944</v>
      </c>
      <c r="L458" s="45">
        <f t="shared" si="34"/>
        <v>7</v>
      </c>
      <c r="M458" s="17">
        <v>1.4833299999999999E-3</v>
      </c>
      <c r="N458" s="46">
        <f t="shared" si="35"/>
        <v>6350.7213635172993</v>
      </c>
      <c r="O458" s="16"/>
      <c r="P458" s="48"/>
      <c r="Q458" s="16"/>
      <c r="R458" s="48">
        <f t="shared" si="38"/>
        <v>198301.2105078125</v>
      </c>
      <c r="S458" s="14"/>
    </row>
    <row r="459" spans="1:19">
      <c r="A459" s="14" t="s">
        <v>17</v>
      </c>
      <c r="B459" s="15" t="s">
        <v>819</v>
      </c>
      <c r="C459" s="15" t="s">
        <v>820</v>
      </c>
      <c r="D459" s="14" t="s">
        <v>821</v>
      </c>
      <c r="E459" s="15" t="s">
        <v>822</v>
      </c>
      <c r="F459" s="14" t="s">
        <v>823</v>
      </c>
      <c r="G459" s="15" t="s">
        <v>23</v>
      </c>
      <c r="H459" s="15" t="s">
        <v>1526</v>
      </c>
      <c r="I459" s="15">
        <v>201411</v>
      </c>
      <c r="J459" s="16">
        <v>1769.72</v>
      </c>
      <c r="K459" s="44">
        <f t="shared" si="37"/>
        <v>41944</v>
      </c>
      <c r="L459" s="45">
        <f t="shared" si="34"/>
        <v>7</v>
      </c>
      <c r="M459" s="17">
        <v>1.4833299999999999E-3</v>
      </c>
      <c r="N459" s="46">
        <f t="shared" si="35"/>
        <v>18.3755513732</v>
      </c>
      <c r="O459" s="16"/>
      <c r="P459" s="48"/>
      <c r="Q459" s="16"/>
      <c r="R459" s="48">
        <f t="shared" si="38"/>
        <v>573.77640625000004</v>
      </c>
      <c r="S459" s="14"/>
    </row>
    <row r="460" spans="1:19">
      <c r="A460" s="14" t="s">
        <v>54</v>
      </c>
      <c r="B460" s="15" t="s">
        <v>830</v>
      </c>
      <c r="C460" s="15" t="s">
        <v>831</v>
      </c>
      <c r="D460" s="14" t="s">
        <v>832</v>
      </c>
      <c r="E460" s="15" t="s">
        <v>62</v>
      </c>
      <c r="F460" s="14" t="s">
        <v>22</v>
      </c>
      <c r="G460" s="15" t="s">
        <v>23</v>
      </c>
      <c r="H460" s="15" t="s">
        <v>1525</v>
      </c>
      <c r="I460" s="15">
        <v>201411</v>
      </c>
      <c r="J460" s="16">
        <v>35798.080000000002</v>
      </c>
      <c r="K460" s="44">
        <f t="shared" si="37"/>
        <v>41944</v>
      </c>
      <c r="L460" s="45">
        <f t="shared" si="34"/>
        <v>7</v>
      </c>
      <c r="M460" s="17">
        <v>1.4833299999999999E-3</v>
      </c>
      <c r="N460" s="46">
        <f t="shared" si="35"/>
        <v>371.7025620448</v>
      </c>
      <c r="O460" s="16"/>
      <c r="P460" s="48"/>
      <c r="Q460" s="16"/>
      <c r="R460" s="48">
        <f t="shared" si="38"/>
        <v>11606.408750000001</v>
      </c>
      <c r="S460" s="14"/>
    </row>
    <row r="461" spans="1:19">
      <c r="A461" s="14" t="s">
        <v>17</v>
      </c>
      <c r="B461" s="15" t="s">
        <v>843</v>
      </c>
      <c r="C461" s="15" t="s">
        <v>844</v>
      </c>
      <c r="D461" s="14" t="s">
        <v>845</v>
      </c>
      <c r="E461" s="15" t="s">
        <v>45</v>
      </c>
      <c r="F461" s="14" t="s">
        <v>22</v>
      </c>
      <c r="G461" s="15" t="s">
        <v>23</v>
      </c>
      <c r="H461" s="15" t="s">
        <v>1525</v>
      </c>
      <c r="I461" s="15">
        <v>201411</v>
      </c>
      <c r="J461" s="16">
        <v>-85.84</v>
      </c>
      <c r="K461" s="44">
        <f t="shared" si="37"/>
        <v>41944</v>
      </c>
      <c r="L461" s="45">
        <f t="shared" si="34"/>
        <v>7</v>
      </c>
      <c r="M461" s="17">
        <v>1.4833299999999999E-3</v>
      </c>
      <c r="N461" s="46">
        <f t="shared" si="35"/>
        <v>-0.89130333039999998</v>
      </c>
      <c r="O461" s="16"/>
      <c r="P461" s="48"/>
      <c r="Q461" s="16"/>
      <c r="R461" s="48">
        <f t="shared" si="38"/>
        <v>-27.830937500000005</v>
      </c>
      <c r="S461" s="14"/>
    </row>
    <row r="462" spans="1:19">
      <c r="A462" s="14" t="s">
        <v>54</v>
      </c>
      <c r="B462" s="15" t="s">
        <v>846</v>
      </c>
      <c r="C462" s="15" t="s">
        <v>847</v>
      </c>
      <c r="D462" s="14" t="s">
        <v>848</v>
      </c>
      <c r="E462" s="15" t="s">
        <v>141</v>
      </c>
      <c r="F462" s="14" t="s">
        <v>142</v>
      </c>
      <c r="G462" s="15" t="s">
        <v>23</v>
      </c>
      <c r="H462" s="15" t="s">
        <v>1525</v>
      </c>
      <c r="I462" s="15">
        <v>201411</v>
      </c>
      <c r="J462" s="16">
        <v>11927.86</v>
      </c>
      <c r="K462" s="44">
        <f t="shared" si="37"/>
        <v>41944</v>
      </c>
      <c r="L462" s="45">
        <f t="shared" si="34"/>
        <v>7</v>
      </c>
      <c r="M462" s="17">
        <v>1.4833299999999999E-3</v>
      </c>
      <c r="N462" s="46">
        <f t="shared" si="35"/>
        <v>123.8506680166</v>
      </c>
      <c r="O462" s="16"/>
      <c r="P462" s="48"/>
      <c r="Q462" s="16"/>
      <c r="R462" s="48">
        <f t="shared" si="38"/>
        <v>3867.2358593750005</v>
      </c>
      <c r="S462" s="14"/>
    </row>
    <row r="463" spans="1:19">
      <c r="A463" s="14" t="s">
        <v>54</v>
      </c>
      <c r="B463" s="15" t="s">
        <v>852</v>
      </c>
      <c r="C463" s="15" t="s">
        <v>853</v>
      </c>
      <c r="D463" s="14" t="s">
        <v>854</v>
      </c>
      <c r="E463" s="15" t="s">
        <v>62</v>
      </c>
      <c r="F463" s="14" t="s">
        <v>22</v>
      </c>
      <c r="G463" s="15" t="s">
        <v>23</v>
      </c>
      <c r="H463" s="15" t="s">
        <v>1525</v>
      </c>
      <c r="I463" s="15">
        <v>201411</v>
      </c>
      <c r="J463" s="16">
        <v>2279.85</v>
      </c>
      <c r="K463" s="44">
        <f t="shared" si="37"/>
        <v>41944</v>
      </c>
      <c r="L463" s="45">
        <f t="shared" si="34"/>
        <v>7</v>
      </c>
      <c r="M463" s="17">
        <v>1.4833299999999999E-3</v>
      </c>
      <c r="N463" s="46">
        <f t="shared" si="35"/>
        <v>23.672389303499997</v>
      </c>
      <c r="O463" s="16"/>
      <c r="P463" s="48"/>
      <c r="Q463" s="16"/>
      <c r="R463" s="48">
        <f t="shared" si="38"/>
        <v>739.17011718750007</v>
      </c>
      <c r="S463" s="14"/>
    </row>
    <row r="464" spans="1:19">
      <c r="A464" s="14" t="s">
        <v>54</v>
      </c>
      <c r="B464" s="15" t="s">
        <v>858</v>
      </c>
      <c r="C464" s="15" t="s">
        <v>859</v>
      </c>
      <c r="D464" s="14" t="s">
        <v>860</v>
      </c>
      <c r="E464" s="15" t="s">
        <v>62</v>
      </c>
      <c r="F464" s="14" t="s">
        <v>22</v>
      </c>
      <c r="G464" s="15" t="s">
        <v>23</v>
      </c>
      <c r="H464" s="15" t="s">
        <v>1525</v>
      </c>
      <c r="I464" s="15">
        <v>201411</v>
      </c>
      <c r="J464" s="16">
        <v>-3013.95</v>
      </c>
      <c r="K464" s="44">
        <f t="shared" si="37"/>
        <v>41944</v>
      </c>
      <c r="L464" s="45">
        <f t="shared" si="34"/>
        <v>7</v>
      </c>
      <c r="M464" s="17">
        <v>1.4833299999999999E-3</v>
      </c>
      <c r="N464" s="46">
        <f t="shared" si="35"/>
        <v>-31.294777174499998</v>
      </c>
      <c r="O464" s="16"/>
      <c r="P464" s="48"/>
      <c r="Q464" s="16"/>
      <c r="R464" s="48">
        <f t="shared" si="38"/>
        <v>-977.17910156250002</v>
      </c>
      <c r="S464" s="14"/>
    </row>
    <row r="465" spans="1:19">
      <c r="A465" s="14" t="s">
        <v>54</v>
      </c>
      <c r="B465" s="15" t="s">
        <v>876</v>
      </c>
      <c r="C465" s="15" t="s">
        <v>877</v>
      </c>
      <c r="D465" s="14" t="s">
        <v>878</v>
      </c>
      <c r="E465" s="15" t="s">
        <v>62</v>
      </c>
      <c r="F465" s="14" t="s">
        <v>22</v>
      </c>
      <c r="G465" s="15" t="s">
        <v>23</v>
      </c>
      <c r="H465" s="15" t="s">
        <v>1525</v>
      </c>
      <c r="I465" s="15">
        <v>201411</v>
      </c>
      <c r="J465" s="16">
        <v>8478.08</v>
      </c>
      <c r="K465" s="44">
        <f t="shared" si="37"/>
        <v>41944</v>
      </c>
      <c r="L465" s="45">
        <f t="shared" si="34"/>
        <v>7</v>
      </c>
      <c r="M465" s="17">
        <v>1.4833299999999999E-3</v>
      </c>
      <c r="N465" s="46">
        <f t="shared" si="35"/>
        <v>88.030532844799993</v>
      </c>
      <c r="O465" s="16"/>
      <c r="P465" s="48"/>
      <c r="Q465" s="16"/>
      <c r="R465" s="48">
        <f t="shared" si="38"/>
        <v>2748.7525000000001</v>
      </c>
      <c r="S465" s="14"/>
    </row>
    <row r="466" spans="1:19">
      <c r="A466" s="14" t="s">
        <v>54</v>
      </c>
      <c r="B466" s="15" t="s">
        <v>879</v>
      </c>
      <c r="C466" s="15" t="s">
        <v>880</v>
      </c>
      <c r="D466" s="14" t="s">
        <v>881</v>
      </c>
      <c r="E466" s="15" t="s">
        <v>53</v>
      </c>
      <c r="F466" s="14" t="s">
        <v>41</v>
      </c>
      <c r="G466" s="15" t="s">
        <v>23</v>
      </c>
      <c r="H466" s="15" t="s">
        <v>1526</v>
      </c>
      <c r="I466" s="15">
        <v>201411</v>
      </c>
      <c r="J466" s="16">
        <v>195.47</v>
      </c>
      <c r="K466" s="44">
        <f t="shared" si="37"/>
        <v>41944</v>
      </c>
      <c r="L466" s="45">
        <f t="shared" si="34"/>
        <v>7</v>
      </c>
      <c r="M466" s="17">
        <v>1.4833299999999999E-3</v>
      </c>
      <c r="N466" s="46">
        <f t="shared" si="35"/>
        <v>2.0296256056999997</v>
      </c>
      <c r="O466" s="16"/>
      <c r="P466" s="48"/>
      <c r="Q466" s="16"/>
      <c r="R466" s="48">
        <f t="shared" si="38"/>
        <v>63.375039062500001</v>
      </c>
      <c r="S466" s="14"/>
    </row>
    <row r="467" spans="1:19">
      <c r="A467" s="14" t="s">
        <v>17</v>
      </c>
      <c r="B467" s="15" t="s">
        <v>894</v>
      </c>
      <c r="C467" s="15" t="s">
        <v>895</v>
      </c>
      <c r="D467" s="14" t="s">
        <v>896</v>
      </c>
      <c r="E467" s="15" t="s">
        <v>440</v>
      </c>
      <c r="F467" s="14" t="s">
        <v>28</v>
      </c>
      <c r="G467" s="15" t="s">
        <v>23</v>
      </c>
      <c r="H467" s="15" t="s">
        <v>1525</v>
      </c>
      <c r="I467" s="15">
        <v>201411</v>
      </c>
      <c r="J467" s="16">
        <v>63.81</v>
      </c>
      <c r="K467" s="44">
        <f t="shared" si="37"/>
        <v>41944</v>
      </c>
      <c r="L467" s="45">
        <f t="shared" si="34"/>
        <v>7</v>
      </c>
      <c r="M467" s="17">
        <v>1.4833299999999999E-3</v>
      </c>
      <c r="N467" s="46">
        <f t="shared" si="35"/>
        <v>0.66255901110000004</v>
      </c>
      <c r="O467" s="16"/>
      <c r="P467" s="48"/>
      <c r="Q467" s="16"/>
      <c r="R467" s="48">
        <f t="shared" si="38"/>
        <v>20.688398437500002</v>
      </c>
      <c r="S467" s="14"/>
    </row>
    <row r="468" spans="1:19">
      <c r="A468" s="14" t="s">
        <v>17</v>
      </c>
      <c r="B468" s="15" t="s">
        <v>903</v>
      </c>
      <c r="C468" s="15" t="s">
        <v>904</v>
      </c>
      <c r="D468" s="14" t="s">
        <v>905</v>
      </c>
      <c r="E468" s="15" t="s">
        <v>49</v>
      </c>
      <c r="F468" s="14" t="s">
        <v>22</v>
      </c>
      <c r="G468" s="15" t="s">
        <v>23</v>
      </c>
      <c r="H468" s="15" t="s">
        <v>1525</v>
      </c>
      <c r="I468" s="15">
        <v>201411</v>
      </c>
      <c r="J468" s="16">
        <v>-25.51</v>
      </c>
      <c r="K468" s="44">
        <f t="shared" si="37"/>
        <v>41944</v>
      </c>
      <c r="L468" s="45">
        <f t="shared" si="34"/>
        <v>7</v>
      </c>
      <c r="M468" s="17">
        <v>1.4833299999999999E-3</v>
      </c>
      <c r="N468" s="46">
        <f t="shared" si="35"/>
        <v>-0.2648782381</v>
      </c>
      <c r="O468" s="16"/>
      <c r="P468" s="48"/>
      <c r="Q468" s="16"/>
      <c r="R468" s="48">
        <f t="shared" si="38"/>
        <v>-8.2708203125000015</v>
      </c>
      <c r="S468" s="14"/>
    </row>
    <row r="469" spans="1:19">
      <c r="A469" s="14" t="s">
        <v>54</v>
      </c>
      <c r="B469" s="15" t="s">
        <v>906</v>
      </c>
      <c r="C469" s="15" t="s">
        <v>907</v>
      </c>
      <c r="D469" s="14" t="s">
        <v>908</v>
      </c>
      <c r="E469" s="15" t="s">
        <v>909</v>
      </c>
      <c r="F469" s="14" t="s">
        <v>22</v>
      </c>
      <c r="G469" s="15" t="s">
        <v>23</v>
      </c>
      <c r="H469" s="15" t="s">
        <v>1525</v>
      </c>
      <c r="I469" s="15">
        <v>201411</v>
      </c>
      <c r="J469" s="16">
        <v>0</v>
      </c>
      <c r="K469" s="44">
        <f t="shared" si="37"/>
        <v>41944</v>
      </c>
      <c r="L469" s="45">
        <f t="shared" si="34"/>
        <v>7</v>
      </c>
      <c r="M469" s="17">
        <v>1.4833299999999999E-3</v>
      </c>
      <c r="N469" s="46">
        <f t="shared" si="35"/>
        <v>0</v>
      </c>
      <c r="O469" s="16"/>
      <c r="P469" s="48"/>
      <c r="Q469" s="16"/>
      <c r="R469" s="48">
        <f t="shared" si="38"/>
        <v>0</v>
      </c>
      <c r="S469" s="14"/>
    </row>
    <row r="470" spans="1:19">
      <c r="A470" s="14" t="s">
        <v>17</v>
      </c>
      <c r="B470" s="15" t="s">
        <v>910</v>
      </c>
      <c r="C470" s="15" t="s">
        <v>911</v>
      </c>
      <c r="D470" s="14" t="s">
        <v>912</v>
      </c>
      <c r="E470" s="15" t="s">
        <v>362</v>
      </c>
      <c r="F470" s="14" t="s">
        <v>41</v>
      </c>
      <c r="G470" s="15" t="s">
        <v>23</v>
      </c>
      <c r="H470" s="15" t="s">
        <v>1526</v>
      </c>
      <c r="I470" s="15">
        <v>201411</v>
      </c>
      <c r="J470" s="16">
        <v>0.95</v>
      </c>
      <c r="K470" s="44">
        <f t="shared" si="37"/>
        <v>41944</v>
      </c>
      <c r="L470" s="45">
        <f t="shared" si="34"/>
        <v>7</v>
      </c>
      <c r="M470" s="17">
        <v>1.4833299999999999E-3</v>
      </c>
      <c r="N470" s="46">
        <f t="shared" si="35"/>
        <v>9.8641444999999998E-3</v>
      </c>
      <c r="O470" s="16"/>
      <c r="P470" s="48"/>
      <c r="Q470" s="16"/>
      <c r="R470" s="48">
        <f t="shared" si="38"/>
        <v>0.30800781250000003</v>
      </c>
      <c r="S470" s="14"/>
    </row>
    <row r="471" spans="1:19">
      <c r="A471" s="14" t="s">
        <v>54</v>
      </c>
      <c r="B471" s="15" t="s">
        <v>913</v>
      </c>
      <c r="C471" s="15" t="s">
        <v>914</v>
      </c>
      <c r="D471" s="14" t="s">
        <v>915</v>
      </c>
      <c r="E471" s="15" t="s">
        <v>36</v>
      </c>
      <c r="F471" s="14" t="s">
        <v>22</v>
      </c>
      <c r="G471" s="15" t="s">
        <v>23</v>
      </c>
      <c r="H471" s="15" t="s">
        <v>1525</v>
      </c>
      <c r="I471" s="15">
        <v>201411</v>
      </c>
      <c r="J471" s="16">
        <v>-1080.8800000000001</v>
      </c>
      <c r="K471" s="44">
        <f t="shared" si="37"/>
        <v>41944</v>
      </c>
      <c r="L471" s="45">
        <f t="shared" ref="L471:L541" si="39">((YEAR($L$1)-YEAR(K471))*12+MONTH($L$1)-MONTH(K471))</f>
        <v>7</v>
      </c>
      <c r="M471" s="17">
        <v>1.4833299999999999E-3</v>
      </c>
      <c r="N471" s="46">
        <f t="shared" ref="N471:N541" si="40">M471*L471*J471</f>
        <v>-11.223112112800001</v>
      </c>
      <c r="O471" s="16"/>
      <c r="P471" s="48"/>
      <c r="Q471" s="16"/>
      <c r="R471" s="48">
        <f t="shared" si="38"/>
        <v>-350.44156250000009</v>
      </c>
      <c r="S471" s="14"/>
    </row>
    <row r="472" spans="1:19">
      <c r="A472" s="14" t="s">
        <v>54</v>
      </c>
      <c r="B472" s="15" t="s">
        <v>919</v>
      </c>
      <c r="C472" s="15" t="s">
        <v>920</v>
      </c>
      <c r="D472" s="14" t="s">
        <v>921</v>
      </c>
      <c r="E472" s="15" t="s">
        <v>362</v>
      </c>
      <c r="F472" s="14" t="s">
        <v>41</v>
      </c>
      <c r="G472" s="15" t="s">
        <v>23</v>
      </c>
      <c r="H472" s="15" t="s">
        <v>1526</v>
      </c>
      <c r="I472" s="15">
        <v>201411</v>
      </c>
      <c r="J472" s="16">
        <v>156809.47</v>
      </c>
      <c r="K472" s="44">
        <f t="shared" si="37"/>
        <v>41944</v>
      </c>
      <c r="L472" s="45">
        <f t="shared" si="39"/>
        <v>7</v>
      </c>
      <c r="M472" s="17">
        <v>1.4833299999999999E-3</v>
      </c>
      <c r="N472" s="46">
        <f t="shared" si="40"/>
        <v>1628.2013379457001</v>
      </c>
      <c r="O472" s="16"/>
      <c r="P472" s="48"/>
      <c r="Q472" s="16"/>
      <c r="R472" s="48">
        <f t="shared" si="38"/>
        <v>50840.570351562499</v>
      </c>
      <c r="S472" s="14"/>
    </row>
    <row r="473" spans="1:19">
      <c r="A473" s="14" t="s">
        <v>54</v>
      </c>
      <c r="B473" s="15" t="s">
        <v>922</v>
      </c>
      <c r="C473" s="15" t="s">
        <v>923</v>
      </c>
      <c r="D473" s="14" t="s">
        <v>924</v>
      </c>
      <c r="E473" s="15" t="s">
        <v>925</v>
      </c>
      <c r="F473" s="14" t="s">
        <v>41</v>
      </c>
      <c r="G473" s="15" t="s">
        <v>23</v>
      </c>
      <c r="H473" s="15" t="s">
        <v>1526</v>
      </c>
      <c r="I473" s="15">
        <v>201411</v>
      </c>
      <c r="J473" s="16">
        <v>100429.48</v>
      </c>
      <c r="K473" s="44">
        <f t="shared" si="37"/>
        <v>41944</v>
      </c>
      <c r="L473" s="45">
        <f t="shared" si="39"/>
        <v>7</v>
      </c>
      <c r="M473" s="17">
        <v>1.4833299999999999E-3</v>
      </c>
      <c r="N473" s="46">
        <f t="shared" si="40"/>
        <v>1042.7904239787999</v>
      </c>
      <c r="O473" s="16"/>
      <c r="P473" s="48"/>
      <c r="Q473" s="16"/>
      <c r="R473" s="48">
        <f t="shared" si="38"/>
        <v>32561.120468749999</v>
      </c>
      <c r="S473" s="14"/>
    </row>
    <row r="474" spans="1:19">
      <c r="A474" s="14" t="s">
        <v>54</v>
      </c>
      <c r="B474" s="15" t="s">
        <v>929</v>
      </c>
      <c r="C474" s="15" t="s">
        <v>930</v>
      </c>
      <c r="D474" s="14" t="s">
        <v>931</v>
      </c>
      <c r="E474" s="15" t="s">
        <v>394</v>
      </c>
      <c r="F474" s="14" t="s">
        <v>137</v>
      </c>
      <c r="G474" s="15" t="s">
        <v>23</v>
      </c>
      <c r="H474" s="15" t="s">
        <v>1526</v>
      </c>
      <c r="I474" s="15">
        <v>201411</v>
      </c>
      <c r="J474" s="16">
        <v>37016.21</v>
      </c>
      <c r="K474" s="44">
        <f t="shared" si="37"/>
        <v>41944</v>
      </c>
      <c r="L474" s="45">
        <f t="shared" si="39"/>
        <v>7</v>
      </c>
      <c r="M474" s="17">
        <v>1.4833299999999999E-3</v>
      </c>
      <c r="N474" s="46">
        <f t="shared" si="40"/>
        <v>384.35078345509999</v>
      </c>
      <c r="O474" s="16"/>
      <c r="P474" s="48"/>
      <c r="Q474" s="16"/>
      <c r="R474" s="48">
        <f t="shared" si="38"/>
        <v>12001.349335937501</v>
      </c>
      <c r="S474" s="14"/>
    </row>
    <row r="475" spans="1:19">
      <c r="A475" s="14" t="s">
        <v>54</v>
      </c>
      <c r="B475" s="15" t="s">
        <v>938</v>
      </c>
      <c r="C475" s="15" t="s">
        <v>939</v>
      </c>
      <c r="D475" s="14" t="s">
        <v>940</v>
      </c>
      <c r="E475" s="15" t="s">
        <v>141</v>
      </c>
      <c r="F475" s="14" t="s">
        <v>142</v>
      </c>
      <c r="G475" s="15" t="s">
        <v>23</v>
      </c>
      <c r="H475" s="15" t="s">
        <v>1525</v>
      </c>
      <c r="I475" s="15">
        <v>201411</v>
      </c>
      <c r="J475" s="16">
        <v>-767.04</v>
      </c>
      <c r="K475" s="44">
        <f t="shared" si="37"/>
        <v>41944</v>
      </c>
      <c r="L475" s="45">
        <f t="shared" si="39"/>
        <v>7</v>
      </c>
      <c r="M475" s="17">
        <v>1.4833299999999999E-3</v>
      </c>
      <c r="N475" s="46">
        <f t="shared" si="40"/>
        <v>-7.9644141023999993</v>
      </c>
      <c r="O475" s="16"/>
      <c r="P475" s="48"/>
      <c r="Q475" s="16"/>
      <c r="R475" s="48">
        <f t="shared" si="38"/>
        <v>-248.68875</v>
      </c>
      <c r="S475" s="14"/>
    </row>
    <row r="476" spans="1:19">
      <c r="A476" s="14" t="s">
        <v>17</v>
      </c>
      <c r="B476" s="15" t="s">
        <v>944</v>
      </c>
      <c r="C476" s="15" t="s">
        <v>945</v>
      </c>
      <c r="D476" s="14" t="s">
        <v>946</v>
      </c>
      <c r="E476" s="15" t="s">
        <v>104</v>
      </c>
      <c r="F476" s="14" t="s">
        <v>41</v>
      </c>
      <c r="G476" s="15" t="s">
        <v>23</v>
      </c>
      <c r="H476" s="15" t="s">
        <v>1526</v>
      </c>
      <c r="I476" s="15">
        <v>201411</v>
      </c>
      <c r="J476" s="16">
        <v>-42.39</v>
      </c>
      <c r="K476" s="44">
        <f t="shared" si="37"/>
        <v>41944</v>
      </c>
      <c r="L476" s="45">
        <f t="shared" si="39"/>
        <v>7</v>
      </c>
      <c r="M476" s="17">
        <v>1.4833299999999999E-3</v>
      </c>
      <c r="N476" s="46">
        <f t="shared" si="40"/>
        <v>-0.44014851090000001</v>
      </c>
      <c r="O476" s="16"/>
      <c r="P476" s="48"/>
      <c r="Q476" s="16"/>
      <c r="R476" s="48">
        <f t="shared" si="38"/>
        <v>-13.743632812500001</v>
      </c>
      <c r="S476" s="14"/>
    </row>
    <row r="477" spans="1:19">
      <c r="A477" s="14" t="s">
        <v>54</v>
      </c>
      <c r="B477" s="15" t="s">
        <v>947</v>
      </c>
      <c r="C477" s="15" t="s">
        <v>948</v>
      </c>
      <c r="D477" s="14" t="s">
        <v>949</v>
      </c>
      <c r="E477" s="15" t="s">
        <v>141</v>
      </c>
      <c r="F477" s="14" t="s">
        <v>142</v>
      </c>
      <c r="G477" s="15" t="s">
        <v>23</v>
      </c>
      <c r="H477" s="15" t="s">
        <v>1525</v>
      </c>
      <c r="I477" s="15">
        <v>201411</v>
      </c>
      <c r="J477" s="16">
        <v>88675.88</v>
      </c>
      <c r="K477" s="44">
        <f t="shared" si="37"/>
        <v>41944</v>
      </c>
      <c r="L477" s="45">
        <f t="shared" si="39"/>
        <v>7</v>
      </c>
      <c r="M477" s="17">
        <v>1.4833299999999999E-3</v>
      </c>
      <c r="N477" s="46">
        <f t="shared" si="40"/>
        <v>920.74915156280008</v>
      </c>
      <c r="O477" s="16"/>
      <c r="P477" s="48"/>
      <c r="Q477" s="16"/>
      <c r="R477" s="48">
        <f t="shared" si="38"/>
        <v>28750.382968750004</v>
      </c>
      <c r="S477" s="14"/>
    </row>
    <row r="478" spans="1:19">
      <c r="A478" s="14" t="s">
        <v>54</v>
      </c>
      <c r="B478" s="15" t="s">
        <v>950</v>
      </c>
      <c r="C478" s="15" t="s">
        <v>951</v>
      </c>
      <c r="D478" s="14" t="s">
        <v>952</v>
      </c>
      <c r="E478" s="15" t="s">
        <v>141</v>
      </c>
      <c r="F478" s="14" t="s">
        <v>142</v>
      </c>
      <c r="G478" s="15" t="s">
        <v>23</v>
      </c>
      <c r="H478" s="15" t="s">
        <v>1525</v>
      </c>
      <c r="I478" s="15">
        <v>201411</v>
      </c>
      <c r="J478" s="16">
        <v>11910.35</v>
      </c>
      <c r="K478" s="44">
        <f t="shared" si="37"/>
        <v>41944</v>
      </c>
      <c r="L478" s="45">
        <f t="shared" si="39"/>
        <v>7</v>
      </c>
      <c r="M478" s="17">
        <v>1.4833299999999999E-3</v>
      </c>
      <c r="N478" s="46">
        <f t="shared" si="40"/>
        <v>123.6688562585</v>
      </c>
      <c r="O478" s="16"/>
      <c r="P478" s="48"/>
      <c r="Q478" s="16"/>
      <c r="R478" s="48">
        <f t="shared" si="38"/>
        <v>3861.5587890625006</v>
      </c>
      <c r="S478" s="14"/>
    </row>
    <row r="479" spans="1:19">
      <c r="A479" s="14" t="s">
        <v>17</v>
      </c>
      <c r="B479" s="15" t="s">
        <v>953</v>
      </c>
      <c r="C479" s="15" t="s">
        <v>954</v>
      </c>
      <c r="D479" s="14" t="s">
        <v>955</v>
      </c>
      <c r="E479" s="15" t="s">
        <v>40</v>
      </c>
      <c r="F479" s="14" t="s">
        <v>41</v>
      </c>
      <c r="G479" s="15" t="s">
        <v>23</v>
      </c>
      <c r="H479" s="15" t="s">
        <v>1526</v>
      </c>
      <c r="I479" s="15">
        <v>201411</v>
      </c>
      <c r="J479" s="16">
        <v>0</v>
      </c>
      <c r="K479" s="44">
        <f t="shared" si="37"/>
        <v>41944</v>
      </c>
      <c r="L479" s="45">
        <f t="shared" si="39"/>
        <v>7</v>
      </c>
      <c r="M479" s="17">
        <v>1.4833299999999999E-3</v>
      </c>
      <c r="N479" s="46">
        <f t="shared" si="40"/>
        <v>0</v>
      </c>
      <c r="O479" s="16"/>
      <c r="P479" s="48"/>
      <c r="Q479" s="16"/>
      <c r="R479" s="48">
        <f t="shared" si="38"/>
        <v>0</v>
      </c>
      <c r="S479" s="14"/>
    </row>
    <row r="480" spans="1:19">
      <c r="A480" s="14" t="s">
        <v>17</v>
      </c>
      <c r="B480" s="15" t="s">
        <v>956</v>
      </c>
      <c r="C480" s="15" t="s">
        <v>957</v>
      </c>
      <c r="D480" s="14" t="s">
        <v>958</v>
      </c>
      <c r="E480" s="15" t="s">
        <v>40</v>
      </c>
      <c r="F480" s="14" t="s">
        <v>41</v>
      </c>
      <c r="G480" s="15" t="s">
        <v>23</v>
      </c>
      <c r="H480" s="15" t="s">
        <v>1526</v>
      </c>
      <c r="I480" s="15">
        <v>201411</v>
      </c>
      <c r="J480" s="16">
        <v>-45.74</v>
      </c>
      <c r="K480" s="44">
        <f t="shared" si="37"/>
        <v>41944</v>
      </c>
      <c r="L480" s="45">
        <f t="shared" si="39"/>
        <v>7</v>
      </c>
      <c r="M480" s="17">
        <v>1.4833299999999999E-3</v>
      </c>
      <c r="N480" s="46">
        <f t="shared" si="40"/>
        <v>-0.47493259939999999</v>
      </c>
      <c r="O480" s="16"/>
      <c r="P480" s="48"/>
      <c r="Q480" s="16"/>
      <c r="R480" s="48">
        <f t="shared" si="38"/>
        <v>-14.829765625000002</v>
      </c>
      <c r="S480" s="14"/>
    </row>
    <row r="481" spans="1:19">
      <c r="A481" s="14" t="s">
        <v>54</v>
      </c>
      <c r="B481" s="15" t="s">
        <v>962</v>
      </c>
      <c r="C481" s="15" t="s">
        <v>963</v>
      </c>
      <c r="D481" s="14" t="s">
        <v>964</v>
      </c>
      <c r="E481" s="15" t="s">
        <v>40</v>
      </c>
      <c r="F481" s="14" t="s">
        <v>41</v>
      </c>
      <c r="G481" s="15" t="s">
        <v>23</v>
      </c>
      <c r="H481" s="15" t="s">
        <v>1526</v>
      </c>
      <c r="I481" s="15">
        <v>201411</v>
      </c>
      <c r="J481" s="16">
        <v>1379.28</v>
      </c>
      <c r="K481" s="44">
        <f t="shared" si="37"/>
        <v>41944</v>
      </c>
      <c r="L481" s="45">
        <f t="shared" si="39"/>
        <v>7</v>
      </c>
      <c r="M481" s="17">
        <v>1.4833299999999999E-3</v>
      </c>
      <c r="N481" s="46">
        <f t="shared" si="40"/>
        <v>14.3214918168</v>
      </c>
      <c r="O481" s="16"/>
      <c r="P481" s="48"/>
      <c r="Q481" s="16"/>
      <c r="R481" s="48">
        <f t="shared" si="38"/>
        <v>447.18843750000008</v>
      </c>
      <c r="S481" s="14"/>
    </row>
    <row r="482" spans="1:19">
      <c r="A482" s="14" t="s">
        <v>54</v>
      </c>
      <c r="B482" s="15" t="s">
        <v>965</v>
      </c>
      <c r="C482" s="15" t="s">
        <v>966</v>
      </c>
      <c r="D482" s="14" t="s">
        <v>967</v>
      </c>
      <c r="E482" s="15" t="s">
        <v>53</v>
      </c>
      <c r="F482" s="14" t="s">
        <v>41</v>
      </c>
      <c r="G482" s="15" t="s">
        <v>23</v>
      </c>
      <c r="H482" s="15" t="s">
        <v>1526</v>
      </c>
      <c r="I482" s="15">
        <v>201411</v>
      </c>
      <c r="J482" s="16">
        <v>-10648.99</v>
      </c>
      <c r="K482" s="44">
        <f t="shared" si="37"/>
        <v>41944</v>
      </c>
      <c r="L482" s="45">
        <f t="shared" si="39"/>
        <v>7</v>
      </c>
      <c r="M482" s="17">
        <v>1.4833299999999999E-3</v>
      </c>
      <c r="N482" s="46">
        <f t="shared" si="40"/>
        <v>-110.57176435689999</v>
      </c>
      <c r="O482" s="16"/>
      <c r="P482" s="48"/>
      <c r="Q482" s="16"/>
      <c r="R482" s="48">
        <f t="shared" si="38"/>
        <v>-3452.6022265625006</v>
      </c>
      <c r="S482" s="14"/>
    </row>
    <row r="483" spans="1:19">
      <c r="A483" s="14" t="s">
        <v>54</v>
      </c>
      <c r="B483" s="15" t="s">
        <v>968</v>
      </c>
      <c r="C483" s="15" t="s">
        <v>969</v>
      </c>
      <c r="D483" s="14" t="s">
        <v>970</v>
      </c>
      <c r="E483" s="15" t="s">
        <v>394</v>
      </c>
      <c r="F483" s="14" t="s">
        <v>137</v>
      </c>
      <c r="G483" s="15" t="s">
        <v>23</v>
      </c>
      <c r="H483" s="15" t="s">
        <v>1526</v>
      </c>
      <c r="I483" s="15">
        <v>201411</v>
      </c>
      <c r="J483" s="16">
        <v>46130.239999999998</v>
      </c>
      <c r="K483" s="44">
        <f t="shared" si="37"/>
        <v>41944</v>
      </c>
      <c r="L483" s="45">
        <f t="shared" si="39"/>
        <v>7</v>
      </c>
      <c r="M483" s="17">
        <v>1.4833299999999999E-3</v>
      </c>
      <c r="N483" s="46">
        <f t="shared" si="40"/>
        <v>478.98458229439996</v>
      </c>
      <c r="O483" s="16"/>
      <c r="P483" s="48"/>
      <c r="Q483" s="16"/>
      <c r="R483" s="48">
        <f t="shared" si="38"/>
        <v>14956.288750000002</v>
      </c>
      <c r="S483" s="14"/>
    </row>
    <row r="484" spans="1:19">
      <c r="A484" s="14" t="s">
        <v>54</v>
      </c>
      <c r="B484" s="15" t="s">
        <v>971</v>
      </c>
      <c r="C484" s="15" t="s">
        <v>972</v>
      </c>
      <c r="D484" s="14" t="s">
        <v>973</v>
      </c>
      <c r="E484" s="15" t="s">
        <v>567</v>
      </c>
      <c r="F484" s="14" t="s">
        <v>137</v>
      </c>
      <c r="G484" s="15" t="s">
        <v>23</v>
      </c>
      <c r="H484" s="15" t="s">
        <v>1526</v>
      </c>
      <c r="I484" s="15">
        <v>201411</v>
      </c>
      <c r="J484" s="16">
        <v>35042.230000000003</v>
      </c>
      <c r="K484" s="44">
        <f t="shared" si="37"/>
        <v>41944</v>
      </c>
      <c r="L484" s="45">
        <f t="shared" si="39"/>
        <v>7</v>
      </c>
      <c r="M484" s="17">
        <v>1.4833299999999999E-3</v>
      </c>
      <c r="N484" s="46">
        <f t="shared" si="40"/>
        <v>363.85433718130002</v>
      </c>
      <c r="O484" s="16"/>
      <c r="P484" s="48"/>
      <c r="Q484" s="16"/>
      <c r="R484" s="48">
        <f t="shared" si="38"/>
        <v>11361.348007812503</v>
      </c>
      <c r="S484" s="14"/>
    </row>
    <row r="485" spans="1:19">
      <c r="A485" s="14" t="s">
        <v>54</v>
      </c>
      <c r="B485" s="15" t="s">
        <v>974</v>
      </c>
      <c r="C485" s="15" t="s">
        <v>975</v>
      </c>
      <c r="D485" s="14" t="s">
        <v>976</v>
      </c>
      <c r="E485" s="15" t="s">
        <v>141</v>
      </c>
      <c r="F485" s="14" t="s">
        <v>142</v>
      </c>
      <c r="G485" s="15" t="s">
        <v>23</v>
      </c>
      <c r="H485" s="15" t="s">
        <v>1525</v>
      </c>
      <c r="I485" s="15">
        <v>201411</v>
      </c>
      <c r="J485" s="16">
        <v>-208.96</v>
      </c>
      <c r="K485" s="44">
        <f t="shared" si="37"/>
        <v>41944</v>
      </c>
      <c r="L485" s="45">
        <f t="shared" si="39"/>
        <v>7</v>
      </c>
      <c r="M485" s="17">
        <v>1.4833299999999999E-3</v>
      </c>
      <c r="N485" s="46">
        <f t="shared" si="40"/>
        <v>-2.1696964576000002</v>
      </c>
      <c r="O485" s="16"/>
      <c r="P485" s="48"/>
      <c r="Q485" s="16"/>
      <c r="R485" s="48">
        <f t="shared" si="38"/>
        <v>-67.748750000000001</v>
      </c>
      <c r="S485" s="14"/>
    </row>
    <row r="486" spans="1:19">
      <c r="A486" s="14" t="s">
        <v>54</v>
      </c>
      <c r="B486" s="15" t="s">
        <v>990</v>
      </c>
      <c r="C486" s="15" t="s">
        <v>991</v>
      </c>
      <c r="D486" s="14" t="s">
        <v>992</v>
      </c>
      <c r="E486" s="15" t="s">
        <v>141</v>
      </c>
      <c r="F486" s="14" t="s">
        <v>142</v>
      </c>
      <c r="G486" s="15" t="s">
        <v>23</v>
      </c>
      <c r="H486" s="15" t="s">
        <v>1525</v>
      </c>
      <c r="I486" s="15">
        <v>201411</v>
      </c>
      <c r="J486" s="16">
        <v>-8191.63</v>
      </c>
      <c r="K486" s="44">
        <f t="shared" si="37"/>
        <v>41944</v>
      </c>
      <c r="L486" s="45">
        <f t="shared" si="39"/>
        <v>7</v>
      </c>
      <c r="M486" s="17">
        <v>1.4833299999999999E-3</v>
      </c>
      <c r="N486" s="46">
        <f t="shared" si="40"/>
        <v>-85.056233695299994</v>
      </c>
      <c r="O486" s="16"/>
      <c r="P486" s="48"/>
      <c r="Q486" s="16"/>
      <c r="R486" s="48">
        <f t="shared" si="38"/>
        <v>-2655.8800390625001</v>
      </c>
      <c r="S486" s="14"/>
    </row>
    <row r="487" spans="1:19">
      <c r="A487" s="14" t="s">
        <v>54</v>
      </c>
      <c r="B487" s="15" t="s">
        <v>993</v>
      </c>
      <c r="C487" s="15" t="s">
        <v>994</v>
      </c>
      <c r="D487" s="14" t="s">
        <v>995</v>
      </c>
      <c r="E487" s="15" t="s">
        <v>40</v>
      </c>
      <c r="F487" s="14" t="s">
        <v>41</v>
      </c>
      <c r="G487" s="15" t="s">
        <v>23</v>
      </c>
      <c r="H487" s="15" t="s">
        <v>1526</v>
      </c>
      <c r="I487" s="15">
        <v>201411</v>
      </c>
      <c r="J487" s="16">
        <v>19878.39</v>
      </c>
      <c r="K487" s="44">
        <f t="shared" si="37"/>
        <v>41944</v>
      </c>
      <c r="L487" s="45">
        <f t="shared" si="39"/>
        <v>7</v>
      </c>
      <c r="M487" s="17">
        <v>1.4833299999999999E-3</v>
      </c>
      <c r="N487" s="46">
        <f t="shared" si="40"/>
        <v>206.40348567089998</v>
      </c>
      <c r="O487" s="16"/>
      <c r="P487" s="48"/>
      <c r="Q487" s="16"/>
      <c r="R487" s="48">
        <f t="shared" si="38"/>
        <v>6444.9467578125004</v>
      </c>
      <c r="S487" s="14"/>
    </row>
    <row r="488" spans="1:19">
      <c r="A488" s="14" t="s">
        <v>54</v>
      </c>
      <c r="B488" s="15" t="s">
        <v>996</v>
      </c>
      <c r="C488" s="15" t="s">
        <v>997</v>
      </c>
      <c r="D488" s="14" t="s">
        <v>998</v>
      </c>
      <c r="E488" s="15" t="s">
        <v>27</v>
      </c>
      <c r="F488" s="14" t="s">
        <v>28</v>
      </c>
      <c r="G488" s="15" t="s">
        <v>23</v>
      </c>
      <c r="H488" s="15" t="s">
        <v>1525</v>
      </c>
      <c r="I488" s="15">
        <v>201411</v>
      </c>
      <c r="J488" s="16">
        <v>20478.060000000001</v>
      </c>
      <c r="K488" s="44">
        <f t="shared" si="37"/>
        <v>41944</v>
      </c>
      <c r="L488" s="45">
        <f t="shared" si="39"/>
        <v>7</v>
      </c>
      <c r="M488" s="17">
        <v>1.4833299999999999E-3</v>
      </c>
      <c r="N488" s="46">
        <f t="shared" si="40"/>
        <v>212.6300451786</v>
      </c>
      <c r="O488" s="16"/>
      <c r="P488" s="48"/>
      <c r="Q488" s="16"/>
      <c r="R488" s="48">
        <f t="shared" si="38"/>
        <v>6639.3710156250008</v>
      </c>
      <c r="S488" s="14"/>
    </row>
    <row r="489" spans="1:19">
      <c r="A489" s="14" t="s">
        <v>17</v>
      </c>
      <c r="B489" s="15" t="s">
        <v>999</v>
      </c>
      <c r="C489" s="15" t="s">
        <v>1000</v>
      </c>
      <c r="D489" s="14" t="s">
        <v>1001</v>
      </c>
      <c r="E489" s="15" t="s">
        <v>176</v>
      </c>
      <c r="F489" s="14" t="s">
        <v>28</v>
      </c>
      <c r="G489" s="15" t="s">
        <v>23</v>
      </c>
      <c r="H489" s="15" t="s">
        <v>1525</v>
      </c>
      <c r="I489" s="15">
        <v>201411</v>
      </c>
      <c r="J489" s="16">
        <v>-626</v>
      </c>
      <c r="K489" s="44">
        <f t="shared" si="37"/>
        <v>41944</v>
      </c>
      <c r="L489" s="45">
        <f t="shared" si="39"/>
        <v>7</v>
      </c>
      <c r="M489" s="17">
        <v>1.4833299999999999E-3</v>
      </c>
      <c r="N489" s="46">
        <f t="shared" si="40"/>
        <v>-6.49995206</v>
      </c>
      <c r="O489" s="16"/>
      <c r="P489" s="48"/>
      <c r="Q489" s="16"/>
      <c r="R489" s="48">
        <f t="shared" si="38"/>
        <v>-202.9609375</v>
      </c>
      <c r="S489" s="14"/>
    </row>
    <row r="490" spans="1:19">
      <c r="A490" s="14" t="s">
        <v>54</v>
      </c>
      <c r="B490" s="15" t="s">
        <v>1002</v>
      </c>
      <c r="C490" s="15" t="s">
        <v>1003</v>
      </c>
      <c r="D490" s="14" t="s">
        <v>1004</v>
      </c>
      <c r="E490" s="15" t="s">
        <v>216</v>
      </c>
      <c r="F490" s="14" t="s">
        <v>22</v>
      </c>
      <c r="G490" s="15" t="s">
        <v>23</v>
      </c>
      <c r="H490" s="15" t="s">
        <v>1525</v>
      </c>
      <c r="I490" s="15">
        <v>201411</v>
      </c>
      <c r="J490" s="16">
        <v>19239.02</v>
      </c>
      <c r="K490" s="44">
        <f t="shared" si="37"/>
        <v>41944</v>
      </c>
      <c r="L490" s="45">
        <f t="shared" si="39"/>
        <v>7</v>
      </c>
      <c r="M490" s="17">
        <v>1.4833299999999999E-3</v>
      </c>
      <c r="N490" s="46">
        <f t="shared" si="40"/>
        <v>199.76470875620001</v>
      </c>
      <c r="O490" s="16"/>
      <c r="P490" s="48"/>
      <c r="Q490" s="16"/>
      <c r="R490" s="48">
        <f t="shared" si="38"/>
        <v>6237.6510156250006</v>
      </c>
      <c r="S490" s="14"/>
    </row>
    <row r="491" spans="1:19">
      <c r="A491" s="14" t="s">
        <v>54</v>
      </c>
      <c r="B491" s="15" t="s">
        <v>1005</v>
      </c>
      <c r="C491" s="15" t="s">
        <v>1006</v>
      </c>
      <c r="D491" s="14" t="s">
        <v>1007</v>
      </c>
      <c r="E491" s="15" t="s">
        <v>141</v>
      </c>
      <c r="F491" s="14" t="s">
        <v>142</v>
      </c>
      <c r="G491" s="15" t="s">
        <v>23</v>
      </c>
      <c r="H491" s="15" t="s">
        <v>1525</v>
      </c>
      <c r="I491" s="15">
        <v>201411</v>
      </c>
      <c r="J491" s="16">
        <v>8538.86</v>
      </c>
      <c r="K491" s="44">
        <f t="shared" si="37"/>
        <v>41944</v>
      </c>
      <c r="L491" s="45">
        <f t="shared" si="39"/>
        <v>7</v>
      </c>
      <c r="M491" s="17">
        <v>1.4833299999999999E-3</v>
      </c>
      <c r="N491" s="46">
        <f t="shared" si="40"/>
        <v>88.661630426599999</v>
      </c>
      <c r="O491" s="16"/>
      <c r="P491" s="48"/>
      <c r="Q491" s="16"/>
      <c r="R491" s="48">
        <f t="shared" si="38"/>
        <v>2768.4585156250005</v>
      </c>
      <c r="S491" s="14"/>
    </row>
    <row r="492" spans="1:19">
      <c r="A492" s="14" t="s">
        <v>54</v>
      </c>
      <c r="B492" s="15" t="s">
        <v>1008</v>
      </c>
      <c r="C492" s="15" t="s">
        <v>1009</v>
      </c>
      <c r="D492" s="14" t="s">
        <v>1010</v>
      </c>
      <c r="E492" s="15" t="s">
        <v>49</v>
      </c>
      <c r="F492" s="14" t="s">
        <v>22</v>
      </c>
      <c r="G492" s="15" t="s">
        <v>23</v>
      </c>
      <c r="H492" s="15" t="s">
        <v>1525</v>
      </c>
      <c r="I492" s="15">
        <v>201411</v>
      </c>
      <c r="J492" s="16">
        <v>-4489.25</v>
      </c>
      <c r="K492" s="44">
        <f t="shared" ref="K492:K503" si="41">+K491</f>
        <v>41944</v>
      </c>
      <c r="L492" s="45">
        <f t="shared" si="39"/>
        <v>7</v>
      </c>
      <c r="M492" s="17">
        <v>1.4833299999999999E-3</v>
      </c>
      <c r="N492" s="46">
        <f t="shared" si="40"/>
        <v>-46.613274417500001</v>
      </c>
      <c r="O492" s="16"/>
      <c r="P492" s="48"/>
      <c r="Q492" s="16"/>
      <c r="R492" s="48">
        <f t="shared" si="38"/>
        <v>-1455.4990234375</v>
      </c>
      <c r="S492" s="14"/>
    </row>
    <row r="493" spans="1:19">
      <c r="A493" s="14" t="s">
        <v>54</v>
      </c>
      <c r="B493" s="15" t="s">
        <v>1014</v>
      </c>
      <c r="C493" s="15" t="s">
        <v>1015</v>
      </c>
      <c r="D493" s="14" t="s">
        <v>1016</v>
      </c>
      <c r="E493" s="15" t="s">
        <v>296</v>
      </c>
      <c r="F493" s="14" t="s">
        <v>28</v>
      </c>
      <c r="G493" s="15" t="s">
        <v>23</v>
      </c>
      <c r="H493" s="15" t="s">
        <v>1525</v>
      </c>
      <c r="I493" s="15">
        <v>201411</v>
      </c>
      <c r="J493" s="16">
        <v>-4496.3500000000004</v>
      </c>
      <c r="K493" s="44">
        <f t="shared" si="41"/>
        <v>41944</v>
      </c>
      <c r="L493" s="45">
        <f t="shared" si="39"/>
        <v>7</v>
      </c>
      <c r="M493" s="17">
        <v>1.4833299999999999E-3</v>
      </c>
      <c r="N493" s="46">
        <f t="shared" si="40"/>
        <v>-46.686995918500003</v>
      </c>
      <c r="O493" s="16"/>
      <c r="P493" s="48"/>
      <c r="Q493" s="16"/>
      <c r="R493" s="48">
        <f t="shared" si="38"/>
        <v>-1457.8009765625004</v>
      </c>
      <c r="S493" s="14"/>
    </row>
    <row r="494" spans="1:19">
      <c r="A494" s="14" t="s">
        <v>54</v>
      </c>
      <c r="B494" s="15" t="s">
        <v>1017</v>
      </c>
      <c r="C494" s="15" t="s">
        <v>1018</v>
      </c>
      <c r="D494" s="14" t="s">
        <v>1019</v>
      </c>
      <c r="E494" s="15" t="s">
        <v>1020</v>
      </c>
      <c r="F494" s="14" t="s">
        <v>22</v>
      </c>
      <c r="G494" s="15" t="s">
        <v>23</v>
      </c>
      <c r="H494" s="15" t="s">
        <v>1525</v>
      </c>
      <c r="I494" s="15">
        <v>201411</v>
      </c>
      <c r="J494" s="16">
        <v>5145.3999999999996</v>
      </c>
      <c r="K494" s="44">
        <f t="shared" si="41"/>
        <v>41944</v>
      </c>
      <c r="L494" s="45">
        <f t="shared" si="39"/>
        <v>7</v>
      </c>
      <c r="M494" s="17">
        <v>1.4833299999999999E-3</v>
      </c>
      <c r="N494" s="46">
        <f t="shared" si="40"/>
        <v>53.426283273999992</v>
      </c>
      <c r="O494" s="16"/>
      <c r="P494" s="48"/>
      <c r="Q494" s="16"/>
      <c r="R494" s="48">
        <f t="shared" ref="R494:R557" si="42">$R$300*J494*$U$9</f>
        <v>1668.23515625</v>
      </c>
      <c r="S494" s="14"/>
    </row>
    <row r="495" spans="1:19">
      <c r="A495" s="14" t="s">
        <v>54</v>
      </c>
      <c r="B495" s="15" t="s">
        <v>1021</v>
      </c>
      <c r="C495" s="15" t="s">
        <v>1022</v>
      </c>
      <c r="D495" s="14" t="s">
        <v>1023</v>
      </c>
      <c r="E495" s="15" t="s">
        <v>108</v>
      </c>
      <c r="F495" s="14" t="s">
        <v>28</v>
      </c>
      <c r="G495" s="15" t="s">
        <v>23</v>
      </c>
      <c r="H495" s="15" t="s">
        <v>1525</v>
      </c>
      <c r="I495" s="15">
        <v>201411</v>
      </c>
      <c r="J495" s="16">
        <v>-13.74</v>
      </c>
      <c r="K495" s="44">
        <f t="shared" si="41"/>
        <v>41944</v>
      </c>
      <c r="L495" s="45">
        <f t="shared" si="39"/>
        <v>7</v>
      </c>
      <c r="M495" s="17">
        <v>1.4833299999999999E-3</v>
      </c>
      <c r="N495" s="46">
        <f t="shared" si="40"/>
        <v>-0.1426666794</v>
      </c>
      <c r="O495" s="16"/>
      <c r="P495" s="48"/>
      <c r="Q495" s="16"/>
      <c r="R495" s="48">
        <f t="shared" si="42"/>
        <v>-4.4547656250000003</v>
      </c>
      <c r="S495" s="14"/>
    </row>
    <row r="496" spans="1:19">
      <c r="A496" s="14" t="s">
        <v>66</v>
      </c>
      <c r="B496" s="15" t="s">
        <v>1105</v>
      </c>
      <c r="C496" s="15" t="s">
        <v>1106</v>
      </c>
      <c r="D496" s="14" t="s">
        <v>1107</v>
      </c>
      <c r="E496" s="15" t="s">
        <v>466</v>
      </c>
      <c r="F496" s="14" t="s">
        <v>467</v>
      </c>
      <c r="G496" s="15" t="s">
        <v>23</v>
      </c>
      <c r="H496" s="15" t="s">
        <v>1527</v>
      </c>
      <c r="I496" s="15">
        <v>201411</v>
      </c>
      <c r="J496" s="16">
        <v>-35.93</v>
      </c>
      <c r="K496" s="44">
        <f t="shared" si="41"/>
        <v>41944</v>
      </c>
      <c r="L496" s="45">
        <f t="shared" si="39"/>
        <v>7</v>
      </c>
      <c r="M496" s="17">
        <v>2.23333E-3</v>
      </c>
      <c r="N496" s="46">
        <f>M496*L496*J496</f>
        <v>-0.56170482830000001</v>
      </c>
      <c r="O496" s="16"/>
      <c r="P496" s="48"/>
      <c r="Q496" s="16"/>
      <c r="R496" s="48">
        <f t="shared" si="42"/>
        <v>-11.649179687500002</v>
      </c>
      <c r="S496" s="14"/>
    </row>
    <row r="497" spans="1:19">
      <c r="A497" s="203" t="s">
        <v>1584</v>
      </c>
      <c r="B497" s="204" t="s">
        <v>1586</v>
      </c>
      <c r="C497" s="204" t="s">
        <v>1587</v>
      </c>
      <c r="D497" s="203" t="s">
        <v>1588</v>
      </c>
      <c r="E497" s="204" t="s">
        <v>1589</v>
      </c>
      <c r="F497" s="203" t="s">
        <v>1590</v>
      </c>
      <c r="G497" s="204" t="s">
        <v>23</v>
      </c>
      <c r="H497" s="15" t="s">
        <v>1530</v>
      </c>
      <c r="I497" s="204">
        <v>201411</v>
      </c>
      <c r="J497" s="205">
        <v>3556.67</v>
      </c>
      <c r="K497" s="44">
        <f t="shared" si="41"/>
        <v>41944</v>
      </c>
      <c r="L497" s="45">
        <f t="shared" ref="L497:L503" si="43">((YEAR($L$1)-YEAR(K497))*12+MONTH($L$1)-MONTH(K497))</f>
        <v>7</v>
      </c>
      <c r="M497" s="206">
        <v>2.0333333000000001E-3</v>
      </c>
      <c r="N497" s="46">
        <f t="shared" si="40"/>
        <v>50.623268836777001</v>
      </c>
      <c r="O497" s="14"/>
      <c r="P497" s="48"/>
      <c r="Q497" s="16"/>
      <c r="R497" s="48">
        <f t="shared" si="42"/>
        <v>1153.1391015625002</v>
      </c>
      <c r="S497" s="14"/>
    </row>
    <row r="498" spans="1:19">
      <c r="A498" s="203" t="s">
        <v>1584</v>
      </c>
      <c r="B498" s="204" t="s">
        <v>1591</v>
      </c>
      <c r="C498" s="204" t="s">
        <v>1592</v>
      </c>
      <c r="D498" s="203" t="s">
        <v>1593</v>
      </c>
      <c r="E498" s="204" t="s">
        <v>1594</v>
      </c>
      <c r="F498" s="203" t="s">
        <v>1590</v>
      </c>
      <c r="G498" s="204" t="s">
        <v>23</v>
      </c>
      <c r="H498" s="15" t="s">
        <v>1530</v>
      </c>
      <c r="I498" s="204">
        <v>201411</v>
      </c>
      <c r="J498" s="205">
        <v>-65.48</v>
      </c>
      <c r="K498" s="44">
        <f t="shared" si="41"/>
        <v>41944</v>
      </c>
      <c r="L498" s="45">
        <f t="shared" si="43"/>
        <v>7</v>
      </c>
      <c r="M498" s="206">
        <v>2.0333333000000001E-3</v>
      </c>
      <c r="N498" s="46">
        <f t="shared" si="40"/>
        <v>-0.93199865138800009</v>
      </c>
      <c r="O498" s="14"/>
      <c r="P498" s="48"/>
      <c r="Q498" s="16"/>
      <c r="R498" s="48">
        <f t="shared" si="42"/>
        <v>-21.229843750000001</v>
      </c>
      <c r="S498" s="14"/>
    </row>
    <row r="499" spans="1:19">
      <c r="A499" s="203" t="s">
        <v>1584</v>
      </c>
      <c r="B499" s="204" t="s">
        <v>1595</v>
      </c>
      <c r="C499" s="204" t="s">
        <v>1596</v>
      </c>
      <c r="D499" s="203" t="s">
        <v>1593</v>
      </c>
      <c r="E499" s="204" t="s">
        <v>1597</v>
      </c>
      <c r="F499" s="203" t="s">
        <v>1590</v>
      </c>
      <c r="G499" s="204" t="s">
        <v>23</v>
      </c>
      <c r="H499" s="15" t="s">
        <v>1530</v>
      </c>
      <c r="I499" s="204">
        <v>201411</v>
      </c>
      <c r="J499" s="205">
        <v>12942.18</v>
      </c>
      <c r="K499" s="44">
        <f t="shared" si="41"/>
        <v>41944</v>
      </c>
      <c r="L499" s="45">
        <f t="shared" si="43"/>
        <v>7</v>
      </c>
      <c r="M499" s="206">
        <v>2.0333333000000001E-3</v>
      </c>
      <c r="N499" s="46">
        <f t="shared" si="40"/>
        <v>184.21035898015802</v>
      </c>
      <c r="O499" s="14"/>
      <c r="P499" s="48"/>
      <c r="Q499" s="16"/>
      <c r="R499" s="48">
        <f t="shared" si="42"/>
        <v>4196.0974218750007</v>
      </c>
      <c r="S499" s="14"/>
    </row>
    <row r="500" spans="1:19">
      <c r="A500" s="203" t="s">
        <v>1584</v>
      </c>
      <c r="B500" s="204" t="s">
        <v>1598</v>
      </c>
      <c r="C500" s="204" t="s">
        <v>1599</v>
      </c>
      <c r="D500" s="203" t="s">
        <v>1600</v>
      </c>
      <c r="E500" s="204" t="s">
        <v>1601</v>
      </c>
      <c r="F500" s="203" t="s">
        <v>1590</v>
      </c>
      <c r="G500" s="204" t="s">
        <v>23</v>
      </c>
      <c r="H500" s="15" t="s">
        <v>1530</v>
      </c>
      <c r="I500" s="204">
        <v>201411</v>
      </c>
      <c r="J500" s="205">
        <v>7279.43</v>
      </c>
      <c r="K500" s="44">
        <f t="shared" si="41"/>
        <v>41944</v>
      </c>
      <c r="L500" s="45">
        <f t="shared" si="43"/>
        <v>7</v>
      </c>
      <c r="M500" s="206">
        <v>2.0333333000000001E-3</v>
      </c>
      <c r="N500" s="46">
        <f t="shared" si="40"/>
        <v>103.61055196813301</v>
      </c>
      <c r="O500" s="14"/>
      <c r="P500" s="48"/>
      <c r="Q500" s="16"/>
      <c r="R500" s="48">
        <f t="shared" si="42"/>
        <v>2360.1276953125002</v>
      </c>
      <c r="S500" s="14"/>
    </row>
    <row r="501" spans="1:19">
      <c r="A501" s="203" t="s">
        <v>1584</v>
      </c>
      <c r="B501" s="204" t="s">
        <v>1605</v>
      </c>
      <c r="C501" s="204" t="s">
        <v>1606</v>
      </c>
      <c r="D501" s="203" t="s">
        <v>1607</v>
      </c>
      <c r="E501" s="204" t="s">
        <v>1608</v>
      </c>
      <c r="F501" s="203" t="s">
        <v>1590</v>
      </c>
      <c r="G501" s="204" t="s">
        <v>23</v>
      </c>
      <c r="H501" s="15" t="s">
        <v>1530</v>
      </c>
      <c r="I501" s="204">
        <v>201411</v>
      </c>
      <c r="J501" s="205">
        <v>13521.65</v>
      </c>
      <c r="K501" s="44">
        <f t="shared" si="41"/>
        <v>41944</v>
      </c>
      <c r="L501" s="45">
        <f t="shared" si="43"/>
        <v>7</v>
      </c>
      <c r="M501" s="206">
        <v>2.0333333000000001E-3</v>
      </c>
      <c r="N501" s="46">
        <f t="shared" si="40"/>
        <v>192.45814851161501</v>
      </c>
      <c r="O501" s="14"/>
      <c r="P501" s="48"/>
      <c r="Q501" s="16"/>
      <c r="R501" s="48">
        <f t="shared" si="42"/>
        <v>4383.9724609375007</v>
      </c>
      <c r="S501" s="14"/>
    </row>
    <row r="502" spans="1:19">
      <c r="A502" s="203" t="s">
        <v>1584</v>
      </c>
      <c r="B502" s="204" t="s">
        <v>1612</v>
      </c>
      <c r="C502" s="204" t="s">
        <v>1613</v>
      </c>
      <c r="D502" s="203" t="s">
        <v>1588</v>
      </c>
      <c r="E502" s="204" t="s">
        <v>1614</v>
      </c>
      <c r="F502" s="203" t="s">
        <v>1590</v>
      </c>
      <c r="G502" s="204" t="s">
        <v>23</v>
      </c>
      <c r="H502" s="15" t="s">
        <v>1530</v>
      </c>
      <c r="I502" s="204">
        <v>201411</v>
      </c>
      <c r="J502" s="205">
        <v>425.66</v>
      </c>
      <c r="K502" s="44">
        <f t="shared" si="41"/>
        <v>41944</v>
      </c>
      <c r="L502" s="45">
        <f t="shared" si="43"/>
        <v>7</v>
      </c>
      <c r="M502" s="206">
        <v>2.0333333000000001E-3</v>
      </c>
      <c r="N502" s="46">
        <f t="shared" si="40"/>
        <v>6.0585605673460003</v>
      </c>
      <c r="O502" s="14"/>
      <c r="P502" s="48"/>
      <c r="Q502" s="16"/>
      <c r="R502" s="48">
        <f t="shared" si="42"/>
        <v>138.00695312500002</v>
      </c>
      <c r="S502" s="14"/>
    </row>
    <row r="503" spans="1:19">
      <c r="A503" s="203" t="s">
        <v>1584</v>
      </c>
      <c r="B503" s="204" t="s">
        <v>1615</v>
      </c>
      <c r="C503" s="204" t="s">
        <v>1616</v>
      </c>
      <c r="D503" s="203" t="s">
        <v>1593</v>
      </c>
      <c r="E503" s="204" t="s">
        <v>1617</v>
      </c>
      <c r="F503" s="203" t="s">
        <v>1590</v>
      </c>
      <c r="G503" s="204" t="s">
        <v>23</v>
      </c>
      <c r="H503" s="15" t="s">
        <v>1530</v>
      </c>
      <c r="I503" s="204">
        <v>201411</v>
      </c>
      <c r="J503" s="205">
        <v>4.0199999999999996</v>
      </c>
      <c r="K503" s="44">
        <f t="shared" si="41"/>
        <v>41944</v>
      </c>
      <c r="L503" s="45">
        <f t="shared" si="43"/>
        <v>7</v>
      </c>
      <c r="M503" s="206">
        <v>2.0333333000000001E-3</v>
      </c>
      <c r="N503" s="46">
        <f t="shared" si="40"/>
        <v>5.7217999061999994E-2</v>
      </c>
      <c r="O503" s="14"/>
      <c r="P503" s="48"/>
      <c r="Q503" s="16"/>
      <c r="R503" s="48">
        <f t="shared" si="42"/>
        <v>1.3033593749999999</v>
      </c>
      <c r="S503" s="14"/>
    </row>
    <row r="504" spans="1:19">
      <c r="A504" s="14" t="s">
        <v>54</v>
      </c>
      <c r="B504" s="15" t="s">
        <v>55</v>
      </c>
      <c r="C504" s="15" t="s">
        <v>56</v>
      </c>
      <c r="D504" s="14" t="s">
        <v>57</v>
      </c>
      <c r="E504" s="15" t="s">
        <v>58</v>
      </c>
      <c r="F504" s="14" t="s">
        <v>22</v>
      </c>
      <c r="G504" s="15" t="s">
        <v>23</v>
      </c>
      <c r="H504" s="15" t="s">
        <v>1525</v>
      </c>
      <c r="I504" s="15">
        <v>201412</v>
      </c>
      <c r="J504" s="16">
        <v>395.39</v>
      </c>
      <c r="K504" s="44">
        <v>41974</v>
      </c>
      <c r="L504" s="45">
        <f t="shared" si="39"/>
        <v>6</v>
      </c>
      <c r="M504" s="17">
        <v>1.4833299999999999E-3</v>
      </c>
      <c r="N504" s="46">
        <f t="shared" si="40"/>
        <v>3.5189630921999999</v>
      </c>
      <c r="O504" s="16"/>
      <c r="P504" s="48"/>
      <c r="Q504" s="16"/>
      <c r="R504" s="48">
        <f t="shared" si="42"/>
        <v>128.19285156250001</v>
      </c>
      <c r="S504" s="14"/>
    </row>
    <row r="505" spans="1:19">
      <c r="A505" s="14" t="s">
        <v>66</v>
      </c>
      <c r="B505" s="15" t="s">
        <v>72</v>
      </c>
      <c r="C505" s="15" t="s">
        <v>73</v>
      </c>
      <c r="D505" s="14" t="s">
        <v>74</v>
      </c>
      <c r="E505" s="15" t="s">
        <v>75</v>
      </c>
      <c r="F505" s="14" t="s">
        <v>71</v>
      </c>
      <c r="G505" s="15" t="s">
        <v>23</v>
      </c>
      <c r="H505" s="15" t="s">
        <v>1530</v>
      </c>
      <c r="I505" s="15">
        <v>201412</v>
      </c>
      <c r="J505" s="16">
        <v>137868.63</v>
      </c>
      <c r="K505" s="44">
        <f t="shared" ref="K505" si="44">+K504</f>
        <v>41974</v>
      </c>
      <c r="L505" s="45">
        <f t="shared" si="39"/>
        <v>6</v>
      </c>
      <c r="M505" s="17">
        <v>2.23333E-3</v>
      </c>
      <c r="N505" s="46">
        <f t="shared" si="40"/>
        <v>1847.4368846273999</v>
      </c>
      <c r="O505" s="16"/>
      <c r="P505" s="48"/>
      <c r="Q505" s="16"/>
      <c r="R505" s="48">
        <f t="shared" si="42"/>
        <v>44699.594882812511</v>
      </c>
      <c r="S505" s="14"/>
    </row>
    <row r="506" spans="1:19">
      <c r="A506" s="14" t="s">
        <v>66</v>
      </c>
      <c r="B506" s="15" t="s">
        <v>81</v>
      </c>
      <c r="C506" s="15" t="s">
        <v>82</v>
      </c>
      <c r="D506" s="14" t="s">
        <v>83</v>
      </c>
      <c r="E506" s="15" t="s">
        <v>84</v>
      </c>
      <c r="F506" s="14" t="s">
        <v>85</v>
      </c>
      <c r="G506" s="15" t="s">
        <v>23</v>
      </c>
      <c r="H506" s="15" t="s">
        <v>1530</v>
      </c>
      <c r="I506" s="15">
        <v>201412</v>
      </c>
      <c r="J506" s="16">
        <v>21637.919999999998</v>
      </c>
      <c r="K506" s="44">
        <f t="shared" ref="K506:K569" si="45">+K505</f>
        <v>41974</v>
      </c>
      <c r="L506" s="45">
        <f t="shared" si="39"/>
        <v>6</v>
      </c>
      <c r="M506" s="17">
        <v>2.23333E-3</v>
      </c>
      <c r="N506" s="46">
        <f t="shared" si="40"/>
        <v>289.94769524159994</v>
      </c>
      <c r="O506" s="16"/>
      <c r="P506" s="48"/>
      <c r="Q506" s="16"/>
      <c r="R506" s="48">
        <f t="shared" si="42"/>
        <v>7015.4193750000004</v>
      </c>
      <c r="S506" s="14"/>
    </row>
    <row r="507" spans="1:19">
      <c r="A507" s="14" t="s">
        <v>66</v>
      </c>
      <c r="B507" s="15" t="s">
        <v>90</v>
      </c>
      <c r="C507" s="15" t="s">
        <v>91</v>
      </c>
      <c r="D507" s="14" t="s">
        <v>78</v>
      </c>
      <c r="E507" s="15" t="s">
        <v>92</v>
      </c>
      <c r="F507" s="14" t="s">
        <v>80</v>
      </c>
      <c r="G507" s="15" t="s">
        <v>23</v>
      </c>
      <c r="H507" s="15" t="s">
        <v>1530</v>
      </c>
      <c r="I507" s="15">
        <v>201412</v>
      </c>
      <c r="J507" s="16">
        <v>11747.82</v>
      </c>
      <c r="K507" s="44">
        <f t="shared" si="45"/>
        <v>41974</v>
      </c>
      <c r="L507" s="45">
        <f t="shared" si="39"/>
        <v>6</v>
      </c>
      <c r="M507" s="17">
        <v>2.23333E-3</v>
      </c>
      <c r="N507" s="46">
        <f t="shared" si="40"/>
        <v>157.42055304359999</v>
      </c>
      <c r="O507" s="16"/>
      <c r="P507" s="48"/>
      <c r="Q507" s="16"/>
      <c r="R507" s="48">
        <f t="shared" si="42"/>
        <v>3808.8635156250002</v>
      </c>
      <c r="S507" s="14"/>
    </row>
    <row r="508" spans="1:19">
      <c r="A508" s="14" t="s">
        <v>54</v>
      </c>
      <c r="B508" s="15" t="s">
        <v>146</v>
      </c>
      <c r="C508" s="15" t="s">
        <v>147</v>
      </c>
      <c r="D508" s="14" t="s">
        <v>148</v>
      </c>
      <c r="E508" s="15" t="s">
        <v>62</v>
      </c>
      <c r="F508" s="14" t="s">
        <v>22</v>
      </c>
      <c r="G508" s="15" t="s">
        <v>23</v>
      </c>
      <c r="H508" s="15" t="s">
        <v>1525</v>
      </c>
      <c r="I508" s="15">
        <v>201412</v>
      </c>
      <c r="J508" s="16">
        <v>4971.3500000000004</v>
      </c>
      <c r="K508" s="44">
        <f t="shared" si="45"/>
        <v>41974</v>
      </c>
      <c r="L508" s="45">
        <f t="shared" si="39"/>
        <v>6</v>
      </c>
      <c r="M508" s="17">
        <v>1.4833299999999999E-3</v>
      </c>
      <c r="N508" s="46">
        <f t="shared" si="40"/>
        <v>44.244915573</v>
      </c>
      <c r="O508" s="16"/>
      <c r="P508" s="48"/>
      <c r="Q508" s="16"/>
      <c r="R508" s="48">
        <f t="shared" si="42"/>
        <v>1611.8048828125004</v>
      </c>
      <c r="S508" s="14"/>
    </row>
    <row r="509" spans="1:19">
      <c r="A509" s="14" t="s">
        <v>17</v>
      </c>
      <c r="B509" s="15" t="s">
        <v>149</v>
      </c>
      <c r="C509" s="15" t="s">
        <v>150</v>
      </c>
      <c r="D509" s="14" t="s">
        <v>151</v>
      </c>
      <c r="E509" s="15" t="s">
        <v>40</v>
      </c>
      <c r="F509" s="14" t="s">
        <v>41</v>
      </c>
      <c r="G509" s="15" t="s">
        <v>23</v>
      </c>
      <c r="H509" s="15" t="s">
        <v>1526</v>
      </c>
      <c r="I509" s="15">
        <v>201412</v>
      </c>
      <c r="J509" s="16">
        <v>19553.21</v>
      </c>
      <c r="K509" s="44">
        <f t="shared" si="45"/>
        <v>41974</v>
      </c>
      <c r="L509" s="45">
        <f t="shared" si="39"/>
        <v>6</v>
      </c>
      <c r="M509" s="17">
        <v>1.4833299999999999E-3</v>
      </c>
      <c r="N509" s="46">
        <f t="shared" si="40"/>
        <v>174.02317793579999</v>
      </c>
      <c r="O509" s="16"/>
      <c r="P509" s="48"/>
      <c r="Q509" s="16"/>
      <c r="R509" s="48">
        <f t="shared" si="42"/>
        <v>6339.5173046875007</v>
      </c>
      <c r="S509" s="14"/>
    </row>
    <row r="510" spans="1:19">
      <c r="A510" s="14" t="s">
        <v>66</v>
      </c>
      <c r="B510" s="15" t="s">
        <v>192</v>
      </c>
      <c r="C510" s="15" t="s">
        <v>193</v>
      </c>
      <c r="D510" s="14" t="s">
        <v>194</v>
      </c>
      <c r="E510" s="15" t="s">
        <v>195</v>
      </c>
      <c r="F510" s="14" t="s">
        <v>196</v>
      </c>
      <c r="G510" s="15" t="s">
        <v>23</v>
      </c>
      <c r="H510" s="15" t="s">
        <v>1530</v>
      </c>
      <c r="I510" s="15">
        <v>201412</v>
      </c>
      <c r="J510" s="16">
        <v>-8.64</v>
      </c>
      <c r="K510" s="44">
        <f t="shared" si="45"/>
        <v>41974</v>
      </c>
      <c r="L510" s="45">
        <f t="shared" si="39"/>
        <v>6</v>
      </c>
      <c r="M510" s="17">
        <v>2.23333E-3</v>
      </c>
      <c r="N510" s="46">
        <f t="shared" si="40"/>
        <v>-0.1157758272</v>
      </c>
      <c r="O510" s="16"/>
      <c r="P510" s="48"/>
      <c r="Q510" s="16"/>
      <c r="R510" s="48">
        <f t="shared" si="42"/>
        <v>-2.8012500000000005</v>
      </c>
      <c r="S510" s="14"/>
    </row>
    <row r="511" spans="1:19">
      <c r="A511" s="14" t="s">
        <v>66</v>
      </c>
      <c r="B511" s="15" t="s">
        <v>197</v>
      </c>
      <c r="C511" s="15" t="s">
        <v>198</v>
      </c>
      <c r="D511" s="14" t="s">
        <v>69</v>
      </c>
      <c r="E511" s="15" t="s">
        <v>199</v>
      </c>
      <c r="F511" s="14" t="s">
        <v>71</v>
      </c>
      <c r="G511" s="15" t="s">
        <v>23</v>
      </c>
      <c r="H511" s="15" t="s">
        <v>1530</v>
      </c>
      <c r="I511" s="15">
        <v>201412</v>
      </c>
      <c r="J511" s="16">
        <v>28.04</v>
      </c>
      <c r="K511" s="44">
        <f t="shared" si="45"/>
        <v>41974</v>
      </c>
      <c r="L511" s="45">
        <f t="shared" si="39"/>
        <v>6</v>
      </c>
      <c r="M511" s="17">
        <v>2.23333E-3</v>
      </c>
      <c r="N511" s="46">
        <f t="shared" si="40"/>
        <v>0.37573543919999997</v>
      </c>
      <c r="O511" s="16"/>
      <c r="P511" s="48"/>
      <c r="Q511" s="16"/>
      <c r="R511" s="48">
        <f t="shared" si="42"/>
        <v>9.0910937500000006</v>
      </c>
      <c r="S511" s="14"/>
    </row>
    <row r="512" spans="1:19">
      <c r="A512" s="14" t="s">
        <v>66</v>
      </c>
      <c r="B512" s="15" t="s">
        <v>200</v>
      </c>
      <c r="C512" s="15" t="s">
        <v>201</v>
      </c>
      <c r="D512" s="14" t="s">
        <v>202</v>
      </c>
      <c r="E512" s="15" t="s">
        <v>203</v>
      </c>
      <c r="F512" s="14" t="s">
        <v>80</v>
      </c>
      <c r="G512" s="15" t="s">
        <v>23</v>
      </c>
      <c r="H512" s="15" t="s">
        <v>1530</v>
      </c>
      <c r="I512" s="15">
        <v>201412</v>
      </c>
      <c r="J512" s="16">
        <v>23427.599999999999</v>
      </c>
      <c r="K512" s="44">
        <f t="shared" si="45"/>
        <v>41974</v>
      </c>
      <c r="L512" s="45">
        <f t="shared" si="39"/>
        <v>6</v>
      </c>
      <c r="M512" s="17">
        <v>2.23333E-3</v>
      </c>
      <c r="N512" s="46">
        <f t="shared" si="40"/>
        <v>313.92937144799993</v>
      </c>
      <c r="O512" s="16"/>
      <c r="P512" s="48"/>
      <c r="Q512" s="16"/>
      <c r="R512" s="48">
        <f t="shared" si="42"/>
        <v>7595.6671875000011</v>
      </c>
      <c r="S512" s="14"/>
    </row>
    <row r="513" spans="1:19">
      <c r="A513" s="14" t="s">
        <v>217</v>
      </c>
      <c r="B513" s="15" t="s">
        <v>218</v>
      </c>
      <c r="C513" s="15" t="s">
        <v>219</v>
      </c>
      <c r="D513" s="14" t="s">
        <v>220</v>
      </c>
      <c r="E513" s="15" t="s">
        <v>221</v>
      </c>
      <c r="F513" s="14" t="s">
        <v>222</v>
      </c>
      <c r="G513" s="15" t="s">
        <v>23</v>
      </c>
      <c r="H513" s="15" t="s">
        <v>1524</v>
      </c>
      <c r="I513" s="15">
        <v>201412</v>
      </c>
      <c r="J513" s="16">
        <v>30904.42</v>
      </c>
      <c r="K513" s="44">
        <f t="shared" si="45"/>
        <v>41974</v>
      </c>
      <c r="L513" s="45">
        <f t="shared" si="39"/>
        <v>6</v>
      </c>
      <c r="M513" s="17">
        <v>1.4833299999999999E-3</v>
      </c>
      <c r="N513" s="46">
        <f t="shared" si="40"/>
        <v>275.04871991159996</v>
      </c>
      <c r="O513" s="16"/>
      <c r="P513" s="48"/>
      <c r="Q513" s="16"/>
      <c r="R513" s="48">
        <f t="shared" si="42"/>
        <v>10019.792421875001</v>
      </c>
      <c r="S513" s="14"/>
    </row>
    <row r="514" spans="1:19">
      <c r="A514" s="14" t="s">
        <v>66</v>
      </c>
      <c r="B514" s="15" t="s">
        <v>223</v>
      </c>
      <c r="C514" s="15" t="s">
        <v>224</v>
      </c>
      <c r="D514" s="14" t="s">
        <v>88</v>
      </c>
      <c r="E514" s="15" t="s">
        <v>225</v>
      </c>
      <c r="F514" s="14" t="s">
        <v>85</v>
      </c>
      <c r="G514" s="15" t="s">
        <v>23</v>
      </c>
      <c r="H514" s="15" t="s">
        <v>1530</v>
      </c>
      <c r="I514" s="15">
        <v>201412</v>
      </c>
      <c r="J514" s="16">
        <v>18.05</v>
      </c>
      <c r="K514" s="44">
        <f t="shared" si="45"/>
        <v>41974</v>
      </c>
      <c r="L514" s="45">
        <f t="shared" si="39"/>
        <v>6</v>
      </c>
      <c r="M514" s="17">
        <v>2.23333E-3</v>
      </c>
      <c r="N514" s="46">
        <f t="shared" si="40"/>
        <v>0.241869639</v>
      </c>
      <c r="O514" s="16"/>
      <c r="P514" s="48"/>
      <c r="Q514" s="16"/>
      <c r="R514" s="48">
        <f t="shared" si="42"/>
        <v>5.8521484375000012</v>
      </c>
      <c r="S514" s="14"/>
    </row>
    <row r="515" spans="1:19">
      <c r="A515" s="14" t="s">
        <v>66</v>
      </c>
      <c r="B515" s="15" t="s">
        <v>226</v>
      </c>
      <c r="C515" s="15" t="s">
        <v>227</v>
      </c>
      <c r="D515" s="14" t="s">
        <v>78</v>
      </c>
      <c r="E515" s="15" t="s">
        <v>228</v>
      </c>
      <c r="F515" s="14" t="s">
        <v>80</v>
      </c>
      <c r="G515" s="15" t="s">
        <v>23</v>
      </c>
      <c r="H515" s="15" t="s">
        <v>1530</v>
      </c>
      <c r="I515" s="15">
        <v>201412</v>
      </c>
      <c r="J515" s="16">
        <v>148.91</v>
      </c>
      <c r="K515" s="44">
        <f t="shared" si="45"/>
        <v>41974</v>
      </c>
      <c r="L515" s="45">
        <f t="shared" si="39"/>
        <v>6</v>
      </c>
      <c r="M515" s="17">
        <v>2.23333E-3</v>
      </c>
      <c r="N515" s="46">
        <f t="shared" si="40"/>
        <v>1.9953910217999997</v>
      </c>
      <c r="O515" s="16"/>
      <c r="P515" s="48"/>
      <c r="Q515" s="16"/>
      <c r="R515" s="48">
        <f t="shared" si="42"/>
        <v>48.279414062499995</v>
      </c>
      <c r="S515" s="14"/>
    </row>
    <row r="516" spans="1:19">
      <c r="A516" s="14" t="s">
        <v>66</v>
      </c>
      <c r="B516" s="15" t="s">
        <v>229</v>
      </c>
      <c r="C516" s="15" t="s">
        <v>230</v>
      </c>
      <c r="D516" s="14" t="s">
        <v>78</v>
      </c>
      <c r="E516" s="15" t="s">
        <v>231</v>
      </c>
      <c r="F516" s="14" t="s">
        <v>80</v>
      </c>
      <c r="G516" s="15" t="s">
        <v>23</v>
      </c>
      <c r="H516" s="15" t="s">
        <v>1530</v>
      </c>
      <c r="I516" s="15">
        <v>201412</v>
      </c>
      <c r="J516" s="16">
        <v>4761.8599999999997</v>
      </c>
      <c r="K516" s="44">
        <f t="shared" si="45"/>
        <v>41974</v>
      </c>
      <c r="L516" s="45">
        <f t="shared" si="39"/>
        <v>6</v>
      </c>
      <c r="M516" s="17">
        <v>2.23333E-3</v>
      </c>
      <c r="N516" s="46">
        <f t="shared" si="40"/>
        <v>63.80882876279999</v>
      </c>
      <c r="O516" s="16"/>
      <c r="P516" s="48"/>
      <c r="Q516" s="16"/>
      <c r="R516" s="48">
        <f t="shared" si="42"/>
        <v>1543.884296875</v>
      </c>
      <c r="S516" s="14"/>
    </row>
    <row r="517" spans="1:19">
      <c r="A517" s="14" t="s">
        <v>17</v>
      </c>
      <c r="B517" s="15" t="s">
        <v>278</v>
      </c>
      <c r="C517" s="15" t="s">
        <v>279</v>
      </c>
      <c r="D517" s="14" t="s">
        <v>280</v>
      </c>
      <c r="E517" s="15" t="s">
        <v>104</v>
      </c>
      <c r="F517" s="14" t="s">
        <v>41</v>
      </c>
      <c r="G517" s="15" t="s">
        <v>23</v>
      </c>
      <c r="H517" s="15" t="s">
        <v>1526</v>
      </c>
      <c r="I517" s="15">
        <v>201412</v>
      </c>
      <c r="J517" s="16">
        <v>-1972.63</v>
      </c>
      <c r="K517" s="44">
        <f t="shared" si="45"/>
        <v>41974</v>
      </c>
      <c r="L517" s="45">
        <f t="shared" si="39"/>
        <v>6</v>
      </c>
      <c r="M517" s="17">
        <v>1.4833299999999999E-3</v>
      </c>
      <c r="N517" s="46">
        <f t="shared" si="40"/>
        <v>-17.556367547400001</v>
      </c>
      <c r="O517" s="16"/>
      <c r="P517" s="48"/>
      <c r="Q517" s="16"/>
      <c r="R517" s="48">
        <f t="shared" si="42"/>
        <v>-639.56363281250003</v>
      </c>
      <c r="S517" s="14"/>
    </row>
    <row r="518" spans="1:19">
      <c r="A518" s="14" t="s">
        <v>54</v>
      </c>
      <c r="B518" s="15" t="s">
        <v>278</v>
      </c>
      <c r="C518" s="15" t="s">
        <v>279</v>
      </c>
      <c r="D518" s="14" t="s">
        <v>280</v>
      </c>
      <c r="E518" s="15" t="s">
        <v>104</v>
      </c>
      <c r="F518" s="14" t="s">
        <v>41</v>
      </c>
      <c r="G518" s="15" t="s">
        <v>23</v>
      </c>
      <c r="H518" s="15" t="s">
        <v>1526</v>
      </c>
      <c r="I518" s="15">
        <v>201412</v>
      </c>
      <c r="J518" s="16">
        <v>1972.63</v>
      </c>
      <c r="K518" s="44">
        <f t="shared" si="45"/>
        <v>41974</v>
      </c>
      <c r="L518" s="45">
        <f t="shared" si="39"/>
        <v>6</v>
      </c>
      <c r="M518" s="17">
        <v>1.4833299999999999E-3</v>
      </c>
      <c r="N518" s="46">
        <f t="shared" si="40"/>
        <v>17.556367547400001</v>
      </c>
      <c r="O518" s="16"/>
      <c r="P518" s="48"/>
      <c r="Q518" s="16"/>
      <c r="R518" s="48">
        <f t="shared" si="42"/>
        <v>639.56363281250003</v>
      </c>
      <c r="S518" s="14"/>
    </row>
    <row r="519" spans="1:19">
      <c r="A519" s="14" t="s">
        <v>17</v>
      </c>
      <c r="B519" s="15" t="s">
        <v>1024</v>
      </c>
      <c r="C519" s="15" t="s">
        <v>1025</v>
      </c>
      <c r="D519" s="14" t="s">
        <v>1026</v>
      </c>
      <c r="E519" s="15" t="s">
        <v>216</v>
      </c>
      <c r="F519" s="14" t="s">
        <v>22</v>
      </c>
      <c r="G519" s="15" t="s">
        <v>23</v>
      </c>
      <c r="H519" s="15" t="s">
        <v>1525</v>
      </c>
      <c r="I519" s="15">
        <v>201412</v>
      </c>
      <c r="J519" s="16">
        <v>48840.31</v>
      </c>
      <c r="K519" s="44">
        <f t="shared" si="45"/>
        <v>41974</v>
      </c>
      <c r="L519" s="45">
        <f t="shared" si="39"/>
        <v>6</v>
      </c>
      <c r="M519" s="17">
        <v>1.4833299999999999E-3</v>
      </c>
      <c r="N519" s="46">
        <f t="shared" si="40"/>
        <v>434.6777821938</v>
      </c>
      <c r="O519" s="16"/>
      <c r="P519" s="48"/>
      <c r="Q519" s="16"/>
      <c r="R519" s="48">
        <f t="shared" si="42"/>
        <v>15834.944257812502</v>
      </c>
      <c r="S519" s="14"/>
    </row>
    <row r="520" spans="1:19">
      <c r="A520" s="14" t="s">
        <v>54</v>
      </c>
      <c r="B520" s="15" t="s">
        <v>309</v>
      </c>
      <c r="C520" s="15" t="s">
        <v>310</v>
      </c>
      <c r="D520" s="14" t="s">
        <v>311</v>
      </c>
      <c r="E520" s="15" t="s">
        <v>216</v>
      </c>
      <c r="F520" s="14" t="s">
        <v>22</v>
      </c>
      <c r="G520" s="15" t="s">
        <v>23</v>
      </c>
      <c r="H520" s="15" t="s">
        <v>1525</v>
      </c>
      <c r="I520" s="15">
        <v>201412</v>
      </c>
      <c r="J520" s="16">
        <v>-104.47</v>
      </c>
      <c r="K520" s="44">
        <f t="shared" si="45"/>
        <v>41974</v>
      </c>
      <c r="L520" s="45">
        <f t="shared" si="39"/>
        <v>6</v>
      </c>
      <c r="M520" s="17">
        <v>1.4833299999999999E-3</v>
      </c>
      <c r="N520" s="46">
        <f t="shared" si="40"/>
        <v>-0.92978091060000001</v>
      </c>
      <c r="O520" s="16"/>
      <c r="P520" s="48"/>
      <c r="Q520" s="16"/>
      <c r="R520" s="48">
        <f t="shared" si="42"/>
        <v>-33.871132812500008</v>
      </c>
      <c r="S520" s="14"/>
    </row>
    <row r="521" spans="1:19">
      <c r="A521" s="14" t="s">
        <v>17</v>
      </c>
      <c r="B521" s="15" t="s">
        <v>347</v>
      </c>
      <c r="C521" s="15" t="s">
        <v>348</v>
      </c>
      <c r="D521" s="14" t="s">
        <v>349</v>
      </c>
      <c r="E521" s="15" t="s">
        <v>324</v>
      </c>
      <c r="F521" s="14" t="s">
        <v>325</v>
      </c>
      <c r="G521" s="15" t="s">
        <v>23</v>
      </c>
      <c r="H521" s="15" t="s">
        <v>1525</v>
      </c>
      <c r="I521" s="15">
        <v>201412</v>
      </c>
      <c r="J521" s="16">
        <v>5.46</v>
      </c>
      <c r="K521" s="44">
        <f t="shared" si="45"/>
        <v>41974</v>
      </c>
      <c r="L521" s="45">
        <f t="shared" si="39"/>
        <v>6</v>
      </c>
      <c r="M521" s="17">
        <v>1.4833299999999999E-3</v>
      </c>
      <c r="N521" s="46">
        <f t="shared" si="40"/>
        <v>4.8593890799999997E-2</v>
      </c>
      <c r="O521" s="16"/>
      <c r="P521" s="48"/>
      <c r="Q521" s="16"/>
      <c r="R521" s="48">
        <f t="shared" si="42"/>
        <v>1.7702343750000002</v>
      </c>
      <c r="S521" s="14"/>
    </row>
    <row r="522" spans="1:19">
      <c r="A522" s="14" t="s">
        <v>54</v>
      </c>
      <c r="B522" s="15" t="s">
        <v>359</v>
      </c>
      <c r="C522" s="15" t="s">
        <v>360</v>
      </c>
      <c r="D522" s="14" t="s">
        <v>361</v>
      </c>
      <c r="E522" s="15" t="s">
        <v>362</v>
      </c>
      <c r="F522" s="14" t="s">
        <v>41</v>
      </c>
      <c r="G522" s="15" t="s">
        <v>23</v>
      </c>
      <c r="H522" s="15" t="s">
        <v>1526</v>
      </c>
      <c r="I522" s="15">
        <v>201412</v>
      </c>
      <c r="J522" s="16">
        <v>-242.08</v>
      </c>
      <c r="K522" s="44">
        <f t="shared" si="45"/>
        <v>41974</v>
      </c>
      <c r="L522" s="45">
        <f t="shared" si="39"/>
        <v>6</v>
      </c>
      <c r="M522" s="17">
        <v>1.4833299999999999E-3</v>
      </c>
      <c r="N522" s="46">
        <f t="shared" si="40"/>
        <v>-2.1545071584</v>
      </c>
      <c r="O522" s="16"/>
      <c r="P522" s="48"/>
      <c r="Q522" s="16"/>
      <c r="R522" s="48">
        <f t="shared" si="42"/>
        <v>-78.486875000000012</v>
      </c>
      <c r="S522" s="14"/>
    </row>
    <row r="523" spans="1:19">
      <c r="A523" s="14" t="s">
        <v>17</v>
      </c>
      <c r="B523" s="15" t="s">
        <v>366</v>
      </c>
      <c r="C523" s="15" t="s">
        <v>367</v>
      </c>
      <c r="D523" s="14" t="s">
        <v>368</v>
      </c>
      <c r="E523" s="15" t="s">
        <v>369</v>
      </c>
      <c r="F523" s="14" t="s">
        <v>41</v>
      </c>
      <c r="G523" s="15" t="s">
        <v>23</v>
      </c>
      <c r="H523" s="15" t="s">
        <v>1526</v>
      </c>
      <c r="I523" s="15">
        <v>201412</v>
      </c>
      <c r="J523" s="16">
        <v>11025.12</v>
      </c>
      <c r="K523" s="44">
        <f t="shared" si="45"/>
        <v>41974</v>
      </c>
      <c r="L523" s="45">
        <f t="shared" si="39"/>
        <v>6</v>
      </c>
      <c r="M523" s="17">
        <v>1.4833299999999999E-3</v>
      </c>
      <c r="N523" s="46">
        <f t="shared" si="40"/>
        <v>98.123347497600008</v>
      </c>
      <c r="O523" s="16"/>
      <c r="P523" s="48"/>
      <c r="Q523" s="16"/>
      <c r="R523" s="48">
        <f t="shared" si="42"/>
        <v>3574.5506250000008</v>
      </c>
      <c r="S523" s="14"/>
    </row>
    <row r="524" spans="1:19">
      <c r="A524" s="14" t="s">
        <v>66</v>
      </c>
      <c r="B524" s="15" t="s">
        <v>371</v>
      </c>
      <c r="C524" s="15" t="s">
        <v>372</v>
      </c>
      <c r="D524" s="14" t="s">
        <v>88</v>
      </c>
      <c r="E524" s="15" t="s">
        <v>373</v>
      </c>
      <c r="F524" s="14" t="s">
        <v>85</v>
      </c>
      <c r="G524" s="15" t="s">
        <v>23</v>
      </c>
      <c r="H524" s="15" t="s">
        <v>1530</v>
      </c>
      <c r="I524" s="15">
        <v>201412</v>
      </c>
      <c r="J524" s="16">
        <v>2148.71</v>
      </c>
      <c r="K524" s="44">
        <f t="shared" si="45"/>
        <v>41974</v>
      </c>
      <c r="L524" s="45">
        <f t="shared" si="39"/>
        <v>6</v>
      </c>
      <c r="M524" s="17">
        <v>2.23333E-3</v>
      </c>
      <c r="N524" s="46">
        <f t="shared" si="40"/>
        <v>28.792671025799997</v>
      </c>
      <c r="O524" s="16"/>
      <c r="P524" s="48"/>
      <c r="Q524" s="16"/>
      <c r="R524" s="48">
        <f t="shared" si="42"/>
        <v>696.65207031250009</v>
      </c>
      <c r="S524" s="14"/>
    </row>
    <row r="525" spans="1:19">
      <c r="A525" s="14" t="s">
        <v>66</v>
      </c>
      <c r="B525" s="15" t="s">
        <v>374</v>
      </c>
      <c r="C525" s="15" t="s">
        <v>375</v>
      </c>
      <c r="D525" s="14" t="s">
        <v>376</v>
      </c>
      <c r="E525" s="15" t="s">
        <v>377</v>
      </c>
      <c r="F525" s="14" t="s">
        <v>378</v>
      </c>
      <c r="G525" s="15" t="s">
        <v>23</v>
      </c>
      <c r="H525" s="15" t="s">
        <v>1530</v>
      </c>
      <c r="I525" s="15">
        <v>201412</v>
      </c>
      <c r="J525" s="16">
        <v>1572.18</v>
      </c>
      <c r="K525" s="44">
        <f t="shared" si="45"/>
        <v>41974</v>
      </c>
      <c r="L525" s="45">
        <f t="shared" si="39"/>
        <v>6</v>
      </c>
      <c r="M525" s="17">
        <v>2.23333E-3</v>
      </c>
      <c r="N525" s="46">
        <f t="shared" si="40"/>
        <v>21.0671805564</v>
      </c>
      <c r="O525" s="16"/>
      <c r="P525" s="48"/>
      <c r="Q525" s="16"/>
      <c r="R525" s="48">
        <f t="shared" si="42"/>
        <v>509.73023437500001</v>
      </c>
      <c r="S525" s="14"/>
    </row>
    <row r="526" spans="1:19">
      <c r="A526" s="14" t="s">
        <v>66</v>
      </c>
      <c r="B526" s="15" t="s">
        <v>379</v>
      </c>
      <c r="C526" s="15" t="s">
        <v>380</v>
      </c>
      <c r="D526" s="14" t="s">
        <v>381</v>
      </c>
      <c r="E526" s="15" t="s">
        <v>382</v>
      </c>
      <c r="F526" s="14" t="s">
        <v>212</v>
      </c>
      <c r="G526" s="15" t="s">
        <v>23</v>
      </c>
      <c r="H526" s="15" t="s">
        <v>1530</v>
      </c>
      <c r="I526" s="15">
        <v>201412</v>
      </c>
      <c r="J526" s="16">
        <v>-3419.01</v>
      </c>
      <c r="K526" s="44">
        <f t="shared" si="45"/>
        <v>41974</v>
      </c>
      <c r="L526" s="45">
        <f t="shared" si="39"/>
        <v>6</v>
      </c>
      <c r="M526" s="17">
        <v>2.23333E-3</v>
      </c>
      <c r="N526" s="46">
        <f t="shared" si="40"/>
        <v>-45.814665619799996</v>
      </c>
      <c r="O526" s="16"/>
      <c r="P526" s="48"/>
      <c r="Q526" s="16"/>
      <c r="R526" s="48">
        <f t="shared" si="42"/>
        <v>-1108.5071484375001</v>
      </c>
      <c r="S526" s="14"/>
    </row>
    <row r="527" spans="1:19">
      <c r="A527" s="14" t="s">
        <v>66</v>
      </c>
      <c r="B527" s="15" t="s">
        <v>383</v>
      </c>
      <c r="C527" s="15" t="s">
        <v>384</v>
      </c>
      <c r="D527" s="14" t="s">
        <v>385</v>
      </c>
      <c r="E527" s="15" t="s">
        <v>386</v>
      </c>
      <c r="F527" s="14" t="s">
        <v>387</v>
      </c>
      <c r="G527" s="15" t="s">
        <v>23</v>
      </c>
      <c r="H527" s="15" t="s">
        <v>1530</v>
      </c>
      <c r="I527" s="15">
        <v>201412</v>
      </c>
      <c r="J527" s="16">
        <v>155294.04</v>
      </c>
      <c r="K527" s="44">
        <f t="shared" si="45"/>
        <v>41974</v>
      </c>
      <c r="L527" s="45">
        <f t="shared" si="39"/>
        <v>6</v>
      </c>
      <c r="M527" s="17">
        <v>2.23333E-3</v>
      </c>
      <c r="N527" s="46">
        <f t="shared" si="40"/>
        <v>2080.9370301191998</v>
      </c>
      <c r="O527" s="16"/>
      <c r="P527" s="48"/>
      <c r="Q527" s="16"/>
      <c r="R527" s="48">
        <f t="shared" si="42"/>
        <v>50349.239531250001</v>
      </c>
      <c r="S527" s="14"/>
    </row>
    <row r="528" spans="1:19">
      <c r="A528" s="14" t="s">
        <v>66</v>
      </c>
      <c r="B528" s="15" t="s">
        <v>388</v>
      </c>
      <c r="C528" s="15" t="s">
        <v>389</v>
      </c>
      <c r="D528" s="14" t="s">
        <v>385</v>
      </c>
      <c r="E528" s="15" t="s">
        <v>390</v>
      </c>
      <c r="F528" s="14" t="s">
        <v>387</v>
      </c>
      <c r="G528" s="15" t="s">
        <v>23</v>
      </c>
      <c r="H528" s="15" t="s">
        <v>1530</v>
      </c>
      <c r="I528" s="15">
        <v>201412</v>
      </c>
      <c r="J528" s="16">
        <v>24453.55</v>
      </c>
      <c r="K528" s="44">
        <f t="shared" si="45"/>
        <v>41974</v>
      </c>
      <c r="L528" s="45">
        <f t="shared" si="39"/>
        <v>6</v>
      </c>
      <c r="M528" s="17">
        <v>2.23333E-3</v>
      </c>
      <c r="N528" s="46">
        <f t="shared" si="40"/>
        <v>327.67708092899994</v>
      </c>
      <c r="O528" s="16"/>
      <c r="P528" s="48"/>
      <c r="Q528" s="16"/>
      <c r="R528" s="48">
        <f t="shared" si="42"/>
        <v>7928.2994140625015</v>
      </c>
      <c r="S528" s="14"/>
    </row>
    <row r="529" spans="1:19">
      <c r="A529" s="14" t="s">
        <v>17</v>
      </c>
      <c r="B529" s="15" t="s">
        <v>391</v>
      </c>
      <c r="C529" s="15" t="s">
        <v>392</v>
      </c>
      <c r="D529" s="14" t="s">
        <v>393</v>
      </c>
      <c r="E529" s="15" t="s">
        <v>394</v>
      </c>
      <c r="F529" s="14" t="s">
        <v>137</v>
      </c>
      <c r="G529" s="15" t="s">
        <v>23</v>
      </c>
      <c r="H529" s="15" t="s">
        <v>1526</v>
      </c>
      <c r="I529" s="15">
        <v>201412</v>
      </c>
      <c r="J529" s="16">
        <v>-583.21</v>
      </c>
      <c r="K529" s="44">
        <f t="shared" si="45"/>
        <v>41974</v>
      </c>
      <c r="L529" s="45">
        <f t="shared" si="39"/>
        <v>6</v>
      </c>
      <c r="M529" s="17">
        <v>1.4833299999999999E-3</v>
      </c>
      <c r="N529" s="46">
        <f t="shared" si="40"/>
        <v>-5.1905573358000003</v>
      </c>
      <c r="O529" s="16"/>
      <c r="P529" s="48"/>
      <c r="Q529" s="16"/>
      <c r="R529" s="48">
        <f t="shared" si="42"/>
        <v>-189.08761718750003</v>
      </c>
      <c r="S529" s="14"/>
    </row>
    <row r="530" spans="1:19">
      <c r="A530" s="14" t="s">
        <v>54</v>
      </c>
      <c r="B530" s="15" t="s">
        <v>419</v>
      </c>
      <c r="C530" s="15" t="s">
        <v>420</v>
      </c>
      <c r="D530" s="14" t="s">
        <v>421</v>
      </c>
      <c r="E530" s="15" t="s">
        <v>32</v>
      </c>
      <c r="F530" s="14" t="s">
        <v>22</v>
      </c>
      <c r="G530" s="15" t="s">
        <v>23</v>
      </c>
      <c r="H530" s="15" t="s">
        <v>1525</v>
      </c>
      <c r="I530" s="15">
        <v>201412</v>
      </c>
      <c r="J530" s="16">
        <v>-11.23</v>
      </c>
      <c r="K530" s="44">
        <f t="shared" si="45"/>
        <v>41974</v>
      </c>
      <c r="L530" s="45">
        <f t="shared" si="39"/>
        <v>6</v>
      </c>
      <c r="M530" s="17">
        <v>1.4833299999999999E-3</v>
      </c>
      <c r="N530" s="46">
        <f t="shared" si="40"/>
        <v>-9.9946775400000007E-2</v>
      </c>
      <c r="O530" s="16"/>
      <c r="P530" s="48"/>
      <c r="Q530" s="16"/>
      <c r="R530" s="48">
        <f t="shared" si="42"/>
        <v>-3.6409765625000006</v>
      </c>
      <c r="S530" s="14"/>
    </row>
    <row r="531" spans="1:19">
      <c r="A531" s="14" t="s">
        <v>54</v>
      </c>
      <c r="B531" s="15" t="s">
        <v>453</v>
      </c>
      <c r="C531" s="15" t="s">
        <v>454</v>
      </c>
      <c r="D531" s="14" t="s">
        <v>455</v>
      </c>
      <c r="E531" s="15" t="s">
        <v>62</v>
      </c>
      <c r="F531" s="14" t="s">
        <v>22</v>
      </c>
      <c r="G531" s="15" t="s">
        <v>23</v>
      </c>
      <c r="H531" s="15" t="s">
        <v>1525</v>
      </c>
      <c r="I531" s="15">
        <v>201412</v>
      </c>
      <c r="J531" s="16">
        <v>-93.8</v>
      </c>
      <c r="K531" s="44">
        <f t="shared" si="45"/>
        <v>41974</v>
      </c>
      <c r="L531" s="45">
        <f t="shared" si="39"/>
        <v>6</v>
      </c>
      <c r="M531" s="17">
        <v>1.4833299999999999E-3</v>
      </c>
      <c r="N531" s="46">
        <f t="shared" si="40"/>
        <v>-0.83481812399999999</v>
      </c>
      <c r="O531" s="16"/>
      <c r="P531" s="48"/>
      <c r="Q531" s="16"/>
      <c r="R531" s="48">
        <f t="shared" si="42"/>
        <v>-30.411718750000002</v>
      </c>
      <c r="S531" s="14"/>
    </row>
    <row r="532" spans="1:19">
      <c r="A532" s="14" t="s">
        <v>17</v>
      </c>
      <c r="B532" s="15" t="s">
        <v>480</v>
      </c>
      <c r="C532" s="15" t="s">
        <v>481</v>
      </c>
      <c r="D532" s="14" t="s">
        <v>482</v>
      </c>
      <c r="E532" s="15" t="s">
        <v>141</v>
      </c>
      <c r="F532" s="14" t="s">
        <v>142</v>
      </c>
      <c r="G532" s="15" t="s">
        <v>23</v>
      </c>
      <c r="H532" s="15" t="s">
        <v>1525</v>
      </c>
      <c r="I532" s="15">
        <v>201412</v>
      </c>
      <c r="J532" s="16">
        <v>-12.75</v>
      </c>
      <c r="K532" s="44">
        <f t="shared" si="45"/>
        <v>41974</v>
      </c>
      <c r="L532" s="45">
        <f t="shared" si="39"/>
        <v>6</v>
      </c>
      <c r="M532" s="17">
        <v>1.4833299999999999E-3</v>
      </c>
      <c r="N532" s="46">
        <f t="shared" si="40"/>
        <v>-0.113474745</v>
      </c>
      <c r="O532" s="16"/>
      <c r="P532" s="48"/>
      <c r="Q532" s="16"/>
      <c r="R532" s="48">
        <f t="shared" si="42"/>
        <v>-4.1337890625</v>
      </c>
      <c r="S532" s="14"/>
    </row>
    <row r="533" spans="1:19">
      <c r="A533" s="14" t="s">
        <v>66</v>
      </c>
      <c r="B533" s="15" t="s">
        <v>489</v>
      </c>
      <c r="C533" s="15" t="s">
        <v>490</v>
      </c>
      <c r="D533" s="14" t="s">
        <v>491</v>
      </c>
      <c r="E533" s="15" t="s">
        <v>492</v>
      </c>
      <c r="F533" s="14" t="s">
        <v>378</v>
      </c>
      <c r="G533" s="15" t="s">
        <v>23</v>
      </c>
      <c r="H533" s="15" t="s">
        <v>1530</v>
      </c>
      <c r="I533" s="15">
        <v>201412</v>
      </c>
      <c r="J533" s="16">
        <v>-341.38</v>
      </c>
      <c r="K533" s="44">
        <f t="shared" si="45"/>
        <v>41974</v>
      </c>
      <c r="L533" s="45">
        <f t="shared" si="39"/>
        <v>6</v>
      </c>
      <c r="M533" s="17">
        <v>2.23333E-3</v>
      </c>
      <c r="N533" s="46">
        <f t="shared" si="40"/>
        <v>-4.5744851723999993</v>
      </c>
      <c r="O533" s="16"/>
      <c r="P533" s="48"/>
      <c r="Q533" s="16"/>
      <c r="R533" s="48">
        <f t="shared" si="42"/>
        <v>-110.681796875</v>
      </c>
      <c r="S533" s="14"/>
    </row>
    <row r="534" spans="1:19">
      <c r="A534" s="14" t="s">
        <v>66</v>
      </c>
      <c r="B534" s="15" t="s">
        <v>496</v>
      </c>
      <c r="C534" s="15" t="s">
        <v>497</v>
      </c>
      <c r="D534" s="14" t="s">
        <v>376</v>
      </c>
      <c r="E534" s="15" t="s">
        <v>498</v>
      </c>
      <c r="F534" s="14" t="s">
        <v>378</v>
      </c>
      <c r="G534" s="15" t="s">
        <v>23</v>
      </c>
      <c r="H534" s="15" t="s">
        <v>1530</v>
      </c>
      <c r="I534" s="15">
        <v>201412</v>
      </c>
      <c r="J534" s="16">
        <v>44688.62</v>
      </c>
      <c r="K534" s="44">
        <f t="shared" si="45"/>
        <v>41974</v>
      </c>
      <c r="L534" s="45">
        <f t="shared" si="39"/>
        <v>6</v>
      </c>
      <c r="M534" s="17">
        <v>2.23333E-3</v>
      </c>
      <c r="N534" s="46">
        <f t="shared" si="40"/>
        <v>598.82661422759998</v>
      </c>
      <c r="O534" s="16"/>
      <c r="P534" s="48"/>
      <c r="Q534" s="16"/>
      <c r="R534" s="48">
        <f t="shared" si="42"/>
        <v>14488.888515625002</v>
      </c>
      <c r="S534" s="14"/>
    </row>
    <row r="535" spans="1:19">
      <c r="A535" s="14" t="s">
        <v>66</v>
      </c>
      <c r="B535" s="15" t="s">
        <v>499</v>
      </c>
      <c r="C535" s="15" t="s">
        <v>500</v>
      </c>
      <c r="D535" s="14" t="s">
        <v>385</v>
      </c>
      <c r="E535" s="15" t="s">
        <v>501</v>
      </c>
      <c r="F535" s="14" t="s">
        <v>387</v>
      </c>
      <c r="G535" s="15" t="s">
        <v>23</v>
      </c>
      <c r="H535" s="15" t="s">
        <v>1530</v>
      </c>
      <c r="I535" s="15">
        <v>201412</v>
      </c>
      <c r="J535" s="16">
        <v>-1460.39</v>
      </c>
      <c r="K535" s="44">
        <f t="shared" si="45"/>
        <v>41974</v>
      </c>
      <c r="L535" s="45">
        <f t="shared" si="39"/>
        <v>6</v>
      </c>
      <c r="M535" s="17">
        <v>2.23333E-3</v>
      </c>
      <c r="N535" s="46">
        <f t="shared" si="40"/>
        <v>-19.5691967922</v>
      </c>
      <c r="O535" s="16"/>
      <c r="P535" s="48"/>
      <c r="Q535" s="16"/>
      <c r="R535" s="48">
        <f t="shared" si="42"/>
        <v>-473.48582031250004</v>
      </c>
      <c r="S535" s="14"/>
    </row>
    <row r="536" spans="1:19">
      <c r="A536" s="14" t="s">
        <v>54</v>
      </c>
      <c r="B536" s="15" t="s">
        <v>543</v>
      </c>
      <c r="C536" s="15" t="s">
        <v>544</v>
      </c>
      <c r="D536" s="14" t="s">
        <v>545</v>
      </c>
      <c r="E536" s="15" t="s">
        <v>62</v>
      </c>
      <c r="F536" s="14" t="s">
        <v>22</v>
      </c>
      <c r="G536" s="15" t="s">
        <v>23</v>
      </c>
      <c r="H536" s="15" t="s">
        <v>1525</v>
      </c>
      <c r="I536" s="15">
        <v>201412</v>
      </c>
      <c r="J536" s="16">
        <v>-151.33000000000001</v>
      </c>
      <c r="K536" s="44">
        <f t="shared" si="45"/>
        <v>41974</v>
      </c>
      <c r="L536" s="45">
        <f t="shared" si="39"/>
        <v>6</v>
      </c>
      <c r="M536" s="17">
        <v>1.4833299999999999E-3</v>
      </c>
      <c r="N536" s="46">
        <f t="shared" si="40"/>
        <v>-1.3468339734000001</v>
      </c>
      <c r="O536" s="16"/>
      <c r="P536" s="48"/>
      <c r="Q536" s="16"/>
      <c r="R536" s="48">
        <f t="shared" si="42"/>
        <v>-49.064023437500012</v>
      </c>
      <c r="S536" s="14"/>
    </row>
    <row r="537" spans="1:19">
      <c r="A537" s="14" t="s">
        <v>17</v>
      </c>
      <c r="B537" s="15" t="s">
        <v>552</v>
      </c>
      <c r="C537" s="15" t="s">
        <v>553</v>
      </c>
      <c r="D537" s="14" t="s">
        <v>554</v>
      </c>
      <c r="E537" s="15" t="s">
        <v>62</v>
      </c>
      <c r="F537" s="14" t="s">
        <v>22</v>
      </c>
      <c r="G537" s="15" t="s">
        <v>23</v>
      </c>
      <c r="H537" s="15" t="s">
        <v>1525</v>
      </c>
      <c r="I537" s="15">
        <v>201412</v>
      </c>
      <c r="J537" s="16">
        <v>2866.12</v>
      </c>
      <c r="K537" s="44">
        <f t="shared" si="45"/>
        <v>41974</v>
      </c>
      <c r="L537" s="45">
        <f t="shared" si="39"/>
        <v>6</v>
      </c>
      <c r="M537" s="17">
        <v>1.4833299999999999E-3</v>
      </c>
      <c r="N537" s="46">
        <f t="shared" si="40"/>
        <v>25.508410677600001</v>
      </c>
      <c r="O537" s="16"/>
      <c r="P537" s="48"/>
      <c r="Q537" s="16"/>
      <c r="R537" s="48">
        <f t="shared" si="42"/>
        <v>929.24984375000008</v>
      </c>
      <c r="S537" s="14"/>
    </row>
    <row r="538" spans="1:19">
      <c r="A538" s="20" t="s">
        <v>238</v>
      </c>
      <c r="B538" s="21" t="s">
        <v>1099</v>
      </c>
      <c r="C538" s="21" t="s">
        <v>1100</v>
      </c>
      <c r="D538" s="20" t="s">
        <v>1101</v>
      </c>
      <c r="E538" s="21" t="s">
        <v>104</v>
      </c>
      <c r="F538" s="20" t="s">
        <v>41</v>
      </c>
      <c r="G538" s="21" t="s">
        <v>23</v>
      </c>
      <c r="H538" s="15" t="s">
        <v>1526</v>
      </c>
      <c r="I538" s="21">
        <v>201412</v>
      </c>
      <c r="J538" s="22">
        <v>2739.95</v>
      </c>
      <c r="K538" s="44">
        <f t="shared" si="45"/>
        <v>41974</v>
      </c>
      <c r="L538" s="45">
        <f t="shared" si="39"/>
        <v>6</v>
      </c>
      <c r="M538" s="23">
        <v>2.3833299999999999E-3</v>
      </c>
      <c r="N538" s="46">
        <f t="shared" si="40"/>
        <v>39.181230200999998</v>
      </c>
      <c r="O538" s="16"/>
      <c r="P538" s="48"/>
      <c r="Q538" s="16"/>
      <c r="R538" s="48">
        <f t="shared" si="42"/>
        <v>888.34316406249991</v>
      </c>
      <c r="S538" s="14"/>
    </row>
    <row r="539" spans="1:19">
      <c r="A539" s="14" t="s">
        <v>17</v>
      </c>
      <c r="B539" s="15" t="s">
        <v>581</v>
      </c>
      <c r="C539" s="15" t="s">
        <v>582</v>
      </c>
      <c r="D539" s="14" t="s">
        <v>583</v>
      </c>
      <c r="E539" s="15" t="s">
        <v>104</v>
      </c>
      <c r="F539" s="14" t="s">
        <v>41</v>
      </c>
      <c r="G539" s="15" t="s">
        <v>23</v>
      </c>
      <c r="H539" s="15" t="s">
        <v>1526</v>
      </c>
      <c r="I539" s="15">
        <v>201412</v>
      </c>
      <c r="J539" s="16">
        <v>1337.3</v>
      </c>
      <c r="K539" s="44">
        <f t="shared" si="45"/>
        <v>41974</v>
      </c>
      <c r="L539" s="45">
        <f t="shared" si="39"/>
        <v>6</v>
      </c>
      <c r="M539" s="17">
        <v>1.4833299999999999E-3</v>
      </c>
      <c r="N539" s="46">
        <f t="shared" si="40"/>
        <v>11.901943253999999</v>
      </c>
      <c r="O539" s="16"/>
      <c r="P539" s="48"/>
      <c r="Q539" s="16"/>
      <c r="R539" s="48">
        <f t="shared" si="42"/>
        <v>433.57773437499998</v>
      </c>
      <c r="S539" s="14"/>
    </row>
    <row r="540" spans="1:19">
      <c r="A540" s="14" t="s">
        <v>54</v>
      </c>
      <c r="B540" s="15" t="s">
        <v>581</v>
      </c>
      <c r="C540" s="15" t="s">
        <v>582</v>
      </c>
      <c r="D540" s="14" t="s">
        <v>583</v>
      </c>
      <c r="E540" s="15" t="s">
        <v>104</v>
      </c>
      <c r="F540" s="14" t="s">
        <v>41</v>
      </c>
      <c r="G540" s="15" t="s">
        <v>23</v>
      </c>
      <c r="H540" s="15" t="s">
        <v>1526</v>
      </c>
      <c r="I540" s="15">
        <v>201412</v>
      </c>
      <c r="J540" s="16">
        <v>-1826.47</v>
      </c>
      <c r="K540" s="44">
        <f t="shared" si="45"/>
        <v>41974</v>
      </c>
      <c r="L540" s="45">
        <f t="shared" si="39"/>
        <v>6</v>
      </c>
      <c r="M540" s="17">
        <v>1.4833299999999999E-3</v>
      </c>
      <c r="N540" s="46">
        <f t="shared" si="40"/>
        <v>-16.255546470599999</v>
      </c>
      <c r="O540" s="16"/>
      <c r="P540" s="48"/>
      <c r="Q540" s="16"/>
      <c r="R540" s="48">
        <f t="shared" si="42"/>
        <v>-592.17582031250004</v>
      </c>
      <c r="S540" s="14"/>
    </row>
    <row r="541" spans="1:19">
      <c r="A541" s="14" t="s">
        <v>66</v>
      </c>
      <c r="B541" s="15" t="s">
        <v>1027</v>
      </c>
      <c r="C541" s="15" t="s">
        <v>1028</v>
      </c>
      <c r="D541" s="14" t="s">
        <v>194</v>
      </c>
      <c r="E541" s="15" t="s">
        <v>1029</v>
      </c>
      <c r="F541" s="14" t="s">
        <v>196</v>
      </c>
      <c r="G541" s="15" t="s">
        <v>23</v>
      </c>
      <c r="H541" s="15" t="s">
        <v>1530</v>
      </c>
      <c r="I541" s="15">
        <v>201412</v>
      </c>
      <c r="J541" s="16">
        <v>463.42</v>
      </c>
      <c r="K541" s="44">
        <f t="shared" si="45"/>
        <v>41974</v>
      </c>
      <c r="L541" s="45">
        <f t="shared" si="39"/>
        <v>6</v>
      </c>
      <c r="M541" s="17">
        <v>2.23333E-3</v>
      </c>
      <c r="N541" s="46">
        <f t="shared" si="40"/>
        <v>6.2098187315999995</v>
      </c>
      <c r="O541" s="16"/>
      <c r="P541" s="48"/>
      <c r="Q541" s="16"/>
      <c r="R541" s="48">
        <f t="shared" si="42"/>
        <v>150.249453125</v>
      </c>
      <c r="S541" s="14"/>
    </row>
    <row r="542" spans="1:19">
      <c r="A542" s="14" t="s">
        <v>66</v>
      </c>
      <c r="B542" s="15" t="s">
        <v>595</v>
      </c>
      <c r="C542" s="15" t="s">
        <v>596</v>
      </c>
      <c r="D542" s="14" t="s">
        <v>597</v>
      </c>
      <c r="E542" s="15" t="s">
        <v>598</v>
      </c>
      <c r="F542" s="14" t="s">
        <v>212</v>
      </c>
      <c r="G542" s="15" t="s">
        <v>23</v>
      </c>
      <c r="H542" s="15" t="s">
        <v>1530</v>
      </c>
      <c r="I542" s="15">
        <v>201412</v>
      </c>
      <c r="J542" s="16">
        <v>24356.41</v>
      </c>
      <c r="K542" s="44">
        <f t="shared" si="45"/>
        <v>41974</v>
      </c>
      <c r="L542" s="45">
        <f t="shared" ref="L542:L604" si="46">((YEAR($L$1)-YEAR(K542))*12+MONTH($L$1)-MONTH(K542))</f>
        <v>6</v>
      </c>
      <c r="M542" s="17">
        <v>2.23333E-3</v>
      </c>
      <c r="N542" s="46">
        <f t="shared" ref="N542:N604" si="47">M542*L542*J542</f>
        <v>326.37540687179995</v>
      </c>
      <c r="O542" s="16"/>
      <c r="P542" s="48"/>
      <c r="Q542" s="16"/>
      <c r="R542" s="48">
        <f t="shared" si="42"/>
        <v>7896.8048046875001</v>
      </c>
      <c r="S542" s="14"/>
    </row>
    <row r="543" spans="1:19">
      <c r="A543" s="14" t="s">
        <v>66</v>
      </c>
      <c r="B543" s="15" t="s">
        <v>599</v>
      </c>
      <c r="C543" s="15" t="s">
        <v>600</v>
      </c>
      <c r="D543" s="14" t="s">
        <v>385</v>
      </c>
      <c r="E543" s="15" t="s">
        <v>601</v>
      </c>
      <c r="F543" s="14" t="s">
        <v>387</v>
      </c>
      <c r="G543" s="15" t="s">
        <v>23</v>
      </c>
      <c r="H543" s="15" t="s">
        <v>1530</v>
      </c>
      <c r="I543" s="15">
        <v>201412</v>
      </c>
      <c r="J543" s="16">
        <v>5423.03</v>
      </c>
      <c r="K543" s="44">
        <f t="shared" si="45"/>
        <v>41974</v>
      </c>
      <c r="L543" s="45">
        <f t="shared" si="46"/>
        <v>6</v>
      </c>
      <c r="M543" s="17">
        <v>2.23333E-3</v>
      </c>
      <c r="N543" s="46">
        <f t="shared" si="47"/>
        <v>72.668493539399989</v>
      </c>
      <c r="O543" s="16"/>
      <c r="P543" s="48"/>
      <c r="Q543" s="16"/>
      <c r="R543" s="48">
        <f t="shared" si="42"/>
        <v>1758.2480078125002</v>
      </c>
      <c r="S543" s="14"/>
    </row>
    <row r="544" spans="1:19">
      <c r="A544" s="14" t="s">
        <v>17</v>
      </c>
      <c r="B544" s="15" t="s">
        <v>1030</v>
      </c>
      <c r="C544" s="15" t="s">
        <v>1031</v>
      </c>
      <c r="D544" s="14" t="s">
        <v>1032</v>
      </c>
      <c r="E544" s="15" t="s">
        <v>53</v>
      </c>
      <c r="F544" s="14" t="s">
        <v>41</v>
      </c>
      <c r="G544" s="15" t="s">
        <v>23</v>
      </c>
      <c r="H544" s="15" t="s">
        <v>1526</v>
      </c>
      <c r="I544" s="15">
        <v>201412</v>
      </c>
      <c r="J544" s="16">
        <v>77100.09</v>
      </c>
      <c r="K544" s="44">
        <f t="shared" si="45"/>
        <v>41974</v>
      </c>
      <c r="L544" s="45">
        <f t="shared" si="46"/>
        <v>6</v>
      </c>
      <c r="M544" s="17">
        <v>1.4833299999999999E-3</v>
      </c>
      <c r="N544" s="46">
        <f t="shared" si="47"/>
        <v>686.18925899819999</v>
      </c>
      <c r="O544" s="16"/>
      <c r="P544" s="48"/>
      <c r="Q544" s="16"/>
      <c r="R544" s="48">
        <f t="shared" si="42"/>
        <v>24997.294804687499</v>
      </c>
      <c r="S544" s="14"/>
    </row>
    <row r="545" spans="1:19">
      <c r="A545" s="14" t="s">
        <v>17</v>
      </c>
      <c r="B545" s="15" t="s">
        <v>646</v>
      </c>
      <c r="C545" s="15" t="s">
        <v>647</v>
      </c>
      <c r="D545" s="14" t="s">
        <v>648</v>
      </c>
      <c r="E545" s="15" t="s">
        <v>176</v>
      </c>
      <c r="F545" s="14" t="s">
        <v>28</v>
      </c>
      <c r="G545" s="15" t="s">
        <v>23</v>
      </c>
      <c r="H545" s="15" t="s">
        <v>1525</v>
      </c>
      <c r="I545" s="15">
        <v>201412</v>
      </c>
      <c r="J545" s="16">
        <v>-0.08</v>
      </c>
      <c r="K545" s="44">
        <f t="shared" si="45"/>
        <v>41974</v>
      </c>
      <c r="L545" s="45">
        <f t="shared" si="46"/>
        <v>6</v>
      </c>
      <c r="M545" s="17">
        <v>1.4833299999999999E-3</v>
      </c>
      <c r="N545" s="46">
        <f t="shared" si="47"/>
        <v>-7.1199840000000006E-4</v>
      </c>
      <c r="O545" s="16"/>
      <c r="P545" s="48"/>
      <c r="Q545" s="16"/>
      <c r="R545" s="48">
        <f t="shared" si="42"/>
        <v>-2.5937500000000002E-2</v>
      </c>
      <c r="S545" s="14"/>
    </row>
    <row r="546" spans="1:19">
      <c r="A546" s="14" t="s">
        <v>66</v>
      </c>
      <c r="B546" s="15" t="s">
        <v>671</v>
      </c>
      <c r="C546" s="15" t="s">
        <v>672</v>
      </c>
      <c r="D546" s="14" t="s">
        <v>206</v>
      </c>
      <c r="E546" s="15" t="s">
        <v>673</v>
      </c>
      <c r="F546" s="14" t="s">
        <v>97</v>
      </c>
      <c r="G546" s="15" t="s">
        <v>23</v>
      </c>
      <c r="H546" s="15" t="s">
        <v>1530</v>
      </c>
      <c r="I546" s="15">
        <v>201412</v>
      </c>
      <c r="J546" s="16">
        <v>64.27</v>
      </c>
      <c r="K546" s="44">
        <f t="shared" si="45"/>
        <v>41974</v>
      </c>
      <c r="L546" s="45">
        <f t="shared" si="46"/>
        <v>6</v>
      </c>
      <c r="M546" s="17">
        <v>2.23333E-3</v>
      </c>
      <c r="N546" s="46">
        <f t="shared" si="47"/>
        <v>0.86121671459999982</v>
      </c>
      <c r="O546" s="16"/>
      <c r="P546" s="48"/>
      <c r="Q546" s="16"/>
      <c r="R546" s="48">
        <f t="shared" si="42"/>
        <v>20.837539062499999</v>
      </c>
      <c r="S546" s="14"/>
    </row>
    <row r="547" spans="1:19">
      <c r="A547" s="14" t="s">
        <v>66</v>
      </c>
      <c r="B547" s="15" t="s">
        <v>674</v>
      </c>
      <c r="C547" s="15" t="s">
        <v>675</v>
      </c>
      <c r="D547" s="14" t="s">
        <v>385</v>
      </c>
      <c r="E547" s="15" t="s">
        <v>676</v>
      </c>
      <c r="F547" s="14" t="s">
        <v>387</v>
      </c>
      <c r="G547" s="15" t="s">
        <v>23</v>
      </c>
      <c r="H547" s="15" t="s">
        <v>1530</v>
      </c>
      <c r="I547" s="15">
        <v>201412</v>
      </c>
      <c r="J547" s="16">
        <v>4755.1000000000004</v>
      </c>
      <c r="K547" s="44">
        <f t="shared" si="45"/>
        <v>41974</v>
      </c>
      <c r="L547" s="45">
        <f t="shared" si="46"/>
        <v>6</v>
      </c>
      <c r="M547" s="17">
        <v>2.23333E-3</v>
      </c>
      <c r="N547" s="46">
        <f t="shared" si="47"/>
        <v>63.718244898000002</v>
      </c>
      <c r="O547" s="16"/>
      <c r="P547" s="48"/>
      <c r="Q547" s="16"/>
      <c r="R547" s="48">
        <f t="shared" si="42"/>
        <v>1541.6925781250004</v>
      </c>
      <c r="S547" s="14"/>
    </row>
    <row r="548" spans="1:19">
      <c r="A548" s="14" t="s">
        <v>17</v>
      </c>
      <c r="B548" s="15" t="s">
        <v>704</v>
      </c>
      <c r="C548" s="15" t="s">
        <v>705</v>
      </c>
      <c r="D548" s="14" t="s">
        <v>706</v>
      </c>
      <c r="E548" s="15" t="s">
        <v>58</v>
      </c>
      <c r="F548" s="14" t="s">
        <v>22</v>
      </c>
      <c r="G548" s="15" t="s">
        <v>23</v>
      </c>
      <c r="H548" s="15" t="s">
        <v>1525</v>
      </c>
      <c r="I548" s="15">
        <v>201412</v>
      </c>
      <c r="J548" s="16">
        <v>7983.95</v>
      </c>
      <c r="K548" s="44">
        <f t="shared" si="45"/>
        <v>41974</v>
      </c>
      <c r="L548" s="45">
        <f t="shared" si="46"/>
        <v>6</v>
      </c>
      <c r="M548" s="17">
        <v>1.4833299999999999E-3</v>
      </c>
      <c r="N548" s="46">
        <f t="shared" si="47"/>
        <v>71.056995321000002</v>
      </c>
      <c r="O548" s="16"/>
      <c r="P548" s="48"/>
      <c r="Q548" s="16"/>
      <c r="R548" s="48">
        <f t="shared" si="42"/>
        <v>2588.5462890625004</v>
      </c>
      <c r="S548" s="14"/>
    </row>
    <row r="549" spans="1:19">
      <c r="A549" s="14" t="s">
        <v>17</v>
      </c>
      <c r="B549" s="15" t="s">
        <v>1033</v>
      </c>
      <c r="C549" s="15" t="s">
        <v>1034</v>
      </c>
      <c r="D549" s="14" t="s">
        <v>1035</v>
      </c>
      <c r="E549" s="15" t="s">
        <v>58</v>
      </c>
      <c r="F549" s="14" t="s">
        <v>22</v>
      </c>
      <c r="G549" s="15" t="s">
        <v>23</v>
      </c>
      <c r="H549" s="15" t="s">
        <v>1525</v>
      </c>
      <c r="I549" s="15">
        <v>201412</v>
      </c>
      <c r="J549" s="16">
        <v>192036.17</v>
      </c>
      <c r="K549" s="44">
        <f t="shared" si="45"/>
        <v>41974</v>
      </c>
      <c r="L549" s="45">
        <f t="shared" si="46"/>
        <v>6</v>
      </c>
      <c r="M549" s="17">
        <v>1.4833299999999999E-3</v>
      </c>
      <c r="N549" s="46">
        <f t="shared" si="47"/>
        <v>1709.1180722766001</v>
      </c>
      <c r="O549" s="16"/>
      <c r="P549" s="48"/>
      <c r="Q549" s="16"/>
      <c r="R549" s="48">
        <f t="shared" si="42"/>
        <v>62261.726992187505</v>
      </c>
      <c r="S549" s="14"/>
    </row>
    <row r="550" spans="1:19">
      <c r="A550" s="14" t="s">
        <v>66</v>
      </c>
      <c r="B550" s="15" t="s">
        <v>741</v>
      </c>
      <c r="C550" s="15" t="s">
        <v>742</v>
      </c>
      <c r="D550" s="14" t="s">
        <v>69</v>
      </c>
      <c r="E550" s="15" t="s">
        <v>70</v>
      </c>
      <c r="F550" s="14" t="s">
        <v>71</v>
      </c>
      <c r="G550" s="15" t="s">
        <v>23</v>
      </c>
      <c r="H550" s="15" t="s">
        <v>1530</v>
      </c>
      <c r="I550" s="15">
        <v>201412</v>
      </c>
      <c r="J550" s="16">
        <v>8.01</v>
      </c>
      <c r="K550" s="44">
        <f t="shared" si="45"/>
        <v>41974</v>
      </c>
      <c r="L550" s="45">
        <f t="shared" si="46"/>
        <v>6</v>
      </c>
      <c r="M550" s="17">
        <v>2.23333E-3</v>
      </c>
      <c r="N550" s="46">
        <f t="shared" si="47"/>
        <v>0.10733383979999998</v>
      </c>
      <c r="O550" s="16"/>
      <c r="P550" s="48"/>
      <c r="Q550" s="16"/>
      <c r="R550" s="48">
        <f t="shared" si="42"/>
        <v>2.5969921875000002</v>
      </c>
      <c r="S550" s="14"/>
    </row>
    <row r="551" spans="1:19">
      <c r="A551" s="14" t="s">
        <v>66</v>
      </c>
      <c r="B551" s="15" t="s">
        <v>743</v>
      </c>
      <c r="C551" s="15" t="s">
        <v>744</v>
      </c>
      <c r="D551" s="14" t="s">
        <v>745</v>
      </c>
      <c r="E551" s="15" t="s">
        <v>746</v>
      </c>
      <c r="F551" s="14" t="s">
        <v>80</v>
      </c>
      <c r="G551" s="15" t="s">
        <v>23</v>
      </c>
      <c r="H551" s="15" t="s">
        <v>1530</v>
      </c>
      <c r="I551" s="15">
        <v>201412</v>
      </c>
      <c r="J551" s="16">
        <v>-3814.16</v>
      </c>
      <c r="K551" s="44">
        <f t="shared" si="45"/>
        <v>41974</v>
      </c>
      <c r="L551" s="45">
        <f t="shared" si="46"/>
        <v>6</v>
      </c>
      <c r="M551" s="17">
        <v>2.23333E-3</v>
      </c>
      <c r="N551" s="46">
        <f t="shared" si="47"/>
        <v>-51.109667716799997</v>
      </c>
      <c r="O551" s="16"/>
      <c r="P551" s="48"/>
      <c r="Q551" s="16"/>
      <c r="R551" s="48">
        <f t="shared" si="42"/>
        <v>-1236.6221875000001</v>
      </c>
      <c r="S551" s="14"/>
    </row>
    <row r="552" spans="1:19">
      <c r="A552" s="14" t="s">
        <v>66</v>
      </c>
      <c r="B552" s="15" t="s">
        <v>747</v>
      </c>
      <c r="C552" s="15" t="s">
        <v>748</v>
      </c>
      <c r="D552" s="14" t="s">
        <v>78</v>
      </c>
      <c r="E552" s="15" t="s">
        <v>749</v>
      </c>
      <c r="F552" s="14" t="s">
        <v>80</v>
      </c>
      <c r="G552" s="15" t="s">
        <v>23</v>
      </c>
      <c r="H552" s="15" t="s">
        <v>1530</v>
      </c>
      <c r="I552" s="15">
        <v>201412</v>
      </c>
      <c r="J552" s="16">
        <v>8776.2099999999991</v>
      </c>
      <c r="K552" s="44">
        <f t="shared" si="45"/>
        <v>41974</v>
      </c>
      <c r="L552" s="45">
        <f t="shared" si="46"/>
        <v>6</v>
      </c>
      <c r="M552" s="17">
        <v>2.23333E-3</v>
      </c>
      <c r="N552" s="46">
        <f t="shared" si="47"/>
        <v>117.60103847579998</v>
      </c>
      <c r="O552" s="16"/>
      <c r="P552" s="48"/>
      <c r="Q552" s="16"/>
      <c r="R552" s="48">
        <f t="shared" si="42"/>
        <v>2845.4118359375002</v>
      </c>
      <c r="S552" s="14"/>
    </row>
    <row r="553" spans="1:19">
      <c r="A553" s="14" t="s">
        <v>66</v>
      </c>
      <c r="B553" s="15" t="s">
        <v>750</v>
      </c>
      <c r="C553" s="15" t="s">
        <v>751</v>
      </c>
      <c r="D553" s="14" t="s">
        <v>78</v>
      </c>
      <c r="E553" s="15" t="s">
        <v>752</v>
      </c>
      <c r="F553" s="14" t="s">
        <v>80</v>
      </c>
      <c r="G553" s="15" t="s">
        <v>23</v>
      </c>
      <c r="H553" s="15" t="s">
        <v>1530</v>
      </c>
      <c r="I553" s="15">
        <v>201412</v>
      </c>
      <c r="J553" s="16">
        <v>48.78</v>
      </c>
      <c r="K553" s="44">
        <f t="shared" si="45"/>
        <v>41974</v>
      </c>
      <c r="L553" s="45">
        <f t="shared" si="46"/>
        <v>6</v>
      </c>
      <c r="M553" s="17">
        <v>2.23333E-3</v>
      </c>
      <c r="N553" s="46">
        <f t="shared" si="47"/>
        <v>0.6536510244</v>
      </c>
      <c r="O553" s="16"/>
      <c r="P553" s="48"/>
      <c r="Q553" s="16"/>
      <c r="R553" s="48">
        <f t="shared" si="42"/>
        <v>15.815390625000001</v>
      </c>
      <c r="S553" s="14"/>
    </row>
    <row r="554" spans="1:19">
      <c r="A554" s="14" t="s">
        <v>66</v>
      </c>
      <c r="B554" s="15" t="s">
        <v>753</v>
      </c>
      <c r="C554" s="15" t="s">
        <v>754</v>
      </c>
      <c r="D554" s="14" t="s">
        <v>206</v>
      </c>
      <c r="E554" s="15" t="s">
        <v>755</v>
      </c>
      <c r="F554" s="14" t="s">
        <v>97</v>
      </c>
      <c r="G554" s="15" t="s">
        <v>23</v>
      </c>
      <c r="H554" s="15" t="s">
        <v>1530</v>
      </c>
      <c r="I554" s="15">
        <v>201412</v>
      </c>
      <c r="J554" s="16">
        <v>2824.7</v>
      </c>
      <c r="K554" s="44">
        <f t="shared" si="45"/>
        <v>41974</v>
      </c>
      <c r="L554" s="45">
        <f t="shared" si="46"/>
        <v>6</v>
      </c>
      <c r="M554" s="17">
        <v>2.23333E-3</v>
      </c>
      <c r="N554" s="46">
        <f t="shared" si="47"/>
        <v>37.850923505999994</v>
      </c>
      <c r="O554" s="16"/>
      <c r="P554" s="48"/>
      <c r="Q554" s="16"/>
      <c r="R554" s="48">
        <f t="shared" si="42"/>
        <v>915.82070312500014</v>
      </c>
      <c r="S554" s="14"/>
    </row>
    <row r="555" spans="1:19">
      <c r="A555" s="14" t="s">
        <v>17</v>
      </c>
      <c r="B555" s="15" t="s">
        <v>759</v>
      </c>
      <c r="C555" s="15" t="s">
        <v>760</v>
      </c>
      <c r="D555" s="14" t="s">
        <v>761</v>
      </c>
      <c r="E555" s="15" t="s">
        <v>62</v>
      </c>
      <c r="F555" s="14" t="s">
        <v>22</v>
      </c>
      <c r="G555" s="15" t="s">
        <v>23</v>
      </c>
      <c r="H555" s="15" t="s">
        <v>1525</v>
      </c>
      <c r="I555" s="15">
        <v>201412</v>
      </c>
      <c r="J555" s="16">
        <v>-35.33</v>
      </c>
      <c r="K555" s="44">
        <f t="shared" si="45"/>
        <v>41974</v>
      </c>
      <c r="L555" s="45">
        <f t="shared" si="46"/>
        <v>6</v>
      </c>
      <c r="M555" s="17">
        <v>1.4833299999999999E-3</v>
      </c>
      <c r="N555" s="46">
        <f t="shared" si="47"/>
        <v>-0.31443629340000001</v>
      </c>
      <c r="O555" s="16"/>
      <c r="P555" s="48"/>
      <c r="Q555" s="16"/>
      <c r="R555" s="48">
        <f t="shared" si="42"/>
        <v>-11.454648437500001</v>
      </c>
      <c r="S555" s="14"/>
    </row>
    <row r="556" spans="1:19">
      <c r="A556" s="14" t="s">
        <v>17</v>
      </c>
      <c r="B556" s="15" t="s">
        <v>1036</v>
      </c>
      <c r="C556" s="15" t="s">
        <v>1037</v>
      </c>
      <c r="D556" s="14" t="s">
        <v>1038</v>
      </c>
      <c r="E556" s="15" t="s">
        <v>40</v>
      </c>
      <c r="F556" s="14" t="s">
        <v>41</v>
      </c>
      <c r="G556" s="15" t="s">
        <v>23</v>
      </c>
      <c r="H556" s="15" t="s">
        <v>1526</v>
      </c>
      <c r="I556" s="15">
        <v>201412</v>
      </c>
      <c r="J556" s="16">
        <v>423003.39</v>
      </c>
      <c r="K556" s="44">
        <f t="shared" si="45"/>
        <v>41974</v>
      </c>
      <c r="L556" s="45">
        <f t="shared" si="46"/>
        <v>6</v>
      </c>
      <c r="M556" s="17">
        <v>1.4833299999999999E-3</v>
      </c>
      <c r="N556" s="46">
        <f t="shared" si="47"/>
        <v>3764.7217109322</v>
      </c>
      <c r="O556" s="16"/>
      <c r="P556" s="48"/>
      <c r="Q556" s="16"/>
      <c r="R556" s="48">
        <f t="shared" si="42"/>
        <v>137145.63035156252</v>
      </c>
      <c r="S556" s="14"/>
    </row>
    <row r="557" spans="1:19">
      <c r="A557" s="14" t="s">
        <v>17</v>
      </c>
      <c r="B557" s="15" t="s">
        <v>1039</v>
      </c>
      <c r="C557" s="15" t="s">
        <v>1040</v>
      </c>
      <c r="D557" s="14" t="s">
        <v>1041</v>
      </c>
      <c r="E557" s="15" t="s">
        <v>40</v>
      </c>
      <c r="F557" s="14" t="s">
        <v>41</v>
      </c>
      <c r="G557" s="15" t="s">
        <v>23</v>
      </c>
      <c r="H557" s="15" t="s">
        <v>1526</v>
      </c>
      <c r="I557" s="15">
        <v>201412</v>
      </c>
      <c r="J557" s="16">
        <v>4268934.05</v>
      </c>
      <c r="K557" s="44">
        <f t="shared" si="45"/>
        <v>41974</v>
      </c>
      <c r="L557" s="45">
        <f t="shared" si="46"/>
        <v>6</v>
      </c>
      <c r="M557" s="17">
        <v>1.4833299999999999E-3</v>
      </c>
      <c r="N557" s="46">
        <f t="shared" si="47"/>
        <v>37993.427666318996</v>
      </c>
      <c r="O557" s="16"/>
      <c r="P557" s="48"/>
      <c r="Q557" s="16"/>
      <c r="R557" s="48">
        <f t="shared" si="42"/>
        <v>1384068.4615234376</v>
      </c>
      <c r="S557" s="14"/>
    </row>
    <row r="558" spans="1:19">
      <c r="A558" s="14" t="s">
        <v>54</v>
      </c>
      <c r="B558" s="15" t="s">
        <v>813</v>
      </c>
      <c r="C558" s="15" t="s">
        <v>814</v>
      </c>
      <c r="D558" s="14" t="s">
        <v>815</v>
      </c>
      <c r="E558" s="15" t="s">
        <v>62</v>
      </c>
      <c r="F558" s="14" t="s">
        <v>22</v>
      </c>
      <c r="G558" s="15" t="s">
        <v>23</v>
      </c>
      <c r="H558" s="15" t="s">
        <v>1525</v>
      </c>
      <c r="I558" s="15">
        <v>201412</v>
      </c>
      <c r="J558" s="16">
        <v>14879.8</v>
      </c>
      <c r="K558" s="44">
        <f t="shared" si="45"/>
        <v>41974</v>
      </c>
      <c r="L558" s="45">
        <f t="shared" si="46"/>
        <v>6</v>
      </c>
      <c r="M558" s="17">
        <v>1.4833299999999999E-3</v>
      </c>
      <c r="N558" s="46">
        <f t="shared" si="47"/>
        <v>132.429922404</v>
      </c>
      <c r="O558" s="16"/>
      <c r="P558" s="48"/>
      <c r="Q558" s="16"/>
      <c r="R558" s="48">
        <f t="shared" ref="R558:R621" si="48">$R$300*J558*$U$9</f>
        <v>4824.3101562500005</v>
      </c>
      <c r="S558" s="14"/>
    </row>
    <row r="559" spans="1:19">
      <c r="A559" s="14" t="s">
        <v>17</v>
      </c>
      <c r="B559" s="15" t="s">
        <v>819</v>
      </c>
      <c r="C559" s="15" t="s">
        <v>820</v>
      </c>
      <c r="D559" s="14" t="s">
        <v>821</v>
      </c>
      <c r="E559" s="15" t="s">
        <v>822</v>
      </c>
      <c r="F559" s="14" t="s">
        <v>823</v>
      </c>
      <c r="G559" s="15" t="s">
        <v>23</v>
      </c>
      <c r="H559" s="15" t="s">
        <v>1526</v>
      </c>
      <c r="I559" s="15">
        <v>201412</v>
      </c>
      <c r="J559" s="16">
        <v>-166.27</v>
      </c>
      <c r="K559" s="44">
        <f t="shared" si="45"/>
        <v>41974</v>
      </c>
      <c r="L559" s="45">
        <f t="shared" si="46"/>
        <v>6</v>
      </c>
      <c r="M559" s="17">
        <v>1.4833299999999999E-3</v>
      </c>
      <c r="N559" s="46">
        <f t="shared" si="47"/>
        <v>-1.4797996746000002</v>
      </c>
      <c r="O559" s="16"/>
      <c r="P559" s="48"/>
      <c r="Q559" s="16"/>
      <c r="R559" s="48">
        <f t="shared" si="48"/>
        <v>-53.907851562500007</v>
      </c>
      <c r="S559" s="14"/>
    </row>
    <row r="560" spans="1:19">
      <c r="A560" s="14" t="s">
        <v>54</v>
      </c>
      <c r="B560" s="15" t="s">
        <v>830</v>
      </c>
      <c r="C560" s="15" t="s">
        <v>831</v>
      </c>
      <c r="D560" s="14" t="s">
        <v>832</v>
      </c>
      <c r="E560" s="15" t="s">
        <v>62</v>
      </c>
      <c r="F560" s="14" t="s">
        <v>22</v>
      </c>
      <c r="G560" s="15" t="s">
        <v>23</v>
      </c>
      <c r="H560" s="15" t="s">
        <v>1525</v>
      </c>
      <c r="I560" s="15">
        <v>201412</v>
      </c>
      <c r="J560" s="16">
        <v>-96.51</v>
      </c>
      <c r="K560" s="44">
        <f t="shared" si="45"/>
        <v>41974</v>
      </c>
      <c r="L560" s="45">
        <f t="shared" si="46"/>
        <v>6</v>
      </c>
      <c r="M560" s="17">
        <v>1.4833299999999999E-3</v>
      </c>
      <c r="N560" s="46">
        <f t="shared" si="47"/>
        <v>-0.85893706980000006</v>
      </c>
      <c r="O560" s="16"/>
      <c r="P560" s="48"/>
      <c r="Q560" s="16"/>
      <c r="R560" s="48">
        <f t="shared" si="48"/>
        <v>-31.290351562500007</v>
      </c>
      <c r="S560" s="14"/>
    </row>
    <row r="561" spans="1:19">
      <c r="A561" s="14" t="s">
        <v>17</v>
      </c>
      <c r="B561" s="15" t="s">
        <v>843</v>
      </c>
      <c r="C561" s="15" t="s">
        <v>844</v>
      </c>
      <c r="D561" s="14" t="s">
        <v>845</v>
      </c>
      <c r="E561" s="15" t="s">
        <v>45</v>
      </c>
      <c r="F561" s="14" t="s">
        <v>22</v>
      </c>
      <c r="G561" s="15" t="s">
        <v>23</v>
      </c>
      <c r="H561" s="15" t="s">
        <v>1525</v>
      </c>
      <c r="I561" s="15">
        <v>201412</v>
      </c>
      <c r="J561" s="16">
        <v>-122.95</v>
      </c>
      <c r="K561" s="44">
        <f t="shared" si="45"/>
        <v>41974</v>
      </c>
      <c r="L561" s="45">
        <f t="shared" si="46"/>
        <v>6</v>
      </c>
      <c r="M561" s="17">
        <v>1.4833299999999999E-3</v>
      </c>
      <c r="N561" s="46">
        <f t="shared" si="47"/>
        <v>-1.0942525410000001</v>
      </c>
      <c r="O561" s="16"/>
      <c r="P561" s="48"/>
      <c r="Q561" s="16"/>
      <c r="R561" s="48">
        <f t="shared" si="48"/>
        <v>-39.862695312500009</v>
      </c>
      <c r="S561" s="14"/>
    </row>
    <row r="562" spans="1:19">
      <c r="A562" s="14" t="s">
        <v>54</v>
      </c>
      <c r="B562" s="15" t="s">
        <v>846</v>
      </c>
      <c r="C562" s="15" t="s">
        <v>847</v>
      </c>
      <c r="D562" s="14" t="s">
        <v>848</v>
      </c>
      <c r="E562" s="15" t="s">
        <v>141</v>
      </c>
      <c r="F562" s="14" t="s">
        <v>142</v>
      </c>
      <c r="G562" s="15" t="s">
        <v>23</v>
      </c>
      <c r="H562" s="15" t="s">
        <v>1525</v>
      </c>
      <c r="I562" s="15">
        <v>201412</v>
      </c>
      <c r="J562" s="16">
        <v>-1373.08</v>
      </c>
      <c r="K562" s="44">
        <f t="shared" si="45"/>
        <v>41974</v>
      </c>
      <c r="L562" s="45">
        <f t="shared" si="46"/>
        <v>6</v>
      </c>
      <c r="M562" s="17">
        <v>1.4833299999999999E-3</v>
      </c>
      <c r="N562" s="46">
        <f t="shared" si="47"/>
        <v>-12.220384538399999</v>
      </c>
      <c r="O562" s="16"/>
      <c r="P562" s="48"/>
      <c r="Q562" s="16"/>
      <c r="R562" s="48">
        <f t="shared" si="48"/>
        <v>-445.17828125</v>
      </c>
      <c r="S562" s="14"/>
    </row>
    <row r="563" spans="1:19">
      <c r="A563" s="14" t="s">
        <v>17</v>
      </c>
      <c r="B563" s="15" t="s">
        <v>849</v>
      </c>
      <c r="C563" s="15" t="s">
        <v>850</v>
      </c>
      <c r="D563" s="14" t="s">
        <v>851</v>
      </c>
      <c r="E563" s="15" t="s">
        <v>27</v>
      </c>
      <c r="F563" s="14" t="s">
        <v>28</v>
      </c>
      <c r="G563" s="15" t="s">
        <v>23</v>
      </c>
      <c r="H563" s="15" t="s">
        <v>1525</v>
      </c>
      <c r="I563" s="15">
        <v>201412</v>
      </c>
      <c r="J563" s="16">
        <v>58.38</v>
      </c>
      <c r="K563" s="44">
        <f t="shared" si="45"/>
        <v>41974</v>
      </c>
      <c r="L563" s="45">
        <f t="shared" si="46"/>
        <v>6</v>
      </c>
      <c r="M563" s="17">
        <v>1.4833299999999999E-3</v>
      </c>
      <c r="N563" s="46">
        <f t="shared" si="47"/>
        <v>0.51958083239999997</v>
      </c>
      <c r="O563" s="16"/>
      <c r="P563" s="48"/>
      <c r="Q563" s="16"/>
      <c r="R563" s="48">
        <f t="shared" si="48"/>
        <v>18.927890625000003</v>
      </c>
      <c r="S563" s="14"/>
    </row>
    <row r="564" spans="1:19">
      <c r="A564" s="14" t="s">
        <v>54</v>
      </c>
      <c r="B564" s="15" t="s">
        <v>852</v>
      </c>
      <c r="C564" s="15" t="s">
        <v>853</v>
      </c>
      <c r="D564" s="14" t="s">
        <v>854</v>
      </c>
      <c r="E564" s="15" t="s">
        <v>62</v>
      </c>
      <c r="F564" s="14" t="s">
        <v>22</v>
      </c>
      <c r="G564" s="15" t="s">
        <v>23</v>
      </c>
      <c r="H564" s="15" t="s">
        <v>1525</v>
      </c>
      <c r="I564" s="15">
        <v>201412</v>
      </c>
      <c r="J564" s="16">
        <v>-428.47</v>
      </c>
      <c r="K564" s="44">
        <f t="shared" si="45"/>
        <v>41974</v>
      </c>
      <c r="L564" s="45">
        <f t="shared" si="46"/>
        <v>6</v>
      </c>
      <c r="M564" s="17">
        <v>1.4833299999999999E-3</v>
      </c>
      <c r="N564" s="46">
        <f t="shared" si="47"/>
        <v>-3.8133744306000001</v>
      </c>
      <c r="O564" s="16"/>
      <c r="P564" s="48"/>
      <c r="Q564" s="16"/>
      <c r="R564" s="48">
        <f t="shared" si="48"/>
        <v>-138.91800781250001</v>
      </c>
      <c r="S564" s="14"/>
    </row>
    <row r="565" spans="1:19">
      <c r="A565" s="14" t="s">
        <v>54</v>
      </c>
      <c r="B565" s="15" t="s">
        <v>858</v>
      </c>
      <c r="C565" s="15" t="s">
        <v>859</v>
      </c>
      <c r="D565" s="14" t="s">
        <v>860</v>
      </c>
      <c r="E565" s="15" t="s">
        <v>62</v>
      </c>
      <c r="F565" s="14" t="s">
        <v>22</v>
      </c>
      <c r="G565" s="15" t="s">
        <v>23</v>
      </c>
      <c r="H565" s="15" t="s">
        <v>1525</v>
      </c>
      <c r="I565" s="15">
        <v>201412</v>
      </c>
      <c r="J565" s="16">
        <v>45.84</v>
      </c>
      <c r="K565" s="44">
        <f t="shared" si="45"/>
        <v>41974</v>
      </c>
      <c r="L565" s="45">
        <f t="shared" si="46"/>
        <v>6</v>
      </c>
      <c r="M565" s="17">
        <v>1.4833299999999999E-3</v>
      </c>
      <c r="N565" s="46">
        <f t="shared" si="47"/>
        <v>0.40797508320000003</v>
      </c>
      <c r="O565" s="16"/>
      <c r="P565" s="48"/>
      <c r="Q565" s="16"/>
      <c r="R565" s="48">
        <f t="shared" si="48"/>
        <v>14.862187500000001</v>
      </c>
      <c r="S565" s="14"/>
    </row>
    <row r="566" spans="1:19">
      <c r="A566" s="14" t="s">
        <v>238</v>
      </c>
      <c r="B566" s="15" t="s">
        <v>1042</v>
      </c>
      <c r="C566" s="15" t="s">
        <v>1043</v>
      </c>
      <c r="D566" s="14" t="s">
        <v>1044</v>
      </c>
      <c r="E566" s="15" t="s">
        <v>168</v>
      </c>
      <c r="F566" s="14" t="s">
        <v>169</v>
      </c>
      <c r="G566" s="15" t="s">
        <v>23</v>
      </c>
      <c r="H566" s="15" t="s">
        <v>1528</v>
      </c>
      <c r="I566" s="15">
        <v>201412</v>
      </c>
      <c r="J566" s="16">
        <v>32263.57</v>
      </c>
      <c r="K566" s="44">
        <f t="shared" si="45"/>
        <v>41974</v>
      </c>
      <c r="L566" s="45">
        <f t="shared" si="46"/>
        <v>6</v>
      </c>
      <c r="M566" s="17">
        <v>2.3833299999999999E-3</v>
      </c>
      <c r="N566" s="46">
        <f t="shared" si="47"/>
        <v>461.36840572860001</v>
      </c>
      <c r="O566" s="16"/>
      <c r="P566" s="48"/>
      <c r="Q566" s="16"/>
      <c r="R566" s="48">
        <f t="shared" si="48"/>
        <v>10460.4543359375</v>
      </c>
      <c r="S566" s="14"/>
    </row>
    <row r="567" spans="1:19">
      <c r="A567" s="14" t="s">
        <v>54</v>
      </c>
      <c r="B567" s="15" t="s">
        <v>876</v>
      </c>
      <c r="C567" s="15" t="s">
        <v>877</v>
      </c>
      <c r="D567" s="14" t="s">
        <v>878</v>
      </c>
      <c r="E567" s="15" t="s">
        <v>62</v>
      </c>
      <c r="F567" s="14" t="s">
        <v>22</v>
      </c>
      <c r="G567" s="15" t="s">
        <v>23</v>
      </c>
      <c r="H567" s="15" t="s">
        <v>1525</v>
      </c>
      <c r="I567" s="15">
        <v>201412</v>
      </c>
      <c r="J567" s="16">
        <v>-865.92</v>
      </c>
      <c r="K567" s="44">
        <f t="shared" si="45"/>
        <v>41974</v>
      </c>
      <c r="L567" s="45">
        <f t="shared" si="46"/>
        <v>6</v>
      </c>
      <c r="M567" s="17">
        <v>1.4833299999999999E-3</v>
      </c>
      <c r="N567" s="46">
        <f t="shared" si="47"/>
        <v>-7.7066706815999995</v>
      </c>
      <c r="O567" s="16"/>
      <c r="P567" s="48"/>
      <c r="Q567" s="16"/>
      <c r="R567" s="48">
        <f t="shared" si="48"/>
        <v>-280.7475</v>
      </c>
      <c r="S567" s="14"/>
    </row>
    <row r="568" spans="1:19">
      <c r="A568" s="14" t="s">
        <v>54</v>
      </c>
      <c r="B568" s="15" t="s">
        <v>1045</v>
      </c>
      <c r="C568" s="15" t="s">
        <v>1046</v>
      </c>
      <c r="D568" s="14" t="s">
        <v>1047</v>
      </c>
      <c r="E568" s="15" t="s">
        <v>462</v>
      </c>
      <c r="F568" s="14" t="s">
        <v>142</v>
      </c>
      <c r="G568" s="15" t="s">
        <v>23</v>
      </c>
      <c r="H568" s="15" t="s">
        <v>1525</v>
      </c>
      <c r="I568" s="15">
        <v>201412</v>
      </c>
      <c r="J568" s="16">
        <v>5321.09</v>
      </c>
      <c r="K568" s="44">
        <f t="shared" si="45"/>
        <v>41974</v>
      </c>
      <c r="L568" s="45">
        <f t="shared" si="46"/>
        <v>6</v>
      </c>
      <c r="M568" s="17">
        <v>1.4833299999999999E-3</v>
      </c>
      <c r="N568" s="46">
        <f t="shared" si="47"/>
        <v>47.357594578200001</v>
      </c>
      <c r="O568" s="16"/>
      <c r="P568" s="48"/>
      <c r="Q568" s="16"/>
      <c r="R568" s="48">
        <f t="shared" si="48"/>
        <v>1725.1971484375003</v>
      </c>
      <c r="S568" s="14"/>
    </row>
    <row r="569" spans="1:19">
      <c r="A569" s="14" t="s">
        <v>54</v>
      </c>
      <c r="B569" s="15" t="s">
        <v>879</v>
      </c>
      <c r="C569" s="15" t="s">
        <v>880</v>
      </c>
      <c r="D569" s="14" t="s">
        <v>881</v>
      </c>
      <c r="E569" s="15" t="s">
        <v>53</v>
      </c>
      <c r="F569" s="14" t="s">
        <v>41</v>
      </c>
      <c r="G569" s="15" t="s">
        <v>23</v>
      </c>
      <c r="H569" s="15" t="s">
        <v>1526</v>
      </c>
      <c r="I569" s="15">
        <v>201412</v>
      </c>
      <c r="J569" s="16">
        <v>544.26</v>
      </c>
      <c r="K569" s="44">
        <f t="shared" si="45"/>
        <v>41974</v>
      </c>
      <c r="L569" s="45">
        <f t="shared" si="46"/>
        <v>6</v>
      </c>
      <c r="M569" s="17">
        <v>1.4833299999999999E-3</v>
      </c>
      <c r="N569" s="46">
        <f t="shared" si="47"/>
        <v>4.8439031147999998</v>
      </c>
      <c r="O569" s="16"/>
      <c r="P569" s="48"/>
      <c r="Q569" s="16"/>
      <c r="R569" s="48">
        <f t="shared" si="48"/>
        <v>176.45929687500001</v>
      </c>
      <c r="S569" s="14"/>
    </row>
    <row r="570" spans="1:19">
      <c r="A570" s="14" t="s">
        <v>54</v>
      </c>
      <c r="B570" s="15" t="s">
        <v>1048</v>
      </c>
      <c r="C570" s="15" t="s">
        <v>1049</v>
      </c>
      <c r="D570" s="14" t="s">
        <v>1050</v>
      </c>
      <c r="E570" s="15" t="s">
        <v>925</v>
      </c>
      <c r="F570" s="14" t="s">
        <v>41</v>
      </c>
      <c r="G570" s="15" t="s">
        <v>23</v>
      </c>
      <c r="H570" s="15" t="s">
        <v>1526</v>
      </c>
      <c r="I570" s="15">
        <v>201412</v>
      </c>
      <c r="J570" s="16">
        <v>310904.90000000002</v>
      </c>
      <c r="K570" s="44">
        <f t="shared" ref="K570:K626" si="49">+K569</f>
        <v>41974</v>
      </c>
      <c r="L570" s="45">
        <f t="shared" si="46"/>
        <v>6</v>
      </c>
      <c r="M570" s="17">
        <v>1.4833299999999999E-3</v>
      </c>
      <c r="N570" s="46">
        <f t="shared" si="47"/>
        <v>2767.0473919020001</v>
      </c>
      <c r="O570" s="16"/>
      <c r="P570" s="48"/>
      <c r="Q570" s="16"/>
      <c r="R570" s="48">
        <f t="shared" si="48"/>
        <v>100801.19804687501</v>
      </c>
      <c r="S570" s="14"/>
    </row>
    <row r="571" spans="1:19">
      <c r="A571" s="14" t="s">
        <v>54</v>
      </c>
      <c r="B571" s="15" t="s">
        <v>1051</v>
      </c>
      <c r="C571" s="15" t="s">
        <v>1052</v>
      </c>
      <c r="D571" s="14" t="s">
        <v>1053</v>
      </c>
      <c r="E571" s="15" t="s">
        <v>45</v>
      </c>
      <c r="F571" s="14" t="s">
        <v>22</v>
      </c>
      <c r="G571" s="15" t="s">
        <v>23</v>
      </c>
      <c r="H571" s="15" t="s">
        <v>1525</v>
      </c>
      <c r="I571" s="15">
        <v>201412</v>
      </c>
      <c r="J571" s="16">
        <v>74180.240000000005</v>
      </c>
      <c r="K571" s="44">
        <f t="shared" si="49"/>
        <v>41974</v>
      </c>
      <c r="L571" s="45">
        <f t="shared" si="46"/>
        <v>6</v>
      </c>
      <c r="M571" s="17">
        <v>1.4833299999999999E-3</v>
      </c>
      <c r="N571" s="46">
        <f t="shared" si="47"/>
        <v>660.20265239520006</v>
      </c>
      <c r="O571" s="16"/>
      <c r="P571" s="48"/>
      <c r="Q571" s="16"/>
      <c r="R571" s="48">
        <f t="shared" si="48"/>
        <v>24050.624687500003</v>
      </c>
      <c r="S571" s="14"/>
    </row>
    <row r="572" spans="1:19">
      <c r="A572" s="14" t="s">
        <v>17</v>
      </c>
      <c r="B572" s="15" t="s">
        <v>891</v>
      </c>
      <c r="C572" s="15" t="s">
        <v>892</v>
      </c>
      <c r="D572" s="14" t="s">
        <v>893</v>
      </c>
      <c r="E572" s="15" t="s">
        <v>32</v>
      </c>
      <c r="F572" s="14" t="s">
        <v>22</v>
      </c>
      <c r="G572" s="15" t="s">
        <v>23</v>
      </c>
      <c r="H572" s="15" t="s">
        <v>1525</v>
      </c>
      <c r="I572" s="15">
        <v>201412</v>
      </c>
      <c r="J572" s="16">
        <v>-568.53</v>
      </c>
      <c r="K572" s="44">
        <f t="shared" si="49"/>
        <v>41974</v>
      </c>
      <c r="L572" s="45">
        <f t="shared" si="46"/>
        <v>6</v>
      </c>
      <c r="M572" s="17">
        <v>1.4833299999999999E-3</v>
      </c>
      <c r="N572" s="46">
        <f t="shared" si="47"/>
        <v>-5.0599056294000002</v>
      </c>
      <c r="O572" s="16"/>
      <c r="P572" s="48"/>
      <c r="Q572" s="16"/>
      <c r="R572" s="48">
        <f t="shared" si="48"/>
        <v>-184.32808593749999</v>
      </c>
      <c r="S572" s="14"/>
    </row>
    <row r="573" spans="1:19">
      <c r="A573" s="14" t="s">
        <v>54</v>
      </c>
      <c r="B573" s="15" t="s">
        <v>891</v>
      </c>
      <c r="C573" s="15" t="s">
        <v>892</v>
      </c>
      <c r="D573" s="14" t="s">
        <v>893</v>
      </c>
      <c r="E573" s="15" t="s">
        <v>32</v>
      </c>
      <c r="F573" s="14" t="s">
        <v>22</v>
      </c>
      <c r="G573" s="15" t="s">
        <v>23</v>
      </c>
      <c r="H573" s="15" t="s">
        <v>1525</v>
      </c>
      <c r="I573" s="15">
        <v>201412</v>
      </c>
      <c r="J573" s="16">
        <v>446.02</v>
      </c>
      <c r="K573" s="44">
        <f t="shared" si="49"/>
        <v>41974</v>
      </c>
      <c r="L573" s="45">
        <f t="shared" si="46"/>
        <v>6</v>
      </c>
      <c r="M573" s="17">
        <v>1.4833299999999999E-3</v>
      </c>
      <c r="N573" s="46">
        <f t="shared" si="47"/>
        <v>3.9695690795999998</v>
      </c>
      <c r="O573" s="16"/>
      <c r="P573" s="48"/>
      <c r="Q573" s="16"/>
      <c r="R573" s="48">
        <f t="shared" si="48"/>
        <v>144.60804687500001</v>
      </c>
      <c r="S573" s="14"/>
    </row>
    <row r="574" spans="1:19">
      <c r="A574" s="14" t="s">
        <v>54</v>
      </c>
      <c r="B574" s="15" t="s">
        <v>1054</v>
      </c>
      <c r="C574" s="15" t="s">
        <v>1055</v>
      </c>
      <c r="D574" s="14" t="s">
        <v>1056</v>
      </c>
      <c r="E574" s="15" t="s">
        <v>141</v>
      </c>
      <c r="F574" s="14" t="s">
        <v>142</v>
      </c>
      <c r="G574" s="15" t="s">
        <v>23</v>
      </c>
      <c r="H574" s="15" t="s">
        <v>1525</v>
      </c>
      <c r="I574" s="15">
        <v>201412</v>
      </c>
      <c r="J574" s="16">
        <v>887506.89</v>
      </c>
      <c r="K574" s="44">
        <f t="shared" si="49"/>
        <v>41974</v>
      </c>
      <c r="L574" s="45">
        <f t="shared" si="46"/>
        <v>6</v>
      </c>
      <c r="M574" s="17">
        <v>1.4833299999999999E-3</v>
      </c>
      <c r="N574" s="46">
        <f t="shared" si="47"/>
        <v>7898.7935708621999</v>
      </c>
      <c r="O574" s="16"/>
      <c r="P574" s="48"/>
      <c r="Q574" s="16"/>
      <c r="R574" s="48">
        <f t="shared" si="48"/>
        <v>287746.37449218752</v>
      </c>
      <c r="S574" s="14"/>
    </row>
    <row r="575" spans="1:19">
      <c r="A575" s="14" t="s">
        <v>17</v>
      </c>
      <c r="B575" s="15" t="s">
        <v>903</v>
      </c>
      <c r="C575" s="15" t="s">
        <v>904</v>
      </c>
      <c r="D575" s="14" t="s">
        <v>905</v>
      </c>
      <c r="E575" s="15" t="s">
        <v>49</v>
      </c>
      <c r="F575" s="14" t="s">
        <v>22</v>
      </c>
      <c r="G575" s="15" t="s">
        <v>23</v>
      </c>
      <c r="H575" s="15" t="s">
        <v>1525</v>
      </c>
      <c r="I575" s="15">
        <v>201412</v>
      </c>
      <c r="J575" s="16">
        <v>-20.71</v>
      </c>
      <c r="K575" s="44">
        <f t="shared" si="49"/>
        <v>41974</v>
      </c>
      <c r="L575" s="45">
        <f t="shared" si="46"/>
        <v>6</v>
      </c>
      <c r="M575" s="17">
        <v>1.4833299999999999E-3</v>
      </c>
      <c r="N575" s="46">
        <f t="shared" si="47"/>
        <v>-0.18431858580000002</v>
      </c>
      <c r="O575" s="16"/>
      <c r="P575" s="48"/>
      <c r="Q575" s="16"/>
      <c r="R575" s="48">
        <f t="shared" si="48"/>
        <v>-6.7145703125000011</v>
      </c>
      <c r="S575" s="14"/>
    </row>
    <row r="576" spans="1:19">
      <c r="A576" s="14" t="s">
        <v>54</v>
      </c>
      <c r="B576" s="15" t="s">
        <v>906</v>
      </c>
      <c r="C576" s="15" t="s">
        <v>907</v>
      </c>
      <c r="D576" s="14" t="s">
        <v>908</v>
      </c>
      <c r="E576" s="15" t="s">
        <v>909</v>
      </c>
      <c r="F576" s="14" t="s">
        <v>22</v>
      </c>
      <c r="G576" s="15" t="s">
        <v>23</v>
      </c>
      <c r="H576" s="15" t="s">
        <v>1525</v>
      </c>
      <c r="I576" s="15">
        <v>201412</v>
      </c>
      <c r="J576" s="16">
        <v>1.08</v>
      </c>
      <c r="K576" s="44">
        <f t="shared" si="49"/>
        <v>41974</v>
      </c>
      <c r="L576" s="45">
        <f t="shared" si="46"/>
        <v>6</v>
      </c>
      <c r="M576" s="17">
        <v>1.4833299999999999E-3</v>
      </c>
      <c r="N576" s="46">
        <f t="shared" si="47"/>
        <v>9.6119784000000003E-3</v>
      </c>
      <c r="O576" s="16"/>
      <c r="P576" s="48"/>
      <c r="Q576" s="16"/>
      <c r="R576" s="48">
        <f t="shared" si="48"/>
        <v>0.35015625000000006</v>
      </c>
      <c r="S576" s="14"/>
    </row>
    <row r="577" spans="1:19">
      <c r="A577" s="14" t="s">
        <v>54</v>
      </c>
      <c r="B577" s="15" t="s">
        <v>913</v>
      </c>
      <c r="C577" s="15" t="s">
        <v>914</v>
      </c>
      <c r="D577" s="14" t="s">
        <v>915</v>
      </c>
      <c r="E577" s="15" t="s">
        <v>36</v>
      </c>
      <c r="F577" s="14" t="s">
        <v>22</v>
      </c>
      <c r="G577" s="15" t="s">
        <v>23</v>
      </c>
      <c r="H577" s="15" t="s">
        <v>1525</v>
      </c>
      <c r="I577" s="15">
        <v>201412</v>
      </c>
      <c r="J577" s="16">
        <v>136.69</v>
      </c>
      <c r="K577" s="44">
        <f t="shared" si="49"/>
        <v>41974</v>
      </c>
      <c r="L577" s="45">
        <f t="shared" si="46"/>
        <v>6</v>
      </c>
      <c r="M577" s="17">
        <v>1.4833299999999999E-3</v>
      </c>
      <c r="N577" s="46">
        <f t="shared" si="47"/>
        <v>1.2165382661999999</v>
      </c>
      <c r="O577" s="16"/>
      <c r="P577" s="48"/>
      <c r="Q577" s="16"/>
      <c r="R577" s="48">
        <f t="shared" si="48"/>
        <v>44.317460937500002</v>
      </c>
      <c r="S577" s="14"/>
    </row>
    <row r="578" spans="1:19">
      <c r="A578" s="14" t="s">
        <v>54</v>
      </c>
      <c r="B578" s="15" t="s">
        <v>919</v>
      </c>
      <c r="C578" s="15" t="s">
        <v>920</v>
      </c>
      <c r="D578" s="14" t="s">
        <v>921</v>
      </c>
      <c r="E578" s="15" t="s">
        <v>362</v>
      </c>
      <c r="F578" s="14" t="s">
        <v>41</v>
      </c>
      <c r="G578" s="15" t="s">
        <v>23</v>
      </c>
      <c r="H578" s="15" t="s">
        <v>1526</v>
      </c>
      <c r="I578" s="15">
        <v>201412</v>
      </c>
      <c r="J578" s="16">
        <v>-653.91</v>
      </c>
      <c r="K578" s="44">
        <f t="shared" si="49"/>
        <v>41974</v>
      </c>
      <c r="L578" s="45">
        <f t="shared" si="46"/>
        <v>6</v>
      </c>
      <c r="M578" s="17">
        <v>1.4833299999999999E-3</v>
      </c>
      <c r="N578" s="46">
        <f t="shared" si="47"/>
        <v>-5.8197859217999994</v>
      </c>
      <c r="O578" s="16"/>
      <c r="P578" s="48"/>
      <c r="Q578" s="16"/>
      <c r="R578" s="48">
        <f t="shared" si="48"/>
        <v>-212.00988281250002</v>
      </c>
      <c r="S578" s="14"/>
    </row>
    <row r="579" spans="1:19">
      <c r="A579" s="14" t="s">
        <v>17</v>
      </c>
      <c r="B579" s="15" t="s">
        <v>1057</v>
      </c>
      <c r="C579" s="15" t="s">
        <v>1058</v>
      </c>
      <c r="D579" s="14" t="s">
        <v>1059</v>
      </c>
      <c r="E579" s="15" t="s">
        <v>925</v>
      </c>
      <c r="F579" s="14" t="s">
        <v>41</v>
      </c>
      <c r="G579" s="15" t="s">
        <v>23</v>
      </c>
      <c r="H579" s="15" t="s">
        <v>1526</v>
      </c>
      <c r="I579" s="15">
        <v>201412</v>
      </c>
      <c r="J579" s="16">
        <v>37991.93</v>
      </c>
      <c r="K579" s="44">
        <f t="shared" si="49"/>
        <v>41974</v>
      </c>
      <c r="L579" s="45">
        <f t="shared" si="46"/>
        <v>6</v>
      </c>
      <c r="M579" s="17">
        <v>1.4833299999999999E-3</v>
      </c>
      <c r="N579" s="46">
        <f t="shared" si="47"/>
        <v>338.12741716139999</v>
      </c>
      <c r="O579" s="16"/>
      <c r="P579" s="48"/>
      <c r="Q579" s="16"/>
      <c r="R579" s="48">
        <f t="shared" si="48"/>
        <v>12317.696054687502</v>
      </c>
      <c r="S579" s="14"/>
    </row>
    <row r="580" spans="1:19">
      <c r="A580" s="14" t="s">
        <v>54</v>
      </c>
      <c r="B580" s="15" t="s">
        <v>922</v>
      </c>
      <c r="C580" s="15" t="s">
        <v>923</v>
      </c>
      <c r="D580" s="14" t="s">
        <v>924</v>
      </c>
      <c r="E580" s="15" t="s">
        <v>925</v>
      </c>
      <c r="F580" s="14" t="s">
        <v>41</v>
      </c>
      <c r="G580" s="15" t="s">
        <v>23</v>
      </c>
      <c r="H580" s="15" t="s">
        <v>1526</v>
      </c>
      <c r="I580" s="15">
        <v>201412</v>
      </c>
      <c r="J580" s="16">
        <v>1865.84</v>
      </c>
      <c r="K580" s="44">
        <f t="shared" si="49"/>
        <v>41974</v>
      </c>
      <c r="L580" s="45">
        <f t="shared" si="46"/>
        <v>6</v>
      </c>
      <c r="M580" s="17">
        <v>1.4833299999999999E-3</v>
      </c>
      <c r="N580" s="46">
        <f t="shared" si="47"/>
        <v>16.605938683199998</v>
      </c>
      <c r="O580" s="16"/>
      <c r="P580" s="48"/>
      <c r="Q580" s="16"/>
      <c r="R580" s="48">
        <f t="shared" si="48"/>
        <v>604.9403125</v>
      </c>
      <c r="S580" s="14"/>
    </row>
    <row r="581" spans="1:19">
      <c r="A581" s="14" t="s">
        <v>54</v>
      </c>
      <c r="B581" s="15" t="s">
        <v>929</v>
      </c>
      <c r="C581" s="15" t="s">
        <v>930</v>
      </c>
      <c r="D581" s="14" t="s">
        <v>931</v>
      </c>
      <c r="E581" s="15" t="s">
        <v>394</v>
      </c>
      <c r="F581" s="14" t="s">
        <v>137</v>
      </c>
      <c r="G581" s="15" t="s">
        <v>23</v>
      </c>
      <c r="H581" s="15" t="s">
        <v>1526</v>
      </c>
      <c r="I581" s="15">
        <v>201412</v>
      </c>
      <c r="J581" s="16">
        <v>237.88</v>
      </c>
      <c r="K581" s="44">
        <f t="shared" si="49"/>
        <v>41974</v>
      </c>
      <c r="L581" s="45">
        <f t="shared" si="46"/>
        <v>6</v>
      </c>
      <c r="M581" s="17">
        <v>1.4833299999999999E-3</v>
      </c>
      <c r="N581" s="46">
        <f t="shared" si="47"/>
        <v>2.1171272424000001</v>
      </c>
      <c r="O581" s="16"/>
      <c r="P581" s="48"/>
      <c r="Q581" s="16"/>
      <c r="R581" s="48">
        <f t="shared" si="48"/>
        <v>77.125156250000003</v>
      </c>
      <c r="S581" s="14"/>
    </row>
    <row r="582" spans="1:19">
      <c r="A582" s="14" t="s">
        <v>54</v>
      </c>
      <c r="B582" s="15" t="s">
        <v>1060</v>
      </c>
      <c r="C582" s="15" t="s">
        <v>1061</v>
      </c>
      <c r="D582" s="14" t="s">
        <v>1062</v>
      </c>
      <c r="E582" s="15" t="s">
        <v>53</v>
      </c>
      <c r="F582" s="14" t="s">
        <v>41</v>
      </c>
      <c r="G582" s="15" t="s">
        <v>23</v>
      </c>
      <c r="H582" s="15" t="s">
        <v>1526</v>
      </c>
      <c r="I582" s="15">
        <v>201412</v>
      </c>
      <c r="J582" s="16">
        <v>116872.01</v>
      </c>
      <c r="K582" s="44">
        <f t="shared" si="49"/>
        <v>41974</v>
      </c>
      <c r="L582" s="45">
        <f t="shared" si="46"/>
        <v>6</v>
      </c>
      <c r="M582" s="17">
        <v>1.4833299999999999E-3</v>
      </c>
      <c r="N582" s="46">
        <f t="shared" si="47"/>
        <v>1040.1585515597999</v>
      </c>
      <c r="O582" s="16"/>
      <c r="P582" s="48"/>
      <c r="Q582" s="16"/>
      <c r="R582" s="48">
        <f t="shared" si="48"/>
        <v>37892.0969921875</v>
      </c>
      <c r="S582" s="14"/>
    </row>
    <row r="583" spans="1:19">
      <c r="A583" s="14" t="s">
        <v>54</v>
      </c>
      <c r="B583" s="15" t="s">
        <v>938</v>
      </c>
      <c r="C583" s="15" t="s">
        <v>939</v>
      </c>
      <c r="D583" s="14" t="s">
        <v>940</v>
      </c>
      <c r="E583" s="15" t="s">
        <v>141</v>
      </c>
      <c r="F583" s="14" t="s">
        <v>142</v>
      </c>
      <c r="G583" s="15" t="s">
        <v>23</v>
      </c>
      <c r="H583" s="15" t="s">
        <v>1525</v>
      </c>
      <c r="I583" s="15">
        <v>201412</v>
      </c>
      <c r="J583" s="16">
        <v>-683.61</v>
      </c>
      <c r="K583" s="44">
        <f t="shared" si="49"/>
        <v>41974</v>
      </c>
      <c r="L583" s="45">
        <f t="shared" si="46"/>
        <v>6</v>
      </c>
      <c r="M583" s="17">
        <v>1.4833299999999999E-3</v>
      </c>
      <c r="N583" s="46">
        <f t="shared" si="47"/>
        <v>-6.0841153278000002</v>
      </c>
      <c r="O583" s="16"/>
      <c r="P583" s="48"/>
      <c r="Q583" s="16"/>
      <c r="R583" s="48">
        <f t="shared" si="48"/>
        <v>-221.63917968750002</v>
      </c>
      <c r="S583" s="14"/>
    </row>
    <row r="584" spans="1:19">
      <c r="A584" s="14" t="s">
        <v>17</v>
      </c>
      <c r="B584" s="15" t="s">
        <v>944</v>
      </c>
      <c r="C584" s="15" t="s">
        <v>945</v>
      </c>
      <c r="D584" s="14" t="s">
        <v>946</v>
      </c>
      <c r="E584" s="15" t="s">
        <v>104</v>
      </c>
      <c r="F584" s="14" t="s">
        <v>41</v>
      </c>
      <c r="G584" s="15" t="s">
        <v>23</v>
      </c>
      <c r="H584" s="15" t="s">
        <v>1526</v>
      </c>
      <c r="I584" s="15">
        <v>201412</v>
      </c>
      <c r="J584" s="16">
        <v>-69.72</v>
      </c>
      <c r="K584" s="44">
        <v>41974</v>
      </c>
      <c r="L584" s="45">
        <f t="shared" si="46"/>
        <v>6</v>
      </c>
      <c r="M584" s="17">
        <v>1.4833299999999999E-3</v>
      </c>
      <c r="N584" s="46">
        <f t="shared" si="47"/>
        <v>-0.62050660560000004</v>
      </c>
      <c r="O584" s="16"/>
      <c r="P584" s="48"/>
      <c r="Q584" s="16"/>
      <c r="R584" s="48">
        <f t="shared" si="48"/>
        <v>-22.604531250000001</v>
      </c>
      <c r="S584" s="14"/>
    </row>
    <row r="585" spans="1:19">
      <c r="A585" s="14" t="s">
        <v>54</v>
      </c>
      <c r="B585" s="15" t="s">
        <v>947</v>
      </c>
      <c r="C585" s="15" t="s">
        <v>948</v>
      </c>
      <c r="D585" s="14" t="s">
        <v>949</v>
      </c>
      <c r="E585" s="15" t="s">
        <v>141</v>
      </c>
      <c r="F585" s="14" t="s">
        <v>142</v>
      </c>
      <c r="G585" s="15" t="s">
        <v>23</v>
      </c>
      <c r="H585" s="15" t="s">
        <v>1525</v>
      </c>
      <c r="I585" s="15">
        <v>201412</v>
      </c>
      <c r="J585" s="16">
        <v>18827.39</v>
      </c>
      <c r="K585" s="44">
        <f t="shared" si="49"/>
        <v>41974</v>
      </c>
      <c r="L585" s="45">
        <f t="shared" si="46"/>
        <v>6</v>
      </c>
      <c r="M585" s="17">
        <v>1.4833299999999999E-3</v>
      </c>
      <c r="N585" s="46">
        <f t="shared" si="47"/>
        <v>167.56339445219999</v>
      </c>
      <c r="O585" s="16"/>
      <c r="P585" s="48"/>
      <c r="Q585" s="16"/>
      <c r="R585" s="48">
        <f t="shared" si="48"/>
        <v>6104.1928515625004</v>
      </c>
      <c r="S585" s="14"/>
    </row>
    <row r="586" spans="1:19">
      <c r="A586" s="14" t="s">
        <v>54</v>
      </c>
      <c r="B586" s="15" t="s">
        <v>950</v>
      </c>
      <c r="C586" s="15" t="s">
        <v>951</v>
      </c>
      <c r="D586" s="14" t="s">
        <v>952</v>
      </c>
      <c r="E586" s="15" t="s">
        <v>141</v>
      </c>
      <c r="F586" s="14" t="s">
        <v>142</v>
      </c>
      <c r="G586" s="15" t="s">
        <v>23</v>
      </c>
      <c r="H586" s="15" t="s">
        <v>1525</v>
      </c>
      <c r="I586" s="15">
        <v>201412</v>
      </c>
      <c r="J586" s="16">
        <v>-2384.0100000000002</v>
      </c>
      <c r="K586" s="44">
        <f t="shared" si="49"/>
        <v>41974</v>
      </c>
      <c r="L586" s="45">
        <f t="shared" si="46"/>
        <v>6</v>
      </c>
      <c r="M586" s="17">
        <v>1.4833299999999999E-3</v>
      </c>
      <c r="N586" s="46">
        <f t="shared" si="47"/>
        <v>-21.217641319800002</v>
      </c>
      <c r="O586" s="16"/>
      <c r="P586" s="48"/>
      <c r="Q586" s="16"/>
      <c r="R586" s="48">
        <f t="shared" si="48"/>
        <v>-772.94074218750006</v>
      </c>
      <c r="S586" s="14"/>
    </row>
    <row r="587" spans="1:19">
      <c r="A587" s="14" t="s">
        <v>17</v>
      </c>
      <c r="B587" s="15" t="s">
        <v>953</v>
      </c>
      <c r="C587" s="15" t="s">
        <v>954</v>
      </c>
      <c r="D587" s="14" t="s">
        <v>955</v>
      </c>
      <c r="E587" s="15" t="s">
        <v>40</v>
      </c>
      <c r="F587" s="14" t="s">
        <v>41</v>
      </c>
      <c r="G587" s="15" t="s">
        <v>23</v>
      </c>
      <c r="H587" s="15" t="s">
        <v>1526</v>
      </c>
      <c r="I587" s="15">
        <v>201412</v>
      </c>
      <c r="J587" s="16">
        <v>73.510000000000005</v>
      </c>
      <c r="K587" s="44">
        <f t="shared" si="49"/>
        <v>41974</v>
      </c>
      <c r="L587" s="45">
        <f t="shared" si="46"/>
        <v>6</v>
      </c>
      <c r="M587" s="17">
        <v>1.4833299999999999E-3</v>
      </c>
      <c r="N587" s="46">
        <f t="shared" si="47"/>
        <v>0.65423752980000005</v>
      </c>
      <c r="O587" s="16"/>
      <c r="P587" s="48"/>
      <c r="Q587" s="16"/>
      <c r="R587" s="48">
        <f t="shared" si="48"/>
        <v>23.8333203125</v>
      </c>
      <c r="S587" s="14"/>
    </row>
    <row r="588" spans="1:19">
      <c r="A588" s="14" t="s">
        <v>17</v>
      </c>
      <c r="B588" s="15" t="s">
        <v>956</v>
      </c>
      <c r="C588" s="15" t="s">
        <v>957</v>
      </c>
      <c r="D588" s="14" t="s">
        <v>958</v>
      </c>
      <c r="E588" s="15" t="s">
        <v>40</v>
      </c>
      <c r="F588" s="14" t="s">
        <v>41</v>
      </c>
      <c r="G588" s="15" t="s">
        <v>23</v>
      </c>
      <c r="H588" s="15" t="s">
        <v>1526</v>
      </c>
      <c r="I588" s="15">
        <v>201412</v>
      </c>
      <c r="J588" s="16">
        <v>-75.260000000000005</v>
      </c>
      <c r="K588" s="44">
        <f t="shared" si="49"/>
        <v>41974</v>
      </c>
      <c r="L588" s="45">
        <f t="shared" si="46"/>
        <v>6</v>
      </c>
      <c r="M588" s="17">
        <v>1.4833299999999999E-3</v>
      </c>
      <c r="N588" s="46">
        <f t="shared" si="47"/>
        <v>-0.66981249480000005</v>
      </c>
      <c r="O588" s="16"/>
      <c r="P588" s="48"/>
      <c r="Q588" s="16"/>
      <c r="R588" s="48">
        <f t="shared" si="48"/>
        <v>-24.400703125000007</v>
      </c>
      <c r="S588" s="14"/>
    </row>
    <row r="589" spans="1:19">
      <c r="A589" s="14" t="s">
        <v>54</v>
      </c>
      <c r="B589" s="15" t="s">
        <v>962</v>
      </c>
      <c r="C589" s="15" t="s">
        <v>963</v>
      </c>
      <c r="D589" s="14" t="s">
        <v>964</v>
      </c>
      <c r="E589" s="15" t="s">
        <v>40</v>
      </c>
      <c r="F589" s="14" t="s">
        <v>41</v>
      </c>
      <c r="G589" s="15" t="s">
        <v>23</v>
      </c>
      <c r="H589" s="15" t="s">
        <v>1526</v>
      </c>
      <c r="I589" s="15">
        <v>201412</v>
      </c>
      <c r="J589" s="16">
        <v>-145.08000000000001</v>
      </c>
      <c r="K589" s="44">
        <f t="shared" si="49"/>
        <v>41974</v>
      </c>
      <c r="L589" s="45">
        <f t="shared" si="46"/>
        <v>6</v>
      </c>
      <c r="M589" s="17">
        <v>1.4833299999999999E-3</v>
      </c>
      <c r="N589" s="46">
        <f t="shared" si="47"/>
        <v>-1.2912090984000002</v>
      </c>
      <c r="O589" s="16"/>
      <c r="P589" s="48"/>
      <c r="Q589" s="16"/>
      <c r="R589" s="48">
        <f t="shared" si="48"/>
        <v>-47.037656250000012</v>
      </c>
      <c r="S589" s="14"/>
    </row>
    <row r="590" spans="1:19">
      <c r="A590" s="14" t="s">
        <v>54</v>
      </c>
      <c r="B590" s="15" t="s">
        <v>965</v>
      </c>
      <c r="C590" s="15" t="s">
        <v>966</v>
      </c>
      <c r="D590" s="14" t="s">
        <v>967</v>
      </c>
      <c r="E590" s="15" t="s">
        <v>53</v>
      </c>
      <c r="F590" s="14" t="s">
        <v>41</v>
      </c>
      <c r="G590" s="15" t="s">
        <v>23</v>
      </c>
      <c r="H590" s="15" t="s">
        <v>1526</v>
      </c>
      <c r="I590" s="15">
        <v>201412</v>
      </c>
      <c r="J590" s="16">
        <v>1538.04</v>
      </c>
      <c r="K590" s="44">
        <f t="shared" si="49"/>
        <v>41974</v>
      </c>
      <c r="L590" s="45">
        <f t="shared" si="46"/>
        <v>6</v>
      </c>
      <c r="M590" s="17">
        <v>1.4833299999999999E-3</v>
      </c>
      <c r="N590" s="46">
        <f t="shared" si="47"/>
        <v>13.688525239200001</v>
      </c>
      <c r="O590" s="16"/>
      <c r="P590" s="48"/>
      <c r="Q590" s="16"/>
      <c r="R590" s="48">
        <f t="shared" si="48"/>
        <v>498.66140625000003</v>
      </c>
      <c r="S590" s="14"/>
    </row>
    <row r="591" spans="1:19">
      <c r="A591" s="14" t="s">
        <v>54</v>
      </c>
      <c r="B591" s="15" t="s">
        <v>968</v>
      </c>
      <c r="C591" s="15" t="s">
        <v>969</v>
      </c>
      <c r="D591" s="14" t="s">
        <v>970</v>
      </c>
      <c r="E591" s="15" t="s">
        <v>394</v>
      </c>
      <c r="F591" s="14" t="s">
        <v>137</v>
      </c>
      <c r="G591" s="15" t="s">
        <v>23</v>
      </c>
      <c r="H591" s="15" t="s">
        <v>1526</v>
      </c>
      <c r="I591" s="15">
        <v>201412</v>
      </c>
      <c r="J591" s="16">
        <v>-820.13</v>
      </c>
      <c r="K591" s="44">
        <f t="shared" si="49"/>
        <v>41974</v>
      </c>
      <c r="L591" s="45">
        <f t="shared" si="46"/>
        <v>6</v>
      </c>
      <c r="M591" s="17">
        <v>1.4833299999999999E-3</v>
      </c>
      <c r="N591" s="46">
        <f t="shared" si="47"/>
        <v>-7.2991405974000001</v>
      </c>
      <c r="O591" s="16"/>
      <c r="P591" s="48"/>
      <c r="Q591" s="16"/>
      <c r="R591" s="48">
        <f t="shared" si="48"/>
        <v>-265.90152343750003</v>
      </c>
      <c r="S591" s="14"/>
    </row>
    <row r="592" spans="1:19">
      <c r="A592" s="14" t="s">
        <v>54</v>
      </c>
      <c r="B592" s="15" t="s">
        <v>971</v>
      </c>
      <c r="C592" s="15" t="s">
        <v>972</v>
      </c>
      <c r="D592" s="14" t="s">
        <v>973</v>
      </c>
      <c r="E592" s="15" t="s">
        <v>567</v>
      </c>
      <c r="F592" s="14" t="s">
        <v>137</v>
      </c>
      <c r="G592" s="15" t="s">
        <v>23</v>
      </c>
      <c r="H592" s="15" t="s">
        <v>1526</v>
      </c>
      <c r="I592" s="15">
        <v>201412</v>
      </c>
      <c r="J592" s="16">
        <v>3488.6</v>
      </c>
      <c r="K592" s="44">
        <f t="shared" si="49"/>
        <v>41974</v>
      </c>
      <c r="L592" s="45">
        <f t="shared" si="46"/>
        <v>6</v>
      </c>
      <c r="M592" s="17">
        <v>1.4833299999999999E-3</v>
      </c>
      <c r="N592" s="46">
        <f t="shared" si="47"/>
        <v>31.048470227999999</v>
      </c>
      <c r="O592" s="16"/>
      <c r="P592" s="48"/>
      <c r="Q592" s="16"/>
      <c r="R592" s="48">
        <f t="shared" si="48"/>
        <v>1131.06953125</v>
      </c>
      <c r="S592" s="14"/>
    </row>
    <row r="593" spans="1:19">
      <c r="A593" s="14" t="s">
        <v>54</v>
      </c>
      <c r="B593" s="15" t="s">
        <v>974</v>
      </c>
      <c r="C593" s="15" t="s">
        <v>975</v>
      </c>
      <c r="D593" s="14" t="s">
        <v>976</v>
      </c>
      <c r="E593" s="15" t="s">
        <v>141</v>
      </c>
      <c r="F593" s="14" t="s">
        <v>142</v>
      </c>
      <c r="G593" s="15" t="s">
        <v>23</v>
      </c>
      <c r="H593" s="15" t="s">
        <v>1525</v>
      </c>
      <c r="I593" s="15">
        <v>201412</v>
      </c>
      <c r="J593" s="16">
        <v>-298.91000000000003</v>
      </c>
      <c r="K593" s="44">
        <f t="shared" si="49"/>
        <v>41974</v>
      </c>
      <c r="L593" s="45">
        <f t="shared" si="46"/>
        <v>6</v>
      </c>
      <c r="M593" s="17">
        <v>1.4833299999999999E-3</v>
      </c>
      <c r="N593" s="46">
        <f t="shared" si="47"/>
        <v>-2.6602930218000003</v>
      </c>
      <c r="O593" s="16"/>
      <c r="P593" s="48"/>
      <c r="Q593" s="16"/>
      <c r="R593" s="48">
        <f t="shared" si="48"/>
        <v>-96.912226562500024</v>
      </c>
      <c r="S593" s="14"/>
    </row>
    <row r="594" spans="1:19">
      <c r="A594" s="14" t="s">
        <v>54</v>
      </c>
      <c r="B594" s="15" t="s">
        <v>977</v>
      </c>
      <c r="C594" s="15" t="s">
        <v>978</v>
      </c>
      <c r="D594" s="14" t="s">
        <v>979</v>
      </c>
      <c r="E594" s="15" t="s">
        <v>980</v>
      </c>
      <c r="F594" s="14" t="s">
        <v>259</v>
      </c>
      <c r="G594" s="15" t="s">
        <v>23</v>
      </c>
      <c r="H594" s="15" t="s">
        <v>1525</v>
      </c>
      <c r="I594" s="15">
        <v>201412</v>
      </c>
      <c r="J594" s="16">
        <v>640.08000000000004</v>
      </c>
      <c r="K594" s="44">
        <f t="shared" si="49"/>
        <v>41974</v>
      </c>
      <c r="L594" s="45">
        <f t="shared" si="46"/>
        <v>6</v>
      </c>
      <c r="M594" s="17">
        <v>1.4833299999999999E-3</v>
      </c>
      <c r="N594" s="46">
        <f t="shared" si="47"/>
        <v>5.6966991984000002</v>
      </c>
      <c r="O594" s="16"/>
      <c r="P594" s="48"/>
      <c r="Q594" s="16"/>
      <c r="R594" s="48">
        <f t="shared" si="48"/>
        <v>207.52593750000003</v>
      </c>
      <c r="S594" s="14"/>
    </row>
    <row r="595" spans="1:19">
      <c r="A595" s="14" t="s">
        <v>54</v>
      </c>
      <c r="B595" s="15" t="s">
        <v>984</v>
      </c>
      <c r="C595" s="15" t="s">
        <v>985</v>
      </c>
      <c r="D595" s="14" t="s">
        <v>986</v>
      </c>
      <c r="E595" s="15" t="s">
        <v>141</v>
      </c>
      <c r="F595" s="14" t="s">
        <v>142</v>
      </c>
      <c r="G595" s="15" t="s">
        <v>23</v>
      </c>
      <c r="H595" s="15" t="s">
        <v>1525</v>
      </c>
      <c r="I595" s="15">
        <v>201412</v>
      </c>
      <c r="J595" s="16">
        <v>1481.62</v>
      </c>
      <c r="K595" s="44">
        <f t="shared" si="49"/>
        <v>41974</v>
      </c>
      <c r="L595" s="45">
        <f t="shared" si="46"/>
        <v>6</v>
      </c>
      <c r="M595" s="17">
        <v>1.4833299999999999E-3</v>
      </c>
      <c r="N595" s="46">
        <f t="shared" si="47"/>
        <v>13.186388367599999</v>
      </c>
      <c r="O595" s="16"/>
      <c r="P595" s="48"/>
      <c r="Q595" s="16"/>
      <c r="R595" s="48">
        <f t="shared" si="48"/>
        <v>480.36898437499997</v>
      </c>
      <c r="S595" s="14"/>
    </row>
    <row r="596" spans="1:19">
      <c r="A596" s="14" t="s">
        <v>17</v>
      </c>
      <c r="B596" s="15" t="s">
        <v>987</v>
      </c>
      <c r="C596" s="15" t="s">
        <v>988</v>
      </c>
      <c r="D596" s="14" t="s">
        <v>989</v>
      </c>
      <c r="E596" s="15" t="s">
        <v>45</v>
      </c>
      <c r="F596" s="14" t="s">
        <v>22</v>
      </c>
      <c r="G596" s="15" t="s">
        <v>23</v>
      </c>
      <c r="H596" s="15" t="s">
        <v>1525</v>
      </c>
      <c r="I596" s="15">
        <v>201412</v>
      </c>
      <c r="J596" s="16">
        <v>445.28</v>
      </c>
      <c r="K596" s="44">
        <f t="shared" si="49"/>
        <v>41974</v>
      </c>
      <c r="L596" s="45">
        <f t="shared" si="46"/>
        <v>6</v>
      </c>
      <c r="M596" s="17">
        <v>1.4833299999999999E-3</v>
      </c>
      <c r="N596" s="46">
        <f t="shared" si="47"/>
        <v>3.9629830943999997</v>
      </c>
      <c r="O596" s="16"/>
      <c r="P596" s="48"/>
      <c r="Q596" s="16"/>
      <c r="R596" s="48">
        <f t="shared" si="48"/>
        <v>144.36812499999999</v>
      </c>
      <c r="S596" s="14"/>
    </row>
    <row r="597" spans="1:19">
      <c r="A597" s="14" t="s">
        <v>54</v>
      </c>
      <c r="B597" s="15" t="s">
        <v>990</v>
      </c>
      <c r="C597" s="15" t="s">
        <v>991</v>
      </c>
      <c r="D597" s="14" t="s">
        <v>992</v>
      </c>
      <c r="E597" s="15" t="s">
        <v>141</v>
      </c>
      <c r="F597" s="14" t="s">
        <v>142</v>
      </c>
      <c r="G597" s="15" t="s">
        <v>23</v>
      </c>
      <c r="H597" s="15" t="s">
        <v>1525</v>
      </c>
      <c r="I597" s="15">
        <v>201412</v>
      </c>
      <c r="J597" s="16">
        <v>3203.04</v>
      </c>
      <c r="K597" s="44">
        <f t="shared" si="49"/>
        <v>41974</v>
      </c>
      <c r="L597" s="45">
        <f t="shared" si="46"/>
        <v>6</v>
      </c>
      <c r="M597" s="17">
        <v>1.4833299999999999E-3</v>
      </c>
      <c r="N597" s="46">
        <f t="shared" si="47"/>
        <v>28.506991939199999</v>
      </c>
      <c r="O597" s="16"/>
      <c r="P597" s="48"/>
      <c r="Q597" s="16"/>
      <c r="R597" s="48">
        <f t="shared" si="48"/>
        <v>1038.4856250000003</v>
      </c>
      <c r="S597" s="14"/>
    </row>
    <row r="598" spans="1:19">
      <c r="A598" s="14" t="s">
        <v>54</v>
      </c>
      <c r="B598" s="15" t="s">
        <v>993</v>
      </c>
      <c r="C598" s="15" t="s">
        <v>994</v>
      </c>
      <c r="D598" s="14" t="s">
        <v>995</v>
      </c>
      <c r="E598" s="15" t="s">
        <v>40</v>
      </c>
      <c r="F598" s="14" t="s">
        <v>41</v>
      </c>
      <c r="G598" s="15" t="s">
        <v>23</v>
      </c>
      <c r="H598" s="15" t="s">
        <v>1526</v>
      </c>
      <c r="I598" s="15">
        <v>201412</v>
      </c>
      <c r="J598" s="16">
        <v>829.19</v>
      </c>
      <c r="K598" s="44">
        <f t="shared" si="49"/>
        <v>41974</v>
      </c>
      <c r="L598" s="45">
        <f t="shared" si="46"/>
        <v>6</v>
      </c>
      <c r="M598" s="17">
        <v>1.4833299999999999E-3</v>
      </c>
      <c r="N598" s="46">
        <f t="shared" si="47"/>
        <v>7.379774416200001</v>
      </c>
      <c r="O598" s="16"/>
      <c r="P598" s="48"/>
      <c r="Q598" s="16"/>
      <c r="R598" s="48">
        <f t="shared" si="48"/>
        <v>268.83894531250002</v>
      </c>
      <c r="S598" s="14"/>
    </row>
    <row r="599" spans="1:19">
      <c r="A599" s="14" t="s">
        <v>54</v>
      </c>
      <c r="B599" s="15" t="s">
        <v>996</v>
      </c>
      <c r="C599" s="15" t="s">
        <v>997</v>
      </c>
      <c r="D599" s="14" t="s">
        <v>998</v>
      </c>
      <c r="E599" s="15" t="s">
        <v>27</v>
      </c>
      <c r="F599" s="14" t="s">
        <v>28</v>
      </c>
      <c r="G599" s="15" t="s">
        <v>23</v>
      </c>
      <c r="H599" s="15" t="s">
        <v>1525</v>
      </c>
      <c r="I599" s="15">
        <v>201412</v>
      </c>
      <c r="J599" s="16">
        <v>-628.98</v>
      </c>
      <c r="K599" s="44">
        <f t="shared" si="49"/>
        <v>41974</v>
      </c>
      <c r="L599" s="45">
        <f t="shared" si="46"/>
        <v>6</v>
      </c>
      <c r="M599" s="17">
        <v>1.4833299999999999E-3</v>
      </c>
      <c r="N599" s="46">
        <f t="shared" si="47"/>
        <v>-5.5979094204000006</v>
      </c>
      <c r="O599" s="16"/>
      <c r="P599" s="48"/>
      <c r="Q599" s="16"/>
      <c r="R599" s="48">
        <f t="shared" si="48"/>
        <v>-203.92710937500001</v>
      </c>
      <c r="S599" s="14"/>
    </row>
    <row r="600" spans="1:19">
      <c r="A600" s="14" t="s">
        <v>17</v>
      </c>
      <c r="B600" s="15" t="s">
        <v>1063</v>
      </c>
      <c r="C600" s="15" t="s">
        <v>1064</v>
      </c>
      <c r="D600" s="14" t="s">
        <v>1065</v>
      </c>
      <c r="E600" s="15" t="s">
        <v>125</v>
      </c>
      <c r="F600" s="14" t="s">
        <v>126</v>
      </c>
      <c r="G600" s="15" t="s">
        <v>23</v>
      </c>
      <c r="H600" s="15" t="s">
        <v>1525</v>
      </c>
      <c r="I600" s="15">
        <v>201412</v>
      </c>
      <c r="J600" s="16">
        <v>21760.85</v>
      </c>
      <c r="K600" s="44">
        <f t="shared" si="49"/>
        <v>41974</v>
      </c>
      <c r="L600" s="45">
        <f t="shared" si="46"/>
        <v>6</v>
      </c>
      <c r="M600" s="17">
        <v>1.4833299999999999E-3</v>
      </c>
      <c r="N600" s="46">
        <f t="shared" si="47"/>
        <v>193.671129783</v>
      </c>
      <c r="O600" s="16"/>
      <c r="P600" s="48"/>
      <c r="Q600" s="16"/>
      <c r="R600" s="48">
        <f t="shared" si="48"/>
        <v>7055.2755859374993</v>
      </c>
      <c r="S600" s="14"/>
    </row>
    <row r="601" spans="1:19">
      <c r="A601" s="14" t="s">
        <v>17</v>
      </c>
      <c r="B601" s="15" t="s">
        <v>999</v>
      </c>
      <c r="C601" s="15" t="s">
        <v>1000</v>
      </c>
      <c r="D601" s="14" t="s">
        <v>1001</v>
      </c>
      <c r="E601" s="15" t="s">
        <v>176</v>
      </c>
      <c r="F601" s="14" t="s">
        <v>28</v>
      </c>
      <c r="G601" s="15" t="s">
        <v>23</v>
      </c>
      <c r="H601" s="15" t="s">
        <v>1525</v>
      </c>
      <c r="I601" s="15">
        <v>201412</v>
      </c>
      <c r="J601" s="16">
        <v>203.95</v>
      </c>
      <c r="K601" s="44">
        <f t="shared" si="49"/>
        <v>41974</v>
      </c>
      <c r="L601" s="45">
        <f t="shared" si="46"/>
        <v>6</v>
      </c>
      <c r="M601" s="17">
        <v>1.4833299999999999E-3</v>
      </c>
      <c r="N601" s="46">
        <f t="shared" si="47"/>
        <v>1.8151509209999999</v>
      </c>
      <c r="O601" s="16"/>
      <c r="P601" s="48"/>
      <c r="Q601" s="16"/>
      <c r="R601" s="48">
        <f t="shared" si="48"/>
        <v>66.124414062500009</v>
      </c>
      <c r="S601" s="14"/>
    </row>
    <row r="602" spans="1:19" ht="15" customHeight="1">
      <c r="A602" s="14" t="s">
        <v>54</v>
      </c>
      <c r="B602" s="15" t="s">
        <v>1002</v>
      </c>
      <c r="C602" s="15" t="s">
        <v>1003</v>
      </c>
      <c r="D602" s="14" t="s">
        <v>1004</v>
      </c>
      <c r="E602" s="15" t="s">
        <v>216</v>
      </c>
      <c r="F602" s="14" t="s">
        <v>22</v>
      </c>
      <c r="G602" s="15" t="s">
        <v>23</v>
      </c>
      <c r="H602" s="15" t="s">
        <v>1525</v>
      </c>
      <c r="I602" s="15">
        <v>201412</v>
      </c>
      <c r="J602" s="16">
        <v>2460.33</v>
      </c>
      <c r="K602" s="44">
        <f t="shared" si="49"/>
        <v>41974</v>
      </c>
      <c r="L602" s="45">
        <f t="shared" si="46"/>
        <v>6</v>
      </c>
      <c r="M602" s="17">
        <v>1.4833299999999999E-3</v>
      </c>
      <c r="N602" s="46">
        <f t="shared" si="47"/>
        <v>21.896887793399998</v>
      </c>
      <c r="O602" s="16"/>
      <c r="P602" s="48"/>
      <c r="Q602" s="16"/>
      <c r="R602" s="48">
        <f t="shared" si="48"/>
        <v>797.68511718750005</v>
      </c>
      <c r="S602" s="14"/>
    </row>
    <row r="603" spans="1:19" ht="15" customHeight="1">
      <c r="A603" s="14" t="s">
        <v>54</v>
      </c>
      <c r="B603" s="15" t="s">
        <v>1005</v>
      </c>
      <c r="C603" s="15" t="s">
        <v>1006</v>
      </c>
      <c r="D603" s="14" t="s">
        <v>1007</v>
      </c>
      <c r="E603" s="15" t="s">
        <v>141</v>
      </c>
      <c r="F603" s="14" t="s">
        <v>142</v>
      </c>
      <c r="G603" s="15" t="s">
        <v>23</v>
      </c>
      <c r="H603" s="15" t="s">
        <v>1525</v>
      </c>
      <c r="I603" s="15">
        <v>201412</v>
      </c>
      <c r="J603" s="16">
        <v>-2188.61</v>
      </c>
      <c r="K603" s="44">
        <f t="shared" si="49"/>
        <v>41974</v>
      </c>
      <c r="L603" s="45">
        <f t="shared" si="46"/>
        <v>6</v>
      </c>
      <c r="M603" s="17">
        <v>1.4833299999999999E-3</v>
      </c>
      <c r="N603" s="46">
        <f t="shared" si="47"/>
        <v>-19.4785852278</v>
      </c>
      <c r="O603" s="16"/>
      <c r="P603" s="48"/>
      <c r="Q603" s="16"/>
      <c r="R603" s="48">
        <f t="shared" si="48"/>
        <v>-709.58839843750013</v>
      </c>
      <c r="S603" s="14"/>
    </row>
    <row r="604" spans="1:19" ht="15" customHeight="1">
      <c r="A604" s="14" t="s">
        <v>54</v>
      </c>
      <c r="B604" s="15" t="s">
        <v>1008</v>
      </c>
      <c r="C604" s="15" t="s">
        <v>1009</v>
      </c>
      <c r="D604" s="14" t="s">
        <v>1010</v>
      </c>
      <c r="E604" s="15" t="s">
        <v>49</v>
      </c>
      <c r="F604" s="14" t="s">
        <v>22</v>
      </c>
      <c r="G604" s="15" t="s">
        <v>23</v>
      </c>
      <c r="H604" s="15" t="s">
        <v>1525</v>
      </c>
      <c r="I604" s="15">
        <v>201412</v>
      </c>
      <c r="J604" s="16">
        <v>2556.02</v>
      </c>
      <c r="K604" s="44">
        <f t="shared" si="49"/>
        <v>41974</v>
      </c>
      <c r="L604" s="45">
        <f t="shared" si="46"/>
        <v>6</v>
      </c>
      <c r="M604" s="17">
        <v>1.4833299999999999E-3</v>
      </c>
      <c r="N604" s="46">
        <f t="shared" si="47"/>
        <v>22.7485268796</v>
      </c>
      <c r="O604" s="16"/>
      <c r="P604" s="48"/>
      <c r="Q604" s="16"/>
      <c r="R604" s="48">
        <f t="shared" si="48"/>
        <v>828.70960937500001</v>
      </c>
      <c r="S604" s="14"/>
    </row>
    <row r="605" spans="1:19" ht="15" customHeight="1">
      <c r="A605" s="14" t="s">
        <v>17</v>
      </c>
      <c r="B605" s="15" t="s">
        <v>1066</v>
      </c>
      <c r="C605" s="15" t="s">
        <v>1067</v>
      </c>
      <c r="D605" s="14" t="s">
        <v>1068</v>
      </c>
      <c r="E605" s="15" t="s">
        <v>567</v>
      </c>
      <c r="F605" s="14" t="s">
        <v>137</v>
      </c>
      <c r="G605" s="15" t="s">
        <v>23</v>
      </c>
      <c r="H605" s="15" t="s">
        <v>1526</v>
      </c>
      <c r="I605" s="15">
        <v>201412</v>
      </c>
      <c r="J605" s="16">
        <v>105895.42</v>
      </c>
      <c r="K605" s="44">
        <f t="shared" si="49"/>
        <v>41974</v>
      </c>
      <c r="L605" s="45">
        <f t="shared" ref="L605:L619" si="50">((YEAR($L$1)-YEAR(K605))*12+MONTH($L$1)-MONTH(K605))</f>
        <v>6</v>
      </c>
      <c r="M605" s="17">
        <v>1.4833299999999999E-3</v>
      </c>
      <c r="N605" s="46">
        <f t="shared" ref="N605:N857" si="51">M605*L605*J605</f>
        <v>942.46712009160001</v>
      </c>
      <c r="O605" s="16"/>
      <c r="P605" s="48"/>
      <c r="Q605" s="16"/>
      <c r="R605" s="48">
        <f t="shared" si="48"/>
        <v>34333.280703124998</v>
      </c>
      <c r="S605" s="14"/>
    </row>
    <row r="606" spans="1:19" ht="15" customHeight="1">
      <c r="A606" s="14" t="s">
        <v>54</v>
      </c>
      <c r="B606" s="15" t="s">
        <v>1014</v>
      </c>
      <c r="C606" s="15" t="s">
        <v>1015</v>
      </c>
      <c r="D606" s="14" t="s">
        <v>1016</v>
      </c>
      <c r="E606" s="15" t="s">
        <v>296</v>
      </c>
      <c r="F606" s="14" t="s">
        <v>28</v>
      </c>
      <c r="G606" s="15" t="s">
        <v>23</v>
      </c>
      <c r="H606" s="15" t="s">
        <v>1525</v>
      </c>
      <c r="I606" s="15">
        <v>201412</v>
      </c>
      <c r="J606" s="16">
        <v>133.1</v>
      </c>
      <c r="K606" s="44">
        <f t="shared" si="49"/>
        <v>41974</v>
      </c>
      <c r="L606" s="45">
        <f t="shared" si="50"/>
        <v>6</v>
      </c>
      <c r="M606" s="17">
        <v>1.4833299999999999E-3</v>
      </c>
      <c r="N606" s="46">
        <f t="shared" si="51"/>
        <v>1.184587338</v>
      </c>
      <c r="O606" s="16"/>
      <c r="P606" s="48"/>
      <c r="Q606" s="16"/>
      <c r="R606" s="48">
        <f t="shared" si="48"/>
        <v>43.153515624999997</v>
      </c>
      <c r="S606" s="14"/>
    </row>
    <row r="607" spans="1:19" ht="15" customHeight="1">
      <c r="A607" s="14" t="s">
        <v>54</v>
      </c>
      <c r="B607" s="15" t="s">
        <v>1017</v>
      </c>
      <c r="C607" s="15" t="s">
        <v>1018</v>
      </c>
      <c r="D607" s="14" t="s">
        <v>1019</v>
      </c>
      <c r="E607" s="15" t="s">
        <v>1020</v>
      </c>
      <c r="F607" s="14" t="s">
        <v>22</v>
      </c>
      <c r="G607" s="15" t="s">
        <v>23</v>
      </c>
      <c r="H607" s="15" t="s">
        <v>1525</v>
      </c>
      <c r="I607" s="15">
        <v>201412</v>
      </c>
      <c r="J607" s="16">
        <v>2679.48</v>
      </c>
      <c r="K607" s="44">
        <f t="shared" si="49"/>
        <v>41974</v>
      </c>
      <c r="L607" s="45">
        <f t="shared" si="50"/>
        <v>6</v>
      </c>
      <c r="M607" s="17">
        <v>1.4833299999999999E-3</v>
      </c>
      <c r="N607" s="46">
        <f t="shared" si="51"/>
        <v>23.8473184104</v>
      </c>
      <c r="O607" s="16"/>
      <c r="P607" s="48"/>
      <c r="Q607" s="16"/>
      <c r="R607" s="48">
        <f t="shared" si="48"/>
        <v>868.7376562500001</v>
      </c>
      <c r="S607" s="14"/>
    </row>
    <row r="608" spans="1:19" ht="15" customHeight="1">
      <c r="A608" s="14" t="s">
        <v>54</v>
      </c>
      <c r="B608" s="15" t="s">
        <v>1069</v>
      </c>
      <c r="C608" s="15" t="s">
        <v>1070</v>
      </c>
      <c r="D608" s="14" t="s">
        <v>1071</v>
      </c>
      <c r="E608" s="15" t="s">
        <v>296</v>
      </c>
      <c r="F608" s="14" t="s">
        <v>28</v>
      </c>
      <c r="G608" s="15" t="s">
        <v>23</v>
      </c>
      <c r="H608" s="15" t="s">
        <v>1525</v>
      </c>
      <c r="I608" s="15">
        <v>201412</v>
      </c>
      <c r="J608" s="16">
        <v>-310.58999999999997</v>
      </c>
      <c r="K608" s="44">
        <f t="shared" si="49"/>
        <v>41974</v>
      </c>
      <c r="L608" s="45">
        <f t="shared" si="50"/>
        <v>6</v>
      </c>
      <c r="M608" s="17">
        <v>1.4833299999999999E-3</v>
      </c>
      <c r="N608" s="46">
        <f t="shared" si="51"/>
        <v>-2.7642447881999996</v>
      </c>
      <c r="O608" s="16"/>
      <c r="P608" s="48"/>
      <c r="Q608" s="16"/>
      <c r="R608" s="48">
        <f t="shared" si="48"/>
        <v>-100.6991015625</v>
      </c>
      <c r="S608" s="14"/>
    </row>
    <row r="609" spans="1:19" ht="15" customHeight="1">
      <c r="A609" s="14" t="s">
        <v>54</v>
      </c>
      <c r="B609" s="15" t="s">
        <v>1072</v>
      </c>
      <c r="C609" s="15" t="s">
        <v>1073</v>
      </c>
      <c r="D609" s="14" t="s">
        <v>1074</v>
      </c>
      <c r="E609" s="15" t="s">
        <v>296</v>
      </c>
      <c r="F609" s="14" t="s">
        <v>28</v>
      </c>
      <c r="G609" s="15" t="s">
        <v>23</v>
      </c>
      <c r="H609" s="15" t="s">
        <v>1525</v>
      </c>
      <c r="I609" s="15">
        <v>201412</v>
      </c>
      <c r="J609" s="16">
        <v>24647.69</v>
      </c>
      <c r="K609" s="44">
        <f t="shared" si="49"/>
        <v>41974</v>
      </c>
      <c r="L609" s="45">
        <f t="shared" si="50"/>
        <v>6</v>
      </c>
      <c r="M609" s="17">
        <v>1.4833299999999999E-3</v>
      </c>
      <c r="N609" s="46">
        <f t="shared" si="51"/>
        <v>219.36394804619999</v>
      </c>
      <c r="O609" s="16"/>
      <c r="P609" s="48"/>
      <c r="Q609" s="16"/>
      <c r="R609" s="48">
        <f t="shared" si="48"/>
        <v>7991.243242187501</v>
      </c>
      <c r="S609" s="14"/>
    </row>
    <row r="610" spans="1:19" ht="15" customHeight="1">
      <c r="A610" s="14" t="s">
        <v>54</v>
      </c>
      <c r="B610" s="15" t="s">
        <v>1075</v>
      </c>
      <c r="C610" s="15" t="s">
        <v>1076</v>
      </c>
      <c r="D610" s="14" t="s">
        <v>1077</v>
      </c>
      <c r="E610" s="15" t="s">
        <v>62</v>
      </c>
      <c r="F610" s="14" t="s">
        <v>22</v>
      </c>
      <c r="G610" s="15" t="s">
        <v>23</v>
      </c>
      <c r="H610" s="15" t="s">
        <v>1525</v>
      </c>
      <c r="I610" s="15">
        <v>201412</v>
      </c>
      <c r="J610" s="16">
        <v>25101.279999999999</v>
      </c>
      <c r="K610" s="44">
        <f t="shared" si="49"/>
        <v>41974</v>
      </c>
      <c r="L610" s="45">
        <f t="shared" si="50"/>
        <v>6</v>
      </c>
      <c r="M610" s="17">
        <v>1.4833299999999999E-3</v>
      </c>
      <c r="N610" s="46">
        <f t="shared" si="51"/>
        <v>223.4008899744</v>
      </c>
      <c r="O610" s="16"/>
      <c r="P610" s="48"/>
      <c r="Q610" s="16"/>
      <c r="R610" s="48">
        <f t="shared" si="48"/>
        <v>8138.3056250000009</v>
      </c>
      <c r="S610" s="14"/>
    </row>
    <row r="611" spans="1:19" ht="15" customHeight="1">
      <c r="A611" s="14" t="s">
        <v>54</v>
      </c>
      <c r="B611" s="15" t="s">
        <v>1021</v>
      </c>
      <c r="C611" s="15" t="s">
        <v>1022</v>
      </c>
      <c r="D611" s="14" t="s">
        <v>1023</v>
      </c>
      <c r="E611" s="15" t="s">
        <v>108</v>
      </c>
      <c r="F611" s="14" t="s">
        <v>28</v>
      </c>
      <c r="G611" s="15" t="s">
        <v>23</v>
      </c>
      <c r="H611" s="15" t="s">
        <v>1525</v>
      </c>
      <c r="I611" s="15">
        <v>201412</v>
      </c>
      <c r="J611" s="16">
        <v>-22.55</v>
      </c>
      <c r="K611" s="44">
        <f t="shared" si="49"/>
        <v>41974</v>
      </c>
      <c r="L611" s="45">
        <f t="shared" si="50"/>
        <v>6</v>
      </c>
      <c r="M611" s="17">
        <v>1.4833299999999999E-3</v>
      </c>
      <c r="N611" s="46">
        <f t="shared" si="51"/>
        <v>-0.200694549</v>
      </c>
      <c r="O611" s="16"/>
      <c r="P611" s="48"/>
      <c r="Q611" s="16"/>
      <c r="R611" s="48">
        <f t="shared" si="48"/>
        <v>-7.3111328125000004</v>
      </c>
      <c r="S611" s="14"/>
    </row>
    <row r="612" spans="1:19" ht="15" customHeight="1">
      <c r="A612" s="14" t="s">
        <v>54</v>
      </c>
      <c r="B612" s="15" t="s">
        <v>1078</v>
      </c>
      <c r="C612" s="15" t="s">
        <v>1079</v>
      </c>
      <c r="D612" s="14" t="s">
        <v>1080</v>
      </c>
      <c r="E612" s="15" t="s">
        <v>62</v>
      </c>
      <c r="F612" s="14" t="s">
        <v>22</v>
      </c>
      <c r="G612" s="15" t="s">
        <v>23</v>
      </c>
      <c r="H612" s="15" t="s">
        <v>1525</v>
      </c>
      <c r="I612" s="15">
        <v>201412</v>
      </c>
      <c r="J612" s="16">
        <v>5227.7</v>
      </c>
      <c r="K612" s="44">
        <f t="shared" si="49"/>
        <v>41974</v>
      </c>
      <c r="L612" s="45">
        <f t="shared" si="50"/>
        <v>6</v>
      </c>
      <c r="M612" s="17">
        <v>1.4833299999999999E-3</v>
      </c>
      <c r="N612" s="46">
        <f t="shared" si="51"/>
        <v>46.526425445999998</v>
      </c>
      <c r="O612" s="16"/>
      <c r="P612" s="48"/>
      <c r="Q612" s="16"/>
      <c r="R612" s="48">
        <f t="shared" si="48"/>
        <v>1694.9183593750001</v>
      </c>
      <c r="S612" s="14"/>
    </row>
    <row r="613" spans="1:19" ht="15" customHeight="1">
      <c r="A613" s="14" t="s">
        <v>54</v>
      </c>
      <c r="B613" s="15" t="s">
        <v>1081</v>
      </c>
      <c r="C613" s="15" t="s">
        <v>1082</v>
      </c>
      <c r="D613" s="14" t="s">
        <v>1083</v>
      </c>
      <c r="E613" s="15" t="s">
        <v>141</v>
      </c>
      <c r="F613" s="14" t="s">
        <v>142</v>
      </c>
      <c r="G613" s="15" t="s">
        <v>23</v>
      </c>
      <c r="H613" s="15" t="s">
        <v>1525</v>
      </c>
      <c r="I613" s="15">
        <v>201412</v>
      </c>
      <c r="J613" s="16">
        <v>75631.14</v>
      </c>
      <c r="K613" s="44">
        <f t="shared" si="49"/>
        <v>41974</v>
      </c>
      <c r="L613" s="45">
        <f t="shared" si="50"/>
        <v>6</v>
      </c>
      <c r="M613" s="17">
        <v>1.4833299999999999E-3</v>
      </c>
      <c r="N613" s="46">
        <f t="shared" si="51"/>
        <v>673.11563337719997</v>
      </c>
      <c r="O613" s="16"/>
      <c r="P613" s="48"/>
      <c r="Q613" s="16"/>
      <c r="R613" s="48">
        <f t="shared" si="48"/>
        <v>24521.033671875004</v>
      </c>
      <c r="S613" s="14"/>
    </row>
    <row r="614" spans="1:19" ht="15" customHeight="1">
      <c r="A614" s="14" t="s">
        <v>54</v>
      </c>
      <c r="B614" s="15" t="s">
        <v>1084</v>
      </c>
      <c r="C614" s="15" t="s">
        <v>1085</v>
      </c>
      <c r="D614" s="14" t="s">
        <v>1086</v>
      </c>
      <c r="E614" s="15" t="s">
        <v>21</v>
      </c>
      <c r="F614" s="14" t="s">
        <v>22</v>
      </c>
      <c r="G614" s="15" t="s">
        <v>23</v>
      </c>
      <c r="H614" s="15" t="s">
        <v>1525</v>
      </c>
      <c r="I614" s="15">
        <v>201412</v>
      </c>
      <c r="J614" s="16">
        <v>36271.120000000003</v>
      </c>
      <c r="K614" s="44">
        <f t="shared" si="49"/>
        <v>41974</v>
      </c>
      <c r="L614" s="45">
        <f t="shared" si="50"/>
        <v>6</v>
      </c>
      <c r="M614" s="17">
        <v>1.4833299999999999E-3</v>
      </c>
      <c r="N614" s="46">
        <f t="shared" si="51"/>
        <v>322.81224257760005</v>
      </c>
      <c r="O614" s="16"/>
      <c r="P614" s="48"/>
      <c r="Q614" s="16"/>
      <c r="R614" s="48">
        <f t="shared" si="48"/>
        <v>11759.777187500002</v>
      </c>
      <c r="S614" s="14"/>
    </row>
    <row r="615" spans="1:19" ht="15" customHeight="1">
      <c r="A615" s="14" t="s">
        <v>54</v>
      </c>
      <c r="B615" s="15" t="s">
        <v>1087</v>
      </c>
      <c r="C615" s="15" t="s">
        <v>1088</v>
      </c>
      <c r="D615" s="14" t="s">
        <v>1089</v>
      </c>
      <c r="E615" s="15" t="s">
        <v>1020</v>
      </c>
      <c r="F615" s="14" t="s">
        <v>22</v>
      </c>
      <c r="G615" s="15" t="s">
        <v>23</v>
      </c>
      <c r="H615" s="15" t="s">
        <v>1525</v>
      </c>
      <c r="I615" s="15">
        <v>201412</v>
      </c>
      <c r="J615" s="16">
        <v>6257.37</v>
      </c>
      <c r="K615" s="44">
        <f t="shared" si="49"/>
        <v>41974</v>
      </c>
      <c r="L615" s="45">
        <f t="shared" si="50"/>
        <v>6</v>
      </c>
      <c r="M615" s="17">
        <v>1.4833299999999999E-3</v>
      </c>
      <c r="N615" s="46">
        <f t="shared" si="51"/>
        <v>55.690467852600001</v>
      </c>
      <c r="O615" s="16"/>
      <c r="P615" s="48"/>
      <c r="Q615" s="16"/>
      <c r="R615" s="48">
        <f t="shared" si="48"/>
        <v>2028.7566796875001</v>
      </c>
      <c r="S615" s="14"/>
    </row>
    <row r="616" spans="1:19" ht="15" customHeight="1">
      <c r="A616" s="14" t="s">
        <v>54</v>
      </c>
      <c r="B616" s="15" t="s">
        <v>1090</v>
      </c>
      <c r="C616" s="15" t="s">
        <v>1091</v>
      </c>
      <c r="D616" s="14" t="s">
        <v>1092</v>
      </c>
      <c r="E616" s="15" t="s">
        <v>216</v>
      </c>
      <c r="F616" s="14" t="s">
        <v>22</v>
      </c>
      <c r="G616" s="15" t="s">
        <v>23</v>
      </c>
      <c r="H616" s="15" t="s">
        <v>1525</v>
      </c>
      <c r="I616" s="15">
        <v>201412</v>
      </c>
      <c r="J616" s="16">
        <v>11632.66</v>
      </c>
      <c r="K616" s="44">
        <f t="shared" si="49"/>
        <v>41974</v>
      </c>
      <c r="L616" s="45">
        <f t="shared" si="50"/>
        <v>6</v>
      </c>
      <c r="M616" s="17">
        <v>1.4833299999999999E-3</v>
      </c>
      <c r="N616" s="46">
        <f t="shared" si="51"/>
        <v>103.5304413468</v>
      </c>
      <c r="O616" s="16"/>
      <c r="P616" s="48"/>
      <c r="Q616" s="16"/>
      <c r="R616" s="48">
        <f t="shared" si="48"/>
        <v>3771.5264843750001</v>
      </c>
      <c r="S616" s="14"/>
    </row>
    <row r="617" spans="1:19" ht="15" customHeight="1">
      <c r="A617" s="14" t="s">
        <v>66</v>
      </c>
      <c r="B617" s="15" t="s">
        <v>1105</v>
      </c>
      <c r="C617" s="15" t="s">
        <v>1106</v>
      </c>
      <c r="D617" s="14" t="s">
        <v>1107</v>
      </c>
      <c r="E617" s="15" t="s">
        <v>466</v>
      </c>
      <c r="F617" s="14" t="s">
        <v>467</v>
      </c>
      <c r="G617" s="15" t="s">
        <v>23</v>
      </c>
      <c r="H617" s="15" t="s">
        <v>1527</v>
      </c>
      <c r="I617" s="15">
        <v>201412</v>
      </c>
      <c r="J617" s="16">
        <v>1948.51</v>
      </c>
      <c r="K617" s="44">
        <f t="shared" si="49"/>
        <v>41974</v>
      </c>
      <c r="L617" s="45">
        <f t="shared" si="50"/>
        <v>6</v>
      </c>
      <c r="M617" s="17">
        <v>2.23333E-3</v>
      </c>
      <c r="N617" s="46">
        <f t="shared" si="51"/>
        <v>26.109995029799997</v>
      </c>
      <c r="O617" s="16"/>
      <c r="P617" s="48"/>
      <c r="Q617" s="16"/>
      <c r="R617" s="48">
        <f t="shared" si="48"/>
        <v>631.74347656250006</v>
      </c>
      <c r="S617" s="14"/>
    </row>
    <row r="618" spans="1:19" ht="15" customHeight="1">
      <c r="A618" s="14" t="s">
        <v>54</v>
      </c>
      <c r="B618" s="15" t="s">
        <v>1093</v>
      </c>
      <c r="C618" s="15" t="s">
        <v>1094</v>
      </c>
      <c r="D618" s="14" t="s">
        <v>1095</v>
      </c>
      <c r="E618" s="15" t="s">
        <v>27</v>
      </c>
      <c r="F618" s="14" t="s">
        <v>28</v>
      </c>
      <c r="G618" s="15" t="s">
        <v>23</v>
      </c>
      <c r="H618" s="15" t="s">
        <v>1525</v>
      </c>
      <c r="I618" s="15">
        <v>201412</v>
      </c>
      <c r="J618" s="16">
        <v>134.33000000000001</v>
      </c>
      <c r="K618" s="44">
        <f t="shared" si="49"/>
        <v>41974</v>
      </c>
      <c r="L618" s="45">
        <f t="shared" si="50"/>
        <v>6</v>
      </c>
      <c r="M618" s="17">
        <v>1.4833299999999999E-3</v>
      </c>
      <c r="N618" s="46">
        <f t="shared" si="51"/>
        <v>1.1955343134</v>
      </c>
      <c r="O618" s="16"/>
      <c r="P618" s="48"/>
      <c r="Q618" s="16"/>
      <c r="R618" s="48">
        <f t="shared" si="48"/>
        <v>43.552304687500012</v>
      </c>
      <c r="S618" s="14"/>
    </row>
    <row r="619" spans="1:19" ht="15" customHeight="1">
      <c r="A619" s="14" t="s">
        <v>54</v>
      </c>
      <c r="B619" s="15" t="s">
        <v>1096</v>
      </c>
      <c r="C619" s="15" t="s">
        <v>1097</v>
      </c>
      <c r="D619" s="14" t="s">
        <v>1098</v>
      </c>
      <c r="E619" s="15" t="s">
        <v>462</v>
      </c>
      <c r="F619" s="14" t="s">
        <v>142</v>
      </c>
      <c r="G619" s="15" t="s">
        <v>23</v>
      </c>
      <c r="H619" s="15" t="s">
        <v>1525</v>
      </c>
      <c r="I619" s="15">
        <v>201412</v>
      </c>
      <c r="J619" s="16">
        <v>16814.27</v>
      </c>
      <c r="K619" s="44">
        <f t="shared" si="49"/>
        <v>41974</v>
      </c>
      <c r="L619" s="45">
        <f t="shared" si="50"/>
        <v>6</v>
      </c>
      <c r="M619" s="17">
        <v>1.4833299999999999E-3</v>
      </c>
      <c r="N619" s="46">
        <f t="shared" si="51"/>
        <v>149.6466667146</v>
      </c>
      <c r="O619" s="16"/>
      <c r="P619" s="48"/>
      <c r="Q619" s="16"/>
      <c r="R619" s="48">
        <f t="shared" si="48"/>
        <v>5451.5016015625006</v>
      </c>
      <c r="S619" s="14"/>
    </row>
    <row r="620" spans="1:19">
      <c r="A620" s="203" t="s">
        <v>1584</v>
      </c>
      <c r="B620" s="204" t="s">
        <v>1586</v>
      </c>
      <c r="C620" s="204" t="s">
        <v>1587</v>
      </c>
      <c r="D620" s="203" t="s">
        <v>1588</v>
      </c>
      <c r="E620" s="204" t="s">
        <v>1589</v>
      </c>
      <c r="F620" s="203" t="s">
        <v>1590</v>
      </c>
      <c r="G620" s="204" t="s">
        <v>23</v>
      </c>
      <c r="H620" s="15" t="s">
        <v>1530</v>
      </c>
      <c r="I620" s="204">
        <v>201412</v>
      </c>
      <c r="J620" s="205">
        <v>2193.1</v>
      </c>
      <c r="K620" s="44">
        <f>+K619</f>
        <v>41974</v>
      </c>
      <c r="L620" s="45">
        <f t="shared" ref="L620:L626" si="52">((YEAR($L$1)-YEAR(K620))*12+MONTH($L$1)-MONTH(K620))</f>
        <v>6</v>
      </c>
      <c r="M620" s="206">
        <v>2.0333333000000001E-3</v>
      </c>
      <c r="N620" s="46">
        <f t="shared" si="51"/>
        <v>26.755819561379997</v>
      </c>
      <c r="O620" s="14"/>
      <c r="P620" s="48"/>
      <c r="Q620" s="16"/>
      <c r="R620" s="48">
        <f t="shared" si="48"/>
        <v>711.04414062499995</v>
      </c>
      <c r="S620" s="14"/>
    </row>
    <row r="621" spans="1:19">
      <c r="A621" s="203" t="s">
        <v>1584</v>
      </c>
      <c r="B621" s="204" t="s">
        <v>1591</v>
      </c>
      <c r="C621" s="204" t="s">
        <v>1592</v>
      </c>
      <c r="D621" s="203" t="s">
        <v>1593</v>
      </c>
      <c r="E621" s="204" t="s">
        <v>1594</v>
      </c>
      <c r="F621" s="203" t="s">
        <v>1590</v>
      </c>
      <c r="G621" s="204" t="s">
        <v>23</v>
      </c>
      <c r="H621" s="15" t="s">
        <v>1530</v>
      </c>
      <c r="I621" s="204">
        <v>201412</v>
      </c>
      <c r="J621" s="205">
        <v>-207.19</v>
      </c>
      <c r="K621" s="44">
        <f t="shared" si="49"/>
        <v>41974</v>
      </c>
      <c r="L621" s="45">
        <f t="shared" si="52"/>
        <v>6</v>
      </c>
      <c r="M621" s="206">
        <v>2.0333333000000001E-3</v>
      </c>
      <c r="N621" s="46">
        <f t="shared" si="51"/>
        <v>-2.527717958562</v>
      </c>
      <c r="O621" s="14"/>
      <c r="P621" s="48"/>
      <c r="Q621" s="16"/>
      <c r="R621" s="48">
        <f t="shared" si="48"/>
        <v>-67.174882812500002</v>
      </c>
      <c r="S621" s="14"/>
    </row>
    <row r="622" spans="1:19">
      <c r="A622" s="203" t="s">
        <v>1584</v>
      </c>
      <c r="B622" s="204" t="s">
        <v>1595</v>
      </c>
      <c r="C622" s="204" t="s">
        <v>1596</v>
      </c>
      <c r="D622" s="203" t="s">
        <v>1593</v>
      </c>
      <c r="E622" s="204" t="s">
        <v>1597</v>
      </c>
      <c r="F622" s="203" t="s">
        <v>1590</v>
      </c>
      <c r="G622" s="204" t="s">
        <v>23</v>
      </c>
      <c r="H622" s="15" t="s">
        <v>1530</v>
      </c>
      <c r="I622" s="204">
        <v>201412</v>
      </c>
      <c r="J622" s="205">
        <v>24376.35</v>
      </c>
      <c r="K622" s="44">
        <f t="shared" si="49"/>
        <v>41974</v>
      </c>
      <c r="L622" s="45">
        <f t="shared" si="52"/>
        <v>6</v>
      </c>
      <c r="M622" s="206">
        <v>2.0333333000000001E-3</v>
      </c>
      <c r="N622" s="46">
        <f t="shared" si="51"/>
        <v>297.39146512472996</v>
      </c>
      <c r="O622" s="14"/>
      <c r="P622" s="48"/>
      <c r="Q622" s="16"/>
      <c r="R622" s="48">
        <f t="shared" ref="R622:R626" si="53">$R$300*J622*$U$9</f>
        <v>7903.2697265625011</v>
      </c>
      <c r="S622" s="14"/>
    </row>
    <row r="623" spans="1:19">
      <c r="A623" s="203" t="s">
        <v>1584</v>
      </c>
      <c r="B623" s="204" t="s">
        <v>1598</v>
      </c>
      <c r="C623" s="204" t="s">
        <v>1599</v>
      </c>
      <c r="D623" s="203" t="s">
        <v>1600</v>
      </c>
      <c r="E623" s="204" t="s">
        <v>1601</v>
      </c>
      <c r="F623" s="203" t="s">
        <v>1590</v>
      </c>
      <c r="G623" s="204" t="s">
        <v>23</v>
      </c>
      <c r="H623" s="15" t="s">
        <v>1530</v>
      </c>
      <c r="I623" s="204">
        <v>201412</v>
      </c>
      <c r="J623" s="205">
        <v>23241.21</v>
      </c>
      <c r="K623" s="44">
        <f t="shared" si="49"/>
        <v>41974</v>
      </c>
      <c r="L623" s="45">
        <f t="shared" si="52"/>
        <v>6</v>
      </c>
      <c r="M623" s="206">
        <v>2.0333333000000001E-3</v>
      </c>
      <c r="N623" s="46">
        <f t="shared" si="51"/>
        <v>283.54275735175798</v>
      </c>
      <c r="O623" s="14"/>
      <c r="P623" s="48"/>
      <c r="Q623" s="16"/>
      <c r="R623" s="48">
        <f t="shared" si="53"/>
        <v>7535.2360546875007</v>
      </c>
      <c r="S623" s="14"/>
    </row>
    <row r="624" spans="1:19">
      <c r="A624" s="203" t="s">
        <v>1584</v>
      </c>
      <c r="B624" s="204" t="s">
        <v>1605</v>
      </c>
      <c r="C624" s="204" t="s">
        <v>1606</v>
      </c>
      <c r="D624" s="203" t="s">
        <v>1607</v>
      </c>
      <c r="E624" s="204" t="s">
        <v>1608</v>
      </c>
      <c r="F624" s="203" t="s">
        <v>1590</v>
      </c>
      <c r="G624" s="204" t="s">
        <v>23</v>
      </c>
      <c r="H624" s="15" t="s">
        <v>1530</v>
      </c>
      <c r="I624" s="204">
        <v>201412</v>
      </c>
      <c r="J624" s="205">
        <v>11008.76</v>
      </c>
      <c r="K624" s="44">
        <f t="shared" si="49"/>
        <v>41974</v>
      </c>
      <c r="L624" s="45">
        <f t="shared" si="52"/>
        <v>6</v>
      </c>
      <c r="M624" s="206">
        <v>2.0333333000000001E-3</v>
      </c>
      <c r="N624" s="46">
        <f t="shared" si="51"/>
        <v>134.30686979824799</v>
      </c>
      <c r="O624" s="14"/>
      <c r="P624" s="48"/>
      <c r="Q624" s="16"/>
      <c r="R624" s="48">
        <f t="shared" si="53"/>
        <v>3569.2464062500003</v>
      </c>
      <c r="S624" s="14"/>
    </row>
    <row r="625" spans="1:19">
      <c r="A625" s="203" t="s">
        <v>1584</v>
      </c>
      <c r="B625" s="204" t="s">
        <v>1612</v>
      </c>
      <c r="C625" s="204" t="s">
        <v>1613</v>
      </c>
      <c r="D625" s="203" t="s">
        <v>1588</v>
      </c>
      <c r="E625" s="204" t="s">
        <v>1614</v>
      </c>
      <c r="F625" s="203" t="s">
        <v>1590</v>
      </c>
      <c r="G625" s="204" t="s">
        <v>23</v>
      </c>
      <c r="H625" s="15" t="s">
        <v>1530</v>
      </c>
      <c r="I625" s="204">
        <v>201412</v>
      </c>
      <c r="J625" s="205">
        <v>332.2</v>
      </c>
      <c r="K625" s="44">
        <f t="shared" si="49"/>
        <v>41974</v>
      </c>
      <c r="L625" s="45">
        <f t="shared" si="52"/>
        <v>6</v>
      </c>
      <c r="M625" s="206">
        <v>2.0333333000000001E-3</v>
      </c>
      <c r="N625" s="46">
        <f t="shared" si="51"/>
        <v>4.0528399335599996</v>
      </c>
      <c r="O625" s="14"/>
      <c r="P625" s="48"/>
      <c r="Q625" s="16"/>
      <c r="R625" s="48">
        <f t="shared" si="53"/>
        <v>107.70546875000001</v>
      </c>
      <c r="S625" s="14"/>
    </row>
    <row r="626" spans="1:19" ht="15.75" thickBot="1">
      <c r="A626" s="203" t="s">
        <v>1584</v>
      </c>
      <c r="B626" s="204" t="s">
        <v>1615</v>
      </c>
      <c r="C626" s="204" t="s">
        <v>1616</v>
      </c>
      <c r="D626" s="203" t="s">
        <v>1593</v>
      </c>
      <c r="E626" s="204" t="s">
        <v>1617</v>
      </c>
      <c r="F626" s="203" t="s">
        <v>1590</v>
      </c>
      <c r="G626" s="204" t="s">
        <v>23</v>
      </c>
      <c r="H626" s="15" t="s">
        <v>1530</v>
      </c>
      <c r="I626" s="204">
        <v>201412</v>
      </c>
      <c r="J626" s="205">
        <v>-275.81</v>
      </c>
      <c r="K626" s="44">
        <f t="shared" si="49"/>
        <v>41974</v>
      </c>
      <c r="L626" s="45">
        <f t="shared" si="52"/>
        <v>6</v>
      </c>
      <c r="M626" s="206">
        <v>2.0333333000000001E-3</v>
      </c>
      <c r="N626" s="46">
        <f t="shared" si="51"/>
        <v>-3.3648819448379998</v>
      </c>
      <c r="O626" s="14"/>
      <c r="P626" s="48"/>
      <c r="Q626" s="16"/>
      <c r="R626" s="48">
        <f t="shared" si="53"/>
        <v>-89.422773437500013</v>
      </c>
      <c r="S626" s="14"/>
    </row>
    <row r="627" spans="1:19" ht="27.75" customHeight="1">
      <c r="A627" s="203"/>
      <c r="B627" s="204"/>
      <c r="C627" s="204"/>
      <c r="D627" s="203"/>
      <c r="E627" s="204"/>
      <c r="F627" s="203"/>
      <c r="G627" s="204"/>
      <c r="H627" s="178"/>
      <c r="I627" s="178"/>
      <c r="J627" s="175"/>
      <c r="K627" s="176" t="s">
        <v>2245</v>
      </c>
      <c r="L627" s="177"/>
      <c r="M627" s="179"/>
      <c r="N627" s="338"/>
      <c r="O627" s="14"/>
      <c r="P627" s="48"/>
      <c r="Q627" s="16"/>
      <c r="R627" s="43">
        <v>3.7499999999999999E-2</v>
      </c>
      <c r="S627" s="14"/>
    </row>
    <row r="628" spans="1:19">
      <c r="A628" s="14" t="s">
        <v>66</v>
      </c>
      <c r="B628" s="15" t="s">
        <v>72</v>
      </c>
      <c r="C628" s="15" t="s">
        <v>73</v>
      </c>
      <c r="D628" s="14" t="s">
        <v>74</v>
      </c>
      <c r="E628" s="15" t="s">
        <v>75</v>
      </c>
      <c r="F628" s="14" t="s">
        <v>71</v>
      </c>
      <c r="G628" s="15" t="s">
        <v>23</v>
      </c>
      <c r="H628" s="15" t="s">
        <v>1530</v>
      </c>
      <c r="I628" s="15">
        <v>201501</v>
      </c>
      <c r="J628" s="16">
        <v>102428.46</v>
      </c>
      <c r="K628" s="44">
        <v>42005</v>
      </c>
      <c r="L628" s="45">
        <f t="shared" ref="L628:L691" si="54">((YEAR($L$1)-YEAR(K628))*12+MONTH($L$1)-MONTH(K628))</f>
        <v>5</v>
      </c>
      <c r="M628" s="17">
        <v>2.23333E-3</v>
      </c>
      <c r="N628" s="46">
        <f t="shared" si="51"/>
        <v>1143.7827628590001</v>
      </c>
      <c r="O628" s="14"/>
      <c r="P628" s="48"/>
      <c r="Q628" s="16"/>
      <c r="R628" s="48">
        <f>$R$627*J628*$U$9</f>
        <v>2400.66703125</v>
      </c>
      <c r="S628" s="14"/>
    </row>
    <row r="629" spans="1:19">
      <c r="A629" s="14" t="s">
        <v>66</v>
      </c>
      <c r="B629" s="15" t="s">
        <v>81</v>
      </c>
      <c r="C629" s="15" t="s">
        <v>82</v>
      </c>
      <c r="D629" s="14" t="s">
        <v>83</v>
      </c>
      <c r="E629" s="15" t="s">
        <v>84</v>
      </c>
      <c r="F629" s="14" t="s">
        <v>85</v>
      </c>
      <c r="G629" s="15" t="s">
        <v>23</v>
      </c>
      <c r="H629" s="15" t="s">
        <v>1530</v>
      </c>
      <c r="I629" s="15">
        <v>201501</v>
      </c>
      <c r="J629" s="16">
        <v>7579.37</v>
      </c>
      <c r="K629" s="44">
        <v>42005</v>
      </c>
      <c r="L629" s="45">
        <f t="shared" si="54"/>
        <v>5</v>
      </c>
      <c r="M629" s="17">
        <v>2.23333E-3</v>
      </c>
      <c r="N629" s="46">
        <f t="shared" si="51"/>
        <v>84.636172010500005</v>
      </c>
      <c r="O629" s="14"/>
      <c r="P629" s="48"/>
      <c r="Q629" s="16"/>
      <c r="R629" s="48">
        <f t="shared" ref="R629:R692" si="55">$R$627*J629*$U$9</f>
        <v>177.64148437499998</v>
      </c>
      <c r="S629" s="14"/>
    </row>
    <row r="630" spans="1:19">
      <c r="A630" s="14" t="s">
        <v>66</v>
      </c>
      <c r="B630" s="15" t="s">
        <v>90</v>
      </c>
      <c r="C630" s="15" t="s">
        <v>91</v>
      </c>
      <c r="D630" s="14" t="s">
        <v>78</v>
      </c>
      <c r="E630" s="15" t="s">
        <v>92</v>
      </c>
      <c r="F630" s="14" t="s">
        <v>80</v>
      </c>
      <c r="G630" s="15" t="s">
        <v>23</v>
      </c>
      <c r="H630" s="15" t="s">
        <v>1530</v>
      </c>
      <c r="I630" s="15">
        <v>201501</v>
      </c>
      <c r="J630" s="16">
        <v>-1588.73</v>
      </c>
      <c r="K630" s="44">
        <v>42005</v>
      </c>
      <c r="L630" s="45">
        <f t="shared" si="54"/>
        <v>5</v>
      </c>
      <c r="M630" s="17">
        <v>2.23333E-3</v>
      </c>
      <c r="N630" s="46">
        <f t="shared" si="51"/>
        <v>-17.740791854499999</v>
      </c>
      <c r="O630" s="14"/>
      <c r="P630" s="48"/>
      <c r="Q630" s="16"/>
      <c r="R630" s="48">
        <f t="shared" si="55"/>
        <v>-37.235859374999997</v>
      </c>
      <c r="S630" s="14"/>
    </row>
    <row r="631" spans="1:19">
      <c r="A631" s="14" t="s">
        <v>1584</v>
      </c>
      <c r="B631" s="15" t="s">
        <v>1586</v>
      </c>
      <c r="C631" s="15" t="s">
        <v>1587</v>
      </c>
      <c r="D631" s="14" t="s">
        <v>1588</v>
      </c>
      <c r="E631" s="15" t="s">
        <v>1589</v>
      </c>
      <c r="F631" s="14" t="s">
        <v>1590</v>
      </c>
      <c r="G631" s="15" t="s">
        <v>23</v>
      </c>
      <c r="H631" s="15" t="s">
        <v>1530</v>
      </c>
      <c r="I631" s="15">
        <v>201501</v>
      </c>
      <c r="J631" s="16">
        <v>2733.2</v>
      </c>
      <c r="K631" s="44">
        <v>42005</v>
      </c>
      <c r="L631" s="45">
        <f t="shared" si="54"/>
        <v>5</v>
      </c>
      <c r="M631" s="17">
        <v>2.0333333000000001E-3</v>
      </c>
      <c r="N631" s="46">
        <f t="shared" si="51"/>
        <v>27.7875328778</v>
      </c>
      <c r="O631" s="14"/>
      <c r="P631" s="48"/>
      <c r="Q631" s="16"/>
      <c r="R631" s="48">
        <f t="shared" si="55"/>
        <v>64.059374999999989</v>
      </c>
      <c r="S631" s="14"/>
    </row>
    <row r="632" spans="1:19">
      <c r="A632" s="14" t="s">
        <v>66</v>
      </c>
      <c r="B632" s="15" t="s">
        <v>192</v>
      </c>
      <c r="C632" s="15" t="s">
        <v>193</v>
      </c>
      <c r="D632" s="14" t="s">
        <v>194</v>
      </c>
      <c r="E632" s="15" t="s">
        <v>195</v>
      </c>
      <c r="F632" s="14" t="s">
        <v>196</v>
      </c>
      <c r="G632" s="15" t="s">
        <v>23</v>
      </c>
      <c r="H632" s="15" t="s">
        <v>1530</v>
      </c>
      <c r="I632" s="15">
        <v>201501</v>
      </c>
      <c r="J632" s="16">
        <v>-0.37</v>
      </c>
      <c r="K632" s="44">
        <v>42005</v>
      </c>
      <c r="L632" s="45">
        <f t="shared" si="54"/>
        <v>5</v>
      </c>
      <c r="M632" s="17">
        <v>2.23333E-3</v>
      </c>
      <c r="N632" s="46">
        <f t="shared" si="51"/>
        <v>-4.1316605000000003E-3</v>
      </c>
      <c r="O632" s="14"/>
      <c r="P632" s="48"/>
      <c r="Q632" s="16"/>
      <c r="R632" s="48">
        <f t="shared" si="55"/>
        <v>-8.6718750000000008E-3</v>
      </c>
      <c r="S632" s="14"/>
    </row>
    <row r="633" spans="1:19">
      <c r="A633" s="14" t="s">
        <v>66</v>
      </c>
      <c r="B633" s="15" t="s">
        <v>197</v>
      </c>
      <c r="C633" s="15" t="s">
        <v>198</v>
      </c>
      <c r="D633" s="14" t="s">
        <v>69</v>
      </c>
      <c r="E633" s="15" t="s">
        <v>199</v>
      </c>
      <c r="F633" s="14" t="s">
        <v>71</v>
      </c>
      <c r="G633" s="15" t="s">
        <v>23</v>
      </c>
      <c r="H633" s="15" t="s">
        <v>1530</v>
      </c>
      <c r="I633" s="15">
        <v>201501</v>
      </c>
      <c r="J633" s="16">
        <v>5773.19</v>
      </c>
      <c r="K633" s="44">
        <v>42005</v>
      </c>
      <c r="L633" s="45">
        <f t="shared" si="54"/>
        <v>5</v>
      </c>
      <c r="M633" s="17">
        <v>2.23333E-3</v>
      </c>
      <c r="N633" s="46">
        <f t="shared" si="51"/>
        <v>64.467192113499991</v>
      </c>
      <c r="O633" s="14"/>
      <c r="P633" s="48"/>
      <c r="Q633" s="16"/>
      <c r="R633" s="48">
        <f t="shared" si="55"/>
        <v>135.309140625</v>
      </c>
      <c r="S633" s="14"/>
    </row>
    <row r="634" spans="1:19">
      <c r="A634" s="14" t="s">
        <v>1584</v>
      </c>
      <c r="B634" s="15" t="s">
        <v>1591</v>
      </c>
      <c r="C634" s="15" t="s">
        <v>1592</v>
      </c>
      <c r="D634" s="14" t="s">
        <v>1593</v>
      </c>
      <c r="E634" s="15" t="s">
        <v>1594</v>
      </c>
      <c r="F634" s="14" t="s">
        <v>1590</v>
      </c>
      <c r="G634" s="15" t="s">
        <v>23</v>
      </c>
      <c r="H634" s="15" t="s">
        <v>1530</v>
      </c>
      <c r="I634" s="15">
        <v>201501</v>
      </c>
      <c r="J634" s="16">
        <v>-9.6</v>
      </c>
      <c r="K634" s="44">
        <v>42005</v>
      </c>
      <c r="L634" s="45">
        <f t="shared" si="54"/>
        <v>5</v>
      </c>
      <c r="M634" s="17">
        <v>2.0333333000000001E-3</v>
      </c>
      <c r="N634" s="46">
        <f t="shared" si="51"/>
        <v>-9.7599998400000013E-2</v>
      </c>
      <c r="O634" s="14"/>
      <c r="P634" s="48"/>
      <c r="Q634" s="16"/>
      <c r="R634" s="48">
        <f t="shared" si="55"/>
        <v>-0.22499999999999998</v>
      </c>
      <c r="S634" s="14"/>
    </row>
    <row r="635" spans="1:19">
      <c r="A635" s="14" t="s">
        <v>1584</v>
      </c>
      <c r="B635" s="15" t="s">
        <v>1595</v>
      </c>
      <c r="C635" s="15" t="s">
        <v>1596</v>
      </c>
      <c r="D635" s="14" t="s">
        <v>1593</v>
      </c>
      <c r="E635" s="15" t="s">
        <v>1597</v>
      </c>
      <c r="F635" s="14" t="s">
        <v>1590</v>
      </c>
      <c r="G635" s="15" t="s">
        <v>23</v>
      </c>
      <c r="H635" s="15" t="s">
        <v>1530</v>
      </c>
      <c r="I635" s="15">
        <v>201501</v>
      </c>
      <c r="J635" s="16">
        <v>16802.72</v>
      </c>
      <c r="K635" s="44">
        <v>42005</v>
      </c>
      <c r="L635" s="45">
        <f t="shared" si="54"/>
        <v>5</v>
      </c>
      <c r="M635" s="17">
        <v>2.0333333000000001E-3</v>
      </c>
      <c r="N635" s="46">
        <f t="shared" si="51"/>
        <v>170.82765053288003</v>
      </c>
      <c r="O635" s="14"/>
      <c r="P635" s="48"/>
      <c r="Q635" s="16"/>
      <c r="R635" s="48">
        <f t="shared" si="55"/>
        <v>393.81374999999997</v>
      </c>
      <c r="S635" s="14"/>
    </row>
    <row r="636" spans="1:19">
      <c r="A636" s="14" t="s">
        <v>66</v>
      </c>
      <c r="B636" s="15" t="s">
        <v>200</v>
      </c>
      <c r="C636" s="15" t="s">
        <v>201</v>
      </c>
      <c r="D636" s="14" t="s">
        <v>202</v>
      </c>
      <c r="E636" s="15" t="s">
        <v>203</v>
      </c>
      <c r="F636" s="14" t="s">
        <v>80</v>
      </c>
      <c r="G636" s="15" t="s">
        <v>23</v>
      </c>
      <c r="H636" s="15" t="s">
        <v>1530</v>
      </c>
      <c r="I636" s="15">
        <v>201501</v>
      </c>
      <c r="J636" s="16">
        <v>12021.72</v>
      </c>
      <c r="K636" s="44">
        <v>42005</v>
      </c>
      <c r="L636" s="45">
        <f t="shared" si="54"/>
        <v>5</v>
      </c>
      <c r="M636" s="17">
        <v>2.23333E-3</v>
      </c>
      <c r="N636" s="46">
        <f t="shared" si="51"/>
        <v>134.242339638</v>
      </c>
      <c r="O636" s="14"/>
      <c r="P636" s="48"/>
      <c r="Q636" s="16"/>
      <c r="R636" s="48">
        <f t="shared" si="55"/>
        <v>281.75906249999997</v>
      </c>
      <c r="S636" s="14"/>
    </row>
    <row r="637" spans="1:19">
      <c r="A637" s="14" t="s">
        <v>66</v>
      </c>
      <c r="B637" s="15" t="s">
        <v>223</v>
      </c>
      <c r="C637" s="15" t="s">
        <v>224</v>
      </c>
      <c r="D637" s="14" t="s">
        <v>88</v>
      </c>
      <c r="E637" s="15" t="s">
        <v>225</v>
      </c>
      <c r="F637" s="14" t="s">
        <v>85</v>
      </c>
      <c r="G637" s="15" t="s">
        <v>23</v>
      </c>
      <c r="H637" s="15" t="s">
        <v>1530</v>
      </c>
      <c r="I637" s="15">
        <v>201501</v>
      </c>
      <c r="J637" s="16">
        <v>33.119999999999997</v>
      </c>
      <c r="K637" s="44">
        <v>42005</v>
      </c>
      <c r="L637" s="45">
        <f t="shared" si="54"/>
        <v>5</v>
      </c>
      <c r="M637" s="17">
        <v>2.23333E-3</v>
      </c>
      <c r="N637" s="46">
        <f t="shared" si="51"/>
        <v>0.36983944799999996</v>
      </c>
      <c r="O637" s="14"/>
      <c r="P637" s="48"/>
      <c r="Q637" s="16"/>
      <c r="R637" s="48">
        <f t="shared" si="55"/>
        <v>0.77624999999999988</v>
      </c>
      <c r="S637" s="14"/>
    </row>
    <row r="638" spans="1:19">
      <c r="A638" s="14" t="s">
        <v>1584</v>
      </c>
      <c r="B638" s="15" t="s">
        <v>1598</v>
      </c>
      <c r="C638" s="15" t="s">
        <v>1599</v>
      </c>
      <c r="D638" s="14" t="s">
        <v>1600</v>
      </c>
      <c r="E638" s="15" t="s">
        <v>1601</v>
      </c>
      <c r="F638" s="14" t="s">
        <v>1590</v>
      </c>
      <c r="G638" s="15" t="s">
        <v>23</v>
      </c>
      <c r="H638" s="15" t="s">
        <v>1530</v>
      </c>
      <c r="I638" s="15">
        <v>201501</v>
      </c>
      <c r="J638" s="16">
        <v>-1490</v>
      </c>
      <c r="K638" s="44">
        <v>42005</v>
      </c>
      <c r="L638" s="45">
        <f t="shared" si="54"/>
        <v>5</v>
      </c>
      <c r="M638" s="17">
        <v>2.0333333000000001E-3</v>
      </c>
      <c r="N638" s="46">
        <f t="shared" si="51"/>
        <v>-15.148333085000001</v>
      </c>
      <c r="O638" s="14"/>
      <c r="P638" s="48"/>
      <c r="Q638" s="16"/>
      <c r="R638" s="48">
        <f t="shared" si="55"/>
        <v>-34.921875</v>
      </c>
      <c r="S638" s="14"/>
    </row>
    <row r="639" spans="1:19">
      <c r="A639" s="14" t="s">
        <v>66</v>
      </c>
      <c r="B639" s="15" t="s">
        <v>226</v>
      </c>
      <c r="C639" s="15" t="s">
        <v>227</v>
      </c>
      <c r="D639" s="14" t="s">
        <v>78</v>
      </c>
      <c r="E639" s="15" t="s">
        <v>228</v>
      </c>
      <c r="F639" s="14" t="s">
        <v>80</v>
      </c>
      <c r="G639" s="15" t="s">
        <v>23</v>
      </c>
      <c r="H639" s="15" t="s">
        <v>1530</v>
      </c>
      <c r="I639" s="15">
        <v>201501</v>
      </c>
      <c r="J639" s="16">
        <v>17.399999999999999</v>
      </c>
      <c r="K639" s="44">
        <v>42005</v>
      </c>
      <c r="L639" s="45">
        <f t="shared" si="54"/>
        <v>5</v>
      </c>
      <c r="M639" s="17">
        <v>2.23333E-3</v>
      </c>
      <c r="N639" s="46">
        <f t="shared" si="51"/>
        <v>0.19429970999999999</v>
      </c>
      <c r="O639" s="14"/>
      <c r="P639" s="48"/>
      <c r="Q639" s="16"/>
      <c r="R639" s="48">
        <f t="shared" si="55"/>
        <v>0.40781249999999997</v>
      </c>
      <c r="S639" s="14"/>
    </row>
    <row r="640" spans="1:19">
      <c r="A640" s="14" t="s">
        <v>66</v>
      </c>
      <c r="B640" s="15" t="s">
        <v>229</v>
      </c>
      <c r="C640" s="15" t="s">
        <v>230</v>
      </c>
      <c r="D640" s="14" t="s">
        <v>78</v>
      </c>
      <c r="E640" s="15" t="s">
        <v>231</v>
      </c>
      <c r="F640" s="14" t="s">
        <v>80</v>
      </c>
      <c r="G640" s="15" t="s">
        <v>23</v>
      </c>
      <c r="H640" s="15" t="s">
        <v>1530</v>
      </c>
      <c r="I640" s="15">
        <v>201501</v>
      </c>
      <c r="J640" s="16">
        <v>519.49</v>
      </c>
      <c r="K640" s="44">
        <v>42005</v>
      </c>
      <c r="L640" s="45">
        <f t="shared" si="54"/>
        <v>5</v>
      </c>
      <c r="M640" s="17">
        <v>2.23333E-3</v>
      </c>
      <c r="N640" s="46">
        <f t="shared" si="51"/>
        <v>5.8009630085000001</v>
      </c>
      <c r="O640" s="14"/>
      <c r="P640" s="48"/>
      <c r="Q640" s="16"/>
      <c r="R640" s="48">
        <f t="shared" si="55"/>
        <v>12.175546875</v>
      </c>
      <c r="S640" s="14"/>
    </row>
    <row r="641" spans="1:19">
      <c r="A641" s="14" t="s">
        <v>66</v>
      </c>
      <c r="B641" s="15" t="s">
        <v>371</v>
      </c>
      <c r="C641" s="15" t="s">
        <v>372</v>
      </c>
      <c r="D641" s="14" t="s">
        <v>88</v>
      </c>
      <c r="E641" s="15" t="s">
        <v>373</v>
      </c>
      <c r="F641" s="14" t="s">
        <v>85</v>
      </c>
      <c r="G641" s="15" t="s">
        <v>23</v>
      </c>
      <c r="H641" s="15" t="s">
        <v>1530</v>
      </c>
      <c r="I641" s="15">
        <v>201501</v>
      </c>
      <c r="J641" s="16">
        <v>-66.13</v>
      </c>
      <c r="K641" s="44">
        <v>42005</v>
      </c>
      <c r="L641" s="45">
        <f t="shared" si="54"/>
        <v>5</v>
      </c>
      <c r="M641" s="17">
        <v>2.23333E-3</v>
      </c>
      <c r="N641" s="46">
        <f t="shared" si="51"/>
        <v>-0.73845056449999991</v>
      </c>
      <c r="O641" s="14"/>
      <c r="P641" s="48"/>
      <c r="Q641" s="16"/>
      <c r="R641" s="48">
        <f t="shared" si="55"/>
        <v>-1.5499218749999999</v>
      </c>
      <c r="S641" s="14"/>
    </row>
    <row r="642" spans="1:19">
      <c r="A642" s="14" t="s">
        <v>66</v>
      </c>
      <c r="B642" s="15" t="s">
        <v>374</v>
      </c>
      <c r="C642" s="15" t="s">
        <v>375</v>
      </c>
      <c r="D642" s="14" t="s">
        <v>376</v>
      </c>
      <c r="E642" s="15" t="s">
        <v>377</v>
      </c>
      <c r="F642" s="14" t="s">
        <v>378</v>
      </c>
      <c r="G642" s="15" t="s">
        <v>23</v>
      </c>
      <c r="H642" s="15" t="s">
        <v>1530</v>
      </c>
      <c r="I642" s="15">
        <v>201501</v>
      </c>
      <c r="J642" s="16">
        <v>9578.3799999999992</v>
      </c>
      <c r="K642" s="44">
        <v>42005</v>
      </c>
      <c r="L642" s="45">
        <f t="shared" si="54"/>
        <v>5</v>
      </c>
      <c r="M642" s="17">
        <v>2.23333E-3</v>
      </c>
      <c r="N642" s="46">
        <f t="shared" si="51"/>
        <v>106.958417027</v>
      </c>
      <c r="O642" s="14"/>
      <c r="P642" s="48"/>
      <c r="Q642" s="16"/>
      <c r="R642" s="48">
        <f t="shared" si="55"/>
        <v>224.49328124999997</v>
      </c>
      <c r="S642" s="14"/>
    </row>
    <row r="643" spans="1:19">
      <c r="A643" s="14" t="s">
        <v>66</v>
      </c>
      <c r="B643" s="15" t="s">
        <v>379</v>
      </c>
      <c r="C643" s="15" t="s">
        <v>380</v>
      </c>
      <c r="D643" s="14" t="s">
        <v>381</v>
      </c>
      <c r="E643" s="15" t="s">
        <v>382</v>
      </c>
      <c r="F643" s="14" t="s">
        <v>212</v>
      </c>
      <c r="G643" s="15" t="s">
        <v>23</v>
      </c>
      <c r="H643" s="15" t="s">
        <v>1530</v>
      </c>
      <c r="I643" s="15">
        <v>201501</v>
      </c>
      <c r="J643" s="16">
        <v>-219.89</v>
      </c>
      <c r="K643" s="44">
        <v>42005</v>
      </c>
      <c r="L643" s="45">
        <f t="shared" si="54"/>
        <v>5</v>
      </c>
      <c r="M643" s="17">
        <v>2.23333E-3</v>
      </c>
      <c r="N643" s="46">
        <f t="shared" si="51"/>
        <v>-2.4554346684999997</v>
      </c>
      <c r="O643" s="14"/>
      <c r="P643" s="48"/>
      <c r="Q643" s="16"/>
      <c r="R643" s="48">
        <f t="shared" si="55"/>
        <v>-5.1536718749999997</v>
      </c>
      <c r="S643" s="14"/>
    </row>
    <row r="644" spans="1:19">
      <c r="A644" s="14" t="s">
        <v>66</v>
      </c>
      <c r="B644" s="15" t="s">
        <v>383</v>
      </c>
      <c r="C644" s="15" t="s">
        <v>384</v>
      </c>
      <c r="D644" s="14" t="s">
        <v>385</v>
      </c>
      <c r="E644" s="15" t="s">
        <v>386</v>
      </c>
      <c r="F644" s="14" t="s">
        <v>387</v>
      </c>
      <c r="G644" s="15" t="s">
        <v>23</v>
      </c>
      <c r="H644" s="15" t="s">
        <v>1530</v>
      </c>
      <c r="I644" s="15">
        <v>201501</v>
      </c>
      <c r="J644" s="16">
        <v>193116.77</v>
      </c>
      <c r="K644" s="44">
        <v>42005</v>
      </c>
      <c r="L644" s="45">
        <f t="shared" si="54"/>
        <v>5</v>
      </c>
      <c r="M644" s="17">
        <v>2.23333E-3</v>
      </c>
      <c r="N644" s="46">
        <f t="shared" si="51"/>
        <v>2156.4673797205</v>
      </c>
      <c r="O644" s="14"/>
      <c r="P644" s="48"/>
      <c r="Q644" s="16"/>
      <c r="R644" s="48">
        <f t="shared" si="55"/>
        <v>4526.1742968749995</v>
      </c>
      <c r="S644" s="14"/>
    </row>
    <row r="645" spans="1:19">
      <c r="A645" s="14" t="s">
        <v>66</v>
      </c>
      <c r="B645" s="15" t="s">
        <v>388</v>
      </c>
      <c r="C645" s="15" t="s">
        <v>389</v>
      </c>
      <c r="D645" s="14" t="s">
        <v>385</v>
      </c>
      <c r="E645" s="15" t="s">
        <v>390</v>
      </c>
      <c r="F645" s="14" t="s">
        <v>387</v>
      </c>
      <c r="G645" s="15" t="s">
        <v>23</v>
      </c>
      <c r="H645" s="15" t="s">
        <v>1530</v>
      </c>
      <c r="I645" s="15">
        <v>201501</v>
      </c>
      <c r="J645" s="16">
        <v>11491.29</v>
      </c>
      <c r="K645" s="44">
        <v>42005</v>
      </c>
      <c r="L645" s="45">
        <f t="shared" si="54"/>
        <v>5</v>
      </c>
      <c r="M645" s="17">
        <v>2.23333E-3</v>
      </c>
      <c r="N645" s="46">
        <f t="shared" si="51"/>
        <v>128.31921347850002</v>
      </c>
      <c r="O645" s="14"/>
      <c r="P645" s="48"/>
      <c r="Q645" s="16"/>
      <c r="R645" s="48">
        <f t="shared" si="55"/>
        <v>269.32710937500002</v>
      </c>
      <c r="S645" s="14"/>
    </row>
    <row r="646" spans="1:19">
      <c r="A646" s="14" t="s">
        <v>66</v>
      </c>
      <c r="B646" s="15" t="s">
        <v>489</v>
      </c>
      <c r="C646" s="15" t="s">
        <v>490</v>
      </c>
      <c r="D646" s="14" t="s">
        <v>491</v>
      </c>
      <c r="E646" s="15" t="s">
        <v>492</v>
      </c>
      <c r="F646" s="14" t="s">
        <v>378</v>
      </c>
      <c r="G646" s="15" t="s">
        <v>23</v>
      </c>
      <c r="H646" s="15" t="s">
        <v>1530</v>
      </c>
      <c r="I646" s="15">
        <v>201501</v>
      </c>
      <c r="J646" s="16">
        <v>-23.83</v>
      </c>
      <c r="K646" s="44">
        <v>42005</v>
      </c>
      <c r="L646" s="45">
        <f t="shared" si="54"/>
        <v>5</v>
      </c>
      <c r="M646" s="17">
        <v>2.23333E-3</v>
      </c>
      <c r="N646" s="46">
        <f t="shared" si="51"/>
        <v>-0.26610126949999996</v>
      </c>
      <c r="O646" s="14"/>
      <c r="P646" s="48"/>
      <c r="Q646" s="16"/>
      <c r="R646" s="48">
        <f t="shared" si="55"/>
        <v>-0.55851562499999996</v>
      </c>
      <c r="S646" s="14"/>
    </row>
    <row r="647" spans="1:19">
      <c r="A647" s="14" t="s">
        <v>1584</v>
      </c>
      <c r="B647" s="15" t="s">
        <v>1605</v>
      </c>
      <c r="C647" s="15" t="s">
        <v>1606</v>
      </c>
      <c r="D647" s="14" t="s">
        <v>1607</v>
      </c>
      <c r="E647" s="15" t="s">
        <v>1608</v>
      </c>
      <c r="F647" s="14" t="s">
        <v>1590</v>
      </c>
      <c r="G647" s="15" t="s">
        <v>23</v>
      </c>
      <c r="H647" s="15" t="s">
        <v>1530</v>
      </c>
      <c r="I647" s="15">
        <v>201501</v>
      </c>
      <c r="J647" s="16">
        <v>9477.2199999999993</v>
      </c>
      <c r="K647" s="44">
        <v>42005</v>
      </c>
      <c r="L647" s="45">
        <f t="shared" si="54"/>
        <v>5</v>
      </c>
      <c r="M647" s="17">
        <v>2.0333333000000001E-3</v>
      </c>
      <c r="N647" s="46">
        <f t="shared" si="51"/>
        <v>96.35173508713001</v>
      </c>
      <c r="O647" s="14"/>
      <c r="P647" s="48"/>
      <c r="Q647" s="16"/>
      <c r="R647" s="48">
        <f t="shared" si="55"/>
        <v>222.12234374999997</v>
      </c>
      <c r="S647" s="14"/>
    </row>
    <row r="648" spans="1:19">
      <c r="A648" s="14" t="s">
        <v>66</v>
      </c>
      <c r="B648" s="15" t="s">
        <v>496</v>
      </c>
      <c r="C648" s="15" t="s">
        <v>497</v>
      </c>
      <c r="D648" s="14" t="s">
        <v>376</v>
      </c>
      <c r="E648" s="15" t="s">
        <v>498</v>
      </c>
      <c r="F648" s="14" t="s">
        <v>378</v>
      </c>
      <c r="G648" s="15" t="s">
        <v>23</v>
      </c>
      <c r="H648" s="15" t="s">
        <v>1530</v>
      </c>
      <c r="I648" s="15">
        <v>201501</v>
      </c>
      <c r="J648" s="16">
        <v>44122.37</v>
      </c>
      <c r="K648" s="44">
        <v>42005</v>
      </c>
      <c r="L648" s="45">
        <f t="shared" si="54"/>
        <v>5</v>
      </c>
      <c r="M648" s="17">
        <v>2.23333E-3</v>
      </c>
      <c r="N648" s="46">
        <f t="shared" si="51"/>
        <v>492.69906296050004</v>
      </c>
      <c r="O648" s="14"/>
      <c r="P648" s="48"/>
      <c r="Q648" s="16"/>
      <c r="R648" s="48">
        <f t="shared" si="55"/>
        <v>1034.1180468750001</v>
      </c>
      <c r="S648" s="14"/>
    </row>
    <row r="649" spans="1:19">
      <c r="A649" s="14" t="s">
        <v>66</v>
      </c>
      <c r="B649" s="15" t="s">
        <v>499</v>
      </c>
      <c r="C649" s="15" t="s">
        <v>500</v>
      </c>
      <c r="D649" s="14" t="s">
        <v>385</v>
      </c>
      <c r="E649" s="15" t="s">
        <v>501</v>
      </c>
      <c r="F649" s="14" t="s">
        <v>387</v>
      </c>
      <c r="G649" s="15" t="s">
        <v>23</v>
      </c>
      <c r="H649" s="15" t="s">
        <v>1530</v>
      </c>
      <c r="I649" s="15">
        <v>201501</v>
      </c>
      <c r="J649" s="16">
        <v>10676.26</v>
      </c>
      <c r="K649" s="44">
        <v>42005</v>
      </c>
      <c r="L649" s="45">
        <f t="shared" si="54"/>
        <v>5</v>
      </c>
      <c r="M649" s="17">
        <v>2.23333E-3</v>
      </c>
      <c r="N649" s="46">
        <f t="shared" si="51"/>
        <v>119.21805872900001</v>
      </c>
      <c r="O649" s="14"/>
      <c r="P649" s="48"/>
      <c r="Q649" s="16"/>
      <c r="R649" s="48">
        <f t="shared" si="55"/>
        <v>250.22484375000002</v>
      </c>
      <c r="S649" s="14"/>
    </row>
    <row r="650" spans="1:19">
      <c r="A650" s="14" t="s">
        <v>66</v>
      </c>
      <c r="B650" s="15" t="s">
        <v>595</v>
      </c>
      <c r="C650" s="15" t="s">
        <v>596</v>
      </c>
      <c r="D650" s="14" t="s">
        <v>597</v>
      </c>
      <c r="E650" s="15" t="s">
        <v>598</v>
      </c>
      <c r="F650" s="14" t="s">
        <v>212</v>
      </c>
      <c r="G650" s="15" t="s">
        <v>23</v>
      </c>
      <c r="H650" s="15" t="s">
        <v>1530</v>
      </c>
      <c r="I650" s="15">
        <v>201501</v>
      </c>
      <c r="J650" s="16">
        <v>-6763.69</v>
      </c>
      <c r="K650" s="44">
        <v>42005</v>
      </c>
      <c r="L650" s="45">
        <f t="shared" si="54"/>
        <v>5</v>
      </c>
      <c r="M650" s="17">
        <v>2.23333E-3</v>
      </c>
      <c r="N650" s="46">
        <f t="shared" si="51"/>
        <v>-75.5277589385</v>
      </c>
      <c r="O650" s="14"/>
      <c r="P650" s="48"/>
      <c r="Q650" s="16"/>
      <c r="R650" s="48">
        <f t="shared" si="55"/>
        <v>-158.52398437499997</v>
      </c>
      <c r="S650" s="14"/>
    </row>
    <row r="651" spans="1:19">
      <c r="A651" s="14" t="s">
        <v>66</v>
      </c>
      <c r="B651" s="15" t="s">
        <v>599</v>
      </c>
      <c r="C651" s="15" t="s">
        <v>600</v>
      </c>
      <c r="D651" s="14" t="s">
        <v>385</v>
      </c>
      <c r="E651" s="15" t="s">
        <v>601</v>
      </c>
      <c r="F651" s="14" t="s">
        <v>387</v>
      </c>
      <c r="G651" s="15" t="s">
        <v>23</v>
      </c>
      <c r="H651" s="15" t="s">
        <v>1530</v>
      </c>
      <c r="I651" s="15">
        <v>201501</v>
      </c>
      <c r="J651" s="16">
        <v>12791.08</v>
      </c>
      <c r="K651" s="44">
        <v>42005</v>
      </c>
      <c r="L651" s="45">
        <f t="shared" si="54"/>
        <v>5</v>
      </c>
      <c r="M651" s="17">
        <v>2.23333E-3</v>
      </c>
      <c r="N651" s="46">
        <f t="shared" si="51"/>
        <v>142.833513482</v>
      </c>
      <c r="O651" s="14"/>
      <c r="P651" s="48"/>
      <c r="Q651" s="16"/>
      <c r="R651" s="48">
        <f t="shared" si="55"/>
        <v>299.79093749999998</v>
      </c>
      <c r="S651" s="14"/>
    </row>
    <row r="652" spans="1:19">
      <c r="A652" s="14" t="s">
        <v>1584</v>
      </c>
      <c r="B652" s="15" t="s">
        <v>1612</v>
      </c>
      <c r="C652" s="15" t="s">
        <v>1613</v>
      </c>
      <c r="D652" s="14" t="s">
        <v>1588</v>
      </c>
      <c r="E652" s="15" t="s">
        <v>1614</v>
      </c>
      <c r="F652" s="14" t="s">
        <v>1590</v>
      </c>
      <c r="G652" s="15" t="s">
        <v>23</v>
      </c>
      <c r="H652" s="15" t="s">
        <v>1530</v>
      </c>
      <c r="I652" s="15">
        <v>201501</v>
      </c>
      <c r="J652" s="16">
        <v>77.61</v>
      </c>
      <c r="K652" s="44">
        <v>42005</v>
      </c>
      <c r="L652" s="45">
        <f t="shared" si="54"/>
        <v>5</v>
      </c>
      <c r="M652" s="17">
        <v>2.0333333000000001E-3</v>
      </c>
      <c r="N652" s="46">
        <f t="shared" si="51"/>
        <v>0.78903498706500008</v>
      </c>
      <c r="O652" s="14"/>
      <c r="P652" s="48"/>
      <c r="Q652" s="16"/>
      <c r="R652" s="48">
        <f t="shared" si="55"/>
        <v>1.8189843749999999</v>
      </c>
      <c r="S652" s="14"/>
    </row>
    <row r="653" spans="1:19">
      <c r="A653" s="14" t="s">
        <v>66</v>
      </c>
      <c r="B653" s="15" t="s">
        <v>671</v>
      </c>
      <c r="C653" s="15" t="s">
        <v>672</v>
      </c>
      <c r="D653" s="14" t="s">
        <v>206</v>
      </c>
      <c r="E653" s="15" t="s">
        <v>673</v>
      </c>
      <c r="F653" s="14" t="s">
        <v>97</v>
      </c>
      <c r="G653" s="15" t="s">
        <v>23</v>
      </c>
      <c r="H653" s="15" t="s">
        <v>1530</v>
      </c>
      <c r="I653" s="15">
        <v>201501</v>
      </c>
      <c r="J653" s="16">
        <v>2.98</v>
      </c>
      <c r="K653" s="44">
        <v>42005</v>
      </c>
      <c r="L653" s="45">
        <f t="shared" si="54"/>
        <v>5</v>
      </c>
      <c r="M653" s="17">
        <v>2.23333E-3</v>
      </c>
      <c r="N653" s="46">
        <f t="shared" si="51"/>
        <v>3.3276617000000001E-2</v>
      </c>
      <c r="O653" s="14"/>
      <c r="P653" s="48"/>
      <c r="Q653" s="16"/>
      <c r="R653" s="48">
        <f t="shared" si="55"/>
        <v>6.9843749999999996E-2</v>
      </c>
      <c r="S653" s="14"/>
    </row>
    <row r="654" spans="1:19">
      <c r="A654" s="14" t="s">
        <v>66</v>
      </c>
      <c r="B654" s="15" t="s">
        <v>674</v>
      </c>
      <c r="C654" s="15" t="s">
        <v>675</v>
      </c>
      <c r="D654" s="14" t="s">
        <v>385</v>
      </c>
      <c r="E654" s="15" t="s">
        <v>676</v>
      </c>
      <c r="F654" s="14" t="s">
        <v>387</v>
      </c>
      <c r="G654" s="15" t="s">
        <v>23</v>
      </c>
      <c r="H654" s="15" t="s">
        <v>1530</v>
      </c>
      <c r="I654" s="15">
        <v>201501</v>
      </c>
      <c r="J654" s="16">
        <v>2657.85</v>
      </c>
      <c r="K654" s="44">
        <v>42005</v>
      </c>
      <c r="L654" s="45">
        <f t="shared" si="54"/>
        <v>5</v>
      </c>
      <c r="M654" s="17">
        <v>2.23333E-3</v>
      </c>
      <c r="N654" s="46">
        <f t="shared" si="51"/>
        <v>29.679280702499998</v>
      </c>
      <c r="O654" s="14"/>
      <c r="P654" s="48"/>
      <c r="Q654" s="16"/>
      <c r="R654" s="48">
        <f t="shared" si="55"/>
        <v>62.293359374999994</v>
      </c>
      <c r="S654" s="14"/>
    </row>
    <row r="655" spans="1:19">
      <c r="A655" s="14" t="s">
        <v>66</v>
      </c>
      <c r="B655" s="15" t="s">
        <v>741</v>
      </c>
      <c r="C655" s="15" t="s">
        <v>742</v>
      </c>
      <c r="D655" s="14" t="s">
        <v>69</v>
      </c>
      <c r="E655" s="15" t="s">
        <v>70</v>
      </c>
      <c r="F655" s="14" t="s">
        <v>71</v>
      </c>
      <c r="G655" s="15" t="s">
        <v>23</v>
      </c>
      <c r="H655" s="15" t="s">
        <v>1530</v>
      </c>
      <c r="I655" s="15">
        <v>201501</v>
      </c>
      <c r="J655" s="16">
        <v>13974.22</v>
      </c>
      <c r="K655" s="44">
        <v>42005</v>
      </c>
      <c r="L655" s="45">
        <f t="shared" si="54"/>
        <v>5</v>
      </c>
      <c r="M655" s="17">
        <v>2.23333E-3</v>
      </c>
      <c r="N655" s="46">
        <f t="shared" si="51"/>
        <v>156.045223763</v>
      </c>
      <c r="O655" s="14"/>
      <c r="P655" s="48"/>
      <c r="Q655" s="16"/>
      <c r="R655" s="48">
        <f t="shared" si="55"/>
        <v>327.52078124999997</v>
      </c>
      <c r="S655" s="14"/>
    </row>
    <row r="656" spans="1:19">
      <c r="A656" s="14" t="s">
        <v>66</v>
      </c>
      <c r="B656" s="15" t="s">
        <v>743</v>
      </c>
      <c r="C656" s="15" t="s">
        <v>744</v>
      </c>
      <c r="D656" s="14" t="s">
        <v>745</v>
      </c>
      <c r="E656" s="15" t="s">
        <v>746</v>
      </c>
      <c r="F656" s="14" t="s">
        <v>80</v>
      </c>
      <c r="G656" s="15" t="s">
        <v>23</v>
      </c>
      <c r="H656" s="15" t="s">
        <v>1530</v>
      </c>
      <c r="I656" s="15">
        <v>201501</v>
      </c>
      <c r="J656" s="16">
        <v>-3499.89</v>
      </c>
      <c r="K656" s="44">
        <v>42005</v>
      </c>
      <c r="L656" s="45">
        <f t="shared" si="54"/>
        <v>5</v>
      </c>
      <c r="M656" s="17">
        <v>2.23333E-3</v>
      </c>
      <c r="N656" s="46">
        <f t="shared" si="51"/>
        <v>-39.082046668499999</v>
      </c>
      <c r="O656" s="14"/>
      <c r="P656" s="48"/>
      <c r="Q656" s="16"/>
      <c r="R656" s="48">
        <f t="shared" si="55"/>
        <v>-82.028671874999986</v>
      </c>
      <c r="S656" s="14"/>
    </row>
    <row r="657" spans="1:19">
      <c r="A657" s="14" t="s">
        <v>66</v>
      </c>
      <c r="B657" s="15" t="s">
        <v>747</v>
      </c>
      <c r="C657" s="15" t="s">
        <v>748</v>
      </c>
      <c r="D657" s="14" t="s">
        <v>78</v>
      </c>
      <c r="E657" s="15" t="s">
        <v>749</v>
      </c>
      <c r="F657" s="14" t="s">
        <v>80</v>
      </c>
      <c r="G657" s="15" t="s">
        <v>23</v>
      </c>
      <c r="H657" s="15" t="s">
        <v>1530</v>
      </c>
      <c r="I657" s="15">
        <v>201501</v>
      </c>
      <c r="J657" s="16">
        <v>4715.0600000000004</v>
      </c>
      <c r="K657" s="44">
        <v>42005</v>
      </c>
      <c r="L657" s="45">
        <f t="shared" si="54"/>
        <v>5</v>
      </c>
      <c r="M657" s="17">
        <v>2.23333E-3</v>
      </c>
      <c r="N657" s="46">
        <f t="shared" si="51"/>
        <v>52.651424749000007</v>
      </c>
      <c r="O657" s="14"/>
      <c r="P657" s="48"/>
      <c r="Q657" s="16"/>
      <c r="R657" s="48">
        <f t="shared" si="55"/>
        <v>110.50921875</v>
      </c>
      <c r="S657" s="14"/>
    </row>
    <row r="658" spans="1:19">
      <c r="A658" s="14" t="s">
        <v>66</v>
      </c>
      <c r="B658" s="15" t="s">
        <v>750</v>
      </c>
      <c r="C658" s="15" t="s">
        <v>751</v>
      </c>
      <c r="D658" s="14" t="s">
        <v>78</v>
      </c>
      <c r="E658" s="15" t="s">
        <v>752</v>
      </c>
      <c r="F658" s="14" t="s">
        <v>80</v>
      </c>
      <c r="G658" s="15" t="s">
        <v>23</v>
      </c>
      <c r="H658" s="15" t="s">
        <v>1530</v>
      </c>
      <c r="I658" s="15">
        <v>201501</v>
      </c>
      <c r="J658" s="16">
        <v>-0.14000000000000001</v>
      </c>
      <c r="K658" s="44">
        <v>42005</v>
      </c>
      <c r="L658" s="45">
        <f t="shared" si="54"/>
        <v>5</v>
      </c>
      <c r="M658" s="17">
        <v>2.23333E-3</v>
      </c>
      <c r="N658" s="46">
        <f t="shared" si="51"/>
        <v>-1.5633310000000003E-3</v>
      </c>
      <c r="O658" s="14"/>
      <c r="P658" s="48"/>
      <c r="Q658" s="16"/>
      <c r="R658" s="48">
        <f t="shared" si="55"/>
        <v>-3.2812500000000003E-3</v>
      </c>
      <c r="S658" s="14"/>
    </row>
    <row r="659" spans="1:19">
      <c r="A659" s="14" t="s">
        <v>1584</v>
      </c>
      <c r="B659" s="15" t="s">
        <v>1615</v>
      </c>
      <c r="C659" s="15" t="s">
        <v>1616</v>
      </c>
      <c r="D659" s="14" t="s">
        <v>1593</v>
      </c>
      <c r="E659" s="15" t="s">
        <v>1617</v>
      </c>
      <c r="F659" s="14" t="s">
        <v>1590</v>
      </c>
      <c r="G659" s="15" t="s">
        <v>23</v>
      </c>
      <c r="H659" s="15" t="s">
        <v>1530</v>
      </c>
      <c r="I659" s="15">
        <v>201501</v>
      </c>
      <c r="J659" s="16">
        <v>1643.72</v>
      </c>
      <c r="K659" s="44">
        <v>42005</v>
      </c>
      <c r="L659" s="45">
        <f t="shared" si="54"/>
        <v>5</v>
      </c>
      <c r="M659" s="17">
        <v>2.0333333000000001E-3</v>
      </c>
      <c r="N659" s="46">
        <f t="shared" si="51"/>
        <v>16.711153059380003</v>
      </c>
      <c r="O659" s="14"/>
      <c r="P659" s="48"/>
      <c r="Q659" s="16"/>
      <c r="R659" s="48">
        <f t="shared" si="55"/>
        <v>38.524687499999999</v>
      </c>
      <c r="S659" s="14"/>
    </row>
    <row r="660" spans="1:19">
      <c r="A660" s="14" t="s">
        <v>66</v>
      </c>
      <c r="B660" s="15" t="s">
        <v>753</v>
      </c>
      <c r="C660" s="15" t="s">
        <v>754</v>
      </c>
      <c r="D660" s="14" t="s">
        <v>206</v>
      </c>
      <c r="E660" s="15" t="s">
        <v>755</v>
      </c>
      <c r="F660" s="14" t="s">
        <v>97</v>
      </c>
      <c r="G660" s="15" t="s">
        <v>23</v>
      </c>
      <c r="H660" s="15" t="s">
        <v>1530</v>
      </c>
      <c r="I660" s="15">
        <v>201501</v>
      </c>
      <c r="J660" s="16">
        <v>1328.5</v>
      </c>
      <c r="K660" s="44">
        <v>42005</v>
      </c>
      <c r="L660" s="45">
        <f t="shared" si="54"/>
        <v>5</v>
      </c>
      <c r="M660" s="17">
        <v>2.23333E-3</v>
      </c>
      <c r="N660" s="46">
        <f t="shared" si="51"/>
        <v>14.834894525000001</v>
      </c>
      <c r="O660" s="14"/>
      <c r="P660" s="48"/>
      <c r="Q660" s="16"/>
      <c r="R660" s="48">
        <f t="shared" si="55"/>
        <v>31.13671875</v>
      </c>
      <c r="S660" s="14"/>
    </row>
    <row r="661" spans="1:19">
      <c r="A661" s="14" t="s">
        <v>217</v>
      </c>
      <c r="B661" s="15" t="s">
        <v>218</v>
      </c>
      <c r="C661" s="15" t="s">
        <v>219</v>
      </c>
      <c r="D661" s="14" t="s">
        <v>220</v>
      </c>
      <c r="E661" s="15" t="s">
        <v>221</v>
      </c>
      <c r="F661" s="14" t="s">
        <v>222</v>
      </c>
      <c r="G661" s="15" t="s">
        <v>23</v>
      </c>
      <c r="H661" s="15" t="s">
        <v>1524</v>
      </c>
      <c r="I661" s="15">
        <v>201501</v>
      </c>
      <c r="J661" s="16">
        <v>45692.63</v>
      </c>
      <c r="K661" s="44">
        <v>42005</v>
      </c>
      <c r="L661" s="45">
        <f t="shared" si="54"/>
        <v>5</v>
      </c>
      <c r="M661" s="17">
        <v>1.4833299999999999E-3</v>
      </c>
      <c r="N661" s="46">
        <f t="shared" si="51"/>
        <v>338.88624428949993</v>
      </c>
      <c r="O661" s="14"/>
      <c r="P661" s="48"/>
      <c r="Q661" s="16"/>
      <c r="R661" s="48">
        <f t="shared" si="55"/>
        <v>1070.9210156249999</v>
      </c>
      <c r="S661" s="14"/>
    </row>
    <row r="662" spans="1:19">
      <c r="A662" s="14" t="s">
        <v>54</v>
      </c>
      <c r="B662" s="15" t="s">
        <v>55</v>
      </c>
      <c r="C662" s="15" t="s">
        <v>56</v>
      </c>
      <c r="D662" s="14" t="s">
        <v>57</v>
      </c>
      <c r="E662" s="15" t="s">
        <v>58</v>
      </c>
      <c r="F662" s="14" t="s">
        <v>22</v>
      </c>
      <c r="G662" s="15" t="s">
        <v>23</v>
      </c>
      <c r="H662" s="15" t="s">
        <v>1525</v>
      </c>
      <c r="I662" s="15">
        <v>201501</v>
      </c>
      <c r="J662" s="16">
        <v>-87.81</v>
      </c>
      <c r="K662" s="44">
        <v>42005</v>
      </c>
      <c r="L662" s="45">
        <f t="shared" si="54"/>
        <v>5</v>
      </c>
      <c r="M662" s="17">
        <v>1.4833299999999999E-3</v>
      </c>
      <c r="N662" s="46">
        <f t="shared" si="51"/>
        <v>-0.65125603649999997</v>
      </c>
      <c r="O662" s="14"/>
      <c r="P662" s="48"/>
      <c r="Q662" s="16"/>
      <c r="R662" s="48">
        <f t="shared" si="55"/>
        <v>-2.0580468750000001</v>
      </c>
      <c r="S662" s="14"/>
    </row>
    <row r="663" spans="1:19">
      <c r="A663" s="14" t="s">
        <v>54</v>
      </c>
      <c r="B663" s="15" t="s">
        <v>146</v>
      </c>
      <c r="C663" s="15" t="s">
        <v>147</v>
      </c>
      <c r="D663" s="14" t="s">
        <v>148</v>
      </c>
      <c r="E663" s="15" t="s">
        <v>62</v>
      </c>
      <c r="F663" s="14" t="s">
        <v>22</v>
      </c>
      <c r="G663" s="15" t="s">
        <v>23</v>
      </c>
      <c r="H663" s="15" t="s">
        <v>1525</v>
      </c>
      <c r="I663" s="15">
        <v>201501</v>
      </c>
      <c r="J663" s="16">
        <v>1145.8699999999999</v>
      </c>
      <c r="K663" s="44">
        <v>42005</v>
      </c>
      <c r="L663" s="45">
        <f t="shared" si="54"/>
        <v>5</v>
      </c>
      <c r="M663" s="17">
        <v>1.4833299999999999E-3</v>
      </c>
      <c r="N663" s="46">
        <f t="shared" si="51"/>
        <v>8.4985167354999991</v>
      </c>
      <c r="O663" s="14"/>
      <c r="P663" s="48"/>
      <c r="Q663" s="16"/>
      <c r="R663" s="48">
        <f t="shared" si="55"/>
        <v>26.856328124999997</v>
      </c>
      <c r="S663" s="14"/>
    </row>
    <row r="664" spans="1:19">
      <c r="A664" s="14" t="s">
        <v>17</v>
      </c>
      <c r="B664" s="15" t="s">
        <v>1024</v>
      </c>
      <c r="C664" s="15" t="s">
        <v>1025</v>
      </c>
      <c r="D664" s="14" t="s">
        <v>1026</v>
      </c>
      <c r="E664" s="15" t="s">
        <v>216</v>
      </c>
      <c r="F664" s="14" t="s">
        <v>22</v>
      </c>
      <c r="G664" s="15" t="s">
        <v>23</v>
      </c>
      <c r="H664" s="15" t="s">
        <v>1525</v>
      </c>
      <c r="I664" s="15">
        <v>201501</v>
      </c>
      <c r="J664" s="16">
        <v>87.89</v>
      </c>
      <c r="K664" s="44">
        <v>42005</v>
      </c>
      <c r="L664" s="45">
        <f t="shared" si="54"/>
        <v>5</v>
      </c>
      <c r="M664" s="17">
        <v>1.4833299999999999E-3</v>
      </c>
      <c r="N664" s="46">
        <f t="shared" si="51"/>
        <v>0.65184936849999997</v>
      </c>
      <c r="O664" s="14"/>
      <c r="P664" s="48"/>
      <c r="Q664" s="16"/>
      <c r="R664" s="48">
        <f t="shared" si="55"/>
        <v>2.0599218750000001</v>
      </c>
      <c r="S664" s="14"/>
    </row>
    <row r="665" spans="1:19">
      <c r="A665" s="14" t="s">
        <v>54</v>
      </c>
      <c r="B665" s="15" t="s">
        <v>309</v>
      </c>
      <c r="C665" s="15" t="s">
        <v>310</v>
      </c>
      <c r="D665" s="14" t="s">
        <v>311</v>
      </c>
      <c r="E665" s="15" t="s">
        <v>216</v>
      </c>
      <c r="F665" s="14" t="s">
        <v>22</v>
      </c>
      <c r="G665" s="15" t="s">
        <v>23</v>
      </c>
      <c r="H665" s="15" t="s">
        <v>1525</v>
      </c>
      <c r="I665" s="15">
        <v>201501</v>
      </c>
      <c r="J665" s="16">
        <v>-55.84</v>
      </c>
      <c r="K665" s="44">
        <v>42005</v>
      </c>
      <c r="L665" s="45">
        <f t="shared" si="54"/>
        <v>5</v>
      </c>
      <c r="M665" s="17">
        <v>1.4833299999999999E-3</v>
      </c>
      <c r="N665" s="46">
        <f t="shared" si="51"/>
        <v>-0.41414573599999999</v>
      </c>
      <c r="O665" s="14"/>
      <c r="P665" s="48"/>
      <c r="Q665" s="16"/>
      <c r="R665" s="48">
        <f t="shared" si="55"/>
        <v>-1.3087499999999999</v>
      </c>
      <c r="S665" s="14"/>
    </row>
    <row r="666" spans="1:19">
      <c r="A666" s="14" t="s">
        <v>17</v>
      </c>
      <c r="B666" s="15" t="s">
        <v>347</v>
      </c>
      <c r="C666" s="15" t="s">
        <v>348</v>
      </c>
      <c r="D666" s="14" t="s">
        <v>349</v>
      </c>
      <c r="E666" s="15" t="s">
        <v>324</v>
      </c>
      <c r="F666" s="14" t="s">
        <v>325</v>
      </c>
      <c r="G666" s="15" t="s">
        <v>23</v>
      </c>
      <c r="H666" s="15" t="s">
        <v>1525</v>
      </c>
      <c r="I666" s="15">
        <v>201501</v>
      </c>
      <c r="J666" s="16">
        <v>138.51</v>
      </c>
      <c r="K666" s="44">
        <v>42005</v>
      </c>
      <c r="L666" s="45">
        <f t="shared" si="54"/>
        <v>5</v>
      </c>
      <c r="M666" s="17">
        <v>1.4833299999999999E-3</v>
      </c>
      <c r="N666" s="46">
        <f t="shared" si="51"/>
        <v>1.0272801914999998</v>
      </c>
      <c r="O666" s="14"/>
      <c r="P666" s="48"/>
      <c r="Q666" s="16"/>
      <c r="R666" s="48">
        <f t="shared" si="55"/>
        <v>3.2463281249999998</v>
      </c>
      <c r="S666" s="14"/>
    </row>
    <row r="667" spans="1:19">
      <c r="A667" s="14" t="s">
        <v>54</v>
      </c>
      <c r="B667" s="15" t="s">
        <v>419</v>
      </c>
      <c r="C667" s="15" t="s">
        <v>420</v>
      </c>
      <c r="D667" s="14" t="s">
        <v>421</v>
      </c>
      <c r="E667" s="15" t="s">
        <v>32</v>
      </c>
      <c r="F667" s="14" t="s">
        <v>22</v>
      </c>
      <c r="G667" s="15" t="s">
        <v>23</v>
      </c>
      <c r="H667" s="15" t="s">
        <v>1525</v>
      </c>
      <c r="I667" s="15">
        <v>201501</v>
      </c>
      <c r="J667" s="16">
        <v>-0.52</v>
      </c>
      <c r="K667" s="44">
        <v>42005</v>
      </c>
      <c r="L667" s="45">
        <f t="shared" si="54"/>
        <v>5</v>
      </c>
      <c r="M667" s="17">
        <v>1.4833299999999999E-3</v>
      </c>
      <c r="N667" s="46">
        <f t="shared" si="51"/>
        <v>-3.8566579999999998E-3</v>
      </c>
      <c r="O667" s="14"/>
      <c r="P667" s="48"/>
      <c r="Q667" s="16"/>
      <c r="R667" s="48">
        <f t="shared" si="55"/>
        <v>-1.21875E-2</v>
      </c>
      <c r="S667" s="14"/>
    </row>
    <row r="668" spans="1:19">
      <c r="A668" s="14" t="s">
        <v>54</v>
      </c>
      <c r="B668" s="15" t="s">
        <v>441</v>
      </c>
      <c r="C668" s="15" t="s">
        <v>442</v>
      </c>
      <c r="D668" s="14" t="s">
        <v>443</v>
      </c>
      <c r="E668" s="15" t="s">
        <v>141</v>
      </c>
      <c r="F668" s="14" t="s">
        <v>142</v>
      </c>
      <c r="G668" s="15" t="s">
        <v>23</v>
      </c>
      <c r="H668" s="15" t="s">
        <v>1525</v>
      </c>
      <c r="I668" s="15">
        <v>201501</v>
      </c>
      <c r="J668" s="16">
        <v>-9550.68</v>
      </c>
      <c r="K668" s="44">
        <v>42005</v>
      </c>
      <c r="L668" s="45">
        <f t="shared" si="54"/>
        <v>5</v>
      </c>
      <c r="M668" s="17">
        <v>1.4833299999999999E-3</v>
      </c>
      <c r="N668" s="46">
        <f t="shared" si="51"/>
        <v>-70.834050821999995</v>
      </c>
      <c r="O668" s="14"/>
      <c r="P668" s="48"/>
      <c r="Q668" s="16"/>
      <c r="R668" s="48">
        <f t="shared" si="55"/>
        <v>-223.84406250000001</v>
      </c>
      <c r="S668" s="14"/>
    </row>
    <row r="669" spans="1:19">
      <c r="A669" s="14" t="s">
        <v>54</v>
      </c>
      <c r="B669" s="15" t="s">
        <v>453</v>
      </c>
      <c r="C669" s="15" t="s">
        <v>454</v>
      </c>
      <c r="D669" s="14" t="s">
        <v>455</v>
      </c>
      <c r="E669" s="15" t="s">
        <v>62</v>
      </c>
      <c r="F669" s="14" t="s">
        <v>22</v>
      </c>
      <c r="G669" s="15" t="s">
        <v>23</v>
      </c>
      <c r="H669" s="15" t="s">
        <v>1525</v>
      </c>
      <c r="I669" s="15">
        <v>201501</v>
      </c>
      <c r="J669" s="16">
        <v>-4.4000000000000004</v>
      </c>
      <c r="K669" s="44">
        <v>42005</v>
      </c>
      <c r="L669" s="45">
        <f t="shared" si="54"/>
        <v>5</v>
      </c>
      <c r="M669" s="17">
        <v>1.4833299999999999E-3</v>
      </c>
      <c r="N669" s="46">
        <f t="shared" si="51"/>
        <v>-3.2633259999999997E-2</v>
      </c>
      <c r="O669" s="14"/>
      <c r="P669" s="48"/>
      <c r="Q669" s="16"/>
      <c r="R669" s="48">
        <f t="shared" si="55"/>
        <v>-0.10312500000000001</v>
      </c>
      <c r="S669" s="14"/>
    </row>
    <row r="670" spans="1:19">
      <c r="A670" s="14" t="s">
        <v>17</v>
      </c>
      <c r="B670" s="15" t="s">
        <v>480</v>
      </c>
      <c r="C670" s="15" t="s">
        <v>481</v>
      </c>
      <c r="D670" s="14" t="s">
        <v>482</v>
      </c>
      <c r="E670" s="15" t="s">
        <v>141</v>
      </c>
      <c r="F670" s="14" t="s">
        <v>142</v>
      </c>
      <c r="G670" s="15" t="s">
        <v>23</v>
      </c>
      <c r="H670" s="15" t="s">
        <v>1525</v>
      </c>
      <c r="I670" s="15">
        <v>201501</v>
      </c>
      <c r="J670" s="16">
        <v>-10.74</v>
      </c>
      <c r="K670" s="44">
        <v>42005</v>
      </c>
      <c r="L670" s="45">
        <f t="shared" si="54"/>
        <v>5</v>
      </c>
      <c r="M670" s="17">
        <v>1.4833299999999999E-3</v>
      </c>
      <c r="N670" s="46">
        <f t="shared" si="51"/>
        <v>-7.9654821000000001E-2</v>
      </c>
      <c r="O670" s="14"/>
      <c r="P670" s="48"/>
      <c r="Q670" s="16"/>
      <c r="R670" s="48">
        <f t="shared" si="55"/>
        <v>-0.25171874999999999</v>
      </c>
      <c r="S670" s="14"/>
    </row>
    <row r="671" spans="1:19">
      <c r="A671" s="14" t="s">
        <v>54</v>
      </c>
      <c r="B671" s="15" t="s">
        <v>543</v>
      </c>
      <c r="C671" s="15" t="s">
        <v>544</v>
      </c>
      <c r="D671" s="14" t="s">
        <v>545</v>
      </c>
      <c r="E671" s="15" t="s">
        <v>62</v>
      </c>
      <c r="F671" s="14" t="s">
        <v>22</v>
      </c>
      <c r="G671" s="15" t="s">
        <v>23</v>
      </c>
      <c r="H671" s="15" t="s">
        <v>1525</v>
      </c>
      <c r="I671" s="15">
        <v>201501</v>
      </c>
      <c r="J671" s="16">
        <v>3264.89</v>
      </c>
      <c r="K671" s="44">
        <v>42005</v>
      </c>
      <c r="L671" s="45">
        <f t="shared" si="54"/>
        <v>5</v>
      </c>
      <c r="M671" s="17">
        <v>1.4833299999999999E-3</v>
      </c>
      <c r="N671" s="46">
        <f t="shared" si="51"/>
        <v>24.214546418499996</v>
      </c>
      <c r="O671" s="14"/>
      <c r="P671" s="48"/>
      <c r="Q671" s="16"/>
      <c r="R671" s="48">
        <f t="shared" si="55"/>
        <v>76.520859374999986</v>
      </c>
      <c r="S671" s="14"/>
    </row>
    <row r="672" spans="1:19">
      <c r="A672" s="14" t="s">
        <v>17</v>
      </c>
      <c r="B672" s="15" t="s">
        <v>552</v>
      </c>
      <c r="C672" s="15" t="s">
        <v>553</v>
      </c>
      <c r="D672" s="14" t="s">
        <v>554</v>
      </c>
      <c r="E672" s="15" t="s">
        <v>62</v>
      </c>
      <c r="F672" s="14" t="s">
        <v>22</v>
      </c>
      <c r="G672" s="15" t="s">
        <v>23</v>
      </c>
      <c r="H672" s="15" t="s">
        <v>1525</v>
      </c>
      <c r="I672" s="15">
        <v>201501</v>
      </c>
      <c r="J672" s="16">
        <v>-1070.2</v>
      </c>
      <c r="K672" s="44">
        <v>42005</v>
      </c>
      <c r="L672" s="45">
        <f t="shared" si="54"/>
        <v>5</v>
      </c>
      <c r="M672" s="17">
        <v>1.4833299999999999E-3</v>
      </c>
      <c r="N672" s="46">
        <f t="shared" si="51"/>
        <v>-7.9372988299999996</v>
      </c>
      <c r="O672" s="14"/>
      <c r="P672" s="48"/>
      <c r="Q672" s="16"/>
      <c r="R672" s="48">
        <f t="shared" si="55"/>
        <v>-25.082812499999999</v>
      </c>
      <c r="S672" s="14"/>
    </row>
    <row r="673" spans="1:19">
      <c r="A673" s="14" t="s">
        <v>17</v>
      </c>
      <c r="B673" s="15" t="s">
        <v>611</v>
      </c>
      <c r="C673" s="15" t="s">
        <v>612</v>
      </c>
      <c r="D673" s="14" t="s">
        <v>613</v>
      </c>
      <c r="E673" s="15" t="s">
        <v>324</v>
      </c>
      <c r="F673" s="14" t="s">
        <v>325</v>
      </c>
      <c r="G673" s="15" t="s">
        <v>23</v>
      </c>
      <c r="H673" s="15" t="s">
        <v>1525</v>
      </c>
      <c r="I673" s="15">
        <v>201501</v>
      </c>
      <c r="J673" s="16">
        <v>-2038.46</v>
      </c>
      <c r="K673" s="44">
        <v>42005</v>
      </c>
      <c r="L673" s="45">
        <f t="shared" si="54"/>
        <v>5</v>
      </c>
      <c r="M673" s="17">
        <v>1.4833299999999999E-3</v>
      </c>
      <c r="N673" s="46">
        <f t="shared" si="51"/>
        <v>-15.118544358999999</v>
      </c>
      <c r="O673" s="14"/>
      <c r="P673" s="48"/>
      <c r="Q673" s="16"/>
      <c r="R673" s="48">
        <f t="shared" si="55"/>
        <v>-47.776406250000001</v>
      </c>
      <c r="S673" s="14"/>
    </row>
    <row r="674" spans="1:19">
      <c r="A674" s="14" t="s">
        <v>17</v>
      </c>
      <c r="B674" s="15" t="s">
        <v>646</v>
      </c>
      <c r="C674" s="15" t="s">
        <v>647</v>
      </c>
      <c r="D674" s="14" t="s">
        <v>648</v>
      </c>
      <c r="E674" s="15" t="s">
        <v>176</v>
      </c>
      <c r="F674" s="14" t="s">
        <v>28</v>
      </c>
      <c r="G674" s="15" t="s">
        <v>23</v>
      </c>
      <c r="H674" s="15" t="s">
        <v>1525</v>
      </c>
      <c r="I674" s="15">
        <v>201501</v>
      </c>
      <c r="J674" s="16">
        <v>0.05</v>
      </c>
      <c r="K674" s="44">
        <v>42005</v>
      </c>
      <c r="L674" s="45">
        <f t="shared" si="54"/>
        <v>5</v>
      </c>
      <c r="M674" s="17">
        <v>1.4833299999999999E-3</v>
      </c>
      <c r="N674" s="46">
        <f t="shared" si="51"/>
        <v>3.7083249999999998E-4</v>
      </c>
      <c r="O674" s="14"/>
      <c r="P674" s="48"/>
      <c r="Q674" s="16"/>
      <c r="R674" s="48">
        <f t="shared" si="55"/>
        <v>1.171875E-3</v>
      </c>
      <c r="S674" s="14"/>
    </row>
    <row r="675" spans="1:19">
      <c r="A675" s="14" t="s">
        <v>17</v>
      </c>
      <c r="B675" s="15" t="s">
        <v>704</v>
      </c>
      <c r="C675" s="15" t="s">
        <v>705</v>
      </c>
      <c r="D675" s="14" t="s">
        <v>706</v>
      </c>
      <c r="E675" s="15" t="s">
        <v>58</v>
      </c>
      <c r="F675" s="14" t="s">
        <v>22</v>
      </c>
      <c r="G675" s="15" t="s">
        <v>23</v>
      </c>
      <c r="H675" s="15" t="s">
        <v>1525</v>
      </c>
      <c r="I675" s="15">
        <v>201501</v>
      </c>
      <c r="J675" s="16">
        <v>1635.5</v>
      </c>
      <c r="K675" s="44">
        <v>42005</v>
      </c>
      <c r="L675" s="45">
        <f t="shared" si="54"/>
        <v>5</v>
      </c>
      <c r="M675" s="17">
        <v>1.4833299999999999E-3</v>
      </c>
      <c r="N675" s="46">
        <f t="shared" si="51"/>
        <v>12.129931074999998</v>
      </c>
      <c r="O675" s="14"/>
      <c r="P675" s="48"/>
      <c r="Q675" s="16"/>
      <c r="R675" s="48">
        <f t="shared" si="55"/>
        <v>38.33203125</v>
      </c>
      <c r="S675" s="14"/>
    </row>
    <row r="676" spans="1:19">
      <c r="A676" s="14" t="s">
        <v>17</v>
      </c>
      <c r="B676" s="15" t="s">
        <v>1033</v>
      </c>
      <c r="C676" s="15" t="s">
        <v>1034</v>
      </c>
      <c r="D676" s="14" t="s">
        <v>1035</v>
      </c>
      <c r="E676" s="15" t="s">
        <v>58</v>
      </c>
      <c r="F676" s="14" t="s">
        <v>22</v>
      </c>
      <c r="G676" s="15" t="s">
        <v>23</v>
      </c>
      <c r="H676" s="15" t="s">
        <v>1525</v>
      </c>
      <c r="I676" s="15">
        <v>201501</v>
      </c>
      <c r="J676" s="16">
        <v>62.58</v>
      </c>
      <c r="K676" s="44">
        <v>42005</v>
      </c>
      <c r="L676" s="45">
        <f t="shared" si="54"/>
        <v>5</v>
      </c>
      <c r="M676" s="17">
        <v>1.4833299999999999E-3</v>
      </c>
      <c r="N676" s="46">
        <f t="shared" si="51"/>
        <v>0.46413395699999993</v>
      </c>
      <c r="O676" s="14"/>
      <c r="P676" s="48"/>
      <c r="Q676" s="16"/>
      <c r="R676" s="48">
        <f t="shared" si="55"/>
        <v>1.4667187499999998</v>
      </c>
      <c r="S676" s="14"/>
    </row>
    <row r="677" spans="1:19">
      <c r="A677" s="14" t="s">
        <v>17</v>
      </c>
      <c r="B677" s="15" t="s">
        <v>759</v>
      </c>
      <c r="C677" s="15" t="s">
        <v>760</v>
      </c>
      <c r="D677" s="14" t="s">
        <v>761</v>
      </c>
      <c r="E677" s="15" t="s">
        <v>62</v>
      </c>
      <c r="F677" s="14" t="s">
        <v>22</v>
      </c>
      <c r="G677" s="15" t="s">
        <v>23</v>
      </c>
      <c r="H677" s="15" t="s">
        <v>1525</v>
      </c>
      <c r="I677" s="15">
        <v>201501</v>
      </c>
      <c r="J677" s="16">
        <v>2472.9499999999998</v>
      </c>
      <c r="K677" s="44">
        <v>42005</v>
      </c>
      <c r="L677" s="45">
        <f t="shared" si="54"/>
        <v>5</v>
      </c>
      <c r="M677" s="17">
        <v>1.4833299999999999E-3</v>
      </c>
      <c r="N677" s="46">
        <f t="shared" si="51"/>
        <v>18.341004617499998</v>
      </c>
      <c r="O677" s="14"/>
      <c r="P677" s="48"/>
      <c r="Q677" s="16"/>
      <c r="R677" s="48">
        <f t="shared" si="55"/>
        <v>57.959765624999989</v>
      </c>
      <c r="S677" s="14"/>
    </row>
    <row r="678" spans="1:19">
      <c r="A678" s="14" t="s">
        <v>54</v>
      </c>
      <c r="B678" s="15" t="s">
        <v>813</v>
      </c>
      <c r="C678" s="15" t="s">
        <v>814</v>
      </c>
      <c r="D678" s="14" t="s">
        <v>815</v>
      </c>
      <c r="E678" s="15" t="s">
        <v>62</v>
      </c>
      <c r="F678" s="14" t="s">
        <v>22</v>
      </c>
      <c r="G678" s="15" t="s">
        <v>23</v>
      </c>
      <c r="H678" s="15" t="s">
        <v>1525</v>
      </c>
      <c r="I678" s="15">
        <v>201501</v>
      </c>
      <c r="J678" s="16">
        <v>-265.87</v>
      </c>
      <c r="K678" s="44">
        <v>42005</v>
      </c>
      <c r="L678" s="45">
        <f t="shared" si="54"/>
        <v>5</v>
      </c>
      <c r="M678" s="17">
        <v>1.4833299999999999E-3</v>
      </c>
      <c r="N678" s="46">
        <f t="shared" si="51"/>
        <v>-1.9718647354999999</v>
      </c>
      <c r="O678" s="14"/>
      <c r="P678" s="48"/>
      <c r="Q678" s="16"/>
      <c r="R678" s="48">
        <f t="shared" si="55"/>
        <v>-6.2313281249999992</v>
      </c>
      <c r="S678" s="14"/>
    </row>
    <row r="679" spans="1:19">
      <c r="A679" s="14" t="s">
        <v>54</v>
      </c>
      <c r="B679" s="15" t="s">
        <v>2181</v>
      </c>
      <c r="C679" s="15" t="s">
        <v>1729</v>
      </c>
      <c r="D679" s="14" t="s">
        <v>1730</v>
      </c>
      <c r="E679" s="15" t="s">
        <v>62</v>
      </c>
      <c r="F679" s="14" t="s">
        <v>22</v>
      </c>
      <c r="G679" s="15" t="s">
        <v>23</v>
      </c>
      <c r="H679" s="15" t="s">
        <v>1525</v>
      </c>
      <c r="I679" s="15">
        <v>201501</v>
      </c>
      <c r="J679" s="16">
        <v>219686.48</v>
      </c>
      <c r="K679" s="44">
        <v>42005</v>
      </c>
      <c r="L679" s="45">
        <f t="shared" si="54"/>
        <v>5</v>
      </c>
      <c r="M679" s="17">
        <v>1.4833299999999999E-3</v>
      </c>
      <c r="N679" s="46">
        <f t="shared" si="51"/>
        <v>1629.337731892</v>
      </c>
      <c r="O679" s="14"/>
      <c r="P679" s="48"/>
      <c r="Q679" s="16"/>
      <c r="R679" s="48">
        <f t="shared" si="55"/>
        <v>5148.9018750000005</v>
      </c>
      <c r="S679" s="14"/>
    </row>
    <row r="680" spans="1:19">
      <c r="A680" s="14" t="s">
        <v>54</v>
      </c>
      <c r="B680" s="15" t="s">
        <v>830</v>
      </c>
      <c r="C680" s="15" t="s">
        <v>831</v>
      </c>
      <c r="D680" s="14" t="s">
        <v>832</v>
      </c>
      <c r="E680" s="15" t="s">
        <v>62</v>
      </c>
      <c r="F680" s="14" t="s">
        <v>22</v>
      </c>
      <c r="G680" s="15" t="s">
        <v>23</v>
      </c>
      <c r="H680" s="15" t="s">
        <v>1525</v>
      </c>
      <c r="I680" s="15">
        <v>201501</v>
      </c>
      <c r="J680" s="16">
        <v>3752</v>
      </c>
      <c r="K680" s="44">
        <v>42005</v>
      </c>
      <c r="L680" s="45">
        <f t="shared" si="54"/>
        <v>5</v>
      </c>
      <c r="M680" s="17">
        <v>1.4833299999999999E-3</v>
      </c>
      <c r="N680" s="46">
        <f t="shared" si="51"/>
        <v>27.827270799999997</v>
      </c>
      <c r="O680" s="14"/>
      <c r="P680" s="48"/>
      <c r="Q680" s="16"/>
      <c r="R680" s="48">
        <f t="shared" si="55"/>
        <v>87.9375</v>
      </c>
      <c r="S680" s="14"/>
    </row>
    <row r="681" spans="1:19">
      <c r="A681" s="14" t="s">
        <v>17</v>
      </c>
      <c r="B681" s="15" t="s">
        <v>843</v>
      </c>
      <c r="C681" s="15" t="s">
        <v>844</v>
      </c>
      <c r="D681" s="14" t="s">
        <v>845</v>
      </c>
      <c r="E681" s="15" t="s">
        <v>45</v>
      </c>
      <c r="F681" s="14" t="s">
        <v>22</v>
      </c>
      <c r="G681" s="15" t="s">
        <v>23</v>
      </c>
      <c r="H681" s="15" t="s">
        <v>1525</v>
      </c>
      <c r="I681" s="15">
        <v>201501</v>
      </c>
      <c r="J681" s="16">
        <v>-3.48</v>
      </c>
      <c r="K681" s="44">
        <v>42005</v>
      </c>
      <c r="L681" s="45">
        <f t="shared" si="54"/>
        <v>5</v>
      </c>
      <c r="M681" s="17">
        <v>1.4833299999999999E-3</v>
      </c>
      <c r="N681" s="46">
        <f t="shared" si="51"/>
        <v>-2.5809941999999999E-2</v>
      </c>
      <c r="O681" s="14"/>
      <c r="P681" s="48"/>
      <c r="Q681" s="16"/>
      <c r="R681" s="48">
        <f t="shared" si="55"/>
        <v>-8.156250000000001E-2</v>
      </c>
      <c r="S681" s="14"/>
    </row>
    <row r="682" spans="1:19">
      <c r="A682" s="14" t="s">
        <v>54</v>
      </c>
      <c r="B682" s="15" t="s">
        <v>846</v>
      </c>
      <c r="C682" s="15" t="s">
        <v>847</v>
      </c>
      <c r="D682" s="14" t="s">
        <v>848</v>
      </c>
      <c r="E682" s="15" t="s">
        <v>141</v>
      </c>
      <c r="F682" s="14" t="s">
        <v>142</v>
      </c>
      <c r="G682" s="15" t="s">
        <v>23</v>
      </c>
      <c r="H682" s="15" t="s">
        <v>1525</v>
      </c>
      <c r="I682" s="15">
        <v>201501</v>
      </c>
      <c r="J682" s="16">
        <v>70805.5</v>
      </c>
      <c r="K682" s="44">
        <v>42005</v>
      </c>
      <c r="L682" s="45">
        <f t="shared" si="54"/>
        <v>5</v>
      </c>
      <c r="M682" s="17">
        <v>1.4833299999999999E-3</v>
      </c>
      <c r="N682" s="46">
        <f t="shared" si="51"/>
        <v>525.139611575</v>
      </c>
      <c r="O682" s="14"/>
      <c r="P682" s="48"/>
      <c r="Q682" s="16"/>
      <c r="R682" s="48">
        <f t="shared" si="55"/>
        <v>1659.5039062499998</v>
      </c>
      <c r="S682" s="14"/>
    </row>
    <row r="683" spans="1:19">
      <c r="A683" s="14" t="s">
        <v>54</v>
      </c>
      <c r="B683" s="15" t="s">
        <v>852</v>
      </c>
      <c r="C683" s="15" t="s">
        <v>853</v>
      </c>
      <c r="D683" s="14" t="s">
        <v>854</v>
      </c>
      <c r="E683" s="15" t="s">
        <v>62</v>
      </c>
      <c r="F683" s="14" t="s">
        <v>22</v>
      </c>
      <c r="G683" s="15" t="s">
        <v>23</v>
      </c>
      <c r="H683" s="15" t="s">
        <v>1525</v>
      </c>
      <c r="I683" s="15">
        <v>201501</v>
      </c>
      <c r="J683" s="16">
        <v>1761.71</v>
      </c>
      <c r="K683" s="44">
        <v>42005</v>
      </c>
      <c r="L683" s="45">
        <f t="shared" si="54"/>
        <v>5</v>
      </c>
      <c r="M683" s="17">
        <v>1.4833299999999999E-3</v>
      </c>
      <c r="N683" s="46">
        <f t="shared" si="51"/>
        <v>13.065986471499999</v>
      </c>
      <c r="O683" s="14"/>
      <c r="P683" s="48"/>
      <c r="Q683" s="16"/>
      <c r="R683" s="48">
        <f t="shared" si="55"/>
        <v>41.290078125000001</v>
      </c>
      <c r="S683" s="14"/>
    </row>
    <row r="684" spans="1:19">
      <c r="A684" s="14" t="s">
        <v>17</v>
      </c>
      <c r="B684" s="15" t="s">
        <v>2182</v>
      </c>
      <c r="C684" s="15" t="s">
        <v>1714</v>
      </c>
      <c r="D684" s="14" t="s">
        <v>1715</v>
      </c>
      <c r="E684" s="15" t="s">
        <v>574</v>
      </c>
      <c r="F684" s="14" t="s">
        <v>28</v>
      </c>
      <c r="G684" s="15" t="s">
        <v>23</v>
      </c>
      <c r="H684" s="15" t="s">
        <v>1525</v>
      </c>
      <c r="I684" s="15">
        <v>201501</v>
      </c>
      <c r="J684" s="16">
        <v>146040.44</v>
      </c>
      <c r="K684" s="44">
        <v>42005</v>
      </c>
      <c r="L684" s="45">
        <f t="shared" si="54"/>
        <v>5</v>
      </c>
      <c r="M684" s="17">
        <v>1.4833299999999999E-3</v>
      </c>
      <c r="N684" s="46">
        <f t="shared" si="51"/>
        <v>1083.1308293259999</v>
      </c>
      <c r="O684" s="14"/>
      <c r="P684" s="48"/>
      <c r="Q684" s="16"/>
      <c r="R684" s="48">
        <f t="shared" si="55"/>
        <v>3422.8228124999996</v>
      </c>
      <c r="S684" s="14"/>
    </row>
    <row r="685" spans="1:19">
      <c r="A685" s="14" t="s">
        <v>54</v>
      </c>
      <c r="B685" s="15" t="s">
        <v>858</v>
      </c>
      <c r="C685" s="15" t="s">
        <v>859</v>
      </c>
      <c r="D685" s="14" t="s">
        <v>860</v>
      </c>
      <c r="E685" s="15" t="s">
        <v>62</v>
      </c>
      <c r="F685" s="14" t="s">
        <v>22</v>
      </c>
      <c r="G685" s="15" t="s">
        <v>23</v>
      </c>
      <c r="H685" s="15" t="s">
        <v>1525</v>
      </c>
      <c r="I685" s="15">
        <v>201501</v>
      </c>
      <c r="J685" s="16">
        <v>-0.61</v>
      </c>
      <c r="K685" s="44">
        <v>42005</v>
      </c>
      <c r="L685" s="45">
        <f t="shared" si="54"/>
        <v>5</v>
      </c>
      <c r="M685" s="17">
        <v>1.4833299999999999E-3</v>
      </c>
      <c r="N685" s="46">
        <f t="shared" si="51"/>
        <v>-4.5241564999999994E-3</v>
      </c>
      <c r="O685" s="14"/>
      <c r="P685" s="48"/>
      <c r="Q685" s="16"/>
      <c r="R685" s="48">
        <f t="shared" si="55"/>
        <v>-1.4296875000000001E-2</v>
      </c>
      <c r="S685" s="14"/>
    </row>
    <row r="686" spans="1:19">
      <c r="A686" s="14" t="s">
        <v>54</v>
      </c>
      <c r="B686" s="15" t="s">
        <v>876</v>
      </c>
      <c r="C686" s="15" t="s">
        <v>877</v>
      </c>
      <c r="D686" s="14" t="s">
        <v>878</v>
      </c>
      <c r="E686" s="15" t="s">
        <v>62</v>
      </c>
      <c r="F686" s="14" t="s">
        <v>22</v>
      </c>
      <c r="G686" s="15" t="s">
        <v>23</v>
      </c>
      <c r="H686" s="15" t="s">
        <v>1525</v>
      </c>
      <c r="I686" s="15">
        <v>201501</v>
      </c>
      <c r="J686" s="16">
        <v>48299.15</v>
      </c>
      <c r="K686" s="44">
        <v>42005</v>
      </c>
      <c r="L686" s="45">
        <f t="shared" si="54"/>
        <v>5</v>
      </c>
      <c r="M686" s="17">
        <v>1.4833299999999999E-3</v>
      </c>
      <c r="N686" s="46">
        <f t="shared" si="51"/>
        <v>358.21789084749997</v>
      </c>
      <c r="O686" s="14"/>
      <c r="P686" s="48"/>
      <c r="Q686" s="16"/>
      <c r="R686" s="48">
        <f t="shared" si="55"/>
        <v>1132.0113281250001</v>
      </c>
      <c r="S686" s="14"/>
    </row>
    <row r="687" spans="1:19">
      <c r="A687" s="14" t="s">
        <v>54</v>
      </c>
      <c r="B687" s="15" t="s">
        <v>876</v>
      </c>
      <c r="C687" s="15" t="s">
        <v>877</v>
      </c>
      <c r="D687" s="14" t="s">
        <v>878</v>
      </c>
      <c r="E687" s="15" t="s">
        <v>62</v>
      </c>
      <c r="F687" s="14" t="s">
        <v>22</v>
      </c>
      <c r="G687" s="15" t="s">
        <v>23</v>
      </c>
      <c r="H687" s="15" t="s">
        <v>1525</v>
      </c>
      <c r="I687" s="15">
        <v>201501</v>
      </c>
      <c r="J687" s="16">
        <v>-48303.040000000001</v>
      </c>
      <c r="K687" s="44">
        <v>42005</v>
      </c>
      <c r="L687" s="45">
        <f t="shared" si="54"/>
        <v>5</v>
      </c>
      <c r="M687" s="17">
        <v>1.4833299999999999E-3</v>
      </c>
      <c r="N687" s="46">
        <f t="shared" si="51"/>
        <v>-358.24674161600001</v>
      </c>
      <c r="O687" s="14"/>
      <c r="P687" s="48"/>
      <c r="Q687" s="16"/>
      <c r="R687" s="48">
        <f t="shared" si="55"/>
        <v>-1132.1025</v>
      </c>
      <c r="S687" s="14"/>
    </row>
    <row r="688" spans="1:19">
      <c r="A688" s="14" t="s">
        <v>54</v>
      </c>
      <c r="B688" s="15" t="s">
        <v>2183</v>
      </c>
      <c r="C688" s="15" t="s">
        <v>2184</v>
      </c>
      <c r="D688" s="14" t="s">
        <v>2185</v>
      </c>
      <c r="E688" s="15" t="s">
        <v>62</v>
      </c>
      <c r="F688" s="14" t="s">
        <v>22</v>
      </c>
      <c r="G688" s="15" t="s">
        <v>23</v>
      </c>
      <c r="H688" s="15" t="s">
        <v>1525</v>
      </c>
      <c r="I688" s="15">
        <v>201501</v>
      </c>
      <c r="J688" s="16">
        <v>93860.72</v>
      </c>
      <c r="K688" s="44">
        <v>42005</v>
      </c>
      <c r="L688" s="45">
        <f t="shared" si="54"/>
        <v>5</v>
      </c>
      <c r="M688" s="17">
        <v>1.4833299999999999E-3</v>
      </c>
      <c r="N688" s="46">
        <f t="shared" si="51"/>
        <v>696.13210898799991</v>
      </c>
      <c r="O688" s="14"/>
      <c r="P688" s="48"/>
      <c r="Q688" s="16"/>
      <c r="R688" s="48">
        <f t="shared" si="55"/>
        <v>2199.8606250000003</v>
      </c>
      <c r="S688" s="14"/>
    </row>
    <row r="689" spans="1:19">
      <c r="A689" s="14" t="s">
        <v>54</v>
      </c>
      <c r="B689" s="15" t="s">
        <v>1045</v>
      </c>
      <c r="C689" s="15" t="s">
        <v>1046</v>
      </c>
      <c r="D689" s="14" t="s">
        <v>1047</v>
      </c>
      <c r="E689" s="15" t="s">
        <v>462</v>
      </c>
      <c r="F689" s="14" t="s">
        <v>142</v>
      </c>
      <c r="G689" s="15" t="s">
        <v>23</v>
      </c>
      <c r="H689" s="15" t="s">
        <v>1525</v>
      </c>
      <c r="I689" s="15">
        <v>201501</v>
      </c>
      <c r="J689" s="16">
        <v>4423.05</v>
      </c>
      <c r="K689" s="44">
        <v>42005</v>
      </c>
      <c r="L689" s="45">
        <f t="shared" si="54"/>
        <v>5</v>
      </c>
      <c r="M689" s="17">
        <v>1.4833299999999999E-3</v>
      </c>
      <c r="N689" s="46">
        <f t="shared" si="51"/>
        <v>32.8042137825</v>
      </c>
      <c r="O689" s="14"/>
      <c r="P689" s="48"/>
      <c r="Q689" s="16"/>
      <c r="R689" s="48">
        <f t="shared" si="55"/>
        <v>103.665234375</v>
      </c>
      <c r="S689" s="14"/>
    </row>
    <row r="690" spans="1:19">
      <c r="A690" s="14" t="s">
        <v>54</v>
      </c>
      <c r="B690" s="15" t="s">
        <v>2186</v>
      </c>
      <c r="C690" s="15" t="s">
        <v>2187</v>
      </c>
      <c r="D690" s="14" t="s">
        <v>2188</v>
      </c>
      <c r="E690" s="15" t="s">
        <v>27</v>
      </c>
      <c r="F690" s="14" t="s">
        <v>28</v>
      </c>
      <c r="G690" s="15" t="s">
        <v>23</v>
      </c>
      <c r="H690" s="15" t="s">
        <v>1525</v>
      </c>
      <c r="I690" s="15">
        <v>201501</v>
      </c>
      <c r="J690" s="16">
        <v>21847.29</v>
      </c>
      <c r="K690" s="44">
        <v>42005</v>
      </c>
      <c r="L690" s="45">
        <f t="shared" si="54"/>
        <v>5</v>
      </c>
      <c r="M690" s="17">
        <v>1.4833299999999999E-3</v>
      </c>
      <c r="N690" s="46">
        <f t="shared" si="51"/>
        <v>162.03370337850001</v>
      </c>
      <c r="O690" s="14"/>
      <c r="P690" s="48"/>
      <c r="Q690" s="16"/>
      <c r="R690" s="48">
        <f t="shared" si="55"/>
        <v>512.04585937499996</v>
      </c>
      <c r="S690" s="14"/>
    </row>
    <row r="691" spans="1:19">
      <c r="A691" s="14" t="s">
        <v>54</v>
      </c>
      <c r="B691" s="15" t="s">
        <v>1051</v>
      </c>
      <c r="C691" s="15" t="s">
        <v>1052</v>
      </c>
      <c r="D691" s="14" t="s">
        <v>1053</v>
      </c>
      <c r="E691" s="15" t="s">
        <v>45</v>
      </c>
      <c r="F691" s="14" t="s">
        <v>22</v>
      </c>
      <c r="G691" s="15" t="s">
        <v>23</v>
      </c>
      <c r="H691" s="15" t="s">
        <v>1525</v>
      </c>
      <c r="I691" s="15">
        <v>201501</v>
      </c>
      <c r="J691" s="16">
        <v>7190.75</v>
      </c>
      <c r="K691" s="44">
        <v>42005</v>
      </c>
      <c r="L691" s="45">
        <f t="shared" si="54"/>
        <v>5</v>
      </c>
      <c r="M691" s="17">
        <v>1.4833299999999999E-3</v>
      </c>
      <c r="N691" s="46">
        <f t="shared" si="51"/>
        <v>53.331275987499993</v>
      </c>
      <c r="O691" s="14"/>
      <c r="P691" s="48"/>
      <c r="Q691" s="16"/>
      <c r="R691" s="48">
        <f t="shared" si="55"/>
        <v>168.533203125</v>
      </c>
      <c r="S691" s="14"/>
    </row>
    <row r="692" spans="1:19">
      <c r="A692" s="14" t="s">
        <v>54</v>
      </c>
      <c r="B692" s="15" t="s">
        <v>888</v>
      </c>
      <c r="C692" s="15" t="s">
        <v>889</v>
      </c>
      <c r="D692" s="14" t="s">
        <v>890</v>
      </c>
      <c r="E692" s="15" t="s">
        <v>32</v>
      </c>
      <c r="F692" s="14" t="s">
        <v>22</v>
      </c>
      <c r="G692" s="15" t="s">
        <v>23</v>
      </c>
      <c r="H692" s="15" t="s">
        <v>1525</v>
      </c>
      <c r="I692" s="15">
        <v>201501</v>
      </c>
      <c r="J692" s="16">
        <v>0.26</v>
      </c>
      <c r="K692" s="44">
        <v>42005</v>
      </c>
      <c r="L692" s="45">
        <f t="shared" ref="L692:L753" si="56">((YEAR($L$1)-YEAR(K692))*12+MONTH($L$1)-MONTH(K692))</f>
        <v>5</v>
      </c>
      <c r="M692" s="17">
        <v>1.4833299999999999E-3</v>
      </c>
      <c r="N692" s="46">
        <f t="shared" si="51"/>
        <v>1.9283289999999999E-3</v>
      </c>
      <c r="O692" s="14"/>
      <c r="P692" s="48"/>
      <c r="Q692" s="16"/>
      <c r="R692" s="48">
        <f t="shared" si="55"/>
        <v>6.0937500000000002E-3</v>
      </c>
      <c r="S692" s="14"/>
    </row>
    <row r="693" spans="1:19">
      <c r="A693" s="14" t="s">
        <v>54</v>
      </c>
      <c r="B693" s="15" t="s">
        <v>2189</v>
      </c>
      <c r="C693" s="15" t="s">
        <v>1731</v>
      </c>
      <c r="D693" s="14" t="s">
        <v>1732</v>
      </c>
      <c r="E693" s="15" t="s">
        <v>62</v>
      </c>
      <c r="F693" s="14" t="s">
        <v>22</v>
      </c>
      <c r="G693" s="15" t="s">
        <v>23</v>
      </c>
      <c r="H693" s="15" t="s">
        <v>1525</v>
      </c>
      <c r="I693" s="15">
        <v>201501</v>
      </c>
      <c r="J693" s="16">
        <v>769399.64</v>
      </c>
      <c r="K693" s="44">
        <v>42005</v>
      </c>
      <c r="L693" s="45">
        <f t="shared" si="56"/>
        <v>5</v>
      </c>
      <c r="M693" s="17">
        <v>1.4833299999999999E-3</v>
      </c>
      <c r="N693" s="46">
        <f t="shared" si="51"/>
        <v>5706.3678400059998</v>
      </c>
      <c r="O693" s="14"/>
      <c r="P693" s="48"/>
      <c r="Q693" s="16"/>
      <c r="R693" s="48">
        <f t="shared" ref="R693:R754" si="57">$R$627*J693*$U$9</f>
        <v>18032.804062499999</v>
      </c>
      <c r="S693" s="14"/>
    </row>
    <row r="694" spans="1:19">
      <c r="A694" s="14" t="s">
        <v>54</v>
      </c>
      <c r="B694" s="15" t="s">
        <v>897</v>
      </c>
      <c r="C694" s="15" t="s">
        <v>898</v>
      </c>
      <c r="D694" s="14" t="s">
        <v>899</v>
      </c>
      <c r="E694" s="15" t="s">
        <v>45</v>
      </c>
      <c r="F694" s="14" t="s">
        <v>22</v>
      </c>
      <c r="G694" s="15" t="s">
        <v>23</v>
      </c>
      <c r="H694" s="15" t="s">
        <v>1525</v>
      </c>
      <c r="I694" s="15">
        <v>201501</v>
      </c>
      <c r="J694" s="16">
        <v>0</v>
      </c>
      <c r="K694" s="44">
        <v>42005</v>
      </c>
      <c r="L694" s="45">
        <f t="shared" si="56"/>
        <v>5</v>
      </c>
      <c r="M694" s="17">
        <v>1.4833299999999999E-3</v>
      </c>
      <c r="N694" s="46">
        <f t="shared" si="51"/>
        <v>0</v>
      </c>
      <c r="O694" s="14"/>
      <c r="P694" s="48"/>
      <c r="Q694" s="16"/>
      <c r="R694" s="48">
        <f t="shared" si="57"/>
        <v>0</v>
      </c>
      <c r="S694" s="14"/>
    </row>
    <row r="695" spans="1:19">
      <c r="A695" s="14" t="s">
        <v>54</v>
      </c>
      <c r="B695" s="15" t="s">
        <v>1054</v>
      </c>
      <c r="C695" s="15" t="s">
        <v>1055</v>
      </c>
      <c r="D695" s="14" t="s">
        <v>1056</v>
      </c>
      <c r="E695" s="15" t="s">
        <v>141</v>
      </c>
      <c r="F695" s="14" t="s">
        <v>142</v>
      </c>
      <c r="G695" s="15" t="s">
        <v>23</v>
      </c>
      <c r="H695" s="15" t="s">
        <v>1525</v>
      </c>
      <c r="I695" s="15">
        <v>201501</v>
      </c>
      <c r="J695" s="16">
        <v>18395.05</v>
      </c>
      <c r="K695" s="44">
        <v>42005</v>
      </c>
      <c r="L695" s="45">
        <f t="shared" si="56"/>
        <v>5</v>
      </c>
      <c r="M695" s="17">
        <v>1.4833299999999999E-3</v>
      </c>
      <c r="N695" s="46">
        <f t="shared" si="51"/>
        <v>136.4296475825</v>
      </c>
      <c r="O695" s="14"/>
      <c r="P695" s="48"/>
      <c r="Q695" s="16"/>
      <c r="R695" s="48">
        <f t="shared" si="57"/>
        <v>431.13398437499995</v>
      </c>
      <c r="S695" s="14"/>
    </row>
    <row r="696" spans="1:19">
      <c r="A696" s="14" t="s">
        <v>17</v>
      </c>
      <c r="B696" s="15" t="s">
        <v>903</v>
      </c>
      <c r="C696" s="15" t="s">
        <v>904</v>
      </c>
      <c r="D696" s="14" t="s">
        <v>905</v>
      </c>
      <c r="E696" s="15" t="s">
        <v>49</v>
      </c>
      <c r="F696" s="14" t="s">
        <v>22</v>
      </c>
      <c r="G696" s="15" t="s">
        <v>23</v>
      </c>
      <c r="H696" s="15" t="s">
        <v>1525</v>
      </c>
      <c r="I696" s="15">
        <v>201501</v>
      </c>
      <c r="J696" s="16">
        <v>0.2</v>
      </c>
      <c r="K696" s="44">
        <v>42005</v>
      </c>
      <c r="L696" s="45">
        <f t="shared" si="56"/>
        <v>5</v>
      </c>
      <c r="M696" s="17">
        <v>1.4833299999999999E-3</v>
      </c>
      <c r="N696" s="46">
        <f t="shared" si="51"/>
        <v>1.4833299999999999E-3</v>
      </c>
      <c r="O696" s="14"/>
      <c r="P696" s="48"/>
      <c r="Q696" s="16"/>
      <c r="R696" s="48">
        <f t="shared" si="57"/>
        <v>4.6874999999999998E-3</v>
      </c>
      <c r="S696" s="14"/>
    </row>
    <row r="697" spans="1:19">
      <c r="A697" s="14" t="s">
        <v>54</v>
      </c>
      <c r="B697" s="15" t="s">
        <v>913</v>
      </c>
      <c r="C697" s="15" t="s">
        <v>914</v>
      </c>
      <c r="D697" s="14" t="s">
        <v>915</v>
      </c>
      <c r="E697" s="15" t="s">
        <v>36</v>
      </c>
      <c r="F697" s="14" t="s">
        <v>22</v>
      </c>
      <c r="G697" s="15" t="s">
        <v>23</v>
      </c>
      <c r="H697" s="15" t="s">
        <v>1525</v>
      </c>
      <c r="I697" s="15">
        <v>201501</v>
      </c>
      <c r="J697" s="16">
        <v>47.73</v>
      </c>
      <c r="K697" s="44">
        <v>42005</v>
      </c>
      <c r="L697" s="45">
        <f t="shared" si="56"/>
        <v>5</v>
      </c>
      <c r="M697" s="17">
        <v>1.4833299999999999E-3</v>
      </c>
      <c r="N697" s="46">
        <f t="shared" si="51"/>
        <v>0.35399670449999993</v>
      </c>
      <c r="O697" s="14"/>
      <c r="P697" s="48"/>
      <c r="Q697" s="16"/>
      <c r="R697" s="48">
        <f t="shared" si="57"/>
        <v>1.118671875</v>
      </c>
      <c r="S697" s="14"/>
    </row>
    <row r="698" spans="1:19">
      <c r="A698" s="14" t="s">
        <v>54</v>
      </c>
      <c r="B698" s="15" t="s">
        <v>916</v>
      </c>
      <c r="C698" s="15" t="s">
        <v>917</v>
      </c>
      <c r="D698" s="14" t="s">
        <v>918</v>
      </c>
      <c r="E698" s="15" t="s">
        <v>909</v>
      </c>
      <c r="F698" s="14" t="s">
        <v>22</v>
      </c>
      <c r="G698" s="15" t="s">
        <v>23</v>
      </c>
      <c r="H698" s="15" t="s">
        <v>1525</v>
      </c>
      <c r="I698" s="15">
        <v>201501</v>
      </c>
      <c r="J698" s="16">
        <v>0</v>
      </c>
      <c r="K698" s="44">
        <v>42005</v>
      </c>
      <c r="L698" s="45">
        <f t="shared" si="56"/>
        <v>5</v>
      </c>
      <c r="M698" s="17">
        <v>1.4833299999999999E-3</v>
      </c>
      <c r="N698" s="46">
        <f t="shared" si="51"/>
        <v>0</v>
      </c>
      <c r="O698" s="14"/>
      <c r="P698" s="48"/>
      <c r="Q698" s="16"/>
      <c r="R698" s="48">
        <f t="shared" si="57"/>
        <v>0</v>
      </c>
      <c r="S698" s="14"/>
    </row>
    <row r="699" spans="1:19">
      <c r="A699" s="14" t="s">
        <v>54</v>
      </c>
      <c r="B699" s="15" t="s">
        <v>2190</v>
      </c>
      <c r="C699" s="15" t="s">
        <v>1733</v>
      </c>
      <c r="D699" s="14" t="s">
        <v>1734</v>
      </c>
      <c r="E699" s="15" t="s">
        <v>216</v>
      </c>
      <c r="F699" s="14" t="s">
        <v>22</v>
      </c>
      <c r="G699" s="15" t="s">
        <v>23</v>
      </c>
      <c r="H699" s="15" t="s">
        <v>1525</v>
      </c>
      <c r="I699" s="15">
        <v>201501</v>
      </c>
      <c r="J699" s="16">
        <v>34182.43</v>
      </c>
      <c r="K699" s="44">
        <v>42005</v>
      </c>
      <c r="L699" s="45">
        <f t="shared" si="56"/>
        <v>5</v>
      </c>
      <c r="M699" s="17">
        <v>1.4833299999999999E-3</v>
      </c>
      <c r="N699" s="46">
        <f t="shared" si="51"/>
        <v>253.51911945949999</v>
      </c>
      <c r="O699" s="14"/>
      <c r="P699" s="48"/>
      <c r="Q699" s="16"/>
      <c r="R699" s="48">
        <f t="shared" si="57"/>
        <v>801.15070312499995</v>
      </c>
      <c r="S699" s="14"/>
    </row>
    <row r="700" spans="1:19">
      <c r="A700" s="14" t="s">
        <v>54</v>
      </c>
      <c r="B700" s="15" t="s">
        <v>938</v>
      </c>
      <c r="C700" s="15" t="s">
        <v>939</v>
      </c>
      <c r="D700" s="14" t="s">
        <v>940</v>
      </c>
      <c r="E700" s="15" t="s">
        <v>141</v>
      </c>
      <c r="F700" s="14" t="s">
        <v>142</v>
      </c>
      <c r="G700" s="15" t="s">
        <v>23</v>
      </c>
      <c r="H700" s="15" t="s">
        <v>1525</v>
      </c>
      <c r="I700" s="15">
        <v>201501</v>
      </c>
      <c r="J700" s="16">
        <v>-2.04</v>
      </c>
      <c r="K700" s="44">
        <v>42005</v>
      </c>
      <c r="L700" s="45">
        <f t="shared" si="56"/>
        <v>5</v>
      </c>
      <c r="M700" s="17">
        <v>1.4833299999999999E-3</v>
      </c>
      <c r="N700" s="46">
        <f t="shared" si="51"/>
        <v>-1.5129966E-2</v>
      </c>
      <c r="O700" s="14"/>
      <c r="P700" s="48"/>
      <c r="Q700" s="16"/>
      <c r="R700" s="48">
        <f t="shared" si="57"/>
        <v>-4.7812500000000001E-2</v>
      </c>
      <c r="S700" s="14"/>
    </row>
    <row r="701" spans="1:19">
      <c r="A701" s="14" t="s">
        <v>54</v>
      </c>
      <c r="B701" s="15" t="s">
        <v>2191</v>
      </c>
      <c r="C701" s="15" t="s">
        <v>2192</v>
      </c>
      <c r="D701" s="14" t="s">
        <v>2193</v>
      </c>
      <c r="E701" s="15" t="s">
        <v>45</v>
      </c>
      <c r="F701" s="14" t="s">
        <v>22</v>
      </c>
      <c r="G701" s="15" t="s">
        <v>23</v>
      </c>
      <c r="H701" s="15" t="s">
        <v>1525</v>
      </c>
      <c r="I701" s="15">
        <v>201501</v>
      </c>
      <c r="J701" s="16">
        <v>2643.04</v>
      </c>
      <c r="K701" s="44">
        <v>42005</v>
      </c>
      <c r="L701" s="45">
        <f t="shared" si="56"/>
        <v>5</v>
      </c>
      <c r="M701" s="17">
        <v>1.4833299999999999E-3</v>
      </c>
      <c r="N701" s="46">
        <f t="shared" si="51"/>
        <v>19.602502615999999</v>
      </c>
      <c r="O701" s="14"/>
      <c r="P701" s="48"/>
      <c r="Q701" s="16"/>
      <c r="R701" s="48">
        <f t="shared" si="57"/>
        <v>61.946249999999992</v>
      </c>
      <c r="S701" s="14"/>
    </row>
    <row r="702" spans="1:19">
      <c r="A702" s="14" t="s">
        <v>54</v>
      </c>
      <c r="B702" s="15" t="s">
        <v>947</v>
      </c>
      <c r="C702" s="15" t="s">
        <v>948</v>
      </c>
      <c r="D702" s="14" t="s">
        <v>949</v>
      </c>
      <c r="E702" s="15" t="s">
        <v>141</v>
      </c>
      <c r="F702" s="14" t="s">
        <v>142</v>
      </c>
      <c r="G702" s="15" t="s">
        <v>23</v>
      </c>
      <c r="H702" s="15" t="s">
        <v>1525</v>
      </c>
      <c r="I702" s="15">
        <v>201501</v>
      </c>
      <c r="J702" s="16">
        <v>-20078.13</v>
      </c>
      <c r="K702" s="44">
        <v>42005</v>
      </c>
      <c r="L702" s="45">
        <f t="shared" si="56"/>
        <v>5</v>
      </c>
      <c r="M702" s="17">
        <v>1.4833299999999999E-3</v>
      </c>
      <c r="N702" s="46">
        <f t="shared" si="51"/>
        <v>-148.91246286449999</v>
      </c>
      <c r="O702" s="14"/>
      <c r="P702" s="48"/>
      <c r="Q702" s="16"/>
      <c r="R702" s="48">
        <f t="shared" si="57"/>
        <v>-470.581171875</v>
      </c>
      <c r="S702" s="14"/>
    </row>
    <row r="703" spans="1:19">
      <c r="A703" s="14" t="s">
        <v>54</v>
      </c>
      <c r="B703" s="15" t="s">
        <v>950</v>
      </c>
      <c r="C703" s="15" t="s">
        <v>951</v>
      </c>
      <c r="D703" s="14" t="s">
        <v>952</v>
      </c>
      <c r="E703" s="15" t="s">
        <v>141</v>
      </c>
      <c r="F703" s="14" t="s">
        <v>142</v>
      </c>
      <c r="G703" s="15" t="s">
        <v>23</v>
      </c>
      <c r="H703" s="15" t="s">
        <v>1525</v>
      </c>
      <c r="I703" s="15">
        <v>201501</v>
      </c>
      <c r="J703" s="16">
        <v>234.22</v>
      </c>
      <c r="K703" s="44">
        <v>42005</v>
      </c>
      <c r="L703" s="45">
        <f t="shared" si="56"/>
        <v>5</v>
      </c>
      <c r="M703" s="17">
        <v>1.4833299999999999E-3</v>
      </c>
      <c r="N703" s="46">
        <f t="shared" si="51"/>
        <v>1.7371277629999999</v>
      </c>
      <c r="O703" s="14"/>
      <c r="P703" s="48"/>
      <c r="Q703" s="16"/>
      <c r="R703" s="48">
        <f t="shared" si="57"/>
        <v>5.4895312499999989</v>
      </c>
      <c r="S703" s="14"/>
    </row>
    <row r="704" spans="1:19">
      <c r="A704" s="14" t="s">
        <v>54</v>
      </c>
      <c r="B704" s="15" t="s">
        <v>974</v>
      </c>
      <c r="C704" s="15" t="s">
        <v>975</v>
      </c>
      <c r="D704" s="14" t="s">
        <v>976</v>
      </c>
      <c r="E704" s="15" t="s">
        <v>141</v>
      </c>
      <c r="F704" s="14" t="s">
        <v>142</v>
      </c>
      <c r="G704" s="15" t="s">
        <v>23</v>
      </c>
      <c r="H704" s="15" t="s">
        <v>1525</v>
      </c>
      <c r="I704" s="15">
        <v>201501</v>
      </c>
      <c r="J704" s="16">
        <v>-8.36</v>
      </c>
      <c r="K704" s="44">
        <v>42005</v>
      </c>
      <c r="L704" s="45">
        <f t="shared" si="56"/>
        <v>5</v>
      </c>
      <c r="M704" s="17">
        <v>1.4833299999999999E-3</v>
      </c>
      <c r="N704" s="46">
        <f t="shared" si="51"/>
        <v>-6.2003193999999991E-2</v>
      </c>
      <c r="O704" s="14"/>
      <c r="P704" s="48"/>
      <c r="Q704" s="16"/>
      <c r="R704" s="48">
        <f t="shared" si="57"/>
        <v>-0.19593749999999996</v>
      </c>
      <c r="S704" s="14"/>
    </row>
    <row r="705" spans="1:19">
      <c r="A705" s="14" t="s">
        <v>54</v>
      </c>
      <c r="B705" s="15" t="s">
        <v>977</v>
      </c>
      <c r="C705" s="15" t="s">
        <v>978</v>
      </c>
      <c r="D705" s="14" t="s">
        <v>979</v>
      </c>
      <c r="E705" s="15" t="s">
        <v>980</v>
      </c>
      <c r="F705" s="14" t="s">
        <v>259</v>
      </c>
      <c r="G705" s="15" t="s">
        <v>23</v>
      </c>
      <c r="H705" s="15" t="s">
        <v>1525</v>
      </c>
      <c r="I705" s="15">
        <v>201501</v>
      </c>
      <c r="J705" s="16">
        <v>-7.91</v>
      </c>
      <c r="K705" s="44">
        <v>42005</v>
      </c>
      <c r="L705" s="45">
        <f t="shared" si="56"/>
        <v>5</v>
      </c>
      <c r="M705" s="17">
        <v>1.4833299999999999E-3</v>
      </c>
      <c r="N705" s="46">
        <f t="shared" si="51"/>
        <v>-5.8665701499999993E-2</v>
      </c>
      <c r="O705" s="14"/>
      <c r="P705" s="48"/>
      <c r="Q705" s="16"/>
      <c r="R705" s="48">
        <f t="shared" si="57"/>
        <v>-0.18539062499999998</v>
      </c>
      <c r="S705" s="14"/>
    </row>
    <row r="706" spans="1:19">
      <c r="A706" s="14" t="s">
        <v>17</v>
      </c>
      <c r="B706" s="15" t="s">
        <v>981</v>
      </c>
      <c r="C706" s="15" t="s">
        <v>982</v>
      </c>
      <c r="D706" s="14" t="s">
        <v>983</v>
      </c>
      <c r="E706" s="15" t="s">
        <v>440</v>
      </c>
      <c r="F706" s="14" t="s">
        <v>28</v>
      </c>
      <c r="G706" s="15" t="s">
        <v>23</v>
      </c>
      <c r="H706" s="15" t="s">
        <v>1525</v>
      </c>
      <c r="I706" s="15">
        <v>201501</v>
      </c>
      <c r="J706" s="16">
        <v>2.63</v>
      </c>
      <c r="K706" s="44">
        <v>42005</v>
      </c>
      <c r="L706" s="45">
        <f t="shared" si="56"/>
        <v>5</v>
      </c>
      <c r="M706" s="17">
        <v>1.4833299999999999E-3</v>
      </c>
      <c r="N706" s="46">
        <f t="shared" si="51"/>
        <v>1.9505789499999999E-2</v>
      </c>
      <c r="O706" s="14"/>
      <c r="P706" s="48"/>
      <c r="Q706" s="16"/>
      <c r="R706" s="48">
        <f t="shared" si="57"/>
        <v>6.1640624999999991E-2</v>
      </c>
      <c r="S706" s="14"/>
    </row>
    <row r="707" spans="1:19">
      <c r="A707" s="14" t="s">
        <v>54</v>
      </c>
      <c r="B707" s="15" t="s">
        <v>984</v>
      </c>
      <c r="C707" s="15" t="s">
        <v>985</v>
      </c>
      <c r="D707" s="14" t="s">
        <v>986</v>
      </c>
      <c r="E707" s="15" t="s">
        <v>141</v>
      </c>
      <c r="F707" s="14" t="s">
        <v>142</v>
      </c>
      <c r="G707" s="15" t="s">
        <v>23</v>
      </c>
      <c r="H707" s="15" t="s">
        <v>1525</v>
      </c>
      <c r="I707" s="15">
        <v>201501</v>
      </c>
      <c r="J707" s="16">
        <v>-4.32</v>
      </c>
      <c r="K707" s="44">
        <v>42005</v>
      </c>
      <c r="L707" s="45">
        <f t="shared" si="56"/>
        <v>5</v>
      </c>
      <c r="M707" s="17">
        <v>1.4833299999999999E-3</v>
      </c>
      <c r="N707" s="46">
        <f t="shared" si="51"/>
        <v>-3.2039928000000002E-2</v>
      </c>
      <c r="O707" s="14"/>
      <c r="P707" s="48"/>
      <c r="Q707" s="16"/>
      <c r="R707" s="48">
        <f t="shared" si="57"/>
        <v>-0.10125000000000001</v>
      </c>
      <c r="S707" s="14"/>
    </row>
    <row r="708" spans="1:19">
      <c r="A708" s="14" t="s">
        <v>17</v>
      </c>
      <c r="B708" s="15" t="s">
        <v>987</v>
      </c>
      <c r="C708" s="15" t="s">
        <v>988</v>
      </c>
      <c r="D708" s="14" t="s">
        <v>989</v>
      </c>
      <c r="E708" s="15" t="s">
        <v>45</v>
      </c>
      <c r="F708" s="14" t="s">
        <v>22</v>
      </c>
      <c r="G708" s="15" t="s">
        <v>23</v>
      </c>
      <c r="H708" s="15" t="s">
        <v>1525</v>
      </c>
      <c r="I708" s="15">
        <v>201501</v>
      </c>
      <c r="J708" s="16">
        <v>-5.49</v>
      </c>
      <c r="K708" s="44">
        <v>42005</v>
      </c>
      <c r="L708" s="45">
        <f t="shared" si="56"/>
        <v>5</v>
      </c>
      <c r="M708" s="17">
        <v>1.4833299999999999E-3</v>
      </c>
      <c r="N708" s="46">
        <f t="shared" si="51"/>
        <v>-4.0717408499999996E-2</v>
      </c>
      <c r="O708" s="14"/>
      <c r="P708" s="48"/>
      <c r="Q708" s="16"/>
      <c r="R708" s="48">
        <f t="shared" si="57"/>
        <v>-0.12867187499999999</v>
      </c>
      <c r="S708" s="14"/>
    </row>
    <row r="709" spans="1:19">
      <c r="A709" s="14" t="s">
        <v>54</v>
      </c>
      <c r="B709" s="15" t="s">
        <v>990</v>
      </c>
      <c r="C709" s="15" t="s">
        <v>991</v>
      </c>
      <c r="D709" s="14" t="s">
        <v>992</v>
      </c>
      <c r="E709" s="15" t="s">
        <v>141</v>
      </c>
      <c r="F709" s="14" t="s">
        <v>142</v>
      </c>
      <c r="G709" s="15" t="s">
        <v>23</v>
      </c>
      <c r="H709" s="15" t="s">
        <v>1525</v>
      </c>
      <c r="I709" s="15">
        <v>201501</v>
      </c>
      <c r="J709" s="16">
        <v>-180.44</v>
      </c>
      <c r="K709" s="44">
        <v>42005</v>
      </c>
      <c r="L709" s="45">
        <f t="shared" si="56"/>
        <v>5</v>
      </c>
      <c r="M709" s="17">
        <v>1.4833299999999999E-3</v>
      </c>
      <c r="N709" s="46">
        <f t="shared" si="51"/>
        <v>-1.3382603259999999</v>
      </c>
      <c r="O709" s="14"/>
      <c r="P709" s="48"/>
      <c r="Q709" s="16"/>
      <c r="R709" s="48">
        <f t="shared" si="57"/>
        <v>-4.2290624999999995</v>
      </c>
      <c r="S709" s="14"/>
    </row>
    <row r="710" spans="1:19">
      <c r="A710" s="14" t="s">
        <v>54</v>
      </c>
      <c r="B710" s="15" t="s">
        <v>996</v>
      </c>
      <c r="C710" s="15" t="s">
        <v>997</v>
      </c>
      <c r="D710" s="14" t="s">
        <v>998</v>
      </c>
      <c r="E710" s="15" t="s">
        <v>27</v>
      </c>
      <c r="F710" s="14" t="s">
        <v>28</v>
      </c>
      <c r="G710" s="15" t="s">
        <v>23</v>
      </c>
      <c r="H710" s="15" t="s">
        <v>1525</v>
      </c>
      <c r="I710" s="15">
        <v>201501</v>
      </c>
      <c r="J710" s="16">
        <v>-127.94</v>
      </c>
      <c r="K710" s="44">
        <v>42005</v>
      </c>
      <c r="L710" s="45">
        <f t="shared" si="56"/>
        <v>5</v>
      </c>
      <c r="M710" s="17">
        <v>1.4833299999999999E-3</v>
      </c>
      <c r="N710" s="46">
        <f t="shared" si="51"/>
        <v>-0.94888620099999987</v>
      </c>
      <c r="O710" s="14"/>
      <c r="P710" s="48"/>
      <c r="Q710" s="16"/>
      <c r="R710" s="48">
        <f t="shared" si="57"/>
        <v>-2.9985937499999999</v>
      </c>
      <c r="S710" s="14"/>
    </row>
    <row r="711" spans="1:19">
      <c r="A711" s="14" t="s">
        <v>17</v>
      </c>
      <c r="B711" s="15" t="s">
        <v>1063</v>
      </c>
      <c r="C711" s="15" t="s">
        <v>1064</v>
      </c>
      <c r="D711" s="14" t="s">
        <v>1065</v>
      </c>
      <c r="E711" s="15" t="s">
        <v>125</v>
      </c>
      <c r="F711" s="14" t="s">
        <v>126</v>
      </c>
      <c r="G711" s="15" t="s">
        <v>23</v>
      </c>
      <c r="H711" s="15" t="s">
        <v>1525</v>
      </c>
      <c r="I711" s="15">
        <v>201501</v>
      </c>
      <c r="J711" s="16">
        <v>-4051.45</v>
      </c>
      <c r="K711" s="44">
        <v>42005</v>
      </c>
      <c r="L711" s="45">
        <f t="shared" si="56"/>
        <v>5</v>
      </c>
      <c r="M711" s="17">
        <v>1.4833299999999999E-3</v>
      </c>
      <c r="N711" s="46">
        <f t="shared" si="51"/>
        <v>-30.048186642499996</v>
      </c>
      <c r="O711" s="14"/>
      <c r="P711" s="48"/>
      <c r="Q711" s="16"/>
      <c r="R711" s="48">
        <f t="shared" si="57"/>
        <v>-94.955859374999989</v>
      </c>
      <c r="S711" s="14"/>
    </row>
    <row r="712" spans="1:19">
      <c r="A712" s="14" t="s">
        <v>17</v>
      </c>
      <c r="B712" s="15" t="s">
        <v>999</v>
      </c>
      <c r="C712" s="15" t="s">
        <v>1000</v>
      </c>
      <c r="D712" s="14" t="s">
        <v>1001</v>
      </c>
      <c r="E712" s="15" t="s">
        <v>176</v>
      </c>
      <c r="F712" s="14" t="s">
        <v>28</v>
      </c>
      <c r="G712" s="15" t="s">
        <v>23</v>
      </c>
      <c r="H712" s="15" t="s">
        <v>1525</v>
      </c>
      <c r="I712" s="15">
        <v>201501</v>
      </c>
      <c r="J712" s="16">
        <v>-35.4</v>
      </c>
      <c r="K712" s="44">
        <v>42005</v>
      </c>
      <c r="L712" s="45">
        <f t="shared" si="56"/>
        <v>5</v>
      </c>
      <c r="M712" s="17">
        <v>1.4833299999999999E-3</v>
      </c>
      <c r="N712" s="46">
        <f t="shared" si="51"/>
        <v>-0.26254940999999998</v>
      </c>
      <c r="O712" s="14"/>
      <c r="P712" s="48"/>
      <c r="Q712" s="16"/>
      <c r="R712" s="48">
        <f t="shared" si="57"/>
        <v>-0.82968749999999991</v>
      </c>
      <c r="S712" s="14"/>
    </row>
    <row r="713" spans="1:19">
      <c r="A713" s="14" t="s">
        <v>54</v>
      </c>
      <c r="B713" s="15" t="s">
        <v>1002</v>
      </c>
      <c r="C713" s="15" t="s">
        <v>1003</v>
      </c>
      <c r="D713" s="14" t="s">
        <v>1004</v>
      </c>
      <c r="E713" s="15" t="s">
        <v>216</v>
      </c>
      <c r="F713" s="14" t="s">
        <v>22</v>
      </c>
      <c r="G713" s="15" t="s">
        <v>23</v>
      </c>
      <c r="H713" s="15" t="s">
        <v>1525</v>
      </c>
      <c r="I713" s="15">
        <v>201501</v>
      </c>
      <c r="J713" s="16">
        <v>-2560.84</v>
      </c>
      <c r="K713" s="44">
        <v>42005</v>
      </c>
      <c r="L713" s="45">
        <f t="shared" si="56"/>
        <v>5</v>
      </c>
      <c r="M713" s="17">
        <v>1.4833299999999999E-3</v>
      </c>
      <c r="N713" s="46">
        <f t="shared" si="51"/>
        <v>-18.992853986</v>
      </c>
      <c r="O713" s="14"/>
      <c r="P713" s="48"/>
      <c r="Q713" s="16"/>
      <c r="R713" s="48">
        <f t="shared" si="57"/>
        <v>-60.019687500000003</v>
      </c>
      <c r="S713" s="14"/>
    </row>
    <row r="714" spans="1:19">
      <c r="A714" s="14" t="s">
        <v>54</v>
      </c>
      <c r="B714" s="15" t="s">
        <v>1005</v>
      </c>
      <c r="C714" s="15" t="s">
        <v>1006</v>
      </c>
      <c r="D714" s="14" t="s">
        <v>1007</v>
      </c>
      <c r="E714" s="15" t="s">
        <v>141</v>
      </c>
      <c r="F714" s="14" t="s">
        <v>142</v>
      </c>
      <c r="G714" s="15" t="s">
        <v>23</v>
      </c>
      <c r="H714" s="15" t="s">
        <v>1525</v>
      </c>
      <c r="I714" s="15">
        <v>201501</v>
      </c>
      <c r="J714" s="16">
        <v>-125.4</v>
      </c>
      <c r="K714" s="44">
        <v>42005</v>
      </c>
      <c r="L714" s="45">
        <f t="shared" si="56"/>
        <v>5</v>
      </c>
      <c r="M714" s="17">
        <v>1.4833299999999999E-3</v>
      </c>
      <c r="N714" s="46">
        <f t="shared" si="51"/>
        <v>-0.93004790999999998</v>
      </c>
      <c r="O714" s="14"/>
      <c r="P714" s="48"/>
      <c r="Q714" s="16"/>
      <c r="R714" s="48">
        <f t="shared" si="57"/>
        <v>-2.9390624999999999</v>
      </c>
      <c r="S714" s="14"/>
    </row>
    <row r="715" spans="1:19">
      <c r="A715" s="14" t="s">
        <v>54</v>
      </c>
      <c r="B715" s="15" t="s">
        <v>2194</v>
      </c>
      <c r="C715" s="15" t="s">
        <v>2195</v>
      </c>
      <c r="D715" s="14" t="s">
        <v>2196</v>
      </c>
      <c r="E715" s="15" t="s">
        <v>36</v>
      </c>
      <c r="F715" s="14" t="s">
        <v>22</v>
      </c>
      <c r="G715" s="15" t="s">
        <v>23</v>
      </c>
      <c r="H715" s="15" t="s">
        <v>1525</v>
      </c>
      <c r="I715" s="15">
        <v>201501</v>
      </c>
      <c r="J715" s="16">
        <v>23997.22</v>
      </c>
      <c r="K715" s="44">
        <v>42005</v>
      </c>
      <c r="L715" s="45">
        <f t="shared" si="56"/>
        <v>5</v>
      </c>
      <c r="M715" s="17">
        <v>1.4833299999999999E-3</v>
      </c>
      <c r="N715" s="46">
        <f t="shared" si="51"/>
        <v>177.978981713</v>
      </c>
      <c r="O715" s="14"/>
      <c r="P715" s="48"/>
      <c r="Q715" s="16"/>
      <c r="R715" s="48">
        <f t="shared" si="57"/>
        <v>562.43484375000003</v>
      </c>
      <c r="S715" s="14"/>
    </row>
    <row r="716" spans="1:19">
      <c r="A716" s="14" t="s">
        <v>54</v>
      </c>
      <c r="B716" s="15" t="s">
        <v>1008</v>
      </c>
      <c r="C716" s="15" t="s">
        <v>1009</v>
      </c>
      <c r="D716" s="14" t="s">
        <v>1010</v>
      </c>
      <c r="E716" s="15" t="s">
        <v>49</v>
      </c>
      <c r="F716" s="14" t="s">
        <v>22</v>
      </c>
      <c r="G716" s="15" t="s">
        <v>23</v>
      </c>
      <c r="H716" s="15" t="s">
        <v>1525</v>
      </c>
      <c r="I716" s="15">
        <v>201501</v>
      </c>
      <c r="J716" s="16">
        <v>-222.36</v>
      </c>
      <c r="K716" s="44">
        <v>42005</v>
      </c>
      <c r="L716" s="45">
        <f t="shared" si="56"/>
        <v>5</v>
      </c>
      <c r="M716" s="17">
        <v>1.4833299999999999E-3</v>
      </c>
      <c r="N716" s="46">
        <f t="shared" si="51"/>
        <v>-1.649166294</v>
      </c>
      <c r="O716" s="14"/>
      <c r="P716" s="48"/>
      <c r="Q716" s="16"/>
      <c r="R716" s="48">
        <f t="shared" si="57"/>
        <v>-5.2115624999999994</v>
      </c>
      <c r="S716" s="14"/>
    </row>
    <row r="717" spans="1:19">
      <c r="A717" s="14" t="s">
        <v>54</v>
      </c>
      <c r="B717" s="15" t="s">
        <v>1014</v>
      </c>
      <c r="C717" s="15" t="s">
        <v>1015</v>
      </c>
      <c r="D717" s="14" t="s">
        <v>1016</v>
      </c>
      <c r="E717" s="15" t="s">
        <v>296</v>
      </c>
      <c r="F717" s="14" t="s">
        <v>28</v>
      </c>
      <c r="G717" s="15" t="s">
        <v>23</v>
      </c>
      <c r="H717" s="15" t="s">
        <v>1525</v>
      </c>
      <c r="I717" s="15">
        <v>201501</v>
      </c>
      <c r="J717" s="16">
        <v>-6.33</v>
      </c>
      <c r="K717" s="44">
        <v>42005</v>
      </c>
      <c r="L717" s="45">
        <f t="shared" si="56"/>
        <v>5</v>
      </c>
      <c r="M717" s="17">
        <v>1.4833299999999999E-3</v>
      </c>
      <c r="N717" s="46">
        <f t="shared" si="51"/>
        <v>-4.6947394499999996E-2</v>
      </c>
      <c r="O717" s="14"/>
      <c r="P717" s="48"/>
      <c r="Q717" s="16"/>
      <c r="R717" s="48">
        <f t="shared" si="57"/>
        <v>-0.14835937500000002</v>
      </c>
      <c r="S717" s="14"/>
    </row>
    <row r="718" spans="1:19">
      <c r="A718" s="14" t="s">
        <v>54</v>
      </c>
      <c r="B718" s="15" t="s">
        <v>1017</v>
      </c>
      <c r="C718" s="15" t="s">
        <v>1018</v>
      </c>
      <c r="D718" s="14" t="s">
        <v>1019</v>
      </c>
      <c r="E718" s="15" t="s">
        <v>1020</v>
      </c>
      <c r="F718" s="14" t="s">
        <v>22</v>
      </c>
      <c r="G718" s="15" t="s">
        <v>23</v>
      </c>
      <c r="H718" s="15" t="s">
        <v>1525</v>
      </c>
      <c r="I718" s="15">
        <v>201501</v>
      </c>
      <c r="J718" s="16">
        <v>-1626.32</v>
      </c>
      <c r="K718" s="44">
        <v>42005</v>
      </c>
      <c r="L718" s="45">
        <f t="shared" si="56"/>
        <v>5</v>
      </c>
      <c r="M718" s="17">
        <v>1.4833299999999999E-3</v>
      </c>
      <c r="N718" s="46">
        <f t="shared" si="51"/>
        <v>-12.061846227999999</v>
      </c>
      <c r="O718" s="14"/>
      <c r="P718" s="48"/>
      <c r="Q718" s="16"/>
      <c r="R718" s="48">
        <f t="shared" si="57"/>
        <v>-38.116874999999993</v>
      </c>
      <c r="S718" s="14"/>
    </row>
    <row r="719" spans="1:19">
      <c r="A719" s="14" t="s">
        <v>54</v>
      </c>
      <c r="B719" s="15" t="s">
        <v>1069</v>
      </c>
      <c r="C719" s="15" t="s">
        <v>1070</v>
      </c>
      <c r="D719" s="14" t="s">
        <v>1071</v>
      </c>
      <c r="E719" s="15" t="s">
        <v>296</v>
      </c>
      <c r="F719" s="14" t="s">
        <v>28</v>
      </c>
      <c r="G719" s="15" t="s">
        <v>23</v>
      </c>
      <c r="H719" s="15" t="s">
        <v>1525</v>
      </c>
      <c r="I719" s="15">
        <v>201501</v>
      </c>
      <c r="J719" s="16">
        <v>-19.29</v>
      </c>
      <c r="K719" s="44">
        <v>42005</v>
      </c>
      <c r="L719" s="45">
        <f t="shared" si="56"/>
        <v>5</v>
      </c>
      <c r="M719" s="17">
        <v>1.4833299999999999E-3</v>
      </c>
      <c r="N719" s="46">
        <f t="shared" si="51"/>
        <v>-0.14306717849999998</v>
      </c>
      <c r="O719" s="14"/>
      <c r="P719" s="48"/>
      <c r="Q719" s="16"/>
      <c r="R719" s="48">
        <f t="shared" si="57"/>
        <v>-0.45210937499999998</v>
      </c>
      <c r="S719" s="14"/>
    </row>
    <row r="720" spans="1:19">
      <c r="A720" s="14" t="s">
        <v>54</v>
      </c>
      <c r="B720" s="15" t="s">
        <v>1072</v>
      </c>
      <c r="C720" s="15" t="s">
        <v>1073</v>
      </c>
      <c r="D720" s="14" t="s">
        <v>1074</v>
      </c>
      <c r="E720" s="15" t="s">
        <v>296</v>
      </c>
      <c r="F720" s="14" t="s">
        <v>28</v>
      </c>
      <c r="G720" s="15" t="s">
        <v>23</v>
      </c>
      <c r="H720" s="15" t="s">
        <v>1525</v>
      </c>
      <c r="I720" s="15">
        <v>201501</v>
      </c>
      <c r="J720" s="16">
        <v>-34.159999999999997</v>
      </c>
      <c r="K720" s="44">
        <v>42005</v>
      </c>
      <c r="L720" s="45">
        <f t="shared" si="56"/>
        <v>5</v>
      </c>
      <c r="M720" s="17">
        <v>1.4833299999999999E-3</v>
      </c>
      <c r="N720" s="46">
        <f t="shared" si="51"/>
        <v>-0.25335276399999995</v>
      </c>
      <c r="O720" s="14"/>
      <c r="P720" s="48"/>
      <c r="Q720" s="16"/>
      <c r="R720" s="48">
        <f t="shared" si="57"/>
        <v>-0.80062499999999992</v>
      </c>
      <c r="S720" s="14"/>
    </row>
    <row r="721" spans="1:19">
      <c r="A721" s="14" t="s">
        <v>54</v>
      </c>
      <c r="B721" s="15" t="s">
        <v>1075</v>
      </c>
      <c r="C721" s="15" t="s">
        <v>1076</v>
      </c>
      <c r="D721" s="14" t="s">
        <v>1077</v>
      </c>
      <c r="E721" s="15" t="s">
        <v>62</v>
      </c>
      <c r="F721" s="14" t="s">
        <v>22</v>
      </c>
      <c r="G721" s="15" t="s">
        <v>23</v>
      </c>
      <c r="H721" s="15" t="s">
        <v>1525</v>
      </c>
      <c r="I721" s="15">
        <v>201501</v>
      </c>
      <c r="J721" s="16">
        <v>-264.39</v>
      </c>
      <c r="K721" s="44">
        <v>42005</v>
      </c>
      <c r="L721" s="45">
        <f t="shared" si="56"/>
        <v>5</v>
      </c>
      <c r="M721" s="17">
        <v>1.4833299999999999E-3</v>
      </c>
      <c r="N721" s="46">
        <f t="shared" si="51"/>
        <v>-1.9608880934999997</v>
      </c>
      <c r="O721" s="14"/>
      <c r="P721" s="48"/>
      <c r="Q721" s="16"/>
      <c r="R721" s="48">
        <f t="shared" si="57"/>
        <v>-6.1966406249999997</v>
      </c>
      <c r="S721" s="14"/>
    </row>
    <row r="722" spans="1:19">
      <c r="A722" s="14" t="s">
        <v>54</v>
      </c>
      <c r="B722" s="15" t="s">
        <v>1021</v>
      </c>
      <c r="C722" s="15" t="s">
        <v>1022</v>
      </c>
      <c r="D722" s="14" t="s">
        <v>1023</v>
      </c>
      <c r="E722" s="15" t="s">
        <v>108</v>
      </c>
      <c r="F722" s="14" t="s">
        <v>28</v>
      </c>
      <c r="G722" s="15" t="s">
        <v>23</v>
      </c>
      <c r="H722" s="15" t="s">
        <v>1525</v>
      </c>
      <c r="I722" s="15">
        <v>201501</v>
      </c>
      <c r="J722" s="16">
        <v>-0.54</v>
      </c>
      <c r="K722" s="44">
        <v>42005</v>
      </c>
      <c r="L722" s="45">
        <f t="shared" si="56"/>
        <v>5</v>
      </c>
      <c r="M722" s="17">
        <v>1.4833299999999999E-3</v>
      </c>
      <c r="N722" s="46">
        <f t="shared" si="51"/>
        <v>-4.0049910000000003E-3</v>
      </c>
      <c r="O722" s="14"/>
      <c r="P722" s="48"/>
      <c r="Q722" s="16"/>
      <c r="R722" s="48">
        <f t="shared" si="57"/>
        <v>-1.2656250000000001E-2</v>
      </c>
      <c r="S722" s="14"/>
    </row>
    <row r="723" spans="1:19">
      <c r="A723" s="14" t="s">
        <v>54</v>
      </c>
      <c r="B723" s="15" t="s">
        <v>1078</v>
      </c>
      <c r="C723" s="15" t="s">
        <v>1079</v>
      </c>
      <c r="D723" s="14" t="s">
        <v>1080</v>
      </c>
      <c r="E723" s="15" t="s">
        <v>62</v>
      </c>
      <c r="F723" s="14" t="s">
        <v>22</v>
      </c>
      <c r="G723" s="15" t="s">
        <v>23</v>
      </c>
      <c r="H723" s="15" t="s">
        <v>1525</v>
      </c>
      <c r="I723" s="15">
        <v>201501</v>
      </c>
      <c r="J723" s="16">
        <v>-9.73</v>
      </c>
      <c r="K723" s="44">
        <v>42005</v>
      </c>
      <c r="L723" s="45">
        <f t="shared" si="56"/>
        <v>5</v>
      </c>
      <c r="M723" s="17">
        <v>1.4833299999999999E-3</v>
      </c>
      <c r="N723" s="46">
        <f t="shared" si="51"/>
        <v>-7.2164004500000004E-2</v>
      </c>
      <c r="O723" s="14"/>
      <c r="P723" s="48"/>
      <c r="Q723" s="16"/>
      <c r="R723" s="48">
        <f t="shared" si="57"/>
        <v>-0.22804687500000001</v>
      </c>
      <c r="S723" s="14"/>
    </row>
    <row r="724" spans="1:19">
      <c r="A724" s="14" t="s">
        <v>54</v>
      </c>
      <c r="B724" s="15" t="s">
        <v>1081</v>
      </c>
      <c r="C724" s="15" t="s">
        <v>1082</v>
      </c>
      <c r="D724" s="14" t="s">
        <v>1083</v>
      </c>
      <c r="E724" s="15" t="s">
        <v>141</v>
      </c>
      <c r="F724" s="14" t="s">
        <v>142</v>
      </c>
      <c r="G724" s="15" t="s">
        <v>23</v>
      </c>
      <c r="H724" s="15" t="s">
        <v>1525</v>
      </c>
      <c r="I724" s="15">
        <v>201501</v>
      </c>
      <c r="J724" s="16">
        <v>40504.11</v>
      </c>
      <c r="K724" s="44">
        <v>42005</v>
      </c>
      <c r="L724" s="45">
        <f t="shared" si="56"/>
        <v>5</v>
      </c>
      <c r="M724" s="17">
        <v>1.4833299999999999E-3</v>
      </c>
      <c r="N724" s="46">
        <f t="shared" si="51"/>
        <v>300.40480743149999</v>
      </c>
      <c r="O724" s="14"/>
      <c r="P724" s="48"/>
      <c r="Q724" s="16"/>
      <c r="R724" s="48">
        <f t="shared" si="57"/>
        <v>949.31507812500001</v>
      </c>
      <c r="S724" s="14"/>
    </row>
    <row r="725" spans="1:19">
      <c r="A725" s="14" t="s">
        <v>54</v>
      </c>
      <c r="B725" s="15" t="s">
        <v>1084</v>
      </c>
      <c r="C725" s="15" t="s">
        <v>1085</v>
      </c>
      <c r="D725" s="14" t="s">
        <v>1086</v>
      </c>
      <c r="E725" s="15" t="s">
        <v>21</v>
      </c>
      <c r="F725" s="14" t="s">
        <v>22</v>
      </c>
      <c r="G725" s="15" t="s">
        <v>23</v>
      </c>
      <c r="H725" s="15" t="s">
        <v>1525</v>
      </c>
      <c r="I725" s="15">
        <v>201501</v>
      </c>
      <c r="J725" s="16">
        <v>3371.22</v>
      </c>
      <c r="K725" s="44">
        <v>42005</v>
      </c>
      <c r="L725" s="45">
        <f t="shared" si="56"/>
        <v>5</v>
      </c>
      <c r="M725" s="17">
        <v>1.4833299999999999E-3</v>
      </c>
      <c r="N725" s="46">
        <f t="shared" si="51"/>
        <v>25.003158812999995</v>
      </c>
      <c r="O725" s="14"/>
      <c r="P725" s="48"/>
      <c r="Q725" s="16"/>
      <c r="R725" s="48">
        <f t="shared" si="57"/>
        <v>79.012968749999985</v>
      </c>
      <c r="S725" s="14"/>
    </row>
    <row r="726" spans="1:19">
      <c r="A726" s="14" t="s">
        <v>54</v>
      </c>
      <c r="B726" s="15" t="s">
        <v>2197</v>
      </c>
      <c r="C726" s="15" t="s">
        <v>1741</v>
      </c>
      <c r="D726" s="14" t="s">
        <v>1742</v>
      </c>
      <c r="E726" s="15" t="s">
        <v>216</v>
      </c>
      <c r="F726" s="14" t="s">
        <v>22</v>
      </c>
      <c r="G726" s="15" t="s">
        <v>23</v>
      </c>
      <c r="H726" s="15" t="s">
        <v>1525</v>
      </c>
      <c r="I726" s="15">
        <v>201501</v>
      </c>
      <c r="J726" s="16">
        <v>43695.4</v>
      </c>
      <c r="K726" s="44">
        <v>42005</v>
      </c>
      <c r="L726" s="45">
        <f t="shared" si="56"/>
        <v>5</v>
      </c>
      <c r="M726" s="17">
        <v>1.4833299999999999E-3</v>
      </c>
      <c r="N726" s="46">
        <f t="shared" si="51"/>
        <v>324.07348840999998</v>
      </c>
      <c r="O726" s="14"/>
      <c r="P726" s="48"/>
      <c r="Q726" s="16"/>
      <c r="R726" s="48">
        <f t="shared" si="57"/>
        <v>1024.1109375000001</v>
      </c>
      <c r="S726" s="14"/>
    </row>
    <row r="727" spans="1:19">
      <c r="A727" s="14" t="s">
        <v>54</v>
      </c>
      <c r="B727" s="15" t="s">
        <v>1087</v>
      </c>
      <c r="C727" s="15" t="s">
        <v>1088</v>
      </c>
      <c r="D727" s="14" t="s">
        <v>1089</v>
      </c>
      <c r="E727" s="15" t="s">
        <v>1020</v>
      </c>
      <c r="F727" s="14" t="s">
        <v>22</v>
      </c>
      <c r="G727" s="15" t="s">
        <v>23</v>
      </c>
      <c r="H727" s="15" t="s">
        <v>1525</v>
      </c>
      <c r="I727" s="15">
        <v>201501</v>
      </c>
      <c r="J727" s="16">
        <v>-355.88</v>
      </c>
      <c r="K727" s="44">
        <v>42005</v>
      </c>
      <c r="L727" s="45">
        <f t="shared" si="56"/>
        <v>5</v>
      </c>
      <c r="M727" s="17">
        <v>1.4833299999999999E-3</v>
      </c>
      <c r="N727" s="46">
        <f t="shared" si="51"/>
        <v>-2.639437402</v>
      </c>
      <c r="O727" s="14"/>
      <c r="P727" s="48"/>
      <c r="Q727" s="16"/>
      <c r="R727" s="48">
        <f t="shared" si="57"/>
        <v>-8.340937499999999</v>
      </c>
      <c r="S727" s="14"/>
    </row>
    <row r="728" spans="1:19">
      <c r="A728" s="14" t="s">
        <v>54</v>
      </c>
      <c r="B728" s="15" t="s">
        <v>1090</v>
      </c>
      <c r="C728" s="15" t="s">
        <v>1091</v>
      </c>
      <c r="D728" s="14" t="s">
        <v>1092</v>
      </c>
      <c r="E728" s="15" t="s">
        <v>216</v>
      </c>
      <c r="F728" s="14" t="s">
        <v>22</v>
      </c>
      <c r="G728" s="15" t="s">
        <v>23</v>
      </c>
      <c r="H728" s="15" t="s">
        <v>1525</v>
      </c>
      <c r="I728" s="15">
        <v>201501</v>
      </c>
      <c r="J728" s="16">
        <v>-806.13</v>
      </c>
      <c r="K728" s="44">
        <v>42005</v>
      </c>
      <c r="L728" s="45">
        <f t="shared" si="56"/>
        <v>5</v>
      </c>
      <c r="M728" s="17">
        <v>1.4833299999999999E-3</v>
      </c>
      <c r="N728" s="46">
        <f t="shared" si="51"/>
        <v>-5.9787840644999992</v>
      </c>
      <c r="O728" s="14"/>
      <c r="P728" s="48"/>
      <c r="Q728" s="16"/>
      <c r="R728" s="48">
        <f t="shared" si="57"/>
        <v>-18.893671874999999</v>
      </c>
      <c r="S728" s="14"/>
    </row>
    <row r="729" spans="1:19">
      <c r="A729" s="14" t="s">
        <v>54</v>
      </c>
      <c r="B729" s="15" t="s">
        <v>2198</v>
      </c>
      <c r="C729" s="15" t="s">
        <v>2199</v>
      </c>
      <c r="D729" s="14" t="s">
        <v>2200</v>
      </c>
      <c r="E729" s="15" t="s">
        <v>176</v>
      </c>
      <c r="F729" s="14" t="s">
        <v>28</v>
      </c>
      <c r="G729" s="15" t="s">
        <v>23</v>
      </c>
      <c r="H729" s="15" t="s">
        <v>1525</v>
      </c>
      <c r="I729" s="15">
        <v>201501</v>
      </c>
      <c r="J729" s="16">
        <v>128.97999999999999</v>
      </c>
      <c r="K729" s="44">
        <v>42005</v>
      </c>
      <c r="L729" s="45">
        <f t="shared" si="56"/>
        <v>5</v>
      </c>
      <c r="M729" s="17">
        <v>1.4833299999999999E-3</v>
      </c>
      <c r="N729" s="46">
        <f t="shared" si="51"/>
        <v>0.9565995169999999</v>
      </c>
      <c r="O729" s="14"/>
      <c r="P729" s="48"/>
      <c r="Q729" s="16"/>
      <c r="R729" s="48">
        <f t="shared" si="57"/>
        <v>3.0229687499999995</v>
      </c>
      <c r="S729" s="14"/>
    </row>
    <row r="730" spans="1:19">
      <c r="A730" s="14" t="s">
        <v>54</v>
      </c>
      <c r="B730" s="15" t="s">
        <v>2201</v>
      </c>
      <c r="C730" s="15" t="s">
        <v>2202</v>
      </c>
      <c r="D730" s="14" t="s">
        <v>2203</v>
      </c>
      <c r="E730" s="15" t="s">
        <v>909</v>
      </c>
      <c r="F730" s="14" t="s">
        <v>22</v>
      </c>
      <c r="G730" s="15" t="s">
        <v>23</v>
      </c>
      <c r="H730" s="15" t="s">
        <v>1525</v>
      </c>
      <c r="I730" s="15">
        <v>201501</v>
      </c>
      <c r="J730" s="16">
        <v>3215.27</v>
      </c>
      <c r="K730" s="44">
        <v>42005</v>
      </c>
      <c r="L730" s="45">
        <f t="shared" si="56"/>
        <v>5</v>
      </c>
      <c r="M730" s="17">
        <v>1.4833299999999999E-3</v>
      </c>
      <c r="N730" s="46">
        <f t="shared" si="51"/>
        <v>23.846532245499997</v>
      </c>
      <c r="O730" s="14"/>
      <c r="P730" s="48"/>
      <c r="Q730" s="16"/>
      <c r="R730" s="48">
        <f t="shared" si="57"/>
        <v>75.357890624999996</v>
      </c>
      <c r="S730" s="14"/>
    </row>
    <row r="731" spans="1:19">
      <c r="A731" s="14" t="s">
        <v>54</v>
      </c>
      <c r="B731" s="15" t="s">
        <v>1093</v>
      </c>
      <c r="C731" s="15" t="s">
        <v>1094</v>
      </c>
      <c r="D731" s="14" t="s">
        <v>1095</v>
      </c>
      <c r="E731" s="15" t="s">
        <v>27</v>
      </c>
      <c r="F731" s="14" t="s">
        <v>28</v>
      </c>
      <c r="G731" s="15" t="s">
        <v>23</v>
      </c>
      <c r="H731" s="15" t="s">
        <v>1525</v>
      </c>
      <c r="I731" s="15">
        <v>201501</v>
      </c>
      <c r="J731" s="16">
        <v>-1.69</v>
      </c>
      <c r="K731" s="44">
        <v>42005</v>
      </c>
      <c r="L731" s="45">
        <f t="shared" si="56"/>
        <v>5</v>
      </c>
      <c r="M731" s="17">
        <v>1.4833299999999999E-3</v>
      </c>
      <c r="N731" s="46">
        <f t="shared" si="51"/>
        <v>-1.2534138499999998E-2</v>
      </c>
      <c r="O731" s="14"/>
      <c r="P731" s="48"/>
      <c r="Q731" s="16"/>
      <c r="R731" s="48">
        <f t="shared" si="57"/>
        <v>-3.9609375000000002E-2</v>
      </c>
      <c r="S731" s="14"/>
    </row>
    <row r="732" spans="1:19">
      <c r="A732" s="14" t="s">
        <v>17</v>
      </c>
      <c r="B732" s="15" t="s">
        <v>2204</v>
      </c>
      <c r="C732" s="15" t="s">
        <v>2205</v>
      </c>
      <c r="D732" s="14" t="s">
        <v>2206</v>
      </c>
      <c r="E732" s="15" t="s">
        <v>440</v>
      </c>
      <c r="F732" s="14" t="s">
        <v>28</v>
      </c>
      <c r="G732" s="15" t="s">
        <v>23</v>
      </c>
      <c r="H732" s="15" t="s">
        <v>1525</v>
      </c>
      <c r="I732" s="15">
        <v>201501</v>
      </c>
      <c r="J732" s="16">
        <v>22886.23</v>
      </c>
      <c r="K732" s="44">
        <v>42005</v>
      </c>
      <c r="L732" s="45">
        <f t="shared" si="56"/>
        <v>5</v>
      </c>
      <c r="M732" s="17">
        <v>1.4833299999999999E-3</v>
      </c>
      <c r="N732" s="46">
        <f t="shared" si="51"/>
        <v>169.73915772949999</v>
      </c>
      <c r="O732" s="14"/>
      <c r="P732" s="48"/>
      <c r="Q732" s="16"/>
      <c r="R732" s="48">
        <f t="shared" si="57"/>
        <v>536.39601562500002</v>
      </c>
      <c r="S732" s="14"/>
    </row>
    <row r="733" spans="1:19">
      <c r="A733" s="14" t="s">
        <v>54</v>
      </c>
      <c r="B733" s="15" t="s">
        <v>1096</v>
      </c>
      <c r="C733" s="15" t="s">
        <v>1097</v>
      </c>
      <c r="D733" s="14" t="s">
        <v>1098</v>
      </c>
      <c r="E733" s="15" t="s">
        <v>462</v>
      </c>
      <c r="F733" s="14" t="s">
        <v>142</v>
      </c>
      <c r="G733" s="15" t="s">
        <v>23</v>
      </c>
      <c r="H733" s="15" t="s">
        <v>1525</v>
      </c>
      <c r="I733" s="15">
        <v>201501</v>
      </c>
      <c r="J733" s="16">
        <v>740.17</v>
      </c>
      <c r="K733" s="44">
        <v>42005</v>
      </c>
      <c r="L733" s="45">
        <f t="shared" si="56"/>
        <v>5</v>
      </c>
      <c r="M733" s="17">
        <v>1.4833299999999999E-3</v>
      </c>
      <c r="N733" s="46">
        <f t="shared" si="51"/>
        <v>5.4895818304999997</v>
      </c>
      <c r="O733" s="14"/>
      <c r="P733" s="48"/>
      <c r="Q733" s="16"/>
      <c r="R733" s="48">
        <f t="shared" si="57"/>
        <v>17.347734374999998</v>
      </c>
      <c r="S733" s="14"/>
    </row>
    <row r="734" spans="1:19">
      <c r="A734" s="14" t="s">
        <v>54</v>
      </c>
      <c r="B734" s="15" t="s">
        <v>2207</v>
      </c>
      <c r="C734" s="15" t="s">
        <v>2208</v>
      </c>
      <c r="D734" s="14" t="s">
        <v>2209</v>
      </c>
      <c r="E734" s="15" t="s">
        <v>141</v>
      </c>
      <c r="F734" s="14" t="s">
        <v>142</v>
      </c>
      <c r="G734" s="15" t="s">
        <v>23</v>
      </c>
      <c r="H734" s="15" t="s">
        <v>1525</v>
      </c>
      <c r="I734" s="15">
        <v>201501</v>
      </c>
      <c r="J734" s="16">
        <v>65796.67</v>
      </c>
      <c r="K734" s="44">
        <v>42005</v>
      </c>
      <c r="L734" s="45">
        <f t="shared" si="56"/>
        <v>5</v>
      </c>
      <c r="M734" s="17">
        <v>1.4833299999999999E-3</v>
      </c>
      <c r="N734" s="46">
        <f t="shared" si="51"/>
        <v>487.99087255549995</v>
      </c>
      <c r="O734" s="14"/>
      <c r="P734" s="48"/>
      <c r="Q734" s="16"/>
      <c r="R734" s="48">
        <f t="shared" si="57"/>
        <v>1542.1094531250001</v>
      </c>
      <c r="S734" s="14"/>
    </row>
    <row r="735" spans="1:19">
      <c r="A735" s="14" t="s">
        <v>54</v>
      </c>
      <c r="B735" s="15" t="s">
        <v>2210</v>
      </c>
      <c r="C735" s="15" t="s">
        <v>2211</v>
      </c>
      <c r="D735" s="14" t="s">
        <v>2212</v>
      </c>
      <c r="E735" s="15" t="s">
        <v>45</v>
      </c>
      <c r="F735" s="14" t="s">
        <v>22</v>
      </c>
      <c r="G735" s="15" t="s">
        <v>23</v>
      </c>
      <c r="H735" s="15" t="s">
        <v>1525</v>
      </c>
      <c r="I735" s="15">
        <v>201501</v>
      </c>
      <c r="J735" s="16">
        <v>32651.14</v>
      </c>
      <c r="K735" s="44">
        <v>42005</v>
      </c>
      <c r="L735" s="45">
        <f t="shared" si="56"/>
        <v>5</v>
      </c>
      <c r="M735" s="17">
        <v>1.4833299999999999E-3</v>
      </c>
      <c r="N735" s="46">
        <f t="shared" si="51"/>
        <v>242.16207748099998</v>
      </c>
      <c r="O735" s="14"/>
      <c r="P735" s="48"/>
      <c r="Q735" s="16"/>
      <c r="R735" s="48">
        <f t="shared" si="57"/>
        <v>765.26109374999987</v>
      </c>
      <c r="S735" s="14"/>
    </row>
    <row r="736" spans="1:19">
      <c r="A736" s="14" t="s">
        <v>17</v>
      </c>
      <c r="B736" s="15" t="s">
        <v>2213</v>
      </c>
      <c r="C736" s="15" t="s">
        <v>2214</v>
      </c>
      <c r="D736" s="14" t="s">
        <v>2215</v>
      </c>
      <c r="E736" s="15" t="s">
        <v>108</v>
      </c>
      <c r="F736" s="14" t="s">
        <v>28</v>
      </c>
      <c r="G736" s="15" t="s">
        <v>23</v>
      </c>
      <c r="H736" s="15" t="s">
        <v>1525</v>
      </c>
      <c r="I736" s="15">
        <v>201501</v>
      </c>
      <c r="J736" s="16">
        <v>3822.71</v>
      </c>
      <c r="K736" s="44">
        <v>42005</v>
      </c>
      <c r="L736" s="45">
        <f t="shared" si="56"/>
        <v>5</v>
      </c>
      <c r="M736" s="17">
        <v>1.4833299999999999E-3</v>
      </c>
      <c r="N736" s="46">
        <f t="shared" si="51"/>
        <v>28.351702121499997</v>
      </c>
      <c r="O736" s="14"/>
      <c r="P736" s="48"/>
      <c r="Q736" s="16"/>
      <c r="R736" s="48">
        <f t="shared" si="57"/>
        <v>89.594765624999994</v>
      </c>
      <c r="S736" s="14"/>
    </row>
    <row r="737" spans="1:19">
      <c r="A737" s="14" t="s">
        <v>17</v>
      </c>
      <c r="B737" s="15" t="s">
        <v>2216</v>
      </c>
      <c r="C737" s="15" t="s">
        <v>2217</v>
      </c>
      <c r="D737" s="14" t="s">
        <v>2218</v>
      </c>
      <c r="E737" s="15" t="s">
        <v>324</v>
      </c>
      <c r="F737" s="14" t="s">
        <v>325</v>
      </c>
      <c r="G737" s="15" t="s">
        <v>23</v>
      </c>
      <c r="H737" s="15" t="s">
        <v>1525</v>
      </c>
      <c r="I737" s="15">
        <v>201501</v>
      </c>
      <c r="J737" s="16">
        <v>11034.87</v>
      </c>
      <c r="K737" s="44">
        <v>42005</v>
      </c>
      <c r="L737" s="45">
        <f t="shared" si="56"/>
        <v>5</v>
      </c>
      <c r="M737" s="17">
        <v>1.4833299999999999E-3</v>
      </c>
      <c r="N737" s="46">
        <f t="shared" si="51"/>
        <v>81.841768585500006</v>
      </c>
      <c r="O737" s="14"/>
      <c r="P737" s="48"/>
      <c r="Q737" s="16"/>
      <c r="R737" s="48">
        <f t="shared" si="57"/>
        <v>258.629765625</v>
      </c>
      <c r="S737" s="14"/>
    </row>
    <row r="738" spans="1:19">
      <c r="A738" s="14" t="s">
        <v>17</v>
      </c>
      <c r="B738" s="15" t="s">
        <v>149</v>
      </c>
      <c r="C738" s="15" t="s">
        <v>150</v>
      </c>
      <c r="D738" s="14" t="s">
        <v>151</v>
      </c>
      <c r="E738" s="15" t="s">
        <v>40</v>
      </c>
      <c r="F738" s="14" t="s">
        <v>41</v>
      </c>
      <c r="G738" s="15" t="s">
        <v>23</v>
      </c>
      <c r="H738" s="15" t="s">
        <v>1526</v>
      </c>
      <c r="I738" s="15">
        <v>201501</v>
      </c>
      <c r="J738" s="16">
        <v>-64.599999999999994</v>
      </c>
      <c r="K738" s="44">
        <v>42005</v>
      </c>
      <c r="L738" s="45">
        <f t="shared" si="56"/>
        <v>5</v>
      </c>
      <c r="M738" s="17">
        <v>1.4833299999999999E-3</v>
      </c>
      <c r="N738" s="46">
        <f t="shared" si="51"/>
        <v>-0.47911558999999992</v>
      </c>
      <c r="O738" s="14"/>
      <c r="P738" s="48"/>
      <c r="Q738" s="16"/>
      <c r="R738" s="48">
        <f t="shared" si="57"/>
        <v>-1.5140624999999999</v>
      </c>
      <c r="S738" s="14"/>
    </row>
    <row r="739" spans="1:19">
      <c r="A739" s="14" t="s">
        <v>54</v>
      </c>
      <c r="B739" s="15" t="s">
        <v>359</v>
      </c>
      <c r="C739" s="15" t="s">
        <v>360</v>
      </c>
      <c r="D739" s="14" t="s">
        <v>361</v>
      </c>
      <c r="E739" s="15" t="s">
        <v>362</v>
      </c>
      <c r="F739" s="14" t="s">
        <v>41</v>
      </c>
      <c r="G739" s="15" t="s">
        <v>23</v>
      </c>
      <c r="H739" s="15" t="s">
        <v>1526</v>
      </c>
      <c r="I739" s="15">
        <v>201501</v>
      </c>
      <c r="J739" s="16">
        <v>-11.23</v>
      </c>
      <c r="K739" s="44">
        <v>42005</v>
      </c>
      <c r="L739" s="45">
        <f t="shared" si="56"/>
        <v>5</v>
      </c>
      <c r="M739" s="17">
        <v>1.4833299999999999E-3</v>
      </c>
      <c r="N739" s="46">
        <f t="shared" si="51"/>
        <v>-8.3288979499999999E-2</v>
      </c>
      <c r="O739" s="14"/>
      <c r="P739" s="48"/>
      <c r="Q739" s="16"/>
      <c r="R739" s="48">
        <f t="shared" si="57"/>
        <v>-0.26320312500000004</v>
      </c>
      <c r="S739" s="14"/>
    </row>
    <row r="740" spans="1:19">
      <c r="A740" s="14" t="s">
        <v>17</v>
      </c>
      <c r="B740" s="15" t="s">
        <v>366</v>
      </c>
      <c r="C740" s="15" t="s">
        <v>367</v>
      </c>
      <c r="D740" s="14" t="s">
        <v>368</v>
      </c>
      <c r="E740" s="15" t="s">
        <v>369</v>
      </c>
      <c r="F740" s="14" t="s">
        <v>41</v>
      </c>
      <c r="G740" s="15" t="s">
        <v>23</v>
      </c>
      <c r="H740" s="15" t="s">
        <v>1526</v>
      </c>
      <c r="I740" s="15">
        <v>201501</v>
      </c>
      <c r="J740" s="16">
        <v>14460.37</v>
      </c>
      <c r="K740" s="44">
        <v>42005</v>
      </c>
      <c r="L740" s="45">
        <f t="shared" si="56"/>
        <v>5</v>
      </c>
      <c r="M740" s="17">
        <v>1.4833299999999999E-3</v>
      </c>
      <c r="N740" s="46">
        <f t="shared" si="51"/>
        <v>107.2475031605</v>
      </c>
      <c r="O740" s="14"/>
      <c r="P740" s="48"/>
      <c r="Q740" s="16"/>
      <c r="R740" s="48">
        <f t="shared" si="57"/>
        <v>338.914921875</v>
      </c>
      <c r="S740" s="14"/>
    </row>
    <row r="741" spans="1:19">
      <c r="A741" s="14" t="s">
        <v>17</v>
      </c>
      <c r="B741" s="15" t="s">
        <v>391</v>
      </c>
      <c r="C741" s="15" t="s">
        <v>392</v>
      </c>
      <c r="D741" s="14" t="s">
        <v>393</v>
      </c>
      <c r="E741" s="15" t="s">
        <v>394</v>
      </c>
      <c r="F741" s="14" t="s">
        <v>137</v>
      </c>
      <c r="G741" s="15" t="s">
        <v>23</v>
      </c>
      <c r="H741" s="15" t="s">
        <v>1526</v>
      </c>
      <c r="I741" s="15">
        <v>201501</v>
      </c>
      <c r="J741" s="16">
        <v>-48.91</v>
      </c>
      <c r="K741" s="44">
        <v>42005</v>
      </c>
      <c r="L741" s="45">
        <f t="shared" si="56"/>
        <v>5</v>
      </c>
      <c r="M741" s="17">
        <v>1.4833299999999999E-3</v>
      </c>
      <c r="N741" s="46">
        <f t="shared" si="51"/>
        <v>-0.36274835149999995</v>
      </c>
      <c r="O741" s="14"/>
      <c r="P741" s="48"/>
      <c r="Q741" s="16"/>
      <c r="R741" s="48">
        <f t="shared" si="57"/>
        <v>-1.1463281249999999</v>
      </c>
      <c r="S741" s="14"/>
    </row>
    <row r="742" spans="1:19">
      <c r="A742" s="14" t="s">
        <v>238</v>
      </c>
      <c r="B742" s="15" t="s">
        <v>1099</v>
      </c>
      <c r="C742" s="15" t="s">
        <v>1100</v>
      </c>
      <c r="D742" s="14" t="s">
        <v>1101</v>
      </c>
      <c r="E742" s="15" t="s">
        <v>104</v>
      </c>
      <c r="F742" s="14" t="s">
        <v>41</v>
      </c>
      <c r="G742" s="15" t="s">
        <v>23</v>
      </c>
      <c r="H742" s="15" t="s">
        <v>1526</v>
      </c>
      <c r="I742" s="15">
        <v>201501</v>
      </c>
      <c r="J742" s="16">
        <v>-1320.23</v>
      </c>
      <c r="K742" s="44">
        <v>42005</v>
      </c>
      <c r="L742" s="45">
        <f t="shared" si="56"/>
        <v>5</v>
      </c>
      <c r="M742" s="17">
        <v>2.3833299999999999E-3</v>
      </c>
      <c r="N742" s="46">
        <f t="shared" si="51"/>
        <v>-15.7327188295</v>
      </c>
      <c r="O742" s="14"/>
      <c r="P742" s="48"/>
      <c r="Q742" s="16"/>
      <c r="R742" s="48">
        <f t="shared" si="57"/>
        <v>-30.942890625</v>
      </c>
      <c r="S742" s="14"/>
    </row>
    <row r="743" spans="1:19">
      <c r="A743" s="14" t="s">
        <v>54</v>
      </c>
      <c r="B743" s="15" t="s">
        <v>578</v>
      </c>
      <c r="C743" s="15" t="s">
        <v>579</v>
      </c>
      <c r="D743" s="14" t="s">
        <v>580</v>
      </c>
      <c r="E743" s="15" t="s">
        <v>136</v>
      </c>
      <c r="F743" s="14" t="s">
        <v>137</v>
      </c>
      <c r="G743" s="15" t="s">
        <v>23</v>
      </c>
      <c r="H743" s="15" t="s">
        <v>1526</v>
      </c>
      <c r="I743" s="15">
        <v>201501</v>
      </c>
      <c r="J743" s="16">
        <v>643.61</v>
      </c>
      <c r="K743" s="44">
        <v>42005</v>
      </c>
      <c r="L743" s="45">
        <f t="shared" si="56"/>
        <v>5</v>
      </c>
      <c r="M743" s="17">
        <v>1.4833299999999999E-3</v>
      </c>
      <c r="N743" s="46">
        <f t="shared" si="51"/>
        <v>4.7734301064999993</v>
      </c>
      <c r="O743" s="14"/>
      <c r="P743" s="48"/>
      <c r="Q743" s="16"/>
      <c r="R743" s="48">
        <f t="shared" si="57"/>
        <v>15.084609374999999</v>
      </c>
      <c r="S743" s="14"/>
    </row>
    <row r="744" spans="1:19">
      <c r="A744" s="14" t="s">
        <v>17</v>
      </c>
      <c r="B744" s="15" t="s">
        <v>581</v>
      </c>
      <c r="C744" s="15" t="s">
        <v>582</v>
      </c>
      <c r="D744" s="14" t="s">
        <v>583</v>
      </c>
      <c r="E744" s="15" t="s">
        <v>104</v>
      </c>
      <c r="F744" s="14" t="s">
        <v>41</v>
      </c>
      <c r="G744" s="15" t="s">
        <v>23</v>
      </c>
      <c r="H744" s="15" t="s">
        <v>1526</v>
      </c>
      <c r="I744" s="15">
        <v>201501</v>
      </c>
      <c r="J744" s="16">
        <v>-0.3</v>
      </c>
      <c r="K744" s="44">
        <v>42005</v>
      </c>
      <c r="L744" s="45">
        <f t="shared" si="56"/>
        <v>5</v>
      </c>
      <c r="M744" s="17">
        <v>1.4833299999999999E-3</v>
      </c>
      <c r="N744" s="46">
        <f t="shared" si="51"/>
        <v>-2.2249949999999996E-3</v>
      </c>
      <c r="O744" s="14"/>
      <c r="P744" s="48"/>
      <c r="Q744" s="16"/>
      <c r="R744" s="48">
        <f t="shared" si="57"/>
        <v>-7.0312499999999993E-3</v>
      </c>
      <c r="S744" s="14"/>
    </row>
    <row r="745" spans="1:19">
      <c r="A745" s="14" t="s">
        <v>54</v>
      </c>
      <c r="B745" s="15" t="s">
        <v>581</v>
      </c>
      <c r="C745" s="15" t="s">
        <v>582</v>
      </c>
      <c r="D745" s="14" t="s">
        <v>583</v>
      </c>
      <c r="E745" s="15" t="s">
        <v>104</v>
      </c>
      <c r="F745" s="14" t="s">
        <v>41</v>
      </c>
      <c r="G745" s="15" t="s">
        <v>23</v>
      </c>
      <c r="H745" s="15" t="s">
        <v>1526</v>
      </c>
      <c r="I745" s="15">
        <v>201501</v>
      </c>
      <c r="J745" s="16">
        <v>-22.4</v>
      </c>
      <c r="K745" s="44">
        <v>42005</v>
      </c>
      <c r="L745" s="45">
        <f t="shared" si="56"/>
        <v>5</v>
      </c>
      <c r="M745" s="17">
        <v>1.4833299999999999E-3</v>
      </c>
      <c r="N745" s="46">
        <f t="shared" si="51"/>
        <v>-0.16613295999999997</v>
      </c>
      <c r="O745" s="14"/>
      <c r="P745" s="48"/>
      <c r="Q745" s="16"/>
      <c r="R745" s="48">
        <f t="shared" si="57"/>
        <v>-0.52500000000000002</v>
      </c>
      <c r="S745" s="14"/>
    </row>
    <row r="746" spans="1:19">
      <c r="A746" s="14" t="s">
        <v>17</v>
      </c>
      <c r="B746" s="15" t="s">
        <v>1030</v>
      </c>
      <c r="C746" s="15" t="s">
        <v>1031</v>
      </c>
      <c r="D746" s="14" t="s">
        <v>1032</v>
      </c>
      <c r="E746" s="15" t="s">
        <v>53</v>
      </c>
      <c r="F746" s="14" t="s">
        <v>41</v>
      </c>
      <c r="G746" s="15" t="s">
        <v>23</v>
      </c>
      <c r="H746" s="15" t="s">
        <v>1526</v>
      </c>
      <c r="I746" s="15">
        <v>201501</v>
      </c>
      <c r="J746" s="16">
        <v>-2.5</v>
      </c>
      <c r="K746" s="44">
        <v>42005</v>
      </c>
      <c r="L746" s="45">
        <f t="shared" si="56"/>
        <v>5</v>
      </c>
      <c r="M746" s="17">
        <v>1.4833299999999999E-3</v>
      </c>
      <c r="N746" s="46">
        <f t="shared" si="51"/>
        <v>-1.8541624999999999E-2</v>
      </c>
      <c r="O746" s="14"/>
      <c r="P746" s="48"/>
      <c r="Q746" s="16"/>
      <c r="R746" s="48">
        <f t="shared" si="57"/>
        <v>-5.859375E-2</v>
      </c>
      <c r="S746" s="14"/>
    </row>
    <row r="747" spans="1:19">
      <c r="A747" s="14" t="s">
        <v>17</v>
      </c>
      <c r="B747" s="15" t="s">
        <v>1036</v>
      </c>
      <c r="C747" s="15" t="s">
        <v>1037</v>
      </c>
      <c r="D747" s="14" t="s">
        <v>1038</v>
      </c>
      <c r="E747" s="15" t="s">
        <v>40</v>
      </c>
      <c r="F747" s="14" t="s">
        <v>41</v>
      </c>
      <c r="G747" s="15" t="s">
        <v>23</v>
      </c>
      <c r="H747" s="15" t="s">
        <v>1526</v>
      </c>
      <c r="I747" s="15">
        <v>201501</v>
      </c>
      <c r="J747" s="16">
        <v>-54.09</v>
      </c>
      <c r="K747" s="44">
        <v>42005</v>
      </c>
      <c r="L747" s="45">
        <f t="shared" si="56"/>
        <v>5</v>
      </c>
      <c r="M747" s="17">
        <v>1.4833299999999999E-3</v>
      </c>
      <c r="N747" s="46">
        <f t="shared" si="51"/>
        <v>-0.40116659849999997</v>
      </c>
      <c r="O747" s="14"/>
      <c r="P747" s="48"/>
      <c r="Q747" s="16"/>
      <c r="R747" s="48">
        <f t="shared" si="57"/>
        <v>-1.2677343750000001</v>
      </c>
      <c r="S747" s="14"/>
    </row>
    <row r="748" spans="1:19">
      <c r="A748" s="14" t="s">
        <v>17</v>
      </c>
      <c r="B748" s="15" t="s">
        <v>1039</v>
      </c>
      <c r="C748" s="15" t="s">
        <v>1040</v>
      </c>
      <c r="D748" s="14" t="s">
        <v>1041</v>
      </c>
      <c r="E748" s="15" t="s">
        <v>40</v>
      </c>
      <c r="F748" s="14" t="s">
        <v>41</v>
      </c>
      <c r="G748" s="15" t="s">
        <v>23</v>
      </c>
      <c r="H748" s="15" t="s">
        <v>1526</v>
      </c>
      <c r="I748" s="15">
        <v>201501</v>
      </c>
      <c r="J748" s="16">
        <v>-13161.06</v>
      </c>
      <c r="K748" s="44">
        <v>42005</v>
      </c>
      <c r="L748" s="45">
        <f t="shared" si="56"/>
        <v>5</v>
      </c>
      <c r="M748" s="17">
        <v>1.4833299999999999E-3</v>
      </c>
      <c r="N748" s="46">
        <f t="shared" si="51"/>
        <v>-97.610975648999982</v>
      </c>
      <c r="O748" s="14"/>
      <c r="P748" s="48"/>
      <c r="Q748" s="16"/>
      <c r="R748" s="48">
        <f t="shared" si="57"/>
        <v>-308.46234375</v>
      </c>
      <c r="S748" s="14"/>
    </row>
    <row r="749" spans="1:19">
      <c r="A749" s="14" t="s">
        <v>17</v>
      </c>
      <c r="B749" s="15" t="s">
        <v>819</v>
      </c>
      <c r="C749" s="15" t="s">
        <v>820</v>
      </c>
      <c r="D749" s="14" t="s">
        <v>821</v>
      </c>
      <c r="E749" s="15" t="s">
        <v>822</v>
      </c>
      <c r="F749" s="14" t="s">
        <v>823</v>
      </c>
      <c r="G749" s="15" t="s">
        <v>23</v>
      </c>
      <c r="H749" s="15" t="s">
        <v>1526</v>
      </c>
      <c r="I749" s="15">
        <v>201501</v>
      </c>
      <c r="J749" s="16">
        <v>-2.89</v>
      </c>
      <c r="K749" s="44">
        <v>42005</v>
      </c>
      <c r="L749" s="45">
        <f t="shared" si="56"/>
        <v>5</v>
      </c>
      <c r="M749" s="17">
        <v>1.4833299999999999E-3</v>
      </c>
      <c r="N749" s="46">
        <f t="shared" si="51"/>
        <v>-2.1434118499999998E-2</v>
      </c>
      <c r="O749" s="14"/>
      <c r="P749" s="48"/>
      <c r="Q749" s="16"/>
      <c r="R749" s="48">
        <f t="shared" si="57"/>
        <v>-6.7734374999999999E-2</v>
      </c>
      <c r="S749" s="14"/>
    </row>
    <row r="750" spans="1:19">
      <c r="A750" s="14" t="s">
        <v>54</v>
      </c>
      <c r="B750" s="15" t="s">
        <v>879</v>
      </c>
      <c r="C750" s="15" t="s">
        <v>880</v>
      </c>
      <c r="D750" s="14" t="s">
        <v>881</v>
      </c>
      <c r="E750" s="15" t="s">
        <v>53</v>
      </c>
      <c r="F750" s="14" t="s">
        <v>41</v>
      </c>
      <c r="G750" s="15" t="s">
        <v>23</v>
      </c>
      <c r="H750" s="15" t="s">
        <v>1526</v>
      </c>
      <c r="I750" s="15">
        <v>201501</v>
      </c>
      <c r="J750" s="16">
        <v>12</v>
      </c>
      <c r="K750" s="44">
        <v>42005</v>
      </c>
      <c r="L750" s="45">
        <f t="shared" si="56"/>
        <v>5</v>
      </c>
      <c r="M750" s="17">
        <v>1.4833299999999999E-3</v>
      </c>
      <c r="N750" s="46">
        <f t="shared" si="51"/>
        <v>8.899979999999999E-2</v>
      </c>
      <c r="O750" s="14"/>
      <c r="P750" s="48"/>
      <c r="Q750" s="16"/>
      <c r="R750" s="48">
        <f t="shared" si="57"/>
        <v>0.28125</v>
      </c>
      <c r="S750" s="14"/>
    </row>
    <row r="751" spans="1:19">
      <c r="A751" s="14" t="s">
        <v>54</v>
      </c>
      <c r="B751" s="15" t="s">
        <v>1048</v>
      </c>
      <c r="C751" s="15" t="s">
        <v>1049</v>
      </c>
      <c r="D751" s="14" t="s">
        <v>1050</v>
      </c>
      <c r="E751" s="15" t="s">
        <v>925</v>
      </c>
      <c r="F751" s="14" t="s">
        <v>41</v>
      </c>
      <c r="G751" s="15" t="s">
        <v>23</v>
      </c>
      <c r="H751" s="15" t="s">
        <v>1526</v>
      </c>
      <c r="I751" s="15">
        <v>201501</v>
      </c>
      <c r="J751" s="16">
        <v>12220.11</v>
      </c>
      <c r="K751" s="44">
        <v>42005</v>
      </c>
      <c r="L751" s="45">
        <f t="shared" si="56"/>
        <v>5</v>
      </c>
      <c r="M751" s="17">
        <v>1.4833299999999999E-3</v>
      </c>
      <c r="N751" s="46">
        <f t="shared" si="51"/>
        <v>90.632278831500003</v>
      </c>
      <c r="O751" s="14"/>
      <c r="P751" s="48"/>
      <c r="Q751" s="16"/>
      <c r="R751" s="48">
        <f t="shared" si="57"/>
        <v>286.40882812500001</v>
      </c>
      <c r="S751" s="14"/>
    </row>
    <row r="752" spans="1:19">
      <c r="A752" s="14" t="s">
        <v>54</v>
      </c>
      <c r="B752" s="15" t="s">
        <v>919</v>
      </c>
      <c r="C752" s="15" t="s">
        <v>920</v>
      </c>
      <c r="D752" s="14" t="s">
        <v>921</v>
      </c>
      <c r="E752" s="15" t="s">
        <v>362</v>
      </c>
      <c r="F752" s="14" t="s">
        <v>41</v>
      </c>
      <c r="G752" s="15" t="s">
        <v>23</v>
      </c>
      <c r="H752" s="15" t="s">
        <v>1526</v>
      </c>
      <c r="I752" s="15">
        <v>201501</v>
      </c>
      <c r="J752" s="16">
        <v>-229.26</v>
      </c>
      <c r="K752" s="44">
        <v>42005</v>
      </c>
      <c r="L752" s="45">
        <f t="shared" si="56"/>
        <v>5</v>
      </c>
      <c r="M752" s="17">
        <v>1.4833299999999999E-3</v>
      </c>
      <c r="N752" s="46">
        <f t="shared" si="51"/>
        <v>-1.7003411789999998</v>
      </c>
      <c r="O752" s="14"/>
      <c r="P752" s="48"/>
      <c r="Q752" s="16"/>
      <c r="R752" s="48">
        <f t="shared" si="57"/>
        <v>-5.3732812499999998</v>
      </c>
      <c r="S752" s="14"/>
    </row>
    <row r="753" spans="1:19">
      <c r="A753" s="14" t="s">
        <v>17</v>
      </c>
      <c r="B753" s="15" t="s">
        <v>1057</v>
      </c>
      <c r="C753" s="15" t="s">
        <v>1058</v>
      </c>
      <c r="D753" s="14" t="s">
        <v>1059</v>
      </c>
      <c r="E753" s="15" t="s">
        <v>925</v>
      </c>
      <c r="F753" s="14" t="s">
        <v>41</v>
      </c>
      <c r="G753" s="15" t="s">
        <v>23</v>
      </c>
      <c r="H753" s="15" t="s">
        <v>1526</v>
      </c>
      <c r="I753" s="15">
        <v>201501</v>
      </c>
      <c r="J753" s="16">
        <v>-3547.65</v>
      </c>
      <c r="K753" s="44">
        <v>42005</v>
      </c>
      <c r="L753" s="45">
        <f t="shared" si="56"/>
        <v>5</v>
      </c>
      <c r="M753" s="17">
        <v>1.4833299999999999E-3</v>
      </c>
      <c r="N753" s="46">
        <f t="shared" si="51"/>
        <v>-26.311678372499998</v>
      </c>
      <c r="O753" s="14"/>
      <c r="P753" s="48"/>
      <c r="Q753" s="16"/>
      <c r="R753" s="48">
        <f t="shared" si="57"/>
        <v>-83.148046875000006</v>
      </c>
      <c r="S753" s="14"/>
    </row>
    <row r="754" spans="1:19">
      <c r="A754" s="14" t="s">
        <v>54</v>
      </c>
      <c r="B754" s="15" t="s">
        <v>922</v>
      </c>
      <c r="C754" s="15" t="s">
        <v>923</v>
      </c>
      <c r="D754" s="14" t="s">
        <v>924</v>
      </c>
      <c r="E754" s="15" t="s">
        <v>925</v>
      </c>
      <c r="F754" s="14" t="s">
        <v>41</v>
      </c>
      <c r="G754" s="15" t="s">
        <v>23</v>
      </c>
      <c r="H754" s="15" t="s">
        <v>1526</v>
      </c>
      <c r="I754" s="15">
        <v>201501</v>
      </c>
      <c r="J754" s="16">
        <v>-961.44</v>
      </c>
      <c r="K754" s="44">
        <v>42005</v>
      </c>
      <c r="L754" s="45">
        <f t="shared" ref="L754:L817" si="58">((YEAR($L$1)-YEAR(K754))*12+MONTH($L$1)-MONTH(K754))</f>
        <v>5</v>
      </c>
      <c r="M754" s="17">
        <v>1.4833299999999999E-3</v>
      </c>
      <c r="N754" s="46">
        <f t="shared" si="51"/>
        <v>-7.1306639760000001</v>
      </c>
      <c r="O754" s="14"/>
      <c r="P754" s="48"/>
      <c r="Q754" s="16"/>
      <c r="R754" s="48">
        <f t="shared" si="57"/>
        <v>-22.533750000000001</v>
      </c>
      <c r="S754" s="14"/>
    </row>
    <row r="755" spans="1:19">
      <c r="A755" s="14" t="s">
        <v>54</v>
      </c>
      <c r="B755" s="15" t="s">
        <v>929</v>
      </c>
      <c r="C755" s="15" t="s">
        <v>930</v>
      </c>
      <c r="D755" s="14" t="s">
        <v>931</v>
      </c>
      <c r="E755" s="15" t="s">
        <v>394</v>
      </c>
      <c r="F755" s="14" t="s">
        <v>137</v>
      </c>
      <c r="G755" s="15" t="s">
        <v>23</v>
      </c>
      <c r="H755" s="15" t="s">
        <v>1526</v>
      </c>
      <c r="I755" s="15">
        <v>201501</v>
      </c>
      <c r="J755" s="16">
        <v>171.63</v>
      </c>
      <c r="K755" s="44">
        <v>42005</v>
      </c>
      <c r="L755" s="45">
        <f t="shared" si="58"/>
        <v>5</v>
      </c>
      <c r="M755" s="17">
        <v>1.4833299999999999E-3</v>
      </c>
      <c r="N755" s="46">
        <f t="shared" si="51"/>
        <v>1.2729196395</v>
      </c>
      <c r="O755" s="14"/>
      <c r="P755" s="48"/>
      <c r="Q755" s="16"/>
      <c r="R755" s="48">
        <f t="shared" ref="R755:R922" si="59">$R$627*J755*$U$9</f>
        <v>4.0225781249999999</v>
      </c>
      <c r="S755" s="14"/>
    </row>
    <row r="756" spans="1:19">
      <c r="A756" s="14" t="s">
        <v>54</v>
      </c>
      <c r="B756" s="15" t="s">
        <v>1060</v>
      </c>
      <c r="C756" s="15" t="s">
        <v>1061</v>
      </c>
      <c r="D756" s="14" t="s">
        <v>1062</v>
      </c>
      <c r="E756" s="15" t="s">
        <v>53</v>
      </c>
      <c r="F756" s="14" t="s">
        <v>41</v>
      </c>
      <c r="G756" s="15" t="s">
        <v>23</v>
      </c>
      <c r="H756" s="15" t="s">
        <v>1526</v>
      </c>
      <c r="I756" s="15">
        <v>201501</v>
      </c>
      <c r="J756" s="16">
        <v>-53.39</v>
      </c>
      <c r="K756" s="44">
        <v>42005</v>
      </c>
      <c r="L756" s="45">
        <f t="shared" si="58"/>
        <v>5</v>
      </c>
      <c r="M756" s="17">
        <v>1.4833299999999999E-3</v>
      </c>
      <c r="N756" s="46">
        <f t="shared" si="51"/>
        <v>-0.39597494349999995</v>
      </c>
      <c r="O756" s="14"/>
      <c r="P756" s="48"/>
      <c r="Q756" s="16"/>
      <c r="R756" s="48">
        <f t="shared" si="59"/>
        <v>-1.2513281249999999</v>
      </c>
      <c r="S756" s="14"/>
    </row>
    <row r="757" spans="1:19">
      <c r="A757" s="14" t="s">
        <v>17</v>
      </c>
      <c r="B757" s="15" t="s">
        <v>944</v>
      </c>
      <c r="C757" s="15" t="s">
        <v>945</v>
      </c>
      <c r="D757" s="14" t="s">
        <v>946</v>
      </c>
      <c r="E757" s="15" t="s">
        <v>104</v>
      </c>
      <c r="F757" s="14" t="s">
        <v>41</v>
      </c>
      <c r="G757" s="15" t="s">
        <v>23</v>
      </c>
      <c r="H757" s="15" t="s">
        <v>1526</v>
      </c>
      <c r="I757" s="15">
        <v>201501</v>
      </c>
      <c r="J757" s="16">
        <v>-1.72</v>
      </c>
      <c r="K757" s="44">
        <v>42005</v>
      </c>
      <c r="L757" s="45">
        <f t="shared" si="58"/>
        <v>5</v>
      </c>
      <c r="M757" s="17">
        <v>1.4833299999999999E-3</v>
      </c>
      <c r="N757" s="46">
        <f t="shared" si="51"/>
        <v>-1.2756637999999999E-2</v>
      </c>
      <c r="O757" s="14"/>
      <c r="P757" s="48"/>
      <c r="Q757" s="16"/>
      <c r="R757" s="48">
        <f t="shared" si="59"/>
        <v>-4.0312500000000001E-2</v>
      </c>
      <c r="S757" s="14"/>
    </row>
    <row r="758" spans="1:19">
      <c r="A758" s="14" t="s">
        <v>17</v>
      </c>
      <c r="B758" s="15" t="s">
        <v>956</v>
      </c>
      <c r="C758" s="15" t="s">
        <v>957</v>
      </c>
      <c r="D758" s="14" t="s">
        <v>958</v>
      </c>
      <c r="E758" s="15" t="s">
        <v>40</v>
      </c>
      <c r="F758" s="14" t="s">
        <v>41</v>
      </c>
      <c r="G758" s="15" t="s">
        <v>23</v>
      </c>
      <c r="H758" s="15" t="s">
        <v>1526</v>
      </c>
      <c r="I758" s="15">
        <v>201501</v>
      </c>
      <c r="J758" s="16">
        <v>-1.82</v>
      </c>
      <c r="K758" s="44">
        <v>42005</v>
      </c>
      <c r="L758" s="45">
        <f t="shared" si="58"/>
        <v>5</v>
      </c>
      <c r="M758" s="17">
        <v>1.4833299999999999E-3</v>
      </c>
      <c r="N758" s="46">
        <f t="shared" si="51"/>
        <v>-1.3498303E-2</v>
      </c>
      <c r="O758" s="14"/>
      <c r="P758" s="48"/>
      <c r="Q758" s="16"/>
      <c r="R758" s="48">
        <f t="shared" si="59"/>
        <v>-4.2656250000000007E-2</v>
      </c>
      <c r="S758" s="14"/>
    </row>
    <row r="759" spans="1:19">
      <c r="A759" s="14" t="s">
        <v>54</v>
      </c>
      <c r="B759" s="15" t="s">
        <v>962</v>
      </c>
      <c r="C759" s="15" t="s">
        <v>963</v>
      </c>
      <c r="D759" s="14" t="s">
        <v>964</v>
      </c>
      <c r="E759" s="15" t="s">
        <v>40</v>
      </c>
      <c r="F759" s="14" t="s">
        <v>41</v>
      </c>
      <c r="G759" s="15" t="s">
        <v>23</v>
      </c>
      <c r="H759" s="15" t="s">
        <v>1526</v>
      </c>
      <c r="I759" s="15">
        <v>201501</v>
      </c>
      <c r="J759" s="16">
        <v>65.239999999999995</v>
      </c>
      <c r="K759" s="44">
        <v>42005</v>
      </c>
      <c r="L759" s="45">
        <f t="shared" si="58"/>
        <v>5</v>
      </c>
      <c r="M759" s="17">
        <v>1.4833299999999999E-3</v>
      </c>
      <c r="N759" s="46">
        <f t="shared" si="51"/>
        <v>0.48386224599999994</v>
      </c>
      <c r="O759" s="14"/>
      <c r="P759" s="48"/>
      <c r="Q759" s="16"/>
      <c r="R759" s="48">
        <f t="shared" si="59"/>
        <v>1.5290625</v>
      </c>
      <c r="S759" s="14"/>
    </row>
    <row r="760" spans="1:19">
      <c r="A760" s="14" t="s">
        <v>54</v>
      </c>
      <c r="B760" s="15" t="s">
        <v>965</v>
      </c>
      <c r="C760" s="15" t="s">
        <v>966</v>
      </c>
      <c r="D760" s="14" t="s">
        <v>967</v>
      </c>
      <c r="E760" s="15" t="s">
        <v>53</v>
      </c>
      <c r="F760" s="14" t="s">
        <v>41</v>
      </c>
      <c r="G760" s="15" t="s">
        <v>23</v>
      </c>
      <c r="H760" s="15" t="s">
        <v>1526</v>
      </c>
      <c r="I760" s="15">
        <v>201501</v>
      </c>
      <c r="J760" s="16">
        <v>14.8</v>
      </c>
      <c r="K760" s="44">
        <v>42005</v>
      </c>
      <c r="L760" s="45">
        <f t="shared" si="58"/>
        <v>5</v>
      </c>
      <c r="M760" s="17">
        <v>1.4833299999999999E-3</v>
      </c>
      <c r="N760" s="46">
        <f t="shared" si="51"/>
        <v>0.10976642</v>
      </c>
      <c r="O760" s="14"/>
      <c r="P760" s="48"/>
      <c r="Q760" s="16"/>
      <c r="R760" s="48">
        <f t="shared" si="59"/>
        <v>0.34687500000000004</v>
      </c>
      <c r="S760" s="14"/>
    </row>
    <row r="761" spans="1:19">
      <c r="A761" s="14" t="s">
        <v>54</v>
      </c>
      <c r="B761" s="15" t="s">
        <v>968</v>
      </c>
      <c r="C761" s="15" t="s">
        <v>969</v>
      </c>
      <c r="D761" s="14" t="s">
        <v>970</v>
      </c>
      <c r="E761" s="15" t="s">
        <v>394</v>
      </c>
      <c r="F761" s="14" t="s">
        <v>137</v>
      </c>
      <c r="G761" s="15" t="s">
        <v>23</v>
      </c>
      <c r="H761" s="15" t="s">
        <v>1526</v>
      </c>
      <c r="I761" s="15">
        <v>201501</v>
      </c>
      <c r="J761" s="16">
        <v>-5.0999999999999996</v>
      </c>
      <c r="K761" s="44">
        <v>42005</v>
      </c>
      <c r="L761" s="45">
        <f t="shared" si="58"/>
        <v>5</v>
      </c>
      <c r="M761" s="17">
        <v>1.4833299999999999E-3</v>
      </c>
      <c r="N761" s="46">
        <f t="shared" si="51"/>
        <v>-3.7824914999999994E-2</v>
      </c>
      <c r="O761" s="14"/>
      <c r="P761" s="48"/>
      <c r="Q761" s="16"/>
      <c r="R761" s="48">
        <f t="shared" si="59"/>
        <v>-0.11953124999999998</v>
      </c>
      <c r="S761" s="14"/>
    </row>
    <row r="762" spans="1:19">
      <c r="A762" s="14" t="s">
        <v>54</v>
      </c>
      <c r="B762" s="15" t="s">
        <v>971</v>
      </c>
      <c r="C762" s="15" t="s">
        <v>972</v>
      </c>
      <c r="D762" s="14" t="s">
        <v>973</v>
      </c>
      <c r="E762" s="15" t="s">
        <v>567</v>
      </c>
      <c r="F762" s="14" t="s">
        <v>137</v>
      </c>
      <c r="G762" s="15" t="s">
        <v>23</v>
      </c>
      <c r="H762" s="15" t="s">
        <v>1526</v>
      </c>
      <c r="I762" s="15">
        <v>201501</v>
      </c>
      <c r="J762" s="16">
        <v>-486.19</v>
      </c>
      <c r="K762" s="44">
        <v>42005</v>
      </c>
      <c r="L762" s="45">
        <f t="shared" si="58"/>
        <v>5</v>
      </c>
      <c r="M762" s="17">
        <v>1.4833299999999999E-3</v>
      </c>
      <c r="N762" s="46">
        <f t="shared" si="51"/>
        <v>-3.6059010634999997</v>
      </c>
      <c r="O762" s="14"/>
      <c r="P762" s="48"/>
      <c r="Q762" s="16"/>
      <c r="R762" s="48">
        <f t="shared" si="59"/>
        <v>-11.395078125</v>
      </c>
      <c r="S762" s="14"/>
    </row>
    <row r="763" spans="1:19">
      <c r="A763" s="14" t="s">
        <v>54</v>
      </c>
      <c r="B763" s="15" t="s">
        <v>993</v>
      </c>
      <c r="C763" s="15" t="s">
        <v>994</v>
      </c>
      <c r="D763" s="14" t="s">
        <v>995</v>
      </c>
      <c r="E763" s="15" t="s">
        <v>40</v>
      </c>
      <c r="F763" s="14" t="s">
        <v>41</v>
      </c>
      <c r="G763" s="15" t="s">
        <v>23</v>
      </c>
      <c r="H763" s="15" t="s">
        <v>1526</v>
      </c>
      <c r="I763" s="15">
        <v>201501</v>
      </c>
      <c r="J763" s="16">
        <v>-138.21</v>
      </c>
      <c r="K763" s="44">
        <v>42005</v>
      </c>
      <c r="L763" s="45">
        <f t="shared" si="58"/>
        <v>5</v>
      </c>
      <c r="M763" s="17">
        <v>1.4833299999999999E-3</v>
      </c>
      <c r="N763" s="46">
        <f t="shared" si="51"/>
        <v>-1.0250551964999999</v>
      </c>
      <c r="O763" s="14"/>
      <c r="P763" s="48"/>
      <c r="Q763" s="16"/>
      <c r="R763" s="48">
        <f t="shared" si="59"/>
        <v>-3.239296875</v>
      </c>
      <c r="S763" s="14"/>
    </row>
    <row r="764" spans="1:19">
      <c r="A764" s="14" t="s">
        <v>17</v>
      </c>
      <c r="B764" s="15" t="s">
        <v>1066</v>
      </c>
      <c r="C764" s="15" t="s">
        <v>1067</v>
      </c>
      <c r="D764" s="14" t="s">
        <v>1068</v>
      </c>
      <c r="E764" s="15" t="s">
        <v>567</v>
      </c>
      <c r="F764" s="14" t="s">
        <v>137</v>
      </c>
      <c r="G764" s="15" t="s">
        <v>23</v>
      </c>
      <c r="H764" s="15" t="s">
        <v>1526</v>
      </c>
      <c r="I764" s="15">
        <v>201501</v>
      </c>
      <c r="J764" s="16">
        <v>6260.51</v>
      </c>
      <c r="K764" s="44">
        <v>42005</v>
      </c>
      <c r="L764" s="45">
        <f t="shared" si="58"/>
        <v>5</v>
      </c>
      <c r="M764" s="17">
        <v>1.4833299999999999E-3</v>
      </c>
      <c r="N764" s="46">
        <f t="shared" si="51"/>
        <v>46.432011491499999</v>
      </c>
      <c r="O764" s="14"/>
      <c r="P764" s="48"/>
      <c r="Q764" s="16"/>
      <c r="R764" s="48">
        <f t="shared" si="59"/>
        <v>146.73070312499999</v>
      </c>
      <c r="S764" s="14"/>
    </row>
    <row r="765" spans="1:19">
      <c r="A765" s="14" t="s">
        <v>54</v>
      </c>
      <c r="B765" s="15" t="s">
        <v>2219</v>
      </c>
      <c r="C765" s="15" t="s">
        <v>1743</v>
      </c>
      <c r="D765" s="14" t="s">
        <v>1744</v>
      </c>
      <c r="E765" s="15" t="s">
        <v>53</v>
      </c>
      <c r="F765" s="14" t="s">
        <v>41</v>
      </c>
      <c r="G765" s="15" t="s">
        <v>23</v>
      </c>
      <c r="H765" s="15" t="s">
        <v>1526</v>
      </c>
      <c r="I765" s="15">
        <v>201501</v>
      </c>
      <c r="J765" s="16">
        <v>10706.71</v>
      </c>
      <c r="K765" s="44">
        <v>42005</v>
      </c>
      <c r="L765" s="45">
        <f t="shared" si="58"/>
        <v>5</v>
      </c>
      <c r="M765" s="17">
        <v>1.4833299999999999E-3</v>
      </c>
      <c r="N765" s="46">
        <f t="shared" si="51"/>
        <v>79.407920721499991</v>
      </c>
      <c r="O765" s="14"/>
      <c r="P765" s="48"/>
      <c r="Q765" s="16"/>
      <c r="R765" s="48">
        <f t="shared" si="59"/>
        <v>250.93851562499995</v>
      </c>
      <c r="S765" s="14"/>
    </row>
    <row r="766" spans="1:19">
      <c r="A766" s="14" t="s">
        <v>54</v>
      </c>
      <c r="B766" s="15" t="s">
        <v>2220</v>
      </c>
      <c r="C766" s="15" t="s">
        <v>2221</v>
      </c>
      <c r="D766" s="14" t="s">
        <v>2222</v>
      </c>
      <c r="E766" s="15" t="s">
        <v>362</v>
      </c>
      <c r="F766" s="14" t="s">
        <v>41</v>
      </c>
      <c r="G766" s="15" t="s">
        <v>23</v>
      </c>
      <c r="H766" s="15" t="s">
        <v>1526</v>
      </c>
      <c r="I766" s="15">
        <v>201501</v>
      </c>
      <c r="J766" s="16">
        <v>14496.1</v>
      </c>
      <c r="K766" s="44">
        <v>42005</v>
      </c>
      <c r="L766" s="45">
        <f t="shared" si="58"/>
        <v>5</v>
      </c>
      <c r="M766" s="17">
        <v>1.4833299999999999E-3</v>
      </c>
      <c r="N766" s="46">
        <f t="shared" si="51"/>
        <v>107.512500065</v>
      </c>
      <c r="O766" s="14"/>
      <c r="P766" s="48"/>
      <c r="Q766" s="16"/>
      <c r="R766" s="48">
        <f t="shared" si="59"/>
        <v>339.75234375000002</v>
      </c>
      <c r="S766" s="14"/>
    </row>
    <row r="767" spans="1:19">
      <c r="A767" s="14" t="s">
        <v>238</v>
      </c>
      <c r="B767" s="15" t="s">
        <v>2223</v>
      </c>
      <c r="C767" s="15" t="s">
        <v>2224</v>
      </c>
      <c r="D767" s="14" t="s">
        <v>2225</v>
      </c>
      <c r="E767" s="15" t="s">
        <v>168</v>
      </c>
      <c r="F767" s="14" t="s">
        <v>169</v>
      </c>
      <c r="G767" s="15" t="s">
        <v>23</v>
      </c>
      <c r="H767" s="15" t="s">
        <v>1528</v>
      </c>
      <c r="I767" s="15">
        <v>201501</v>
      </c>
      <c r="J767" s="16">
        <v>213064.46</v>
      </c>
      <c r="K767" s="44">
        <v>42005</v>
      </c>
      <c r="L767" s="45">
        <f t="shared" si="58"/>
        <v>5</v>
      </c>
      <c r="M767" s="17">
        <v>2.3833299999999999E-3</v>
      </c>
      <c r="N767" s="46">
        <f t="shared" si="51"/>
        <v>2539.0145972589999</v>
      </c>
      <c r="O767" s="14"/>
      <c r="P767" s="48"/>
      <c r="Q767" s="16"/>
      <c r="R767" s="48">
        <f t="shared" si="59"/>
        <v>4993.69828125</v>
      </c>
      <c r="S767" s="14"/>
    </row>
    <row r="768" spans="1:19">
      <c r="A768" s="14" t="s">
        <v>238</v>
      </c>
      <c r="B768" s="15" t="s">
        <v>356</v>
      </c>
      <c r="C768" s="15" t="s">
        <v>357</v>
      </c>
      <c r="D768" s="14" t="s">
        <v>358</v>
      </c>
      <c r="E768" s="15" t="s">
        <v>168</v>
      </c>
      <c r="F768" s="14" t="s">
        <v>169</v>
      </c>
      <c r="G768" s="15" t="s">
        <v>23</v>
      </c>
      <c r="H768" s="15" t="s">
        <v>1528</v>
      </c>
      <c r="I768" s="15">
        <v>201501</v>
      </c>
      <c r="J768" s="16">
        <v>780.23</v>
      </c>
      <c r="K768" s="44">
        <v>42005</v>
      </c>
      <c r="L768" s="45">
        <f t="shared" si="58"/>
        <v>5</v>
      </c>
      <c r="M768" s="17">
        <v>2.3833299999999999E-3</v>
      </c>
      <c r="N768" s="46">
        <f t="shared" si="51"/>
        <v>9.2977278294999994</v>
      </c>
      <c r="O768" s="14"/>
      <c r="P768" s="48"/>
      <c r="Q768" s="16"/>
      <c r="R768" s="48">
        <f t="shared" si="59"/>
        <v>18.286640625</v>
      </c>
      <c r="S768" s="14"/>
    </row>
    <row r="769" spans="1:19">
      <c r="A769" s="14" t="s">
        <v>238</v>
      </c>
      <c r="B769" s="15" t="s">
        <v>1042</v>
      </c>
      <c r="C769" s="15" t="s">
        <v>1043</v>
      </c>
      <c r="D769" s="14" t="s">
        <v>1044</v>
      </c>
      <c r="E769" s="15" t="s">
        <v>168</v>
      </c>
      <c r="F769" s="14" t="s">
        <v>169</v>
      </c>
      <c r="G769" s="15" t="s">
        <v>23</v>
      </c>
      <c r="H769" s="15" t="s">
        <v>1528</v>
      </c>
      <c r="I769" s="15">
        <v>201501</v>
      </c>
      <c r="J769" s="16">
        <v>1130.32</v>
      </c>
      <c r="K769" s="44">
        <v>42005</v>
      </c>
      <c r="L769" s="45">
        <f t="shared" si="58"/>
        <v>5</v>
      </c>
      <c r="M769" s="17">
        <v>2.3833299999999999E-3</v>
      </c>
      <c r="N769" s="46">
        <f t="shared" si="51"/>
        <v>13.469627827999998</v>
      </c>
      <c r="O769" s="14"/>
      <c r="P769" s="48"/>
      <c r="Q769" s="16"/>
      <c r="R769" s="48">
        <f t="shared" si="59"/>
        <v>26.491874999999997</v>
      </c>
      <c r="S769" s="14"/>
    </row>
    <row r="770" spans="1:19">
      <c r="A770" s="14" t="s">
        <v>66</v>
      </c>
      <c r="B770" s="15" t="s">
        <v>1105</v>
      </c>
      <c r="C770" s="15" t="s">
        <v>1106</v>
      </c>
      <c r="D770" s="14" t="s">
        <v>1107</v>
      </c>
      <c r="E770" s="15" t="s">
        <v>466</v>
      </c>
      <c r="F770" s="14" t="s">
        <v>467</v>
      </c>
      <c r="G770" s="15" t="s">
        <v>23</v>
      </c>
      <c r="H770" s="15" t="s">
        <v>1527</v>
      </c>
      <c r="I770" s="15">
        <v>201501</v>
      </c>
      <c r="J770" s="16">
        <v>-15.82</v>
      </c>
      <c r="K770" s="44">
        <v>42005</v>
      </c>
      <c r="L770" s="45">
        <f t="shared" si="58"/>
        <v>5</v>
      </c>
      <c r="M770" s="17">
        <v>2.23333E-3</v>
      </c>
      <c r="N770" s="46">
        <f t="shared" si="51"/>
        <v>-0.17665640300000002</v>
      </c>
      <c r="O770" s="14"/>
      <c r="P770" s="48"/>
      <c r="Q770" s="16"/>
      <c r="R770" s="48">
        <f t="shared" si="59"/>
        <v>-0.37078124999999995</v>
      </c>
      <c r="S770" s="14"/>
    </row>
    <row r="771" spans="1:19">
      <c r="A771" s="14" t="s">
        <v>66</v>
      </c>
      <c r="B771" s="15" t="s">
        <v>72</v>
      </c>
      <c r="C771" s="15" t="s">
        <v>73</v>
      </c>
      <c r="D771" s="14" t="s">
        <v>74</v>
      </c>
      <c r="E771" s="15" t="s">
        <v>75</v>
      </c>
      <c r="F771" s="14" t="s">
        <v>71</v>
      </c>
      <c r="G771" s="15" t="s">
        <v>23</v>
      </c>
      <c r="H771" s="15" t="s">
        <v>1530</v>
      </c>
      <c r="I771" s="15">
        <v>201502</v>
      </c>
      <c r="J771" s="16">
        <v>77105.95</v>
      </c>
      <c r="K771" s="44">
        <v>42036</v>
      </c>
      <c r="L771" s="45">
        <f t="shared" si="58"/>
        <v>4</v>
      </c>
      <c r="M771" s="17">
        <v>2.23333E-3</v>
      </c>
      <c r="N771" s="46">
        <f t="shared" si="51"/>
        <v>688.81212525399997</v>
      </c>
      <c r="O771" s="14"/>
      <c r="P771" s="48"/>
      <c r="Q771" s="16"/>
      <c r="R771" s="48">
        <f t="shared" si="59"/>
        <v>1807.170703125</v>
      </c>
      <c r="S771" s="14"/>
    </row>
    <row r="772" spans="1:19">
      <c r="A772" s="14" t="s">
        <v>66</v>
      </c>
      <c r="B772" s="15" t="s">
        <v>81</v>
      </c>
      <c r="C772" s="15" t="s">
        <v>82</v>
      </c>
      <c r="D772" s="14" t="s">
        <v>83</v>
      </c>
      <c r="E772" s="15" t="s">
        <v>84</v>
      </c>
      <c r="F772" s="14" t="s">
        <v>85</v>
      </c>
      <c r="G772" s="15" t="s">
        <v>23</v>
      </c>
      <c r="H772" s="15" t="s">
        <v>1530</v>
      </c>
      <c r="I772" s="15">
        <v>201502</v>
      </c>
      <c r="J772" s="16">
        <v>21115.64</v>
      </c>
      <c r="K772" s="44">
        <v>42036</v>
      </c>
      <c r="L772" s="45">
        <f t="shared" si="58"/>
        <v>4</v>
      </c>
      <c r="M772" s="17">
        <v>2.23333E-3</v>
      </c>
      <c r="N772" s="46">
        <f t="shared" si="51"/>
        <v>188.63276912479998</v>
      </c>
      <c r="O772" s="14"/>
      <c r="P772" s="48"/>
      <c r="Q772" s="16"/>
      <c r="R772" s="48">
        <f t="shared" si="59"/>
        <v>494.89781249999999</v>
      </c>
      <c r="S772" s="14"/>
    </row>
    <row r="773" spans="1:19">
      <c r="A773" s="14" t="s">
        <v>66</v>
      </c>
      <c r="B773" s="15" t="s">
        <v>90</v>
      </c>
      <c r="C773" s="15" t="s">
        <v>91</v>
      </c>
      <c r="D773" s="14" t="s">
        <v>78</v>
      </c>
      <c r="E773" s="15" t="s">
        <v>92</v>
      </c>
      <c r="F773" s="14" t="s">
        <v>80</v>
      </c>
      <c r="G773" s="15" t="s">
        <v>23</v>
      </c>
      <c r="H773" s="15" t="s">
        <v>1530</v>
      </c>
      <c r="I773" s="15">
        <v>201502</v>
      </c>
      <c r="J773" s="16">
        <v>16080.97</v>
      </c>
      <c r="K773" s="44">
        <v>42036</v>
      </c>
      <c r="L773" s="45">
        <f t="shared" si="58"/>
        <v>4</v>
      </c>
      <c r="M773" s="17">
        <v>2.23333E-3</v>
      </c>
      <c r="N773" s="46">
        <f t="shared" si="51"/>
        <v>143.6564509204</v>
      </c>
      <c r="O773" s="14"/>
      <c r="P773" s="48"/>
      <c r="Q773" s="16"/>
      <c r="R773" s="48">
        <f t="shared" si="59"/>
        <v>376.89773437499991</v>
      </c>
      <c r="S773" s="14"/>
    </row>
    <row r="774" spans="1:19">
      <c r="A774" s="14" t="s">
        <v>66</v>
      </c>
      <c r="B774" s="15" t="s">
        <v>192</v>
      </c>
      <c r="C774" s="15" t="s">
        <v>193</v>
      </c>
      <c r="D774" s="14" t="s">
        <v>194</v>
      </c>
      <c r="E774" s="15" t="s">
        <v>195</v>
      </c>
      <c r="F774" s="14" t="s">
        <v>196</v>
      </c>
      <c r="G774" s="15" t="s">
        <v>23</v>
      </c>
      <c r="H774" s="15" t="s">
        <v>1530</v>
      </c>
      <c r="I774" s="15">
        <v>201502</v>
      </c>
      <c r="J774" s="16">
        <v>-0.87</v>
      </c>
      <c r="K774" s="44">
        <v>42036</v>
      </c>
      <c r="L774" s="45">
        <f t="shared" si="58"/>
        <v>4</v>
      </c>
      <c r="M774" s="17">
        <v>2.23333E-3</v>
      </c>
      <c r="N774" s="46">
        <f t="shared" si="51"/>
        <v>-7.7719883999999998E-3</v>
      </c>
      <c r="O774" s="14"/>
      <c r="P774" s="48"/>
      <c r="Q774" s="16"/>
      <c r="R774" s="48">
        <f t="shared" si="59"/>
        <v>-2.0390625000000002E-2</v>
      </c>
      <c r="S774" s="14"/>
    </row>
    <row r="775" spans="1:19">
      <c r="A775" s="14" t="s">
        <v>66</v>
      </c>
      <c r="B775" s="15" t="s">
        <v>2250</v>
      </c>
      <c r="C775" s="15" t="s">
        <v>2251</v>
      </c>
      <c r="D775" s="14" t="s">
        <v>194</v>
      </c>
      <c r="E775" s="15" t="s">
        <v>195</v>
      </c>
      <c r="F775" s="14" t="s">
        <v>196</v>
      </c>
      <c r="G775" s="15" t="s">
        <v>23</v>
      </c>
      <c r="H775" s="15" t="s">
        <v>1530</v>
      </c>
      <c r="I775" s="15">
        <v>201502</v>
      </c>
      <c r="J775" s="16">
        <v>1767.23</v>
      </c>
      <c r="K775" s="44">
        <v>42036</v>
      </c>
      <c r="L775" s="45">
        <f t="shared" si="58"/>
        <v>4</v>
      </c>
      <c r="M775" s="17">
        <v>2.23333E-3</v>
      </c>
      <c r="N775" s="46">
        <f t="shared" si="51"/>
        <v>15.7872311036</v>
      </c>
      <c r="O775" s="14"/>
      <c r="P775" s="48"/>
      <c r="Q775" s="16"/>
      <c r="R775" s="48">
        <f t="shared" si="59"/>
        <v>41.419453124999997</v>
      </c>
      <c r="S775" s="14"/>
    </row>
    <row r="776" spans="1:19">
      <c r="A776" s="14" t="s">
        <v>66</v>
      </c>
      <c r="B776" s="15" t="s">
        <v>197</v>
      </c>
      <c r="C776" s="15" t="s">
        <v>198</v>
      </c>
      <c r="D776" s="14" t="s">
        <v>69</v>
      </c>
      <c r="E776" s="15" t="s">
        <v>199</v>
      </c>
      <c r="F776" s="14" t="s">
        <v>71</v>
      </c>
      <c r="G776" s="15" t="s">
        <v>23</v>
      </c>
      <c r="H776" s="15" t="s">
        <v>1530</v>
      </c>
      <c r="I776" s="15">
        <v>201502</v>
      </c>
      <c r="J776" s="16">
        <v>16558.93</v>
      </c>
      <c r="K776" s="44">
        <v>42036</v>
      </c>
      <c r="L776" s="45">
        <f t="shared" si="58"/>
        <v>4</v>
      </c>
      <c r="M776" s="17">
        <v>2.23333E-3</v>
      </c>
      <c r="N776" s="46">
        <f t="shared" si="51"/>
        <v>147.9262205476</v>
      </c>
      <c r="O776" s="14"/>
      <c r="P776" s="48"/>
      <c r="Q776" s="16"/>
      <c r="R776" s="48">
        <f t="shared" si="59"/>
        <v>388.09992187500001</v>
      </c>
      <c r="S776" s="14"/>
    </row>
    <row r="777" spans="1:19">
      <c r="A777" s="14" t="s">
        <v>66</v>
      </c>
      <c r="B777" s="15" t="s">
        <v>200</v>
      </c>
      <c r="C777" s="15" t="s">
        <v>201</v>
      </c>
      <c r="D777" s="14" t="s">
        <v>202</v>
      </c>
      <c r="E777" s="15" t="s">
        <v>203</v>
      </c>
      <c r="F777" s="14" t="s">
        <v>80</v>
      </c>
      <c r="G777" s="15" t="s">
        <v>23</v>
      </c>
      <c r="H777" s="15" t="s">
        <v>1530</v>
      </c>
      <c r="I777" s="15">
        <v>201502</v>
      </c>
      <c r="J777" s="16">
        <v>6597.97</v>
      </c>
      <c r="K777" s="44">
        <v>42036</v>
      </c>
      <c r="L777" s="45">
        <f t="shared" si="58"/>
        <v>4</v>
      </c>
      <c r="M777" s="17">
        <v>2.23333E-3</v>
      </c>
      <c r="N777" s="46">
        <f t="shared" si="51"/>
        <v>58.941777360400003</v>
      </c>
      <c r="O777" s="14"/>
      <c r="P777" s="48"/>
      <c r="Q777" s="16"/>
      <c r="R777" s="48">
        <f t="shared" si="59"/>
        <v>154.639921875</v>
      </c>
      <c r="S777" s="14"/>
    </row>
    <row r="778" spans="1:19">
      <c r="A778" s="14" t="s">
        <v>66</v>
      </c>
      <c r="B778" s="15" t="s">
        <v>223</v>
      </c>
      <c r="C778" s="15" t="s">
        <v>224</v>
      </c>
      <c r="D778" s="14" t="s">
        <v>88</v>
      </c>
      <c r="E778" s="15" t="s">
        <v>225</v>
      </c>
      <c r="F778" s="14" t="s">
        <v>85</v>
      </c>
      <c r="G778" s="15" t="s">
        <v>23</v>
      </c>
      <c r="H778" s="15" t="s">
        <v>1530</v>
      </c>
      <c r="I778" s="15">
        <v>201502</v>
      </c>
      <c r="J778" s="16">
        <v>780.81</v>
      </c>
      <c r="K778" s="44">
        <v>42036</v>
      </c>
      <c r="L778" s="45">
        <f t="shared" si="58"/>
        <v>4</v>
      </c>
      <c r="M778" s="17">
        <v>2.23333E-3</v>
      </c>
      <c r="N778" s="46">
        <f t="shared" si="51"/>
        <v>6.975225589199999</v>
      </c>
      <c r="O778" s="14"/>
      <c r="P778" s="48"/>
      <c r="Q778" s="16"/>
      <c r="R778" s="48">
        <f t="shared" si="59"/>
        <v>18.300234374999999</v>
      </c>
      <c r="S778" s="14"/>
    </row>
    <row r="779" spans="1:19">
      <c r="A779" s="14" t="s">
        <v>66</v>
      </c>
      <c r="B779" s="15" t="s">
        <v>226</v>
      </c>
      <c r="C779" s="15" t="s">
        <v>227</v>
      </c>
      <c r="D779" s="14" t="s">
        <v>78</v>
      </c>
      <c r="E779" s="15" t="s">
        <v>228</v>
      </c>
      <c r="F779" s="14" t="s">
        <v>80</v>
      </c>
      <c r="G779" s="15" t="s">
        <v>23</v>
      </c>
      <c r="H779" s="15" t="s">
        <v>1530</v>
      </c>
      <c r="I779" s="15">
        <v>201502</v>
      </c>
      <c r="J779" s="16">
        <v>-31.08</v>
      </c>
      <c r="K779" s="44">
        <v>42036</v>
      </c>
      <c r="L779" s="45">
        <f t="shared" si="58"/>
        <v>4</v>
      </c>
      <c r="M779" s="17">
        <v>2.23333E-3</v>
      </c>
      <c r="N779" s="46">
        <f t="shared" si="51"/>
        <v>-0.27764758559999997</v>
      </c>
      <c r="O779" s="14"/>
      <c r="P779" s="48"/>
      <c r="Q779" s="16"/>
      <c r="R779" s="48">
        <f t="shared" si="59"/>
        <v>-0.72843749999999996</v>
      </c>
      <c r="S779" s="14"/>
    </row>
    <row r="780" spans="1:19">
      <c r="A780" s="14" t="s">
        <v>66</v>
      </c>
      <c r="B780" s="15" t="s">
        <v>229</v>
      </c>
      <c r="C780" s="15" t="s">
        <v>230</v>
      </c>
      <c r="D780" s="14" t="s">
        <v>78</v>
      </c>
      <c r="E780" s="15" t="s">
        <v>231</v>
      </c>
      <c r="F780" s="14" t="s">
        <v>80</v>
      </c>
      <c r="G780" s="15" t="s">
        <v>23</v>
      </c>
      <c r="H780" s="15" t="s">
        <v>1530</v>
      </c>
      <c r="I780" s="15">
        <v>201502</v>
      </c>
      <c r="J780" s="16">
        <v>-507.92</v>
      </c>
      <c r="K780" s="44">
        <v>42036</v>
      </c>
      <c r="L780" s="45">
        <f t="shared" si="58"/>
        <v>4</v>
      </c>
      <c r="M780" s="17">
        <v>2.23333E-3</v>
      </c>
      <c r="N780" s="46">
        <f t="shared" si="51"/>
        <v>-4.5374118943999999</v>
      </c>
      <c r="O780" s="14"/>
      <c r="P780" s="48"/>
      <c r="Q780" s="16"/>
      <c r="R780" s="48">
        <f t="shared" si="59"/>
        <v>-11.904375</v>
      </c>
      <c r="S780" s="14"/>
    </row>
    <row r="781" spans="1:19">
      <c r="A781" s="14" t="s">
        <v>66</v>
      </c>
      <c r="B781" s="15" t="s">
        <v>2252</v>
      </c>
      <c r="C781" s="15" t="s">
        <v>2253</v>
      </c>
      <c r="D781" s="14" t="s">
        <v>589</v>
      </c>
      <c r="E781" s="15" t="s">
        <v>2254</v>
      </c>
      <c r="F781" s="14" t="s">
        <v>591</v>
      </c>
      <c r="G781" s="15" t="s">
        <v>23</v>
      </c>
      <c r="H781" s="15" t="s">
        <v>1530</v>
      </c>
      <c r="I781" s="15">
        <v>201502</v>
      </c>
      <c r="J781" s="16">
        <v>7194.54</v>
      </c>
      <c r="K781" s="44">
        <v>42036</v>
      </c>
      <c r="L781" s="45">
        <f t="shared" si="58"/>
        <v>4</v>
      </c>
      <c r="M781" s="17">
        <v>2.23333E-3</v>
      </c>
      <c r="N781" s="46">
        <f t="shared" si="51"/>
        <v>64.271128072799996</v>
      </c>
      <c r="O781" s="14"/>
      <c r="P781" s="48"/>
      <c r="Q781" s="16"/>
      <c r="R781" s="48">
        <f t="shared" si="59"/>
        <v>168.62203125000002</v>
      </c>
      <c r="S781" s="14"/>
    </row>
    <row r="782" spans="1:19">
      <c r="A782" s="14" t="s">
        <v>66</v>
      </c>
      <c r="B782" s="15" t="s">
        <v>371</v>
      </c>
      <c r="C782" s="15" t="s">
        <v>372</v>
      </c>
      <c r="D782" s="14" t="s">
        <v>88</v>
      </c>
      <c r="E782" s="15" t="s">
        <v>373</v>
      </c>
      <c r="F782" s="14" t="s">
        <v>85</v>
      </c>
      <c r="G782" s="15" t="s">
        <v>23</v>
      </c>
      <c r="H782" s="15" t="s">
        <v>1530</v>
      </c>
      <c r="I782" s="15">
        <v>201502</v>
      </c>
      <c r="J782" s="16">
        <v>11468.81</v>
      </c>
      <c r="K782" s="44">
        <v>42036</v>
      </c>
      <c r="L782" s="45">
        <f t="shared" si="58"/>
        <v>4</v>
      </c>
      <c r="M782" s="17">
        <v>2.23333E-3</v>
      </c>
      <c r="N782" s="46">
        <f t="shared" si="51"/>
        <v>102.4545497492</v>
      </c>
      <c r="O782" s="14"/>
      <c r="P782" s="48"/>
      <c r="Q782" s="16"/>
      <c r="R782" s="48">
        <f t="shared" si="59"/>
        <v>268.80023437499995</v>
      </c>
      <c r="S782" s="14"/>
    </row>
    <row r="783" spans="1:19">
      <c r="A783" s="14" t="s">
        <v>66</v>
      </c>
      <c r="B783" s="15" t="s">
        <v>374</v>
      </c>
      <c r="C783" s="15" t="s">
        <v>375</v>
      </c>
      <c r="D783" s="14" t="s">
        <v>376</v>
      </c>
      <c r="E783" s="15" t="s">
        <v>377</v>
      </c>
      <c r="F783" s="14" t="s">
        <v>378</v>
      </c>
      <c r="G783" s="15" t="s">
        <v>23</v>
      </c>
      <c r="H783" s="15" t="s">
        <v>1530</v>
      </c>
      <c r="I783" s="15">
        <v>201502</v>
      </c>
      <c r="J783" s="16">
        <v>1496.68</v>
      </c>
      <c r="K783" s="44">
        <v>42036</v>
      </c>
      <c r="L783" s="45">
        <f t="shared" si="58"/>
        <v>4</v>
      </c>
      <c r="M783" s="17">
        <v>2.23333E-3</v>
      </c>
      <c r="N783" s="46">
        <f t="shared" si="51"/>
        <v>13.3703213776</v>
      </c>
      <c r="O783" s="14"/>
      <c r="P783" s="48"/>
      <c r="Q783" s="16"/>
      <c r="R783" s="48">
        <f t="shared" si="59"/>
        <v>35.0784375</v>
      </c>
      <c r="S783" s="14"/>
    </row>
    <row r="784" spans="1:19">
      <c r="A784" s="14" t="s">
        <v>66</v>
      </c>
      <c r="B784" s="15" t="s">
        <v>379</v>
      </c>
      <c r="C784" s="15" t="s">
        <v>380</v>
      </c>
      <c r="D784" s="14" t="s">
        <v>381</v>
      </c>
      <c r="E784" s="15" t="s">
        <v>382</v>
      </c>
      <c r="F784" s="14" t="s">
        <v>212</v>
      </c>
      <c r="G784" s="15" t="s">
        <v>23</v>
      </c>
      <c r="H784" s="15" t="s">
        <v>1530</v>
      </c>
      <c r="I784" s="15">
        <v>201502</v>
      </c>
      <c r="J784" s="16">
        <v>20813.990000000002</v>
      </c>
      <c r="K784" s="44">
        <v>42036</v>
      </c>
      <c r="L784" s="45">
        <f t="shared" si="58"/>
        <v>4</v>
      </c>
      <c r="M784" s="17">
        <v>2.23333E-3</v>
      </c>
      <c r="N784" s="46">
        <f t="shared" si="51"/>
        <v>185.93803314680002</v>
      </c>
      <c r="O784" s="14"/>
      <c r="P784" s="48"/>
      <c r="Q784" s="16"/>
      <c r="R784" s="48">
        <f t="shared" si="59"/>
        <v>487.82789062500001</v>
      </c>
      <c r="S784" s="14"/>
    </row>
    <row r="785" spans="1:19">
      <c r="A785" s="14" t="s">
        <v>66</v>
      </c>
      <c r="B785" s="15" t="s">
        <v>383</v>
      </c>
      <c r="C785" s="15" t="s">
        <v>384</v>
      </c>
      <c r="D785" s="14" t="s">
        <v>385</v>
      </c>
      <c r="E785" s="15" t="s">
        <v>386</v>
      </c>
      <c r="F785" s="14" t="s">
        <v>387</v>
      </c>
      <c r="G785" s="15" t="s">
        <v>23</v>
      </c>
      <c r="H785" s="15" t="s">
        <v>1530</v>
      </c>
      <c r="I785" s="15">
        <v>201502</v>
      </c>
      <c r="J785" s="16">
        <v>135568.03</v>
      </c>
      <c r="K785" s="44">
        <v>42036</v>
      </c>
      <c r="L785" s="45">
        <f t="shared" si="58"/>
        <v>4</v>
      </c>
      <c r="M785" s="17">
        <v>2.23333E-3</v>
      </c>
      <c r="N785" s="46">
        <f t="shared" si="51"/>
        <v>1211.0725937596001</v>
      </c>
      <c r="O785" s="14"/>
      <c r="P785" s="48"/>
      <c r="Q785" s="16"/>
      <c r="R785" s="48">
        <f t="shared" si="59"/>
        <v>3177.3757031249997</v>
      </c>
      <c r="S785" s="14"/>
    </row>
    <row r="786" spans="1:19">
      <c r="A786" s="14" t="s">
        <v>66</v>
      </c>
      <c r="B786" s="15" t="s">
        <v>388</v>
      </c>
      <c r="C786" s="15" t="s">
        <v>389</v>
      </c>
      <c r="D786" s="14" t="s">
        <v>385</v>
      </c>
      <c r="E786" s="15" t="s">
        <v>390</v>
      </c>
      <c r="F786" s="14" t="s">
        <v>387</v>
      </c>
      <c r="G786" s="15" t="s">
        <v>23</v>
      </c>
      <c r="H786" s="15" t="s">
        <v>1530</v>
      </c>
      <c r="I786" s="15">
        <v>201502</v>
      </c>
      <c r="J786" s="16">
        <v>21410.28</v>
      </c>
      <c r="K786" s="44">
        <v>42036</v>
      </c>
      <c r="L786" s="45">
        <f t="shared" si="58"/>
        <v>4</v>
      </c>
      <c r="M786" s="17">
        <v>2.23333E-3</v>
      </c>
      <c r="N786" s="46">
        <f t="shared" si="51"/>
        <v>191.26488252959999</v>
      </c>
      <c r="O786" s="14"/>
      <c r="P786" s="48"/>
      <c r="Q786" s="16"/>
      <c r="R786" s="48">
        <f t="shared" si="59"/>
        <v>501.80343749999997</v>
      </c>
      <c r="S786" s="14"/>
    </row>
    <row r="787" spans="1:19">
      <c r="A787" s="14" t="s">
        <v>66</v>
      </c>
      <c r="B787" s="15" t="s">
        <v>489</v>
      </c>
      <c r="C787" s="15" t="s">
        <v>490</v>
      </c>
      <c r="D787" s="14" t="s">
        <v>491</v>
      </c>
      <c r="E787" s="15" t="s">
        <v>492</v>
      </c>
      <c r="F787" s="14" t="s">
        <v>378</v>
      </c>
      <c r="G787" s="15" t="s">
        <v>23</v>
      </c>
      <c r="H787" s="15" t="s">
        <v>1530</v>
      </c>
      <c r="I787" s="15">
        <v>201502</v>
      </c>
      <c r="J787" s="16">
        <v>-72.19</v>
      </c>
      <c r="K787" s="44">
        <v>42036</v>
      </c>
      <c r="L787" s="45">
        <f t="shared" si="58"/>
        <v>4</v>
      </c>
      <c r="M787" s="17">
        <v>2.23333E-3</v>
      </c>
      <c r="N787" s="46">
        <f t="shared" si="51"/>
        <v>-0.64489637079999995</v>
      </c>
      <c r="O787" s="14"/>
      <c r="P787" s="48"/>
      <c r="Q787" s="16"/>
      <c r="R787" s="48">
        <f t="shared" si="59"/>
        <v>-1.6919531249999999</v>
      </c>
      <c r="S787" s="14"/>
    </row>
    <row r="788" spans="1:19">
      <c r="A788" s="14" t="s">
        <v>66</v>
      </c>
      <c r="B788" s="15" t="s">
        <v>496</v>
      </c>
      <c r="C788" s="15" t="s">
        <v>497</v>
      </c>
      <c r="D788" s="14" t="s">
        <v>376</v>
      </c>
      <c r="E788" s="15" t="s">
        <v>498</v>
      </c>
      <c r="F788" s="14" t="s">
        <v>378</v>
      </c>
      <c r="G788" s="15" t="s">
        <v>23</v>
      </c>
      <c r="H788" s="15" t="s">
        <v>1530</v>
      </c>
      <c r="I788" s="15">
        <v>201502</v>
      </c>
      <c r="J788" s="16">
        <v>49045.33</v>
      </c>
      <c r="K788" s="44">
        <v>42036</v>
      </c>
      <c r="L788" s="45">
        <f t="shared" si="58"/>
        <v>4</v>
      </c>
      <c r="M788" s="17">
        <v>2.23333E-3</v>
      </c>
      <c r="N788" s="46">
        <f t="shared" si="51"/>
        <v>438.13762739560002</v>
      </c>
      <c r="O788" s="14"/>
      <c r="P788" s="48"/>
      <c r="Q788" s="16"/>
      <c r="R788" s="48">
        <f t="shared" si="59"/>
        <v>1149.4999218749999</v>
      </c>
      <c r="S788" s="14"/>
    </row>
    <row r="789" spans="1:19">
      <c r="A789" s="14" t="s">
        <v>66</v>
      </c>
      <c r="B789" s="15" t="s">
        <v>499</v>
      </c>
      <c r="C789" s="15" t="s">
        <v>500</v>
      </c>
      <c r="D789" s="14" t="s">
        <v>385</v>
      </c>
      <c r="E789" s="15" t="s">
        <v>501</v>
      </c>
      <c r="F789" s="14" t="s">
        <v>387</v>
      </c>
      <c r="G789" s="15" t="s">
        <v>23</v>
      </c>
      <c r="H789" s="15" t="s">
        <v>1530</v>
      </c>
      <c r="I789" s="15">
        <v>201502</v>
      </c>
      <c r="J789" s="16">
        <v>20994.25</v>
      </c>
      <c r="K789" s="44">
        <v>42036</v>
      </c>
      <c r="L789" s="45">
        <f t="shared" si="58"/>
        <v>4</v>
      </c>
      <c r="M789" s="17">
        <v>2.23333E-3</v>
      </c>
      <c r="N789" s="46">
        <f t="shared" si="51"/>
        <v>187.54835341</v>
      </c>
      <c r="O789" s="14"/>
      <c r="P789" s="48"/>
      <c r="Q789" s="16"/>
      <c r="R789" s="48">
        <f t="shared" si="59"/>
        <v>492.052734375</v>
      </c>
      <c r="S789" s="14"/>
    </row>
    <row r="790" spans="1:19">
      <c r="A790" s="14" t="s">
        <v>66</v>
      </c>
      <c r="B790" s="15" t="s">
        <v>595</v>
      </c>
      <c r="C790" s="15" t="s">
        <v>596</v>
      </c>
      <c r="D790" s="14" t="s">
        <v>597</v>
      </c>
      <c r="E790" s="15" t="s">
        <v>598</v>
      </c>
      <c r="F790" s="14" t="s">
        <v>212</v>
      </c>
      <c r="G790" s="15" t="s">
        <v>23</v>
      </c>
      <c r="H790" s="15" t="s">
        <v>1530</v>
      </c>
      <c r="I790" s="15">
        <v>201502</v>
      </c>
      <c r="J790" s="16">
        <v>69364.84</v>
      </c>
      <c r="K790" s="44">
        <v>42036</v>
      </c>
      <c r="L790" s="45">
        <f t="shared" si="58"/>
        <v>4</v>
      </c>
      <c r="M790" s="17">
        <v>2.23333E-3</v>
      </c>
      <c r="N790" s="46">
        <f t="shared" si="51"/>
        <v>619.65831246879998</v>
      </c>
      <c r="O790" s="14"/>
      <c r="P790" s="48"/>
      <c r="Q790" s="16"/>
      <c r="R790" s="48">
        <f t="shared" si="59"/>
        <v>1625.7384374999997</v>
      </c>
      <c r="S790" s="14"/>
    </row>
    <row r="791" spans="1:19">
      <c r="A791" s="14" t="s">
        <v>66</v>
      </c>
      <c r="B791" s="15" t="s">
        <v>599</v>
      </c>
      <c r="C791" s="15" t="s">
        <v>600</v>
      </c>
      <c r="D791" s="14" t="s">
        <v>385</v>
      </c>
      <c r="E791" s="15" t="s">
        <v>601</v>
      </c>
      <c r="F791" s="14" t="s">
        <v>387</v>
      </c>
      <c r="G791" s="15" t="s">
        <v>23</v>
      </c>
      <c r="H791" s="15" t="s">
        <v>1530</v>
      </c>
      <c r="I791" s="15">
        <v>201502</v>
      </c>
      <c r="J791" s="16">
        <v>-3148.9</v>
      </c>
      <c r="K791" s="44">
        <v>42036</v>
      </c>
      <c r="L791" s="45">
        <f t="shared" si="58"/>
        <v>4</v>
      </c>
      <c r="M791" s="17">
        <v>2.23333E-3</v>
      </c>
      <c r="N791" s="46">
        <f t="shared" si="51"/>
        <v>-28.130131347999999</v>
      </c>
      <c r="O791" s="14"/>
      <c r="P791" s="48"/>
      <c r="Q791" s="16"/>
      <c r="R791" s="48">
        <f t="shared" si="59"/>
        <v>-73.802343749999991</v>
      </c>
      <c r="S791" s="14"/>
    </row>
    <row r="792" spans="1:19">
      <c r="A792" s="14" t="s">
        <v>66</v>
      </c>
      <c r="B792" s="15" t="s">
        <v>671</v>
      </c>
      <c r="C792" s="15" t="s">
        <v>672</v>
      </c>
      <c r="D792" s="14" t="s">
        <v>206</v>
      </c>
      <c r="E792" s="15" t="s">
        <v>673</v>
      </c>
      <c r="F792" s="14" t="s">
        <v>97</v>
      </c>
      <c r="G792" s="15" t="s">
        <v>23</v>
      </c>
      <c r="H792" s="15" t="s">
        <v>1530</v>
      </c>
      <c r="I792" s="15">
        <v>201502</v>
      </c>
      <c r="J792" s="16">
        <v>6.38</v>
      </c>
      <c r="K792" s="44">
        <v>42036</v>
      </c>
      <c r="L792" s="45">
        <f t="shared" si="58"/>
        <v>4</v>
      </c>
      <c r="M792" s="17">
        <v>2.23333E-3</v>
      </c>
      <c r="N792" s="46">
        <f t="shared" si="51"/>
        <v>5.6994581599999997E-2</v>
      </c>
      <c r="O792" s="14"/>
      <c r="P792" s="48"/>
      <c r="Q792" s="16"/>
      <c r="R792" s="48">
        <f t="shared" si="59"/>
        <v>0.14953125</v>
      </c>
      <c r="S792" s="14"/>
    </row>
    <row r="793" spans="1:19">
      <c r="A793" s="14" t="s">
        <v>66</v>
      </c>
      <c r="B793" s="15" t="s">
        <v>674</v>
      </c>
      <c r="C793" s="15" t="s">
        <v>675</v>
      </c>
      <c r="D793" s="14" t="s">
        <v>385</v>
      </c>
      <c r="E793" s="15" t="s">
        <v>676</v>
      </c>
      <c r="F793" s="14" t="s">
        <v>387</v>
      </c>
      <c r="G793" s="15" t="s">
        <v>23</v>
      </c>
      <c r="H793" s="15" t="s">
        <v>1530</v>
      </c>
      <c r="I793" s="15">
        <v>201502</v>
      </c>
      <c r="J793" s="16">
        <v>10309.6</v>
      </c>
      <c r="K793" s="44">
        <v>42036</v>
      </c>
      <c r="L793" s="45">
        <f t="shared" si="58"/>
        <v>4</v>
      </c>
      <c r="M793" s="17">
        <v>2.23333E-3</v>
      </c>
      <c r="N793" s="46">
        <f t="shared" si="51"/>
        <v>92.098955872000005</v>
      </c>
      <c r="O793" s="14"/>
      <c r="P793" s="48"/>
      <c r="Q793" s="16"/>
      <c r="R793" s="48">
        <f t="shared" si="59"/>
        <v>241.63125000000002</v>
      </c>
      <c r="S793" s="14"/>
    </row>
    <row r="794" spans="1:19">
      <c r="A794" s="14" t="s">
        <v>66</v>
      </c>
      <c r="B794" s="15" t="s">
        <v>741</v>
      </c>
      <c r="C794" s="15" t="s">
        <v>742</v>
      </c>
      <c r="D794" s="14" t="s">
        <v>69</v>
      </c>
      <c r="E794" s="15" t="s">
        <v>70</v>
      </c>
      <c r="F794" s="14" t="s">
        <v>71</v>
      </c>
      <c r="G794" s="15" t="s">
        <v>23</v>
      </c>
      <c r="H794" s="15" t="s">
        <v>1530</v>
      </c>
      <c r="I794" s="15">
        <v>201502</v>
      </c>
      <c r="J794" s="16">
        <v>-1571.16</v>
      </c>
      <c r="K794" s="44">
        <v>42036</v>
      </c>
      <c r="L794" s="45">
        <f t="shared" si="58"/>
        <v>4</v>
      </c>
      <c r="M794" s="17">
        <v>2.23333E-3</v>
      </c>
      <c r="N794" s="46">
        <f t="shared" si="51"/>
        <v>-14.0356750512</v>
      </c>
      <c r="O794" s="14"/>
      <c r="P794" s="48"/>
      <c r="Q794" s="16"/>
      <c r="R794" s="48">
        <f t="shared" si="59"/>
        <v>-36.824062500000004</v>
      </c>
      <c r="S794" s="14"/>
    </row>
    <row r="795" spans="1:19">
      <c r="A795" s="14" t="s">
        <v>66</v>
      </c>
      <c r="B795" s="15" t="s">
        <v>743</v>
      </c>
      <c r="C795" s="15" t="s">
        <v>744</v>
      </c>
      <c r="D795" s="14" t="s">
        <v>745</v>
      </c>
      <c r="E795" s="15" t="s">
        <v>746</v>
      </c>
      <c r="F795" s="14" t="s">
        <v>80</v>
      </c>
      <c r="G795" s="15" t="s">
        <v>23</v>
      </c>
      <c r="H795" s="15" t="s">
        <v>1530</v>
      </c>
      <c r="I795" s="15">
        <v>201502</v>
      </c>
      <c r="J795" s="16">
        <v>-487.55</v>
      </c>
      <c r="K795" s="44">
        <v>42036</v>
      </c>
      <c r="L795" s="45">
        <f t="shared" si="58"/>
        <v>4</v>
      </c>
      <c r="M795" s="17">
        <v>2.23333E-3</v>
      </c>
      <c r="N795" s="46">
        <f t="shared" si="51"/>
        <v>-4.3554401660000002</v>
      </c>
      <c r="O795" s="14"/>
      <c r="P795" s="48"/>
      <c r="Q795" s="16"/>
      <c r="R795" s="48">
        <f t="shared" si="59"/>
        <v>-11.426953124999999</v>
      </c>
      <c r="S795" s="14"/>
    </row>
    <row r="796" spans="1:19">
      <c r="A796" s="14" t="s">
        <v>66</v>
      </c>
      <c r="B796" s="15" t="s">
        <v>747</v>
      </c>
      <c r="C796" s="15" t="s">
        <v>748</v>
      </c>
      <c r="D796" s="14" t="s">
        <v>78</v>
      </c>
      <c r="E796" s="15" t="s">
        <v>749</v>
      </c>
      <c r="F796" s="14" t="s">
        <v>80</v>
      </c>
      <c r="G796" s="15" t="s">
        <v>23</v>
      </c>
      <c r="H796" s="15" t="s">
        <v>1530</v>
      </c>
      <c r="I796" s="15">
        <v>201502</v>
      </c>
      <c r="J796" s="16">
        <v>3541.36</v>
      </c>
      <c r="K796" s="44">
        <v>42036</v>
      </c>
      <c r="L796" s="45">
        <f t="shared" si="58"/>
        <v>4</v>
      </c>
      <c r="M796" s="17">
        <v>2.23333E-3</v>
      </c>
      <c r="N796" s="46">
        <f t="shared" si="51"/>
        <v>31.6361021152</v>
      </c>
      <c r="O796" s="14"/>
      <c r="P796" s="48"/>
      <c r="Q796" s="16"/>
      <c r="R796" s="48">
        <f t="shared" si="59"/>
        <v>83.000624999999985</v>
      </c>
      <c r="S796" s="14"/>
    </row>
    <row r="797" spans="1:19">
      <c r="A797" s="14" t="s">
        <v>66</v>
      </c>
      <c r="B797" s="15" t="s">
        <v>750</v>
      </c>
      <c r="C797" s="15" t="s">
        <v>751</v>
      </c>
      <c r="D797" s="14" t="s">
        <v>78</v>
      </c>
      <c r="E797" s="15" t="s">
        <v>752</v>
      </c>
      <c r="F797" s="14" t="s">
        <v>80</v>
      </c>
      <c r="G797" s="15" t="s">
        <v>23</v>
      </c>
      <c r="H797" s="15" t="s">
        <v>1530</v>
      </c>
      <c r="I797" s="15">
        <v>201502</v>
      </c>
      <c r="J797" s="16">
        <v>-0.45</v>
      </c>
      <c r="K797" s="44">
        <v>42036</v>
      </c>
      <c r="L797" s="45">
        <f t="shared" si="58"/>
        <v>4</v>
      </c>
      <c r="M797" s="17">
        <v>2.23333E-3</v>
      </c>
      <c r="N797" s="46">
        <f t="shared" si="51"/>
        <v>-4.0199939999999998E-3</v>
      </c>
      <c r="O797" s="14"/>
      <c r="P797" s="48"/>
      <c r="Q797" s="16"/>
      <c r="R797" s="48">
        <f t="shared" si="59"/>
        <v>-1.0546875000000001E-2</v>
      </c>
      <c r="S797" s="14"/>
    </row>
    <row r="798" spans="1:19">
      <c r="A798" s="14" t="s">
        <v>66</v>
      </c>
      <c r="B798" s="15" t="s">
        <v>753</v>
      </c>
      <c r="C798" s="15" t="s">
        <v>754</v>
      </c>
      <c r="D798" s="14" t="s">
        <v>206</v>
      </c>
      <c r="E798" s="15" t="s">
        <v>755</v>
      </c>
      <c r="F798" s="14" t="s">
        <v>97</v>
      </c>
      <c r="G798" s="15" t="s">
        <v>23</v>
      </c>
      <c r="H798" s="15" t="s">
        <v>1530</v>
      </c>
      <c r="I798" s="15">
        <v>201502</v>
      </c>
      <c r="J798" s="16">
        <v>5789.58</v>
      </c>
      <c r="K798" s="44">
        <v>42036</v>
      </c>
      <c r="L798" s="45">
        <f t="shared" si="58"/>
        <v>4</v>
      </c>
      <c r="M798" s="17">
        <v>2.23333E-3</v>
      </c>
      <c r="N798" s="46">
        <f t="shared" si="51"/>
        <v>51.720170805599999</v>
      </c>
      <c r="O798" s="14"/>
      <c r="P798" s="48"/>
      <c r="Q798" s="16"/>
      <c r="R798" s="48">
        <f t="shared" si="59"/>
        <v>135.69328125000001</v>
      </c>
      <c r="S798" s="14"/>
    </row>
    <row r="799" spans="1:19">
      <c r="A799" s="14" t="s">
        <v>217</v>
      </c>
      <c r="B799" s="15" t="s">
        <v>218</v>
      </c>
      <c r="C799" s="15" t="s">
        <v>219</v>
      </c>
      <c r="D799" s="14" t="s">
        <v>220</v>
      </c>
      <c r="E799" s="15" t="s">
        <v>221</v>
      </c>
      <c r="F799" s="14" t="s">
        <v>222</v>
      </c>
      <c r="G799" s="15" t="s">
        <v>23</v>
      </c>
      <c r="H799" s="15" t="s">
        <v>1524</v>
      </c>
      <c r="I799" s="15">
        <v>201502</v>
      </c>
      <c r="J799" s="16">
        <v>56481.21</v>
      </c>
      <c r="K799" s="44">
        <v>42036</v>
      </c>
      <c r="L799" s="45">
        <f t="shared" si="58"/>
        <v>4</v>
      </c>
      <c r="M799" s="17">
        <v>1.4833299999999999E-3</v>
      </c>
      <c r="N799" s="46">
        <f t="shared" si="51"/>
        <v>335.12109291719997</v>
      </c>
      <c r="O799" s="14"/>
      <c r="P799" s="48"/>
      <c r="Q799" s="16"/>
      <c r="R799" s="48">
        <f t="shared" si="59"/>
        <v>1323.7783593749998</v>
      </c>
      <c r="S799" s="14"/>
    </row>
    <row r="800" spans="1:19">
      <c r="A800" s="14" t="s">
        <v>54</v>
      </c>
      <c r="B800" s="15" t="s">
        <v>55</v>
      </c>
      <c r="C800" s="15" t="s">
        <v>56</v>
      </c>
      <c r="D800" s="14" t="s">
        <v>57</v>
      </c>
      <c r="E800" s="15" t="s">
        <v>58</v>
      </c>
      <c r="F800" s="14" t="s">
        <v>22</v>
      </c>
      <c r="G800" s="15" t="s">
        <v>23</v>
      </c>
      <c r="H800" s="15" t="s">
        <v>1525</v>
      </c>
      <c r="I800" s="15">
        <v>201502</v>
      </c>
      <c r="J800" s="16">
        <v>-145.28</v>
      </c>
      <c r="K800" s="44">
        <v>42036</v>
      </c>
      <c r="L800" s="45">
        <f t="shared" si="58"/>
        <v>4</v>
      </c>
      <c r="M800" s="17">
        <v>1.4833299999999999E-3</v>
      </c>
      <c r="N800" s="46">
        <f t="shared" si="51"/>
        <v>-0.86199272959999995</v>
      </c>
      <c r="O800" s="14"/>
      <c r="P800" s="48"/>
      <c r="Q800" s="16"/>
      <c r="R800" s="48">
        <f t="shared" si="59"/>
        <v>-3.4049999999999998</v>
      </c>
      <c r="S800" s="14"/>
    </row>
    <row r="801" spans="1:19">
      <c r="A801" s="14" t="s">
        <v>54</v>
      </c>
      <c r="B801" s="15" t="s">
        <v>146</v>
      </c>
      <c r="C801" s="15" t="s">
        <v>147</v>
      </c>
      <c r="D801" s="14" t="s">
        <v>148</v>
      </c>
      <c r="E801" s="15" t="s">
        <v>62</v>
      </c>
      <c r="F801" s="14" t="s">
        <v>22</v>
      </c>
      <c r="G801" s="15" t="s">
        <v>23</v>
      </c>
      <c r="H801" s="15" t="s">
        <v>1525</v>
      </c>
      <c r="I801" s="15">
        <v>201502</v>
      </c>
      <c r="J801" s="16">
        <v>6528.61</v>
      </c>
      <c r="K801" s="44">
        <v>42036</v>
      </c>
      <c r="L801" s="45">
        <f t="shared" si="58"/>
        <v>4</v>
      </c>
      <c r="M801" s="17">
        <v>1.4833299999999999E-3</v>
      </c>
      <c r="N801" s="46">
        <f t="shared" si="51"/>
        <v>38.7363322852</v>
      </c>
      <c r="O801" s="14"/>
      <c r="P801" s="48"/>
      <c r="Q801" s="16"/>
      <c r="R801" s="48">
        <f t="shared" si="59"/>
        <v>153.01429687499999</v>
      </c>
      <c r="S801" s="14"/>
    </row>
    <row r="802" spans="1:19">
      <c r="A802" s="14" t="s">
        <v>17</v>
      </c>
      <c r="B802" s="15" t="s">
        <v>1024</v>
      </c>
      <c r="C802" s="15" t="s">
        <v>1025</v>
      </c>
      <c r="D802" s="14" t="s">
        <v>1026</v>
      </c>
      <c r="E802" s="15" t="s">
        <v>216</v>
      </c>
      <c r="F802" s="14" t="s">
        <v>22</v>
      </c>
      <c r="G802" s="15" t="s">
        <v>23</v>
      </c>
      <c r="H802" s="15" t="s">
        <v>1525</v>
      </c>
      <c r="I802" s="15">
        <v>201502</v>
      </c>
      <c r="J802" s="16">
        <v>10.91</v>
      </c>
      <c r="K802" s="44">
        <v>42036</v>
      </c>
      <c r="L802" s="45">
        <f t="shared" si="58"/>
        <v>4</v>
      </c>
      <c r="M802" s="17">
        <v>1.4833299999999999E-3</v>
      </c>
      <c r="N802" s="46">
        <f t="shared" si="51"/>
        <v>6.4732521200000004E-2</v>
      </c>
      <c r="O802" s="14"/>
      <c r="P802" s="48"/>
      <c r="Q802" s="16"/>
      <c r="R802" s="48">
        <f t="shared" si="59"/>
        <v>0.25570312500000003</v>
      </c>
      <c r="S802" s="14"/>
    </row>
    <row r="803" spans="1:19">
      <c r="A803" s="14" t="s">
        <v>54</v>
      </c>
      <c r="B803" s="15" t="s">
        <v>309</v>
      </c>
      <c r="C803" s="15" t="s">
        <v>310</v>
      </c>
      <c r="D803" s="14" t="s">
        <v>311</v>
      </c>
      <c r="E803" s="15" t="s">
        <v>216</v>
      </c>
      <c r="F803" s="14" t="s">
        <v>22</v>
      </c>
      <c r="G803" s="15" t="s">
        <v>23</v>
      </c>
      <c r="H803" s="15" t="s">
        <v>1525</v>
      </c>
      <c r="I803" s="15">
        <v>201502</v>
      </c>
      <c r="J803" s="16">
        <v>-166.18</v>
      </c>
      <c r="K803" s="44">
        <v>42036</v>
      </c>
      <c r="L803" s="45">
        <f t="shared" si="58"/>
        <v>4</v>
      </c>
      <c r="M803" s="17">
        <v>1.4833299999999999E-3</v>
      </c>
      <c r="N803" s="46">
        <f t="shared" si="51"/>
        <v>-0.98599911760000003</v>
      </c>
      <c r="O803" s="14"/>
      <c r="P803" s="48"/>
      <c r="Q803" s="16"/>
      <c r="R803" s="48">
        <f t="shared" si="59"/>
        <v>-3.8948437499999997</v>
      </c>
      <c r="S803" s="14"/>
    </row>
    <row r="804" spans="1:19">
      <c r="A804" s="14" t="s">
        <v>17</v>
      </c>
      <c r="B804" s="15" t="s">
        <v>347</v>
      </c>
      <c r="C804" s="15" t="s">
        <v>348</v>
      </c>
      <c r="D804" s="14" t="s">
        <v>349</v>
      </c>
      <c r="E804" s="15" t="s">
        <v>324</v>
      </c>
      <c r="F804" s="14" t="s">
        <v>325</v>
      </c>
      <c r="G804" s="15" t="s">
        <v>23</v>
      </c>
      <c r="H804" s="15" t="s">
        <v>1525</v>
      </c>
      <c r="I804" s="15">
        <v>201502</v>
      </c>
      <c r="J804" s="16">
        <v>-37.24</v>
      </c>
      <c r="K804" s="44">
        <v>42036</v>
      </c>
      <c r="L804" s="45">
        <f t="shared" si="58"/>
        <v>4</v>
      </c>
      <c r="M804" s="17">
        <v>1.4833299999999999E-3</v>
      </c>
      <c r="N804" s="46">
        <f t="shared" si="51"/>
        <v>-0.2209568368</v>
      </c>
      <c r="O804" s="14"/>
      <c r="P804" s="48"/>
      <c r="Q804" s="16"/>
      <c r="R804" s="48">
        <f t="shared" si="59"/>
        <v>-0.87281249999999999</v>
      </c>
      <c r="S804" s="14"/>
    </row>
    <row r="805" spans="1:19">
      <c r="A805" s="14" t="s">
        <v>54</v>
      </c>
      <c r="B805" s="15" t="s">
        <v>419</v>
      </c>
      <c r="C805" s="15" t="s">
        <v>420</v>
      </c>
      <c r="D805" s="14" t="s">
        <v>421</v>
      </c>
      <c r="E805" s="15" t="s">
        <v>32</v>
      </c>
      <c r="F805" s="14" t="s">
        <v>22</v>
      </c>
      <c r="G805" s="15" t="s">
        <v>23</v>
      </c>
      <c r="H805" s="15" t="s">
        <v>1525</v>
      </c>
      <c r="I805" s="15">
        <v>201502</v>
      </c>
      <c r="J805" s="16">
        <v>-1.1299999999999999</v>
      </c>
      <c r="K805" s="44">
        <v>42036</v>
      </c>
      <c r="L805" s="45">
        <f t="shared" si="58"/>
        <v>4</v>
      </c>
      <c r="M805" s="17">
        <v>1.4833299999999999E-3</v>
      </c>
      <c r="N805" s="46">
        <f t="shared" si="51"/>
        <v>-6.7046515999999992E-3</v>
      </c>
      <c r="O805" s="14"/>
      <c r="P805" s="48"/>
      <c r="Q805" s="16"/>
      <c r="R805" s="48">
        <f t="shared" si="59"/>
        <v>-2.6484374999999998E-2</v>
      </c>
      <c r="S805" s="14"/>
    </row>
    <row r="806" spans="1:19">
      <c r="A806" s="14" t="s">
        <v>54</v>
      </c>
      <c r="B806" s="15" t="s">
        <v>441</v>
      </c>
      <c r="C806" s="15" t="s">
        <v>442</v>
      </c>
      <c r="D806" s="14" t="s">
        <v>443</v>
      </c>
      <c r="E806" s="15" t="s">
        <v>141</v>
      </c>
      <c r="F806" s="14" t="s">
        <v>142</v>
      </c>
      <c r="G806" s="15" t="s">
        <v>23</v>
      </c>
      <c r="H806" s="15" t="s">
        <v>1525</v>
      </c>
      <c r="I806" s="15">
        <v>201502</v>
      </c>
      <c r="J806" s="16">
        <v>84.58</v>
      </c>
      <c r="K806" s="44">
        <v>42036</v>
      </c>
      <c r="L806" s="45">
        <f t="shared" si="58"/>
        <v>4</v>
      </c>
      <c r="M806" s="17">
        <v>1.4833299999999999E-3</v>
      </c>
      <c r="N806" s="46">
        <f t="shared" si="51"/>
        <v>0.50184020559999998</v>
      </c>
      <c r="O806" s="14"/>
      <c r="P806" s="48"/>
      <c r="Q806" s="16"/>
      <c r="R806" s="48">
        <f t="shared" si="59"/>
        <v>1.9823437499999998</v>
      </c>
      <c r="S806" s="14"/>
    </row>
    <row r="807" spans="1:19">
      <c r="A807" s="14" t="s">
        <v>54</v>
      </c>
      <c r="B807" s="15" t="s">
        <v>453</v>
      </c>
      <c r="C807" s="15" t="s">
        <v>454</v>
      </c>
      <c r="D807" s="14" t="s">
        <v>455</v>
      </c>
      <c r="E807" s="15" t="s">
        <v>62</v>
      </c>
      <c r="F807" s="14" t="s">
        <v>22</v>
      </c>
      <c r="G807" s="15" t="s">
        <v>23</v>
      </c>
      <c r="H807" s="15" t="s">
        <v>1525</v>
      </c>
      <c r="I807" s="15">
        <v>201502</v>
      </c>
      <c r="J807" s="16">
        <v>-9.2899999999999991</v>
      </c>
      <c r="K807" s="44">
        <v>42036</v>
      </c>
      <c r="L807" s="45">
        <f t="shared" si="58"/>
        <v>4</v>
      </c>
      <c r="M807" s="17">
        <v>1.4833299999999999E-3</v>
      </c>
      <c r="N807" s="46">
        <f t="shared" si="51"/>
        <v>-5.5120542799999991E-2</v>
      </c>
      <c r="O807" s="14"/>
      <c r="P807" s="48"/>
      <c r="Q807" s="16"/>
      <c r="R807" s="48">
        <f t="shared" si="59"/>
        <v>-0.21773437499999995</v>
      </c>
      <c r="S807" s="14"/>
    </row>
    <row r="808" spans="1:19">
      <c r="A808" s="14" t="s">
        <v>17</v>
      </c>
      <c r="B808" s="15" t="s">
        <v>480</v>
      </c>
      <c r="C808" s="15" t="s">
        <v>481</v>
      </c>
      <c r="D808" s="14" t="s">
        <v>482</v>
      </c>
      <c r="E808" s="15" t="s">
        <v>141</v>
      </c>
      <c r="F808" s="14" t="s">
        <v>142</v>
      </c>
      <c r="G808" s="15" t="s">
        <v>23</v>
      </c>
      <c r="H808" s="15" t="s">
        <v>1525</v>
      </c>
      <c r="I808" s="15">
        <v>201502</v>
      </c>
      <c r="J808" s="16">
        <v>-2.95</v>
      </c>
      <c r="K808" s="44">
        <v>42036</v>
      </c>
      <c r="L808" s="45">
        <f t="shared" si="58"/>
        <v>4</v>
      </c>
      <c r="M808" s="17">
        <v>1.4833299999999999E-3</v>
      </c>
      <c r="N808" s="46">
        <f t="shared" si="51"/>
        <v>-1.7503293999999999E-2</v>
      </c>
      <c r="O808" s="14"/>
      <c r="P808" s="48"/>
      <c r="Q808" s="16"/>
      <c r="R808" s="48">
        <f t="shared" si="59"/>
        <v>-6.9140624999999997E-2</v>
      </c>
      <c r="S808" s="14"/>
    </row>
    <row r="809" spans="1:19">
      <c r="A809" s="14" t="s">
        <v>54</v>
      </c>
      <c r="B809" s="15" t="s">
        <v>543</v>
      </c>
      <c r="C809" s="15" t="s">
        <v>544</v>
      </c>
      <c r="D809" s="14" t="s">
        <v>545</v>
      </c>
      <c r="E809" s="15" t="s">
        <v>62</v>
      </c>
      <c r="F809" s="14" t="s">
        <v>22</v>
      </c>
      <c r="G809" s="15" t="s">
        <v>23</v>
      </c>
      <c r="H809" s="15" t="s">
        <v>1525</v>
      </c>
      <c r="I809" s="15">
        <v>201502</v>
      </c>
      <c r="J809" s="16">
        <v>-42.42</v>
      </c>
      <c r="K809" s="44">
        <v>42036</v>
      </c>
      <c r="L809" s="45">
        <f t="shared" si="58"/>
        <v>4</v>
      </c>
      <c r="M809" s="17">
        <v>1.4833299999999999E-3</v>
      </c>
      <c r="N809" s="46">
        <f t="shared" si="51"/>
        <v>-0.25169143440000002</v>
      </c>
      <c r="O809" s="14"/>
      <c r="P809" s="48"/>
      <c r="Q809" s="16"/>
      <c r="R809" s="48">
        <f t="shared" si="59"/>
        <v>-0.99421875000000004</v>
      </c>
      <c r="S809" s="14"/>
    </row>
    <row r="810" spans="1:19">
      <c r="A810" s="14" t="s">
        <v>17</v>
      </c>
      <c r="B810" s="15" t="s">
        <v>552</v>
      </c>
      <c r="C810" s="15" t="s">
        <v>553</v>
      </c>
      <c r="D810" s="14" t="s">
        <v>554</v>
      </c>
      <c r="E810" s="15" t="s">
        <v>62</v>
      </c>
      <c r="F810" s="14" t="s">
        <v>22</v>
      </c>
      <c r="G810" s="15" t="s">
        <v>23</v>
      </c>
      <c r="H810" s="15" t="s">
        <v>1525</v>
      </c>
      <c r="I810" s="15">
        <v>201502</v>
      </c>
      <c r="J810" s="16">
        <v>-1612.64</v>
      </c>
      <c r="K810" s="44">
        <v>42036</v>
      </c>
      <c r="L810" s="45">
        <f t="shared" si="58"/>
        <v>4</v>
      </c>
      <c r="M810" s="17">
        <v>1.4833299999999999E-3</v>
      </c>
      <c r="N810" s="46">
        <f t="shared" si="51"/>
        <v>-9.5683091648000005</v>
      </c>
      <c r="O810" s="14"/>
      <c r="P810" s="48"/>
      <c r="Q810" s="16"/>
      <c r="R810" s="48">
        <f t="shared" si="59"/>
        <v>-37.796250000000001</v>
      </c>
      <c r="S810" s="14"/>
    </row>
    <row r="811" spans="1:19">
      <c r="A811" s="14" t="s">
        <v>17</v>
      </c>
      <c r="B811" s="15" t="s">
        <v>568</v>
      </c>
      <c r="C811" s="15" t="s">
        <v>569</v>
      </c>
      <c r="D811" s="14" t="s">
        <v>570</v>
      </c>
      <c r="E811" s="15" t="s">
        <v>324</v>
      </c>
      <c r="F811" s="14" t="s">
        <v>325</v>
      </c>
      <c r="G811" s="15" t="s">
        <v>23</v>
      </c>
      <c r="H811" s="15" t="s">
        <v>1525</v>
      </c>
      <c r="I811" s="15">
        <v>201502</v>
      </c>
      <c r="J811" s="16">
        <v>391.21</v>
      </c>
      <c r="K811" s="44">
        <v>42036</v>
      </c>
      <c r="L811" s="45">
        <f t="shared" si="58"/>
        <v>4</v>
      </c>
      <c r="M811" s="17">
        <v>1.4833299999999999E-3</v>
      </c>
      <c r="N811" s="46">
        <f t="shared" si="51"/>
        <v>2.3211741172</v>
      </c>
      <c r="O811" s="14"/>
      <c r="P811" s="48"/>
      <c r="Q811" s="16"/>
      <c r="R811" s="48">
        <f t="shared" si="59"/>
        <v>9.1689843749999991</v>
      </c>
      <c r="S811" s="14"/>
    </row>
    <row r="812" spans="1:19">
      <c r="A812" s="14" t="s">
        <v>17</v>
      </c>
      <c r="B812" s="15" t="s">
        <v>611</v>
      </c>
      <c r="C812" s="15" t="s">
        <v>612</v>
      </c>
      <c r="D812" s="14" t="s">
        <v>613</v>
      </c>
      <c r="E812" s="15" t="s">
        <v>324</v>
      </c>
      <c r="F812" s="14" t="s">
        <v>325</v>
      </c>
      <c r="G812" s="15" t="s">
        <v>23</v>
      </c>
      <c r="H812" s="15" t="s">
        <v>1525</v>
      </c>
      <c r="I812" s="15">
        <v>201502</v>
      </c>
      <c r="J812" s="16">
        <v>18.059999999999999</v>
      </c>
      <c r="K812" s="44">
        <v>42036</v>
      </c>
      <c r="L812" s="45">
        <f t="shared" si="58"/>
        <v>4</v>
      </c>
      <c r="M812" s="17">
        <v>1.4833299999999999E-3</v>
      </c>
      <c r="N812" s="46">
        <f t="shared" si="51"/>
        <v>0.10715575919999999</v>
      </c>
      <c r="O812" s="14"/>
      <c r="P812" s="48"/>
      <c r="Q812" s="16"/>
      <c r="R812" s="48">
        <f t="shared" si="59"/>
        <v>0.42328124999999994</v>
      </c>
      <c r="S812" s="14"/>
    </row>
    <row r="813" spans="1:19">
      <c r="A813" s="14" t="s">
        <v>17</v>
      </c>
      <c r="B813" s="15" t="s">
        <v>2255</v>
      </c>
      <c r="C813" s="15" t="s">
        <v>2256</v>
      </c>
      <c r="D813" s="14" t="s">
        <v>2257</v>
      </c>
      <c r="E813" s="15" t="s">
        <v>216</v>
      </c>
      <c r="F813" s="14" t="s">
        <v>22</v>
      </c>
      <c r="G813" s="15" t="s">
        <v>23</v>
      </c>
      <c r="H813" s="15" t="s">
        <v>1525</v>
      </c>
      <c r="I813" s="15">
        <v>201502</v>
      </c>
      <c r="J813" s="16">
        <v>106051.23</v>
      </c>
      <c r="K813" s="44">
        <v>42036</v>
      </c>
      <c r="L813" s="45">
        <f t="shared" si="58"/>
        <v>4</v>
      </c>
      <c r="M813" s="17">
        <v>1.4833299999999999E-3</v>
      </c>
      <c r="N813" s="46">
        <f t="shared" si="51"/>
        <v>629.23588398359993</v>
      </c>
      <c r="O813" s="14"/>
      <c r="P813" s="48"/>
      <c r="Q813" s="16"/>
      <c r="R813" s="48">
        <f t="shared" si="59"/>
        <v>2485.575703125</v>
      </c>
      <c r="S813" s="14"/>
    </row>
    <row r="814" spans="1:19">
      <c r="A814" s="14" t="s">
        <v>17</v>
      </c>
      <c r="B814" s="15" t="s">
        <v>646</v>
      </c>
      <c r="C814" s="15" t="s">
        <v>647</v>
      </c>
      <c r="D814" s="14" t="s">
        <v>648</v>
      </c>
      <c r="E814" s="15" t="s">
        <v>176</v>
      </c>
      <c r="F814" s="14" t="s">
        <v>28</v>
      </c>
      <c r="G814" s="15" t="s">
        <v>23</v>
      </c>
      <c r="H814" s="15" t="s">
        <v>1525</v>
      </c>
      <c r="I814" s="15">
        <v>201502</v>
      </c>
      <c r="J814" s="16">
        <v>305.37</v>
      </c>
      <c r="K814" s="44">
        <v>42036</v>
      </c>
      <c r="L814" s="45">
        <f t="shared" si="58"/>
        <v>4</v>
      </c>
      <c r="M814" s="17">
        <v>1.4833299999999999E-3</v>
      </c>
      <c r="N814" s="46">
        <f t="shared" si="51"/>
        <v>1.8118579284</v>
      </c>
      <c r="O814" s="14"/>
      <c r="P814" s="48"/>
      <c r="Q814" s="16"/>
      <c r="R814" s="48">
        <f t="shared" si="59"/>
        <v>7.1571093750000001</v>
      </c>
      <c r="S814" s="14"/>
    </row>
    <row r="815" spans="1:19">
      <c r="A815" s="14" t="s">
        <v>17</v>
      </c>
      <c r="B815" s="15" t="s">
        <v>704</v>
      </c>
      <c r="C815" s="15" t="s">
        <v>705</v>
      </c>
      <c r="D815" s="14" t="s">
        <v>706</v>
      </c>
      <c r="E815" s="15" t="s">
        <v>58</v>
      </c>
      <c r="F815" s="14" t="s">
        <v>22</v>
      </c>
      <c r="G815" s="15" t="s">
        <v>23</v>
      </c>
      <c r="H815" s="15" t="s">
        <v>1525</v>
      </c>
      <c r="I815" s="15">
        <v>201502</v>
      </c>
      <c r="J815" s="16">
        <v>-136.63</v>
      </c>
      <c r="K815" s="44">
        <v>42036</v>
      </c>
      <c r="L815" s="45">
        <f t="shared" si="58"/>
        <v>4</v>
      </c>
      <c r="M815" s="17">
        <v>1.4833299999999999E-3</v>
      </c>
      <c r="N815" s="46">
        <f t="shared" si="51"/>
        <v>-0.81066951159999989</v>
      </c>
      <c r="O815" s="14"/>
      <c r="P815" s="48"/>
      <c r="Q815" s="16"/>
      <c r="R815" s="48">
        <f t="shared" si="59"/>
        <v>-3.2022656249999999</v>
      </c>
      <c r="S815" s="14"/>
    </row>
    <row r="816" spans="1:19">
      <c r="A816" s="14" t="s">
        <v>17</v>
      </c>
      <c r="B816" s="15" t="s">
        <v>1033</v>
      </c>
      <c r="C816" s="15" t="s">
        <v>1034</v>
      </c>
      <c r="D816" s="14" t="s">
        <v>1035</v>
      </c>
      <c r="E816" s="15" t="s">
        <v>58</v>
      </c>
      <c r="F816" s="14" t="s">
        <v>22</v>
      </c>
      <c r="G816" s="15" t="s">
        <v>23</v>
      </c>
      <c r="H816" s="15" t="s">
        <v>1525</v>
      </c>
      <c r="I816" s="15">
        <v>201502</v>
      </c>
      <c r="J816" s="16">
        <v>123.75</v>
      </c>
      <c r="K816" s="44">
        <v>42036</v>
      </c>
      <c r="L816" s="45">
        <f t="shared" si="58"/>
        <v>4</v>
      </c>
      <c r="M816" s="17">
        <v>1.4833299999999999E-3</v>
      </c>
      <c r="N816" s="46">
        <f t="shared" si="51"/>
        <v>0.73424834999999999</v>
      </c>
      <c r="O816" s="14"/>
      <c r="P816" s="48"/>
      <c r="Q816" s="16"/>
      <c r="R816" s="48">
        <f t="shared" si="59"/>
        <v>2.900390625</v>
      </c>
      <c r="S816" s="14"/>
    </row>
    <row r="817" spans="1:19">
      <c r="A817" s="14" t="s">
        <v>17</v>
      </c>
      <c r="B817" s="15" t="s">
        <v>759</v>
      </c>
      <c r="C817" s="15" t="s">
        <v>760</v>
      </c>
      <c r="D817" s="14" t="s">
        <v>761</v>
      </c>
      <c r="E817" s="15" t="s">
        <v>62</v>
      </c>
      <c r="F817" s="14" t="s">
        <v>22</v>
      </c>
      <c r="G817" s="15" t="s">
        <v>23</v>
      </c>
      <c r="H817" s="15" t="s">
        <v>1525</v>
      </c>
      <c r="I817" s="15">
        <v>201502</v>
      </c>
      <c r="J817" s="16">
        <v>-453.81</v>
      </c>
      <c r="K817" s="44">
        <v>42036</v>
      </c>
      <c r="L817" s="45">
        <f t="shared" si="58"/>
        <v>4</v>
      </c>
      <c r="M817" s="17">
        <v>1.4833299999999999E-3</v>
      </c>
      <c r="N817" s="46">
        <f t="shared" si="51"/>
        <v>-2.6925999491999999</v>
      </c>
      <c r="O817" s="14"/>
      <c r="P817" s="48"/>
      <c r="Q817" s="16"/>
      <c r="R817" s="48">
        <f t="shared" si="59"/>
        <v>-10.636171875</v>
      </c>
      <c r="S817" s="14"/>
    </row>
    <row r="818" spans="1:19">
      <c r="A818" s="14" t="s">
        <v>54</v>
      </c>
      <c r="B818" s="15" t="s">
        <v>813</v>
      </c>
      <c r="C818" s="15" t="s">
        <v>814</v>
      </c>
      <c r="D818" s="14" t="s">
        <v>815</v>
      </c>
      <c r="E818" s="15" t="s">
        <v>62</v>
      </c>
      <c r="F818" s="14" t="s">
        <v>22</v>
      </c>
      <c r="G818" s="15" t="s">
        <v>23</v>
      </c>
      <c r="H818" s="15" t="s">
        <v>1525</v>
      </c>
      <c r="I818" s="15">
        <v>201502</v>
      </c>
      <c r="J818" s="16">
        <v>-456.88</v>
      </c>
      <c r="K818" s="44">
        <v>42036</v>
      </c>
      <c r="L818" s="45">
        <f t="shared" ref="L818:L881" si="60">((YEAR($L$1)-YEAR(K818))*12+MONTH($L$1)-MONTH(K818))</f>
        <v>4</v>
      </c>
      <c r="M818" s="17">
        <v>1.4833299999999999E-3</v>
      </c>
      <c r="N818" s="46">
        <f t="shared" si="51"/>
        <v>-2.7108152415999998</v>
      </c>
      <c r="O818" s="14"/>
      <c r="P818" s="48"/>
      <c r="Q818" s="16"/>
      <c r="R818" s="48">
        <f t="shared" si="59"/>
        <v>-10.708124999999999</v>
      </c>
      <c r="S818" s="14"/>
    </row>
    <row r="819" spans="1:19">
      <c r="A819" s="14" t="s">
        <v>54</v>
      </c>
      <c r="B819" s="15" t="s">
        <v>2181</v>
      </c>
      <c r="C819" s="15" t="s">
        <v>1729</v>
      </c>
      <c r="D819" s="14" t="s">
        <v>1730</v>
      </c>
      <c r="E819" s="15" t="s">
        <v>62</v>
      </c>
      <c r="F819" s="14" t="s">
        <v>22</v>
      </c>
      <c r="G819" s="15" t="s">
        <v>23</v>
      </c>
      <c r="H819" s="15" t="s">
        <v>1525</v>
      </c>
      <c r="I819" s="15">
        <v>201502</v>
      </c>
      <c r="J819" s="16">
        <v>-1020.59</v>
      </c>
      <c r="K819" s="44">
        <v>42036</v>
      </c>
      <c r="L819" s="45">
        <f t="shared" si="60"/>
        <v>4</v>
      </c>
      <c r="M819" s="17">
        <v>1.4833299999999999E-3</v>
      </c>
      <c r="N819" s="46">
        <f t="shared" si="51"/>
        <v>-6.0554870587999998</v>
      </c>
      <c r="O819" s="14"/>
      <c r="P819" s="48"/>
      <c r="Q819" s="16"/>
      <c r="R819" s="48">
        <f t="shared" si="59"/>
        <v>-23.920078125000003</v>
      </c>
      <c r="S819" s="14"/>
    </row>
    <row r="820" spans="1:19">
      <c r="A820" s="14" t="s">
        <v>54</v>
      </c>
      <c r="B820" s="15" t="s">
        <v>830</v>
      </c>
      <c r="C820" s="15" t="s">
        <v>831</v>
      </c>
      <c r="D820" s="14" t="s">
        <v>832</v>
      </c>
      <c r="E820" s="15" t="s">
        <v>62</v>
      </c>
      <c r="F820" s="14" t="s">
        <v>22</v>
      </c>
      <c r="G820" s="15" t="s">
        <v>23</v>
      </c>
      <c r="H820" s="15" t="s">
        <v>1525</v>
      </c>
      <c r="I820" s="15">
        <v>201502</v>
      </c>
      <c r="J820" s="16">
        <v>-70.510000000000005</v>
      </c>
      <c r="K820" s="44">
        <v>42036</v>
      </c>
      <c r="L820" s="45">
        <f t="shared" si="60"/>
        <v>4</v>
      </c>
      <c r="M820" s="17">
        <v>1.4833299999999999E-3</v>
      </c>
      <c r="N820" s="46">
        <f t="shared" si="51"/>
        <v>-0.41835839320000001</v>
      </c>
      <c r="O820" s="14"/>
      <c r="P820" s="48"/>
      <c r="Q820" s="16"/>
      <c r="R820" s="48">
        <f t="shared" si="59"/>
        <v>-1.6525781250000002</v>
      </c>
      <c r="S820" s="14"/>
    </row>
    <row r="821" spans="1:19">
      <c r="A821" s="14" t="s">
        <v>17</v>
      </c>
      <c r="B821" s="15" t="s">
        <v>843</v>
      </c>
      <c r="C821" s="15" t="s">
        <v>844</v>
      </c>
      <c r="D821" s="14" t="s">
        <v>845</v>
      </c>
      <c r="E821" s="15" t="s">
        <v>45</v>
      </c>
      <c r="F821" s="14" t="s">
        <v>22</v>
      </c>
      <c r="G821" s="15" t="s">
        <v>23</v>
      </c>
      <c r="H821" s="15" t="s">
        <v>1525</v>
      </c>
      <c r="I821" s="15">
        <v>201502</v>
      </c>
      <c r="J821" s="16">
        <v>-13.96</v>
      </c>
      <c r="K821" s="44">
        <v>42036</v>
      </c>
      <c r="L821" s="45">
        <f t="shared" si="60"/>
        <v>4</v>
      </c>
      <c r="M821" s="17">
        <v>1.4833299999999999E-3</v>
      </c>
      <c r="N821" s="46">
        <f t="shared" si="51"/>
        <v>-8.2829147199999995E-2</v>
      </c>
      <c r="O821" s="14"/>
      <c r="P821" s="48"/>
      <c r="Q821" s="16"/>
      <c r="R821" s="48">
        <f t="shared" si="59"/>
        <v>-0.32718749999999996</v>
      </c>
      <c r="S821" s="14"/>
    </row>
    <row r="822" spans="1:19">
      <c r="A822" s="14" t="s">
        <v>54</v>
      </c>
      <c r="B822" s="15" t="s">
        <v>846</v>
      </c>
      <c r="C822" s="15" t="s">
        <v>847</v>
      </c>
      <c r="D822" s="14" t="s">
        <v>848</v>
      </c>
      <c r="E822" s="15" t="s">
        <v>141</v>
      </c>
      <c r="F822" s="14" t="s">
        <v>142</v>
      </c>
      <c r="G822" s="15" t="s">
        <v>23</v>
      </c>
      <c r="H822" s="15" t="s">
        <v>1525</v>
      </c>
      <c r="I822" s="15">
        <v>201502</v>
      </c>
      <c r="J822" s="16">
        <v>-99.76</v>
      </c>
      <c r="K822" s="44">
        <v>42036</v>
      </c>
      <c r="L822" s="45">
        <f t="shared" si="60"/>
        <v>4</v>
      </c>
      <c r="M822" s="17">
        <v>1.4833299999999999E-3</v>
      </c>
      <c r="N822" s="46">
        <f t="shared" si="51"/>
        <v>-0.59190800320000003</v>
      </c>
      <c r="O822" s="14"/>
      <c r="P822" s="48"/>
      <c r="Q822" s="16"/>
      <c r="R822" s="48">
        <f t="shared" si="59"/>
        <v>-2.3381250000000002</v>
      </c>
      <c r="S822" s="14"/>
    </row>
    <row r="823" spans="1:19">
      <c r="A823" s="14" t="s">
        <v>54</v>
      </c>
      <c r="B823" s="15" t="s">
        <v>2258</v>
      </c>
      <c r="C823" s="15" t="s">
        <v>1720</v>
      </c>
      <c r="D823" s="14" t="s">
        <v>1721</v>
      </c>
      <c r="E823" s="15" t="s">
        <v>32</v>
      </c>
      <c r="F823" s="14" t="s">
        <v>22</v>
      </c>
      <c r="G823" s="15" t="s">
        <v>23</v>
      </c>
      <c r="H823" s="15" t="s">
        <v>1525</v>
      </c>
      <c r="I823" s="15">
        <v>201502</v>
      </c>
      <c r="J823" s="16">
        <v>107240.43</v>
      </c>
      <c r="K823" s="44">
        <v>42036</v>
      </c>
      <c r="L823" s="45">
        <f t="shared" si="60"/>
        <v>4</v>
      </c>
      <c r="M823" s="17">
        <v>1.4833299999999999E-3</v>
      </c>
      <c r="N823" s="46">
        <f t="shared" si="51"/>
        <v>636.29178812759994</v>
      </c>
      <c r="O823" s="14"/>
      <c r="P823" s="48"/>
      <c r="Q823" s="16"/>
      <c r="R823" s="48">
        <f t="shared" si="59"/>
        <v>2513.4475781249998</v>
      </c>
      <c r="S823" s="14"/>
    </row>
    <row r="824" spans="1:19">
      <c r="A824" s="14" t="s">
        <v>54</v>
      </c>
      <c r="B824" s="15" t="s">
        <v>852</v>
      </c>
      <c r="C824" s="15" t="s">
        <v>853</v>
      </c>
      <c r="D824" s="14" t="s">
        <v>854</v>
      </c>
      <c r="E824" s="15" t="s">
        <v>62</v>
      </c>
      <c r="F824" s="14" t="s">
        <v>22</v>
      </c>
      <c r="G824" s="15" t="s">
        <v>23</v>
      </c>
      <c r="H824" s="15" t="s">
        <v>1525</v>
      </c>
      <c r="I824" s="15">
        <v>201502</v>
      </c>
      <c r="J824" s="16">
        <v>-17.649999999999999</v>
      </c>
      <c r="K824" s="44">
        <v>42036</v>
      </c>
      <c r="L824" s="45">
        <f t="shared" si="60"/>
        <v>4</v>
      </c>
      <c r="M824" s="17">
        <v>1.4833299999999999E-3</v>
      </c>
      <c r="N824" s="46">
        <f t="shared" si="51"/>
        <v>-0.10472309799999999</v>
      </c>
      <c r="O824" s="14"/>
      <c r="P824" s="48"/>
      <c r="Q824" s="16"/>
      <c r="R824" s="48">
        <f t="shared" si="59"/>
        <v>-0.41367187499999991</v>
      </c>
      <c r="S824" s="14"/>
    </row>
    <row r="825" spans="1:19">
      <c r="A825" s="14" t="s">
        <v>17</v>
      </c>
      <c r="B825" s="15" t="s">
        <v>2182</v>
      </c>
      <c r="C825" s="15" t="s">
        <v>1714</v>
      </c>
      <c r="D825" s="14" t="s">
        <v>1715</v>
      </c>
      <c r="E825" s="15" t="s">
        <v>574</v>
      </c>
      <c r="F825" s="14" t="s">
        <v>28</v>
      </c>
      <c r="G825" s="15" t="s">
        <v>23</v>
      </c>
      <c r="H825" s="15" t="s">
        <v>1525</v>
      </c>
      <c r="I825" s="15">
        <v>201502</v>
      </c>
      <c r="J825" s="16">
        <v>4110.0200000000004</v>
      </c>
      <c r="K825" s="44">
        <v>42036</v>
      </c>
      <c r="L825" s="45">
        <f t="shared" si="60"/>
        <v>4</v>
      </c>
      <c r="M825" s="17">
        <v>1.4833299999999999E-3</v>
      </c>
      <c r="N825" s="46">
        <f t="shared" si="51"/>
        <v>24.386063866400001</v>
      </c>
      <c r="O825" s="14"/>
      <c r="P825" s="48"/>
      <c r="Q825" s="16"/>
      <c r="R825" s="48">
        <f t="shared" si="59"/>
        <v>96.32859375000001</v>
      </c>
      <c r="S825" s="14"/>
    </row>
    <row r="826" spans="1:19">
      <c r="A826" s="14" t="s">
        <v>54</v>
      </c>
      <c r="B826" s="15" t="s">
        <v>858</v>
      </c>
      <c r="C826" s="15" t="s">
        <v>859</v>
      </c>
      <c r="D826" s="14" t="s">
        <v>860</v>
      </c>
      <c r="E826" s="15" t="s">
        <v>62</v>
      </c>
      <c r="F826" s="14" t="s">
        <v>22</v>
      </c>
      <c r="G826" s="15" t="s">
        <v>23</v>
      </c>
      <c r="H826" s="15" t="s">
        <v>1525</v>
      </c>
      <c r="I826" s="15">
        <v>201502</v>
      </c>
      <c r="J826" s="16">
        <v>-1.78</v>
      </c>
      <c r="K826" s="44">
        <v>42036</v>
      </c>
      <c r="L826" s="45">
        <f t="shared" si="60"/>
        <v>4</v>
      </c>
      <c r="M826" s="17">
        <v>1.4833299999999999E-3</v>
      </c>
      <c r="N826" s="46">
        <f t="shared" si="51"/>
        <v>-1.0561309599999999E-2</v>
      </c>
      <c r="O826" s="14"/>
      <c r="P826" s="48"/>
      <c r="Q826" s="16"/>
      <c r="R826" s="48">
        <f t="shared" si="59"/>
        <v>-4.1718749999999999E-2</v>
      </c>
      <c r="S826" s="14"/>
    </row>
    <row r="827" spans="1:19">
      <c r="A827" s="14" t="s">
        <v>54</v>
      </c>
      <c r="B827" s="15" t="s">
        <v>876</v>
      </c>
      <c r="C827" s="15" t="s">
        <v>877</v>
      </c>
      <c r="D827" s="14" t="s">
        <v>878</v>
      </c>
      <c r="E827" s="15" t="s">
        <v>62</v>
      </c>
      <c r="F827" s="14" t="s">
        <v>22</v>
      </c>
      <c r="G827" s="15" t="s">
        <v>23</v>
      </c>
      <c r="H827" s="15" t="s">
        <v>1525</v>
      </c>
      <c r="I827" s="15">
        <v>201502</v>
      </c>
      <c r="J827" s="16">
        <v>2933.77</v>
      </c>
      <c r="K827" s="44">
        <v>42036</v>
      </c>
      <c r="L827" s="45">
        <f t="shared" si="60"/>
        <v>4</v>
      </c>
      <c r="M827" s="17">
        <v>1.4833299999999999E-3</v>
      </c>
      <c r="N827" s="46">
        <f t="shared" si="51"/>
        <v>17.4069962164</v>
      </c>
      <c r="O827" s="14"/>
      <c r="P827" s="48"/>
      <c r="Q827" s="16"/>
      <c r="R827" s="48">
        <f t="shared" si="59"/>
        <v>68.760234374999996</v>
      </c>
      <c r="S827" s="14"/>
    </row>
    <row r="828" spans="1:19">
      <c r="A828" s="14" t="s">
        <v>54</v>
      </c>
      <c r="B828" s="15" t="s">
        <v>2183</v>
      </c>
      <c r="C828" s="15" t="s">
        <v>2184</v>
      </c>
      <c r="D828" s="14" t="s">
        <v>2185</v>
      </c>
      <c r="E828" s="15" t="s">
        <v>62</v>
      </c>
      <c r="F828" s="14" t="s">
        <v>22</v>
      </c>
      <c r="G828" s="15" t="s">
        <v>23</v>
      </c>
      <c r="H828" s="15" t="s">
        <v>1525</v>
      </c>
      <c r="I828" s="15">
        <v>201502</v>
      </c>
      <c r="J828" s="16">
        <v>7017.73</v>
      </c>
      <c r="K828" s="44">
        <v>42036</v>
      </c>
      <c r="L828" s="45">
        <f t="shared" si="60"/>
        <v>4</v>
      </c>
      <c r="M828" s="17">
        <v>1.4833299999999999E-3</v>
      </c>
      <c r="N828" s="46">
        <f t="shared" si="51"/>
        <v>41.638437763599995</v>
      </c>
      <c r="O828" s="14"/>
      <c r="P828" s="48"/>
      <c r="Q828" s="16"/>
      <c r="R828" s="48">
        <f t="shared" si="59"/>
        <v>164.47804687499999</v>
      </c>
      <c r="S828" s="14"/>
    </row>
    <row r="829" spans="1:19">
      <c r="A829" s="14" t="s">
        <v>54</v>
      </c>
      <c r="B829" s="15" t="s">
        <v>1045</v>
      </c>
      <c r="C829" s="15" t="s">
        <v>1046</v>
      </c>
      <c r="D829" s="14" t="s">
        <v>1047</v>
      </c>
      <c r="E829" s="15" t="s">
        <v>462</v>
      </c>
      <c r="F829" s="14" t="s">
        <v>142</v>
      </c>
      <c r="G829" s="15" t="s">
        <v>23</v>
      </c>
      <c r="H829" s="15" t="s">
        <v>1525</v>
      </c>
      <c r="I829" s="15">
        <v>201502</v>
      </c>
      <c r="J829" s="16">
        <v>6074.92</v>
      </c>
      <c r="K829" s="44">
        <v>42036</v>
      </c>
      <c r="L829" s="45">
        <f t="shared" si="60"/>
        <v>4</v>
      </c>
      <c r="M829" s="17">
        <v>1.4833299999999999E-3</v>
      </c>
      <c r="N829" s="46">
        <f t="shared" si="51"/>
        <v>36.044444334399998</v>
      </c>
      <c r="O829" s="14"/>
      <c r="P829" s="48"/>
      <c r="Q829" s="16"/>
      <c r="R829" s="48">
        <f t="shared" si="59"/>
        <v>142.38093749999999</v>
      </c>
      <c r="S829" s="14"/>
    </row>
    <row r="830" spans="1:19">
      <c r="A830" s="14" t="s">
        <v>54</v>
      </c>
      <c r="B830" s="15" t="s">
        <v>2186</v>
      </c>
      <c r="C830" s="15" t="s">
        <v>2187</v>
      </c>
      <c r="D830" s="14" t="s">
        <v>2188</v>
      </c>
      <c r="E830" s="15" t="s">
        <v>27</v>
      </c>
      <c r="F830" s="14" t="s">
        <v>28</v>
      </c>
      <c r="G830" s="15" t="s">
        <v>23</v>
      </c>
      <c r="H830" s="15" t="s">
        <v>1525</v>
      </c>
      <c r="I830" s="15">
        <v>201502</v>
      </c>
      <c r="J830" s="16">
        <v>-182.96</v>
      </c>
      <c r="K830" s="44">
        <v>42036</v>
      </c>
      <c r="L830" s="45">
        <f t="shared" si="60"/>
        <v>4</v>
      </c>
      <c r="M830" s="17">
        <v>1.4833299999999999E-3</v>
      </c>
      <c r="N830" s="46">
        <f t="shared" si="51"/>
        <v>-1.0855602272</v>
      </c>
      <c r="O830" s="14"/>
      <c r="P830" s="48"/>
      <c r="Q830" s="16"/>
      <c r="R830" s="48">
        <f t="shared" si="59"/>
        <v>-4.288125</v>
      </c>
      <c r="S830" s="14"/>
    </row>
    <row r="831" spans="1:19">
      <c r="A831" s="14" t="s">
        <v>54</v>
      </c>
      <c r="B831" s="15" t="s">
        <v>2259</v>
      </c>
      <c r="C831" s="15" t="s">
        <v>1723</v>
      </c>
      <c r="D831" s="14" t="s">
        <v>1724</v>
      </c>
      <c r="E831" s="15" t="s">
        <v>62</v>
      </c>
      <c r="F831" s="14" t="s">
        <v>22</v>
      </c>
      <c r="G831" s="15" t="s">
        <v>23</v>
      </c>
      <c r="H831" s="15" t="s">
        <v>1525</v>
      </c>
      <c r="I831" s="15">
        <v>201502</v>
      </c>
      <c r="J831" s="16">
        <v>901406.9</v>
      </c>
      <c r="K831" s="44">
        <v>42036</v>
      </c>
      <c r="L831" s="45">
        <f t="shared" si="60"/>
        <v>4</v>
      </c>
      <c r="M831" s="17">
        <v>1.4833299999999999E-3</v>
      </c>
      <c r="N831" s="46">
        <f t="shared" si="51"/>
        <v>5348.335587908</v>
      </c>
      <c r="O831" s="14"/>
      <c r="P831" s="48"/>
      <c r="Q831" s="16"/>
      <c r="R831" s="48">
        <f t="shared" si="59"/>
        <v>21126.724218750001</v>
      </c>
      <c r="S831" s="14"/>
    </row>
    <row r="832" spans="1:19">
      <c r="A832" s="14" t="s">
        <v>54</v>
      </c>
      <c r="B832" s="15" t="s">
        <v>1051</v>
      </c>
      <c r="C832" s="15" t="s">
        <v>1052</v>
      </c>
      <c r="D832" s="14" t="s">
        <v>1053</v>
      </c>
      <c r="E832" s="15" t="s">
        <v>45</v>
      </c>
      <c r="F832" s="14" t="s">
        <v>22</v>
      </c>
      <c r="G832" s="15" t="s">
        <v>23</v>
      </c>
      <c r="H832" s="15" t="s">
        <v>1525</v>
      </c>
      <c r="I832" s="15">
        <v>201502</v>
      </c>
      <c r="J832" s="16">
        <v>-989.1</v>
      </c>
      <c r="K832" s="44">
        <v>42036</v>
      </c>
      <c r="L832" s="45">
        <f t="shared" si="60"/>
        <v>4</v>
      </c>
      <c r="M832" s="17">
        <v>1.4833299999999999E-3</v>
      </c>
      <c r="N832" s="46">
        <f t="shared" si="51"/>
        <v>-5.8686468119999997</v>
      </c>
      <c r="O832" s="14"/>
      <c r="P832" s="48"/>
      <c r="Q832" s="16"/>
      <c r="R832" s="48">
        <f t="shared" si="59"/>
        <v>-23.182031250000001</v>
      </c>
      <c r="S832" s="14"/>
    </row>
    <row r="833" spans="1:19">
      <c r="A833" s="14" t="s">
        <v>54</v>
      </c>
      <c r="B833" s="15" t="s">
        <v>2189</v>
      </c>
      <c r="C833" s="15" t="s">
        <v>1731</v>
      </c>
      <c r="D833" s="14" t="s">
        <v>1732</v>
      </c>
      <c r="E833" s="15" t="s">
        <v>62</v>
      </c>
      <c r="F833" s="14" t="s">
        <v>22</v>
      </c>
      <c r="G833" s="15" t="s">
        <v>23</v>
      </c>
      <c r="H833" s="15" t="s">
        <v>1525</v>
      </c>
      <c r="I833" s="15">
        <v>201502</v>
      </c>
      <c r="J833" s="16">
        <v>45942.82</v>
      </c>
      <c r="K833" s="44">
        <v>42036</v>
      </c>
      <c r="L833" s="45">
        <f t="shared" si="60"/>
        <v>4</v>
      </c>
      <c r="M833" s="17">
        <v>1.4833299999999999E-3</v>
      </c>
      <c r="N833" s="46">
        <f t="shared" si="51"/>
        <v>272.59345276239998</v>
      </c>
      <c r="O833" s="14"/>
      <c r="P833" s="48"/>
      <c r="Q833" s="16"/>
      <c r="R833" s="48">
        <f t="shared" si="59"/>
        <v>1076.7848437499999</v>
      </c>
      <c r="S833" s="14"/>
    </row>
    <row r="834" spans="1:19">
      <c r="A834" s="14" t="s">
        <v>54</v>
      </c>
      <c r="B834" s="15" t="s">
        <v>1054</v>
      </c>
      <c r="C834" s="15" t="s">
        <v>1055</v>
      </c>
      <c r="D834" s="14" t="s">
        <v>1056</v>
      </c>
      <c r="E834" s="15" t="s">
        <v>141</v>
      </c>
      <c r="F834" s="14" t="s">
        <v>142</v>
      </c>
      <c r="G834" s="15" t="s">
        <v>23</v>
      </c>
      <c r="H834" s="15" t="s">
        <v>1525</v>
      </c>
      <c r="I834" s="15">
        <v>201502</v>
      </c>
      <c r="J834" s="16">
        <v>35739.47</v>
      </c>
      <c r="K834" s="44">
        <v>42036</v>
      </c>
      <c r="L834" s="45">
        <f t="shared" si="60"/>
        <v>4</v>
      </c>
      <c r="M834" s="17">
        <v>1.4833299999999999E-3</v>
      </c>
      <c r="N834" s="46">
        <f t="shared" si="51"/>
        <v>212.05371214039999</v>
      </c>
      <c r="O834" s="14"/>
      <c r="P834" s="48"/>
      <c r="Q834" s="16"/>
      <c r="R834" s="48">
        <f t="shared" si="59"/>
        <v>837.64382812500003</v>
      </c>
      <c r="S834" s="14"/>
    </row>
    <row r="835" spans="1:19">
      <c r="A835" s="14" t="s">
        <v>17</v>
      </c>
      <c r="B835" s="15" t="s">
        <v>903</v>
      </c>
      <c r="C835" s="15" t="s">
        <v>904</v>
      </c>
      <c r="D835" s="14" t="s">
        <v>905</v>
      </c>
      <c r="E835" s="15" t="s">
        <v>49</v>
      </c>
      <c r="F835" s="14" t="s">
        <v>22</v>
      </c>
      <c r="G835" s="15" t="s">
        <v>23</v>
      </c>
      <c r="H835" s="15" t="s">
        <v>1525</v>
      </c>
      <c r="I835" s="15">
        <v>201502</v>
      </c>
      <c r="J835" s="16">
        <v>3.63</v>
      </c>
      <c r="K835" s="44">
        <v>42036</v>
      </c>
      <c r="L835" s="45">
        <f t="shared" si="60"/>
        <v>4</v>
      </c>
      <c r="M835" s="17">
        <v>1.4833299999999999E-3</v>
      </c>
      <c r="N835" s="46">
        <f t="shared" si="51"/>
        <v>2.1537951599999997E-2</v>
      </c>
      <c r="O835" s="14"/>
      <c r="P835" s="48"/>
      <c r="Q835" s="16"/>
      <c r="R835" s="48">
        <f t="shared" si="59"/>
        <v>8.5078125000000004E-2</v>
      </c>
      <c r="S835" s="14"/>
    </row>
    <row r="836" spans="1:19">
      <c r="A836" s="14" t="s">
        <v>54</v>
      </c>
      <c r="B836" s="15" t="s">
        <v>913</v>
      </c>
      <c r="C836" s="15" t="s">
        <v>914</v>
      </c>
      <c r="D836" s="14" t="s">
        <v>915</v>
      </c>
      <c r="E836" s="15" t="s">
        <v>36</v>
      </c>
      <c r="F836" s="14" t="s">
        <v>22</v>
      </c>
      <c r="G836" s="15" t="s">
        <v>23</v>
      </c>
      <c r="H836" s="15" t="s">
        <v>1525</v>
      </c>
      <c r="I836" s="15">
        <v>201502</v>
      </c>
      <c r="J836" s="16">
        <v>17.23</v>
      </c>
      <c r="K836" s="44">
        <v>42036</v>
      </c>
      <c r="L836" s="45">
        <f t="shared" si="60"/>
        <v>4</v>
      </c>
      <c r="M836" s="17">
        <v>1.4833299999999999E-3</v>
      </c>
      <c r="N836" s="46">
        <f t="shared" si="51"/>
        <v>0.1022311036</v>
      </c>
      <c r="O836" s="14"/>
      <c r="P836" s="48"/>
      <c r="Q836" s="16"/>
      <c r="R836" s="48">
        <f t="shared" si="59"/>
        <v>0.40382812499999998</v>
      </c>
      <c r="S836" s="14"/>
    </row>
    <row r="837" spans="1:19">
      <c r="A837" s="14" t="s">
        <v>54</v>
      </c>
      <c r="B837" s="15" t="s">
        <v>2190</v>
      </c>
      <c r="C837" s="15" t="s">
        <v>1733</v>
      </c>
      <c r="D837" s="14" t="s">
        <v>1734</v>
      </c>
      <c r="E837" s="15" t="s">
        <v>216</v>
      </c>
      <c r="F837" s="14" t="s">
        <v>22</v>
      </c>
      <c r="G837" s="15" t="s">
        <v>23</v>
      </c>
      <c r="H837" s="15" t="s">
        <v>1525</v>
      </c>
      <c r="I837" s="15">
        <v>201502</v>
      </c>
      <c r="J837" s="16">
        <v>236.56</v>
      </c>
      <c r="K837" s="44">
        <v>42036</v>
      </c>
      <c r="L837" s="45">
        <f t="shared" si="60"/>
        <v>4</v>
      </c>
      <c r="M837" s="17">
        <v>1.4833299999999999E-3</v>
      </c>
      <c r="N837" s="46">
        <f t="shared" si="51"/>
        <v>1.4035861792</v>
      </c>
      <c r="O837" s="14"/>
      <c r="P837" s="48"/>
      <c r="Q837" s="16"/>
      <c r="R837" s="48">
        <f t="shared" si="59"/>
        <v>5.5443750000000005</v>
      </c>
      <c r="S837" s="14"/>
    </row>
    <row r="838" spans="1:19">
      <c r="A838" s="14" t="s">
        <v>54</v>
      </c>
      <c r="B838" s="15" t="s">
        <v>938</v>
      </c>
      <c r="C838" s="15" t="s">
        <v>939</v>
      </c>
      <c r="D838" s="14" t="s">
        <v>940</v>
      </c>
      <c r="E838" s="15" t="s">
        <v>141</v>
      </c>
      <c r="F838" s="14" t="s">
        <v>142</v>
      </c>
      <c r="G838" s="15" t="s">
        <v>23</v>
      </c>
      <c r="H838" s="15" t="s">
        <v>1525</v>
      </c>
      <c r="I838" s="15">
        <v>201502</v>
      </c>
      <c r="J838" s="16">
        <v>-64.540000000000006</v>
      </c>
      <c r="K838" s="44">
        <v>42036</v>
      </c>
      <c r="L838" s="45">
        <f t="shared" si="60"/>
        <v>4</v>
      </c>
      <c r="M838" s="17">
        <v>1.4833299999999999E-3</v>
      </c>
      <c r="N838" s="46">
        <f t="shared" si="51"/>
        <v>-0.38293647280000004</v>
      </c>
      <c r="O838" s="14"/>
      <c r="P838" s="48"/>
      <c r="Q838" s="16"/>
      <c r="R838" s="48">
        <f t="shared" si="59"/>
        <v>-1.51265625</v>
      </c>
      <c r="S838" s="14"/>
    </row>
    <row r="839" spans="1:19">
      <c r="A839" s="14" t="s">
        <v>54</v>
      </c>
      <c r="B839" s="15" t="s">
        <v>2191</v>
      </c>
      <c r="C839" s="15" t="s">
        <v>2192</v>
      </c>
      <c r="D839" s="14" t="s">
        <v>2193</v>
      </c>
      <c r="E839" s="15" t="s">
        <v>45</v>
      </c>
      <c r="F839" s="14" t="s">
        <v>22</v>
      </c>
      <c r="G839" s="15" t="s">
        <v>23</v>
      </c>
      <c r="H839" s="15" t="s">
        <v>1525</v>
      </c>
      <c r="I839" s="15">
        <v>201502</v>
      </c>
      <c r="J839" s="16">
        <v>-99.33</v>
      </c>
      <c r="K839" s="44">
        <v>42036</v>
      </c>
      <c r="L839" s="45">
        <f t="shared" si="60"/>
        <v>4</v>
      </c>
      <c r="M839" s="17">
        <v>1.4833299999999999E-3</v>
      </c>
      <c r="N839" s="46">
        <f t="shared" si="51"/>
        <v>-0.58935667559999994</v>
      </c>
      <c r="O839" s="14"/>
      <c r="P839" s="48"/>
      <c r="Q839" s="16"/>
      <c r="R839" s="48">
        <f t="shared" si="59"/>
        <v>-2.3280468750000001</v>
      </c>
      <c r="S839" s="14"/>
    </row>
    <row r="840" spans="1:19">
      <c r="A840" s="14" t="s">
        <v>54</v>
      </c>
      <c r="B840" s="15" t="s">
        <v>947</v>
      </c>
      <c r="C840" s="15" t="s">
        <v>948</v>
      </c>
      <c r="D840" s="14" t="s">
        <v>949</v>
      </c>
      <c r="E840" s="15" t="s">
        <v>141</v>
      </c>
      <c r="F840" s="14" t="s">
        <v>142</v>
      </c>
      <c r="G840" s="15" t="s">
        <v>23</v>
      </c>
      <c r="H840" s="15" t="s">
        <v>1525</v>
      </c>
      <c r="I840" s="15">
        <v>201502</v>
      </c>
      <c r="J840" s="16">
        <v>-1756.58</v>
      </c>
      <c r="K840" s="44">
        <v>42036</v>
      </c>
      <c r="L840" s="45">
        <f t="shared" si="60"/>
        <v>4</v>
      </c>
      <c r="M840" s="17">
        <v>1.4833299999999999E-3</v>
      </c>
      <c r="N840" s="46">
        <f t="shared" si="51"/>
        <v>-10.4223512456</v>
      </c>
      <c r="O840" s="14"/>
      <c r="P840" s="48"/>
      <c r="Q840" s="16"/>
      <c r="R840" s="48">
        <f t="shared" si="59"/>
        <v>-41.169843749999998</v>
      </c>
      <c r="S840" s="14"/>
    </row>
    <row r="841" spans="1:19">
      <c r="A841" s="14" t="s">
        <v>54</v>
      </c>
      <c r="B841" s="15" t="s">
        <v>950</v>
      </c>
      <c r="C841" s="15" t="s">
        <v>951</v>
      </c>
      <c r="D841" s="14" t="s">
        <v>952</v>
      </c>
      <c r="E841" s="15" t="s">
        <v>141</v>
      </c>
      <c r="F841" s="14" t="s">
        <v>142</v>
      </c>
      <c r="G841" s="15" t="s">
        <v>23</v>
      </c>
      <c r="H841" s="15" t="s">
        <v>1525</v>
      </c>
      <c r="I841" s="15">
        <v>201502</v>
      </c>
      <c r="J841" s="16">
        <v>-208.11</v>
      </c>
      <c r="K841" s="44">
        <v>42036</v>
      </c>
      <c r="L841" s="45">
        <f t="shared" si="60"/>
        <v>4</v>
      </c>
      <c r="M841" s="17">
        <v>1.4833299999999999E-3</v>
      </c>
      <c r="N841" s="46">
        <f t="shared" si="51"/>
        <v>-1.2347832251999999</v>
      </c>
      <c r="O841" s="14"/>
      <c r="P841" s="48"/>
      <c r="Q841" s="16"/>
      <c r="R841" s="48">
        <f t="shared" si="59"/>
        <v>-4.8775781250000003</v>
      </c>
      <c r="S841" s="14"/>
    </row>
    <row r="842" spans="1:19">
      <c r="A842" s="14" t="s">
        <v>54</v>
      </c>
      <c r="B842" s="15" t="s">
        <v>974</v>
      </c>
      <c r="C842" s="15" t="s">
        <v>975</v>
      </c>
      <c r="D842" s="14" t="s">
        <v>976</v>
      </c>
      <c r="E842" s="15" t="s">
        <v>141</v>
      </c>
      <c r="F842" s="14" t="s">
        <v>142</v>
      </c>
      <c r="G842" s="15" t="s">
        <v>23</v>
      </c>
      <c r="H842" s="15" t="s">
        <v>1525</v>
      </c>
      <c r="I842" s="15">
        <v>201502</v>
      </c>
      <c r="J842" s="16">
        <v>-34.11</v>
      </c>
      <c r="K842" s="44">
        <v>42036</v>
      </c>
      <c r="L842" s="45">
        <f t="shared" si="60"/>
        <v>4</v>
      </c>
      <c r="M842" s="17">
        <v>1.4833299999999999E-3</v>
      </c>
      <c r="N842" s="46">
        <f t="shared" si="51"/>
        <v>-0.20238554519999999</v>
      </c>
      <c r="O842" s="14"/>
      <c r="P842" s="48"/>
      <c r="Q842" s="16"/>
      <c r="R842" s="48">
        <f t="shared" si="59"/>
        <v>-0.79945312499999988</v>
      </c>
      <c r="S842" s="14"/>
    </row>
    <row r="843" spans="1:19">
      <c r="A843" s="14" t="s">
        <v>54</v>
      </c>
      <c r="B843" s="15" t="s">
        <v>977</v>
      </c>
      <c r="C843" s="15" t="s">
        <v>978</v>
      </c>
      <c r="D843" s="14" t="s">
        <v>979</v>
      </c>
      <c r="E843" s="15" t="s">
        <v>980</v>
      </c>
      <c r="F843" s="14" t="s">
        <v>259</v>
      </c>
      <c r="G843" s="15" t="s">
        <v>23</v>
      </c>
      <c r="H843" s="15" t="s">
        <v>1525</v>
      </c>
      <c r="I843" s="15">
        <v>201502</v>
      </c>
      <c r="J843" s="16">
        <v>-5.22</v>
      </c>
      <c r="K843" s="44">
        <v>42036</v>
      </c>
      <c r="L843" s="45">
        <f t="shared" si="60"/>
        <v>4</v>
      </c>
      <c r="M843" s="17">
        <v>1.4833299999999999E-3</v>
      </c>
      <c r="N843" s="46">
        <f t="shared" si="51"/>
        <v>-3.0971930399999997E-2</v>
      </c>
      <c r="O843" s="14"/>
      <c r="P843" s="48"/>
      <c r="Q843" s="16"/>
      <c r="R843" s="48">
        <f t="shared" si="59"/>
        <v>-0.12234374999999999</v>
      </c>
      <c r="S843" s="14"/>
    </row>
    <row r="844" spans="1:19">
      <c r="A844" s="14" t="s">
        <v>54</v>
      </c>
      <c r="B844" s="15" t="s">
        <v>984</v>
      </c>
      <c r="C844" s="15" t="s">
        <v>985</v>
      </c>
      <c r="D844" s="14" t="s">
        <v>986</v>
      </c>
      <c r="E844" s="15" t="s">
        <v>141</v>
      </c>
      <c r="F844" s="14" t="s">
        <v>142</v>
      </c>
      <c r="G844" s="15" t="s">
        <v>23</v>
      </c>
      <c r="H844" s="15" t="s">
        <v>1525</v>
      </c>
      <c r="I844" s="15">
        <v>201502</v>
      </c>
      <c r="J844" s="16">
        <v>-12.08</v>
      </c>
      <c r="K844" s="44">
        <v>42036</v>
      </c>
      <c r="L844" s="45">
        <f t="shared" si="60"/>
        <v>4</v>
      </c>
      <c r="M844" s="17">
        <v>1.4833299999999999E-3</v>
      </c>
      <c r="N844" s="46">
        <f t="shared" si="51"/>
        <v>-7.1674505599999994E-2</v>
      </c>
      <c r="O844" s="14"/>
      <c r="P844" s="48"/>
      <c r="Q844" s="16"/>
      <c r="R844" s="48">
        <f t="shared" si="59"/>
        <v>-0.28312499999999996</v>
      </c>
      <c r="S844" s="14"/>
    </row>
    <row r="845" spans="1:19">
      <c r="A845" s="14" t="s">
        <v>17</v>
      </c>
      <c r="B845" s="15" t="s">
        <v>987</v>
      </c>
      <c r="C845" s="15" t="s">
        <v>988</v>
      </c>
      <c r="D845" s="14" t="s">
        <v>989</v>
      </c>
      <c r="E845" s="15" t="s">
        <v>45</v>
      </c>
      <c r="F845" s="14" t="s">
        <v>22</v>
      </c>
      <c r="G845" s="15" t="s">
        <v>23</v>
      </c>
      <c r="H845" s="15" t="s">
        <v>1525</v>
      </c>
      <c r="I845" s="15">
        <v>201502</v>
      </c>
      <c r="J845" s="16">
        <v>-3.65</v>
      </c>
      <c r="K845" s="44">
        <v>42036</v>
      </c>
      <c r="L845" s="45">
        <f t="shared" si="60"/>
        <v>4</v>
      </c>
      <c r="M845" s="17">
        <v>1.4833299999999999E-3</v>
      </c>
      <c r="N845" s="46">
        <f t="shared" si="51"/>
        <v>-2.1656617999999999E-2</v>
      </c>
      <c r="O845" s="14"/>
      <c r="P845" s="48"/>
      <c r="Q845" s="16"/>
      <c r="R845" s="48">
        <f t="shared" si="59"/>
        <v>-8.5546874999999994E-2</v>
      </c>
      <c r="S845" s="14"/>
    </row>
    <row r="846" spans="1:19">
      <c r="A846" s="14" t="s">
        <v>54</v>
      </c>
      <c r="B846" s="15" t="s">
        <v>990</v>
      </c>
      <c r="C846" s="15" t="s">
        <v>991</v>
      </c>
      <c r="D846" s="14" t="s">
        <v>992</v>
      </c>
      <c r="E846" s="15" t="s">
        <v>141</v>
      </c>
      <c r="F846" s="14" t="s">
        <v>142</v>
      </c>
      <c r="G846" s="15" t="s">
        <v>23</v>
      </c>
      <c r="H846" s="15" t="s">
        <v>1525</v>
      </c>
      <c r="I846" s="15">
        <v>201502</v>
      </c>
      <c r="J846" s="16">
        <v>-113.84</v>
      </c>
      <c r="K846" s="44">
        <v>42036</v>
      </c>
      <c r="L846" s="45">
        <f t="shared" si="60"/>
        <v>4</v>
      </c>
      <c r="M846" s="17">
        <v>1.4833299999999999E-3</v>
      </c>
      <c r="N846" s="46">
        <f t="shared" si="51"/>
        <v>-0.67544914879999995</v>
      </c>
      <c r="O846" s="14"/>
      <c r="P846" s="48"/>
      <c r="Q846" s="16"/>
      <c r="R846" s="48">
        <f t="shared" si="59"/>
        <v>-2.6681249999999999</v>
      </c>
      <c r="S846" s="14"/>
    </row>
    <row r="847" spans="1:19">
      <c r="A847" s="14" t="s">
        <v>17</v>
      </c>
      <c r="B847" s="15" t="s">
        <v>2260</v>
      </c>
      <c r="C847" s="15" t="s">
        <v>2261</v>
      </c>
      <c r="D847" s="14" t="s">
        <v>2262</v>
      </c>
      <c r="E847" s="15" t="s">
        <v>535</v>
      </c>
      <c r="F847" s="14" t="s">
        <v>536</v>
      </c>
      <c r="G847" s="15" t="s">
        <v>23</v>
      </c>
      <c r="H847" s="15" t="s">
        <v>1525</v>
      </c>
      <c r="I847" s="15">
        <v>201502</v>
      </c>
      <c r="J847" s="16">
        <v>17732.099999999999</v>
      </c>
      <c r="K847" s="44">
        <v>42036</v>
      </c>
      <c r="L847" s="45">
        <f t="shared" si="60"/>
        <v>4</v>
      </c>
      <c r="M847" s="17">
        <v>1.4833299999999999E-3</v>
      </c>
      <c r="N847" s="46">
        <f t="shared" si="51"/>
        <v>105.21022357199999</v>
      </c>
      <c r="O847" s="14"/>
      <c r="P847" s="48"/>
      <c r="Q847" s="16"/>
      <c r="R847" s="48">
        <f t="shared" si="59"/>
        <v>415.59609374999991</v>
      </c>
      <c r="S847" s="14"/>
    </row>
    <row r="848" spans="1:19">
      <c r="A848" s="14" t="s">
        <v>54</v>
      </c>
      <c r="B848" s="15" t="s">
        <v>996</v>
      </c>
      <c r="C848" s="15" t="s">
        <v>997</v>
      </c>
      <c r="D848" s="14" t="s">
        <v>998</v>
      </c>
      <c r="E848" s="15" t="s">
        <v>27</v>
      </c>
      <c r="F848" s="14" t="s">
        <v>28</v>
      </c>
      <c r="G848" s="15" t="s">
        <v>23</v>
      </c>
      <c r="H848" s="15" t="s">
        <v>1525</v>
      </c>
      <c r="I848" s="15">
        <v>201502</v>
      </c>
      <c r="J848" s="16">
        <v>-355.29</v>
      </c>
      <c r="K848" s="44">
        <v>42036</v>
      </c>
      <c r="L848" s="45">
        <f t="shared" si="60"/>
        <v>4</v>
      </c>
      <c r="M848" s="17">
        <v>1.4833299999999999E-3</v>
      </c>
      <c r="N848" s="46">
        <f t="shared" si="51"/>
        <v>-2.1080492627999998</v>
      </c>
      <c r="O848" s="14"/>
      <c r="P848" s="48"/>
      <c r="Q848" s="16"/>
      <c r="R848" s="48">
        <f t="shared" si="59"/>
        <v>-8.3271093750000009</v>
      </c>
      <c r="S848" s="14"/>
    </row>
    <row r="849" spans="1:19">
      <c r="A849" s="14" t="s">
        <v>17</v>
      </c>
      <c r="B849" s="15" t="s">
        <v>2263</v>
      </c>
      <c r="C849" s="15" t="s">
        <v>2264</v>
      </c>
      <c r="D849" s="14" t="s">
        <v>2265</v>
      </c>
      <c r="E849" s="15" t="s">
        <v>324</v>
      </c>
      <c r="F849" s="14" t="s">
        <v>325</v>
      </c>
      <c r="G849" s="15" t="s">
        <v>23</v>
      </c>
      <c r="H849" s="15" t="s">
        <v>1525</v>
      </c>
      <c r="I849" s="15">
        <v>201502</v>
      </c>
      <c r="J849" s="16">
        <v>19096.580000000002</v>
      </c>
      <c r="K849" s="44">
        <v>42036</v>
      </c>
      <c r="L849" s="45">
        <f t="shared" si="60"/>
        <v>4</v>
      </c>
      <c r="M849" s="17">
        <v>1.4833299999999999E-3</v>
      </c>
      <c r="N849" s="46">
        <f t="shared" si="51"/>
        <v>113.30612004560001</v>
      </c>
      <c r="O849" s="14"/>
      <c r="P849" s="48"/>
      <c r="Q849" s="16"/>
      <c r="R849" s="48">
        <f t="shared" si="59"/>
        <v>447.57609375000004</v>
      </c>
      <c r="S849" s="14"/>
    </row>
    <row r="850" spans="1:19">
      <c r="A850" s="14" t="s">
        <v>17</v>
      </c>
      <c r="B850" s="15" t="s">
        <v>1063</v>
      </c>
      <c r="C850" s="15" t="s">
        <v>1064</v>
      </c>
      <c r="D850" s="14" t="s">
        <v>1065</v>
      </c>
      <c r="E850" s="15" t="s">
        <v>125</v>
      </c>
      <c r="F850" s="14" t="s">
        <v>126</v>
      </c>
      <c r="G850" s="15" t="s">
        <v>23</v>
      </c>
      <c r="H850" s="15" t="s">
        <v>1525</v>
      </c>
      <c r="I850" s="15">
        <v>201502</v>
      </c>
      <c r="J850" s="16">
        <v>2666.26</v>
      </c>
      <c r="K850" s="44">
        <v>42036</v>
      </c>
      <c r="L850" s="45">
        <f t="shared" si="60"/>
        <v>4</v>
      </c>
      <c r="M850" s="17">
        <v>1.4833299999999999E-3</v>
      </c>
      <c r="N850" s="46">
        <f t="shared" si="51"/>
        <v>15.8197737832</v>
      </c>
      <c r="O850" s="14"/>
      <c r="P850" s="48"/>
      <c r="Q850" s="16"/>
      <c r="R850" s="48">
        <f t="shared" si="59"/>
        <v>62.490468750000005</v>
      </c>
      <c r="S850" s="14"/>
    </row>
    <row r="851" spans="1:19">
      <c r="A851" s="14" t="s">
        <v>17</v>
      </c>
      <c r="B851" s="15" t="s">
        <v>999</v>
      </c>
      <c r="C851" s="15" t="s">
        <v>1000</v>
      </c>
      <c r="D851" s="14" t="s">
        <v>1001</v>
      </c>
      <c r="E851" s="15" t="s">
        <v>176</v>
      </c>
      <c r="F851" s="14" t="s">
        <v>28</v>
      </c>
      <c r="G851" s="15" t="s">
        <v>23</v>
      </c>
      <c r="H851" s="15" t="s">
        <v>1525</v>
      </c>
      <c r="I851" s="15">
        <v>201502</v>
      </c>
      <c r="J851" s="16">
        <v>-82.2</v>
      </c>
      <c r="K851" s="44">
        <v>42036</v>
      </c>
      <c r="L851" s="45">
        <f t="shared" si="60"/>
        <v>4</v>
      </c>
      <c r="M851" s="17">
        <v>1.4833299999999999E-3</v>
      </c>
      <c r="N851" s="46">
        <f t="shared" si="51"/>
        <v>-0.48771890400000001</v>
      </c>
      <c r="O851" s="14"/>
      <c r="P851" s="48"/>
      <c r="Q851" s="16"/>
      <c r="R851" s="48">
        <f t="shared" si="59"/>
        <v>-1.9265625</v>
      </c>
      <c r="S851" s="14"/>
    </row>
    <row r="852" spans="1:19">
      <c r="A852" s="14" t="s">
        <v>17</v>
      </c>
      <c r="B852" s="15" t="s">
        <v>2266</v>
      </c>
      <c r="C852" s="15" t="s">
        <v>1739</v>
      </c>
      <c r="D852" s="14" t="s">
        <v>1740</v>
      </c>
      <c r="E852" s="15" t="s">
        <v>324</v>
      </c>
      <c r="F852" s="14" t="s">
        <v>325</v>
      </c>
      <c r="G852" s="15" t="s">
        <v>23</v>
      </c>
      <c r="H852" s="15" t="s">
        <v>1525</v>
      </c>
      <c r="I852" s="15">
        <v>201502</v>
      </c>
      <c r="J852" s="16">
        <v>19268.349999999999</v>
      </c>
      <c r="K852" s="44">
        <v>42036</v>
      </c>
      <c r="L852" s="45">
        <f t="shared" si="60"/>
        <v>4</v>
      </c>
      <c r="M852" s="17">
        <v>1.4833299999999999E-3</v>
      </c>
      <c r="N852" s="46">
        <f t="shared" si="51"/>
        <v>114.32528642199999</v>
      </c>
      <c r="O852" s="14"/>
      <c r="P852" s="48"/>
      <c r="Q852" s="16"/>
      <c r="R852" s="48">
        <f t="shared" si="59"/>
        <v>451.60195312499991</v>
      </c>
      <c r="S852" s="14"/>
    </row>
    <row r="853" spans="1:19">
      <c r="A853" s="14" t="s">
        <v>54</v>
      </c>
      <c r="B853" s="15" t="s">
        <v>1002</v>
      </c>
      <c r="C853" s="15" t="s">
        <v>1003</v>
      </c>
      <c r="D853" s="14" t="s">
        <v>1004</v>
      </c>
      <c r="E853" s="15" t="s">
        <v>216</v>
      </c>
      <c r="F853" s="14" t="s">
        <v>22</v>
      </c>
      <c r="G853" s="15" t="s">
        <v>23</v>
      </c>
      <c r="H853" s="15" t="s">
        <v>1525</v>
      </c>
      <c r="I853" s="15">
        <v>201502</v>
      </c>
      <c r="J853" s="16">
        <v>-420.75</v>
      </c>
      <c r="K853" s="44">
        <v>42036</v>
      </c>
      <c r="L853" s="45">
        <f t="shared" si="60"/>
        <v>4</v>
      </c>
      <c r="M853" s="17">
        <v>1.4833299999999999E-3</v>
      </c>
      <c r="N853" s="46">
        <f t="shared" si="51"/>
        <v>-2.4964443899999997</v>
      </c>
      <c r="O853" s="14"/>
      <c r="P853" s="48"/>
      <c r="Q853" s="16"/>
      <c r="R853" s="48">
        <f t="shared" si="59"/>
        <v>-9.861328125</v>
      </c>
      <c r="S853" s="14"/>
    </row>
    <row r="854" spans="1:19">
      <c r="A854" s="14" t="s">
        <v>54</v>
      </c>
      <c r="B854" s="15" t="s">
        <v>1005</v>
      </c>
      <c r="C854" s="15" t="s">
        <v>1006</v>
      </c>
      <c r="D854" s="14" t="s">
        <v>1007</v>
      </c>
      <c r="E854" s="15" t="s">
        <v>141</v>
      </c>
      <c r="F854" s="14" t="s">
        <v>142</v>
      </c>
      <c r="G854" s="15" t="s">
        <v>23</v>
      </c>
      <c r="H854" s="15" t="s">
        <v>1525</v>
      </c>
      <c r="I854" s="15">
        <v>201502</v>
      </c>
      <c r="J854" s="16">
        <v>-479.84</v>
      </c>
      <c r="K854" s="44">
        <v>42036</v>
      </c>
      <c r="L854" s="45">
        <f t="shared" si="60"/>
        <v>4</v>
      </c>
      <c r="M854" s="17">
        <v>1.4833299999999999E-3</v>
      </c>
      <c r="N854" s="46">
        <f t="shared" si="51"/>
        <v>-2.8470442687999999</v>
      </c>
      <c r="O854" s="14"/>
      <c r="P854" s="48"/>
      <c r="Q854" s="16"/>
      <c r="R854" s="48">
        <f t="shared" si="59"/>
        <v>-11.24625</v>
      </c>
      <c r="S854" s="14"/>
    </row>
    <row r="855" spans="1:19">
      <c r="A855" s="14" t="s">
        <v>54</v>
      </c>
      <c r="B855" s="15" t="s">
        <v>2194</v>
      </c>
      <c r="C855" s="15" t="s">
        <v>2195</v>
      </c>
      <c r="D855" s="14" t="s">
        <v>2196</v>
      </c>
      <c r="E855" s="15" t="s">
        <v>36</v>
      </c>
      <c r="F855" s="14" t="s">
        <v>22</v>
      </c>
      <c r="G855" s="15" t="s">
        <v>23</v>
      </c>
      <c r="H855" s="15" t="s">
        <v>1525</v>
      </c>
      <c r="I855" s="15">
        <v>201502</v>
      </c>
      <c r="J855" s="16">
        <v>23715.55</v>
      </c>
      <c r="K855" s="44">
        <v>42036</v>
      </c>
      <c r="L855" s="45">
        <f t="shared" si="60"/>
        <v>4</v>
      </c>
      <c r="M855" s="17">
        <v>1.4833299999999999E-3</v>
      </c>
      <c r="N855" s="46">
        <f t="shared" si="51"/>
        <v>140.71194712599998</v>
      </c>
      <c r="O855" s="14"/>
      <c r="P855" s="48"/>
      <c r="Q855" s="16"/>
      <c r="R855" s="48">
        <f t="shared" si="59"/>
        <v>555.83320312499995</v>
      </c>
      <c r="S855" s="14"/>
    </row>
    <row r="856" spans="1:19">
      <c r="A856" s="14" t="s">
        <v>54</v>
      </c>
      <c r="B856" s="15" t="s">
        <v>1008</v>
      </c>
      <c r="C856" s="15" t="s">
        <v>1009</v>
      </c>
      <c r="D856" s="14" t="s">
        <v>1010</v>
      </c>
      <c r="E856" s="15" t="s">
        <v>49</v>
      </c>
      <c r="F856" s="14" t="s">
        <v>22</v>
      </c>
      <c r="G856" s="15" t="s">
        <v>23</v>
      </c>
      <c r="H856" s="15" t="s">
        <v>1525</v>
      </c>
      <c r="I856" s="15">
        <v>201502</v>
      </c>
      <c r="J856" s="16">
        <v>-772.01</v>
      </c>
      <c r="K856" s="44">
        <v>42036</v>
      </c>
      <c r="L856" s="45">
        <f t="shared" si="60"/>
        <v>4</v>
      </c>
      <c r="M856" s="17">
        <v>1.4833299999999999E-3</v>
      </c>
      <c r="N856" s="46">
        <f t="shared" si="51"/>
        <v>-4.5805823731999995</v>
      </c>
      <c r="O856" s="14"/>
      <c r="P856" s="48"/>
      <c r="Q856" s="16"/>
      <c r="R856" s="48">
        <f t="shared" si="59"/>
        <v>-18.093984374999998</v>
      </c>
      <c r="S856" s="14"/>
    </row>
    <row r="857" spans="1:19">
      <c r="A857" s="14" t="s">
        <v>54</v>
      </c>
      <c r="B857" s="15" t="s">
        <v>1014</v>
      </c>
      <c r="C857" s="15" t="s">
        <v>1015</v>
      </c>
      <c r="D857" s="14" t="s">
        <v>1016</v>
      </c>
      <c r="E857" s="15" t="s">
        <v>296</v>
      </c>
      <c r="F857" s="14" t="s">
        <v>28</v>
      </c>
      <c r="G857" s="15" t="s">
        <v>23</v>
      </c>
      <c r="H857" s="15" t="s">
        <v>1525</v>
      </c>
      <c r="I857" s="15">
        <v>201502</v>
      </c>
      <c r="J857" s="16">
        <v>-20.149999999999999</v>
      </c>
      <c r="K857" s="44">
        <v>42036</v>
      </c>
      <c r="L857" s="45">
        <f t="shared" si="60"/>
        <v>4</v>
      </c>
      <c r="M857" s="17">
        <v>1.4833299999999999E-3</v>
      </c>
      <c r="N857" s="46">
        <f t="shared" si="51"/>
        <v>-0.11955639799999998</v>
      </c>
      <c r="O857" s="14"/>
      <c r="P857" s="48"/>
      <c r="Q857" s="16"/>
      <c r="R857" s="48">
        <f t="shared" si="59"/>
        <v>-0.47226562499999991</v>
      </c>
      <c r="S857" s="14"/>
    </row>
    <row r="858" spans="1:19">
      <c r="A858" s="14" t="s">
        <v>54</v>
      </c>
      <c r="B858" s="15" t="s">
        <v>1017</v>
      </c>
      <c r="C858" s="15" t="s">
        <v>1018</v>
      </c>
      <c r="D858" s="14" t="s">
        <v>1019</v>
      </c>
      <c r="E858" s="15" t="s">
        <v>1020</v>
      </c>
      <c r="F858" s="14" t="s">
        <v>22</v>
      </c>
      <c r="G858" s="15" t="s">
        <v>23</v>
      </c>
      <c r="H858" s="15" t="s">
        <v>1525</v>
      </c>
      <c r="I858" s="15">
        <v>201502</v>
      </c>
      <c r="J858" s="16">
        <v>-239.93</v>
      </c>
      <c r="K858" s="44">
        <v>42036</v>
      </c>
      <c r="L858" s="45">
        <f t="shared" si="60"/>
        <v>4</v>
      </c>
      <c r="M858" s="17">
        <v>1.4833299999999999E-3</v>
      </c>
      <c r="N858" s="46">
        <f t="shared" ref="N858:N921" si="61">M858*L858*J858</f>
        <v>-1.4235814676</v>
      </c>
      <c r="O858" s="14"/>
      <c r="P858" s="48"/>
      <c r="Q858" s="16"/>
      <c r="R858" s="48">
        <f t="shared" si="59"/>
        <v>-5.6233593749999997</v>
      </c>
      <c r="S858" s="14"/>
    </row>
    <row r="859" spans="1:19">
      <c r="A859" s="14" t="s">
        <v>54</v>
      </c>
      <c r="B859" s="15" t="s">
        <v>1069</v>
      </c>
      <c r="C859" s="15" t="s">
        <v>1070</v>
      </c>
      <c r="D859" s="14" t="s">
        <v>1071</v>
      </c>
      <c r="E859" s="15" t="s">
        <v>296</v>
      </c>
      <c r="F859" s="14" t="s">
        <v>28</v>
      </c>
      <c r="G859" s="15" t="s">
        <v>23</v>
      </c>
      <c r="H859" s="15" t="s">
        <v>1525</v>
      </c>
      <c r="I859" s="15">
        <v>201502</v>
      </c>
      <c r="J859" s="16">
        <v>-51.24</v>
      </c>
      <c r="K859" s="44">
        <v>42036</v>
      </c>
      <c r="L859" s="45">
        <f t="shared" si="60"/>
        <v>4</v>
      </c>
      <c r="M859" s="17">
        <v>1.4833299999999999E-3</v>
      </c>
      <c r="N859" s="46">
        <f t="shared" si="61"/>
        <v>-0.3040233168</v>
      </c>
      <c r="O859" s="14"/>
      <c r="P859" s="48"/>
      <c r="Q859" s="16"/>
      <c r="R859" s="48">
        <f t="shared" si="59"/>
        <v>-1.2009375</v>
      </c>
      <c r="S859" s="14"/>
    </row>
    <row r="860" spans="1:19">
      <c r="A860" s="14" t="s">
        <v>54</v>
      </c>
      <c r="B860" s="15" t="s">
        <v>1072</v>
      </c>
      <c r="C860" s="15" t="s">
        <v>1073</v>
      </c>
      <c r="D860" s="14" t="s">
        <v>1074</v>
      </c>
      <c r="E860" s="15" t="s">
        <v>296</v>
      </c>
      <c r="F860" s="14" t="s">
        <v>28</v>
      </c>
      <c r="G860" s="15" t="s">
        <v>23</v>
      </c>
      <c r="H860" s="15" t="s">
        <v>1525</v>
      </c>
      <c r="I860" s="15">
        <v>201502</v>
      </c>
      <c r="J860" s="16">
        <v>10430.549999999999</v>
      </c>
      <c r="K860" s="44">
        <v>42036</v>
      </c>
      <c r="L860" s="45">
        <f t="shared" si="60"/>
        <v>4</v>
      </c>
      <c r="M860" s="17">
        <v>1.4833299999999999E-3</v>
      </c>
      <c r="N860" s="46">
        <f t="shared" si="61"/>
        <v>61.887790925999994</v>
      </c>
      <c r="O860" s="14"/>
      <c r="P860" s="48"/>
      <c r="Q860" s="16"/>
      <c r="R860" s="48">
        <f t="shared" si="59"/>
        <v>244.46601562499995</v>
      </c>
      <c r="S860" s="14"/>
    </row>
    <row r="861" spans="1:19">
      <c r="A861" s="14" t="s">
        <v>54</v>
      </c>
      <c r="B861" s="15" t="s">
        <v>1075</v>
      </c>
      <c r="C861" s="15" t="s">
        <v>1076</v>
      </c>
      <c r="D861" s="14" t="s">
        <v>1077</v>
      </c>
      <c r="E861" s="15" t="s">
        <v>62</v>
      </c>
      <c r="F861" s="14" t="s">
        <v>22</v>
      </c>
      <c r="G861" s="15" t="s">
        <v>23</v>
      </c>
      <c r="H861" s="15" t="s">
        <v>1525</v>
      </c>
      <c r="I861" s="15">
        <v>201502</v>
      </c>
      <c r="J861" s="16">
        <v>-148.15</v>
      </c>
      <c r="K861" s="44">
        <v>42036</v>
      </c>
      <c r="L861" s="45">
        <f t="shared" si="60"/>
        <v>4</v>
      </c>
      <c r="M861" s="17">
        <v>1.4833299999999999E-3</v>
      </c>
      <c r="N861" s="46">
        <f t="shared" si="61"/>
        <v>-0.87902135800000003</v>
      </c>
      <c r="O861" s="14"/>
      <c r="P861" s="48"/>
      <c r="Q861" s="16"/>
      <c r="R861" s="48">
        <f t="shared" si="59"/>
        <v>-3.4722656249999999</v>
      </c>
      <c r="S861" s="14"/>
    </row>
    <row r="862" spans="1:19">
      <c r="A862" s="14" t="s">
        <v>54</v>
      </c>
      <c r="B862" s="15" t="s">
        <v>1021</v>
      </c>
      <c r="C862" s="15" t="s">
        <v>1022</v>
      </c>
      <c r="D862" s="14" t="s">
        <v>1023</v>
      </c>
      <c r="E862" s="15" t="s">
        <v>108</v>
      </c>
      <c r="F862" s="14" t="s">
        <v>28</v>
      </c>
      <c r="G862" s="15" t="s">
        <v>23</v>
      </c>
      <c r="H862" s="15" t="s">
        <v>1525</v>
      </c>
      <c r="I862" s="15">
        <v>201502</v>
      </c>
      <c r="J862" s="16">
        <v>-2.27</v>
      </c>
      <c r="K862" s="44">
        <v>42036</v>
      </c>
      <c r="L862" s="45">
        <f t="shared" si="60"/>
        <v>4</v>
      </c>
      <c r="M862" s="17">
        <v>1.4833299999999999E-3</v>
      </c>
      <c r="N862" s="46">
        <f t="shared" si="61"/>
        <v>-1.3468636399999999E-2</v>
      </c>
      <c r="O862" s="14"/>
      <c r="P862" s="48"/>
      <c r="Q862" s="16"/>
      <c r="R862" s="48">
        <f t="shared" si="59"/>
        <v>-5.3203124999999997E-2</v>
      </c>
      <c r="S862" s="14"/>
    </row>
    <row r="863" spans="1:19">
      <c r="A863" s="14" t="s">
        <v>54</v>
      </c>
      <c r="B863" s="15" t="s">
        <v>1078</v>
      </c>
      <c r="C863" s="15" t="s">
        <v>1079</v>
      </c>
      <c r="D863" s="14" t="s">
        <v>1080</v>
      </c>
      <c r="E863" s="15" t="s">
        <v>62</v>
      </c>
      <c r="F863" s="14" t="s">
        <v>22</v>
      </c>
      <c r="G863" s="15" t="s">
        <v>23</v>
      </c>
      <c r="H863" s="15" t="s">
        <v>1525</v>
      </c>
      <c r="I863" s="15">
        <v>201502</v>
      </c>
      <c r="J863" s="16">
        <v>-64.19</v>
      </c>
      <c r="K863" s="44">
        <v>42036</v>
      </c>
      <c r="L863" s="45">
        <f t="shared" si="60"/>
        <v>4</v>
      </c>
      <c r="M863" s="17">
        <v>1.4833299999999999E-3</v>
      </c>
      <c r="N863" s="46">
        <f t="shared" si="61"/>
        <v>-0.38085981079999998</v>
      </c>
      <c r="O863" s="14"/>
      <c r="P863" s="48"/>
      <c r="Q863" s="16"/>
      <c r="R863" s="48">
        <f t="shared" si="59"/>
        <v>-1.5044531249999999</v>
      </c>
      <c r="S863" s="14"/>
    </row>
    <row r="864" spans="1:19">
      <c r="A864" s="14" t="s">
        <v>54</v>
      </c>
      <c r="B864" s="15" t="s">
        <v>1081</v>
      </c>
      <c r="C864" s="15" t="s">
        <v>1082</v>
      </c>
      <c r="D864" s="14" t="s">
        <v>1083</v>
      </c>
      <c r="E864" s="15" t="s">
        <v>141</v>
      </c>
      <c r="F864" s="14" t="s">
        <v>142</v>
      </c>
      <c r="G864" s="15" t="s">
        <v>23</v>
      </c>
      <c r="H864" s="15" t="s">
        <v>1525</v>
      </c>
      <c r="I864" s="15">
        <v>201502</v>
      </c>
      <c r="J864" s="16">
        <v>-413.65</v>
      </c>
      <c r="K864" s="44">
        <v>42036</v>
      </c>
      <c r="L864" s="45">
        <f t="shared" si="60"/>
        <v>4</v>
      </c>
      <c r="M864" s="17">
        <v>1.4833299999999999E-3</v>
      </c>
      <c r="N864" s="46">
        <f t="shared" si="61"/>
        <v>-2.4543178179999998</v>
      </c>
      <c r="O864" s="14"/>
      <c r="P864" s="48"/>
      <c r="Q864" s="16"/>
      <c r="R864" s="48">
        <f t="shared" si="59"/>
        <v>-9.6949218749999986</v>
      </c>
      <c r="S864" s="14"/>
    </row>
    <row r="865" spans="1:19">
      <c r="A865" s="14" t="s">
        <v>54</v>
      </c>
      <c r="B865" s="15" t="s">
        <v>1084</v>
      </c>
      <c r="C865" s="15" t="s">
        <v>1085</v>
      </c>
      <c r="D865" s="14" t="s">
        <v>1086</v>
      </c>
      <c r="E865" s="15" t="s">
        <v>21</v>
      </c>
      <c r="F865" s="14" t="s">
        <v>22</v>
      </c>
      <c r="G865" s="15" t="s">
        <v>23</v>
      </c>
      <c r="H865" s="15" t="s">
        <v>1525</v>
      </c>
      <c r="I865" s="15">
        <v>201502</v>
      </c>
      <c r="J865" s="16">
        <v>-460.31</v>
      </c>
      <c r="K865" s="44">
        <v>42036</v>
      </c>
      <c r="L865" s="45">
        <f t="shared" si="60"/>
        <v>4</v>
      </c>
      <c r="M865" s="17">
        <v>1.4833299999999999E-3</v>
      </c>
      <c r="N865" s="46">
        <f t="shared" si="61"/>
        <v>-2.7311665291999998</v>
      </c>
      <c r="O865" s="14"/>
      <c r="P865" s="48"/>
      <c r="Q865" s="16"/>
      <c r="R865" s="48">
        <f t="shared" si="59"/>
        <v>-10.788515624999999</v>
      </c>
      <c r="S865" s="14"/>
    </row>
    <row r="866" spans="1:19">
      <c r="A866" s="14" t="s">
        <v>54</v>
      </c>
      <c r="B866" s="15" t="s">
        <v>2197</v>
      </c>
      <c r="C866" s="15" t="s">
        <v>1741</v>
      </c>
      <c r="D866" s="14" t="s">
        <v>1742</v>
      </c>
      <c r="E866" s="15" t="s">
        <v>216</v>
      </c>
      <c r="F866" s="14" t="s">
        <v>22</v>
      </c>
      <c r="G866" s="15" t="s">
        <v>23</v>
      </c>
      <c r="H866" s="15" t="s">
        <v>1525</v>
      </c>
      <c r="I866" s="15">
        <v>201502</v>
      </c>
      <c r="J866" s="16">
        <v>176.57</v>
      </c>
      <c r="K866" s="44">
        <v>42036</v>
      </c>
      <c r="L866" s="45">
        <f t="shared" si="60"/>
        <v>4</v>
      </c>
      <c r="M866" s="17">
        <v>1.4833299999999999E-3</v>
      </c>
      <c r="N866" s="46">
        <f t="shared" si="61"/>
        <v>1.0476463123999999</v>
      </c>
      <c r="O866" s="14"/>
      <c r="P866" s="48"/>
      <c r="Q866" s="16"/>
      <c r="R866" s="48">
        <f t="shared" si="59"/>
        <v>4.1383593749999994</v>
      </c>
      <c r="S866" s="14"/>
    </row>
    <row r="867" spans="1:19">
      <c r="A867" s="14" t="s">
        <v>54</v>
      </c>
      <c r="B867" s="15" t="s">
        <v>1087</v>
      </c>
      <c r="C867" s="15" t="s">
        <v>1088</v>
      </c>
      <c r="D867" s="14" t="s">
        <v>1089</v>
      </c>
      <c r="E867" s="15" t="s">
        <v>1020</v>
      </c>
      <c r="F867" s="14" t="s">
        <v>22</v>
      </c>
      <c r="G867" s="15" t="s">
        <v>23</v>
      </c>
      <c r="H867" s="15" t="s">
        <v>1525</v>
      </c>
      <c r="I867" s="15">
        <v>201502</v>
      </c>
      <c r="J867" s="16">
        <v>-174.68</v>
      </c>
      <c r="K867" s="44">
        <v>42036</v>
      </c>
      <c r="L867" s="45">
        <f t="shared" si="60"/>
        <v>4</v>
      </c>
      <c r="M867" s="17">
        <v>1.4833299999999999E-3</v>
      </c>
      <c r="N867" s="46">
        <f t="shared" si="61"/>
        <v>-1.0364323376</v>
      </c>
      <c r="O867" s="14"/>
      <c r="P867" s="48"/>
      <c r="Q867" s="16"/>
      <c r="R867" s="48">
        <f t="shared" si="59"/>
        <v>-4.0940625000000006</v>
      </c>
      <c r="S867" s="14"/>
    </row>
    <row r="868" spans="1:19">
      <c r="A868" s="14" t="s">
        <v>54</v>
      </c>
      <c r="B868" s="15" t="s">
        <v>1090</v>
      </c>
      <c r="C868" s="15" t="s">
        <v>1091</v>
      </c>
      <c r="D868" s="14" t="s">
        <v>1092</v>
      </c>
      <c r="E868" s="15" t="s">
        <v>216</v>
      </c>
      <c r="F868" s="14" t="s">
        <v>22</v>
      </c>
      <c r="G868" s="15" t="s">
        <v>23</v>
      </c>
      <c r="H868" s="15" t="s">
        <v>1525</v>
      </c>
      <c r="I868" s="15">
        <v>201502</v>
      </c>
      <c r="J868" s="16">
        <v>-17.309999999999999</v>
      </c>
      <c r="K868" s="44">
        <v>42036</v>
      </c>
      <c r="L868" s="45">
        <f t="shared" si="60"/>
        <v>4</v>
      </c>
      <c r="M868" s="17">
        <v>1.4833299999999999E-3</v>
      </c>
      <c r="N868" s="46">
        <f t="shared" si="61"/>
        <v>-0.10270576919999999</v>
      </c>
      <c r="O868" s="14"/>
      <c r="P868" s="48"/>
      <c r="Q868" s="16"/>
      <c r="R868" s="48">
        <f t="shared" si="59"/>
        <v>-0.40570312499999994</v>
      </c>
      <c r="S868" s="14"/>
    </row>
    <row r="869" spans="1:19">
      <c r="A869" s="14" t="s">
        <v>54</v>
      </c>
      <c r="B869" s="15" t="s">
        <v>2267</v>
      </c>
      <c r="C869" s="15" t="s">
        <v>2268</v>
      </c>
      <c r="D869" s="14" t="s">
        <v>2269</v>
      </c>
      <c r="E869" s="15" t="s">
        <v>216</v>
      </c>
      <c r="F869" s="14" t="s">
        <v>22</v>
      </c>
      <c r="G869" s="15" t="s">
        <v>23</v>
      </c>
      <c r="H869" s="15" t="s">
        <v>1525</v>
      </c>
      <c r="I869" s="15">
        <v>201502</v>
      </c>
      <c r="J869" s="16">
        <v>30154.54</v>
      </c>
      <c r="K869" s="44">
        <v>42036</v>
      </c>
      <c r="L869" s="45">
        <f t="shared" si="60"/>
        <v>4</v>
      </c>
      <c r="M869" s="17">
        <v>1.4833299999999999E-3</v>
      </c>
      <c r="N869" s="46">
        <f t="shared" si="61"/>
        <v>178.91653527279999</v>
      </c>
      <c r="O869" s="14"/>
      <c r="P869" s="48"/>
      <c r="Q869" s="16"/>
      <c r="R869" s="48">
        <f t="shared" si="59"/>
        <v>706.74703124999996</v>
      </c>
      <c r="S869" s="14"/>
    </row>
    <row r="870" spans="1:19">
      <c r="A870" s="14" t="s">
        <v>54</v>
      </c>
      <c r="B870" s="15" t="s">
        <v>2198</v>
      </c>
      <c r="C870" s="15" t="s">
        <v>2199</v>
      </c>
      <c r="D870" s="14" t="s">
        <v>2200</v>
      </c>
      <c r="E870" s="15" t="s">
        <v>176</v>
      </c>
      <c r="F870" s="14" t="s">
        <v>28</v>
      </c>
      <c r="G870" s="15" t="s">
        <v>23</v>
      </c>
      <c r="H870" s="15" t="s">
        <v>1525</v>
      </c>
      <c r="I870" s="15">
        <v>201502</v>
      </c>
      <c r="J870" s="16">
        <v>2749.93</v>
      </c>
      <c r="K870" s="44">
        <v>42036</v>
      </c>
      <c r="L870" s="45">
        <f t="shared" si="60"/>
        <v>4</v>
      </c>
      <c r="M870" s="17">
        <v>1.4833299999999999E-3</v>
      </c>
      <c r="N870" s="46">
        <f t="shared" si="61"/>
        <v>16.316214667599997</v>
      </c>
      <c r="O870" s="14"/>
      <c r="P870" s="48"/>
      <c r="Q870" s="16"/>
      <c r="R870" s="48">
        <f t="shared" si="59"/>
        <v>64.451484374999993</v>
      </c>
      <c r="S870" s="14"/>
    </row>
    <row r="871" spans="1:19">
      <c r="A871" s="14" t="s">
        <v>54</v>
      </c>
      <c r="B871" s="15" t="s">
        <v>2270</v>
      </c>
      <c r="C871" s="15" t="s">
        <v>2271</v>
      </c>
      <c r="D871" s="14" t="s">
        <v>2272</v>
      </c>
      <c r="E871" s="15" t="s">
        <v>62</v>
      </c>
      <c r="F871" s="14" t="s">
        <v>22</v>
      </c>
      <c r="G871" s="15" t="s">
        <v>23</v>
      </c>
      <c r="H871" s="15" t="s">
        <v>1525</v>
      </c>
      <c r="I871" s="15">
        <v>201502</v>
      </c>
      <c r="J871" s="16">
        <v>19363.54</v>
      </c>
      <c r="K871" s="44">
        <v>42036</v>
      </c>
      <c r="L871" s="45">
        <f t="shared" si="60"/>
        <v>4</v>
      </c>
      <c r="M871" s="17">
        <v>1.4833299999999999E-3</v>
      </c>
      <c r="N871" s="46">
        <f t="shared" si="61"/>
        <v>114.8900791528</v>
      </c>
      <c r="O871" s="14"/>
      <c r="P871" s="48"/>
      <c r="Q871" s="16"/>
      <c r="R871" s="48">
        <f t="shared" si="59"/>
        <v>453.83296874999996</v>
      </c>
      <c r="S871" s="14"/>
    </row>
    <row r="872" spans="1:19">
      <c r="A872" s="14" t="s">
        <v>54</v>
      </c>
      <c r="B872" s="15" t="s">
        <v>2201</v>
      </c>
      <c r="C872" s="15" t="s">
        <v>2202</v>
      </c>
      <c r="D872" s="14" t="s">
        <v>2203</v>
      </c>
      <c r="E872" s="15" t="s">
        <v>909</v>
      </c>
      <c r="F872" s="14" t="s">
        <v>22</v>
      </c>
      <c r="G872" s="15" t="s">
        <v>23</v>
      </c>
      <c r="H872" s="15" t="s">
        <v>1525</v>
      </c>
      <c r="I872" s="15">
        <v>201502</v>
      </c>
      <c r="J872" s="16">
        <v>8630.08</v>
      </c>
      <c r="K872" s="44">
        <v>42036</v>
      </c>
      <c r="L872" s="45">
        <f t="shared" si="60"/>
        <v>4</v>
      </c>
      <c r="M872" s="17">
        <v>1.4833299999999999E-3</v>
      </c>
      <c r="N872" s="46">
        <f t="shared" si="61"/>
        <v>51.205026265599997</v>
      </c>
      <c r="O872" s="14"/>
      <c r="P872" s="48"/>
      <c r="Q872" s="16"/>
      <c r="R872" s="48">
        <f t="shared" si="59"/>
        <v>202.26749999999998</v>
      </c>
      <c r="S872" s="14"/>
    </row>
    <row r="873" spans="1:19">
      <c r="A873" s="14" t="s">
        <v>54</v>
      </c>
      <c r="B873" s="15" t="s">
        <v>1093</v>
      </c>
      <c r="C873" s="15" t="s">
        <v>1094</v>
      </c>
      <c r="D873" s="14" t="s">
        <v>1095</v>
      </c>
      <c r="E873" s="15" t="s">
        <v>27</v>
      </c>
      <c r="F873" s="14" t="s">
        <v>28</v>
      </c>
      <c r="G873" s="15" t="s">
        <v>23</v>
      </c>
      <c r="H873" s="15" t="s">
        <v>1525</v>
      </c>
      <c r="I873" s="15">
        <v>201502</v>
      </c>
      <c r="J873" s="16">
        <v>1896.67</v>
      </c>
      <c r="K873" s="44">
        <v>42036</v>
      </c>
      <c r="L873" s="45">
        <f t="shared" si="60"/>
        <v>4</v>
      </c>
      <c r="M873" s="17">
        <v>1.4833299999999999E-3</v>
      </c>
      <c r="N873" s="46">
        <f t="shared" si="61"/>
        <v>11.253550044400001</v>
      </c>
      <c r="O873" s="14"/>
      <c r="P873" s="48"/>
      <c r="Q873" s="16"/>
      <c r="R873" s="48">
        <f t="shared" si="59"/>
        <v>44.453203125000002</v>
      </c>
      <c r="S873" s="14"/>
    </row>
    <row r="874" spans="1:19">
      <c r="A874" s="14" t="s">
        <v>54</v>
      </c>
      <c r="B874" s="15" t="s">
        <v>2273</v>
      </c>
      <c r="C874" s="15" t="s">
        <v>2274</v>
      </c>
      <c r="D874" s="14" t="s">
        <v>2275</v>
      </c>
      <c r="E874" s="15" t="s">
        <v>141</v>
      </c>
      <c r="F874" s="14" t="s">
        <v>142</v>
      </c>
      <c r="G874" s="15" t="s">
        <v>23</v>
      </c>
      <c r="H874" s="15" t="s">
        <v>1525</v>
      </c>
      <c r="I874" s="15">
        <v>201502</v>
      </c>
      <c r="J874" s="16">
        <v>111629.67</v>
      </c>
      <c r="K874" s="44">
        <v>42036</v>
      </c>
      <c r="L874" s="45">
        <f t="shared" si="60"/>
        <v>4</v>
      </c>
      <c r="M874" s="17">
        <v>1.4833299999999999E-3</v>
      </c>
      <c r="N874" s="46">
        <f t="shared" si="61"/>
        <v>662.33455360439996</v>
      </c>
      <c r="O874" s="14"/>
      <c r="P874" s="48"/>
      <c r="Q874" s="16"/>
      <c r="R874" s="48">
        <f t="shared" si="59"/>
        <v>2616.3203906250001</v>
      </c>
      <c r="S874" s="14"/>
    </row>
    <row r="875" spans="1:19">
      <c r="A875" s="14" t="s">
        <v>17</v>
      </c>
      <c r="B875" s="15" t="s">
        <v>2204</v>
      </c>
      <c r="C875" s="15" t="s">
        <v>2205</v>
      </c>
      <c r="D875" s="14" t="s">
        <v>2206</v>
      </c>
      <c r="E875" s="15" t="s">
        <v>440</v>
      </c>
      <c r="F875" s="14" t="s">
        <v>28</v>
      </c>
      <c r="G875" s="15" t="s">
        <v>23</v>
      </c>
      <c r="H875" s="15" t="s">
        <v>1525</v>
      </c>
      <c r="I875" s="15">
        <v>201502</v>
      </c>
      <c r="J875" s="16">
        <v>9463.41</v>
      </c>
      <c r="K875" s="44">
        <v>42036</v>
      </c>
      <c r="L875" s="45">
        <f t="shared" si="60"/>
        <v>4</v>
      </c>
      <c r="M875" s="17">
        <v>1.4833299999999999E-3</v>
      </c>
      <c r="N875" s="46">
        <f t="shared" si="61"/>
        <v>56.149439821199998</v>
      </c>
      <c r="O875" s="14"/>
      <c r="P875" s="48"/>
      <c r="Q875" s="16"/>
      <c r="R875" s="48">
        <f t="shared" si="59"/>
        <v>221.79867187499997</v>
      </c>
      <c r="S875" s="14"/>
    </row>
    <row r="876" spans="1:19">
      <c r="A876" s="14" t="s">
        <v>54</v>
      </c>
      <c r="B876" s="15" t="s">
        <v>1096</v>
      </c>
      <c r="C876" s="15" t="s">
        <v>1097</v>
      </c>
      <c r="D876" s="14" t="s">
        <v>1098</v>
      </c>
      <c r="E876" s="15" t="s">
        <v>462</v>
      </c>
      <c r="F876" s="14" t="s">
        <v>142</v>
      </c>
      <c r="G876" s="15" t="s">
        <v>23</v>
      </c>
      <c r="H876" s="15" t="s">
        <v>1525</v>
      </c>
      <c r="I876" s="15">
        <v>201502</v>
      </c>
      <c r="J876" s="16">
        <v>5567.08</v>
      </c>
      <c r="K876" s="44">
        <v>42036</v>
      </c>
      <c r="L876" s="45">
        <f t="shared" si="60"/>
        <v>4</v>
      </c>
      <c r="M876" s="17">
        <v>1.4833299999999999E-3</v>
      </c>
      <c r="N876" s="46">
        <f t="shared" si="61"/>
        <v>33.031267105600001</v>
      </c>
      <c r="O876" s="14"/>
      <c r="P876" s="48"/>
      <c r="Q876" s="16"/>
      <c r="R876" s="48">
        <f t="shared" si="59"/>
        <v>130.47843750000001</v>
      </c>
      <c r="S876" s="14"/>
    </row>
    <row r="877" spans="1:19">
      <c r="A877" s="14" t="s">
        <v>54</v>
      </c>
      <c r="B877" s="15" t="s">
        <v>2276</v>
      </c>
      <c r="C877" s="15" t="s">
        <v>2277</v>
      </c>
      <c r="D877" s="14" t="s">
        <v>2278</v>
      </c>
      <c r="E877" s="15" t="s">
        <v>462</v>
      </c>
      <c r="F877" s="14" t="s">
        <v>142</v>
      </c>
      <c r="G877" s="15" t="s">
        <v>23</v>
      </c>
      <c r="H877" s="15" t="s">
        <v>1525</v>
      </c>
      <c r="I877" s="15">
        <v>201502</v>
      </c>
      <c r="J877" s="16">
        <v>196544.7</v>
      </c>
      <c r="K877" s="44">
        <v>42036</v>
      </c>
      <c r="L877" s="45">
        <f t="shared" si="60"/>
        <v>4</v>
      </c>
      <c r="M877" s="17">
        <v>1.4833299999999999E-3</v>
      </c>
      <c r="N877" s="46">
        <f t="shared" si="61"/>
        <v>1166.162599404</v>
      </c>
      <c r="O877" s="14"/>
      <c r="P877" s="48"/>
      <c r="Q877" s="16"/>
      <c r="R877" s="48">
        <f t="shared" si="59"/>
        <v>4606.5164062500007</v>
      </c>
      <c r="S877" s="14"/>
    </row>
    <row r="878" spans="1:19">
      <c r="A878" s="14" t="s">
        <v>54</v>
      </c>
      <c r="B878" s="15" t="s">
        <v>2207</v>
      </c>
      <c r="C878" s="15" t="s">
        <v>2208</v>
      </c>
      <c r="D878" s="14" t="s">
        <v>2209</v>
      </c>
      <c r="E878" s="15" t="s">
        <v>141</v>
      </c>
      <c r="F878" s="14" t="s">
        <v>142</v>
      </c>
      <c r="G878" s="15" t="s">
        <v>23</v>
      </c>
      <c r="H878" s="15" t="s">
        <v>1525</v>
      </c>
      <c r="I878" s="15">
        <v>201502</v>
      </c>
      <c r="J878" s="16">
        <v>703.59</v>
      </c>
      <c r="K878" s="44">
        <v>42036</v>
      </c>
      <c r="L878" s="45">
        <f t="shared" si="60"/>
        <v>4</v>
      </c>
      <c r="M878" s="17">
        <v>1.4833299999999999E-3</v>
      </c>
      <c r="N878" s="46">
        <f t="shared" si="61"/>
        <v>4.1746246188000002</v>
      </c>
      <c r="O878" s="14"/>
      <c r="P878" s="48"/>
      <c r="Q878" s="16"/>
      <c r="R878" s="48">
        <f t="shared" si="59"/>
        <v>16.490390625</v>
      </c>
      <c r="S878" s="14"/>
    </row>
    <row r="879" spans="1:19">
      <c r="A879" s="14" t="s">
        <v>54</v>
      </c>
      <c r="B879" s="15" t="s">
        <v>2210</v>
      </c>
      <c r="C879" s="15" t="s">
        <v>2211</v>
      </c>
      <c r="D879" s="14" t="s">
        <v>2212</v>
      </c>
      <c r="E879" s="15" t="s">
        <v>45</v>
      </c>
      <c r="F879" s="14" t="s">
        <v>22</v>
      </c>
      <c r="G879" s="15" t="s">
        <v>23</v>
      </c>
      <c r="H879" s="15" t="s">
        <v>1525</v>
      </c>
      <c r="I879" s="15">
        <v>201502</v>
      </c>
      <c r="J879" s="16">
        <v>-3184.31</v>
      </c>
      <c r="K879" s="44">
        <v>42036</v>
      </c>
      <c r="L879" s="45">
        <f t="shared" si="60"/>
        <v>4</v>
      </c>
      <c r="M879" s="17">
        <v>1.4833299999999999E-3</v>
      </c>
      <c r="N879" s="46">
        <f t="shared" si="61"/>
        <v>-18.893530209199998</v>
      </c>
      <c r="O879" s="14"/>
      <c r="P879" s="48"/>
      <c r="Q879" s="16"/>
      <c r="R879" s="48">
        <f t="shared" si="59"/>
        <v>-74.632265624999988</v>
      </c>
      <c r="S879" s="14"/>
    </row>
    <row r="880" spans="1:19">
      <c r="A880" s="14" t="s">
        <v>17</v>
      </c>
      <c r="B880" s="15" t="s">
        <v>2213</v>
      </c>
      <c r="C880" s="15" t="s">
        <v>2214</v>
      </c>
      <c r="D880" s="14" t="s">
        <v>2215</v>
      </c>
      <c r="E880" s="15" t="s">
        <v>108</v>
      </c>
      <c r="F880" s="14" t="s">
        <v>28</v>
      </c>
      <c r="G880" s="15" t="s">
        <v>23</v>
      </c>
      <c r="H880" s="15" t="s">
        <v>1525</v>
      </c>
      <c r="I880" s="15">
        <v>201502</v>
      </c>
      <c r="J880" s="16">
        <v>-46.66</v>
      </c>
      <c r="K880" s="44">
        <v>42036</v>
      </c>
      <c r="L880" s="45">
        <f t="shared" si="60"/>
        <v>4</v>
      </c>
      <c r="M880" s="17">
        <v>1.4833299999999999E-3</v>
      </c>
      <c r="N880" s="46">
        <f t="shared" si="61"/>
        <v>-0.27684871119999999</v>
      </c>
      <c r="O880" s="14"/>
      <c r="P880" s="48"/>
      <c r="Q880" s="16"/>
      <c r="R880" s="48">
        <f t="shared" si="59"/>
        <v>-1.0935937499999999</v>
      </c>
      <c r="S880" s="14"/>
    </row>
    <row r="881" spans="1:19">
      <c r="A881" s="14" t="s">
        <v>54</v>
      </c>
      <c r="B881" s="15" t="s">
        <v>2247</v>
      </c>
      <c r="C881" s="15" t="s">
        <v>2248</v>
      </c>
      <c r="D881" s="14" t="s">
        <v>2249</v>
      </c>
      <c r="E881" s="15" t="s">
        <v>141</v>
      </c>
      <c r="F881" s="14" t="s">
        <v>142</v>
      </c>
      <c r="G881" s="15" t="s">
        <v>23</v>
      </c>
      <c r="H881" s="15" t="s">
        <v>1525</v>
      </c>
      <c r="I881" s="15">
        <v>201502</v>
      </c>
      <c r="J881" s="16">
        <v>18792.990000000002</v>
      </c>
      <c r="K881" s="44">
        <v>42036</v>
      </c>
      <c r="L881" s="45">
        <f t="shared" si="60"/>
        <v>4</v>
      </c>
      <c r="M881" s="17">
        <v>1.4833299999999999E-3</v>
      </c>
      <c r="N881" s="46">
        <f t="shared" si="61"/>
        <v>111.5048234268</v>
      </c>
      <c r="O881" s="14"/>
      <c r="P881" s="48"/>
      <c r="Q881" s="16"/>
      <c r="R881" s="48">
        <f t="shared" si="59"/>
        <v>440.46070312500001</v>
      </c>
      <c r="S881" s="14"/>
    </row>
    <row r="882" spans="1:19">
      <c r="A882" s="14" t="s">
        <v>17</v>
      </c>
      <c r="B882" s="15" t="s">
        <v>2216</v>
      </c>
      <c r="C882" s="15" t="s">
        <v>2217</v>
      </c>
      <c r="D882" s="14" t="s">
        <v>2218</v>
      </c>
      <c r="E882" s="15" t="s">
        <v>324</v>
      </c>
      <c r="F882" s="14" t="s">
        <v>325</v>
      </c>
      <c r="G882" s="15" t="s">
        <v>23</v>
      </c>
      <c r="H882" s="15" t="s">
        <v>1525</v>
      </c>
      <c r="I882" s="15">
        <v>201502</v>
      </c>
      <c r="J882" s="16">
        <v>-1314.05</v>
      </c>
      <c r="K882" s="44">
        <v>42036</v>
      </c>
      <c r="L882" s="45">
        <f t="shared" ref="L882:L922" si="62">((YEAR($L$1)-YEAR(K882))*12+MONTH($L$1)-MONTH(K882))</f>
        <v>4</v>
      </c>
      <c r="M882" s="17">
        <v>1.4833299999999999E-3</v>
      </c>
      <c r="N882" s="46">
        <f t="shared" si="61"/>
        <v>-7.7966791459999998</v>
      </c>
      <c r="O882" s="14"/>
      <c r="P882" s="48"/>
      <c r="Q882" s="16"/>
      <c r="R882" s="48">
        <f t="shared" si="59"/>
        <v>-30.798046874999997</v>
      </c>
      <c r="S882" s="14"/>
    </row>
    <row r="883" spans="1:19">
      <c r="A883" s="14" t="s">
        <v>54</v>
      </c>
      <c r="B883" s="15" t="s">
        <v>2279</v>
      </c>
      <c r="C883" s="15" t="s">
        <v>2280</v>
      </c>
      <c r="D883" s="14" t="s">
        <v>2281</v>
      </c>
      <c r="E883" s="15" t="s">
        <v>909</v>
      </c>
      <c r="F883" s="14" t="s">
        <v>22</v>
      </c>
      <c r="G883" s="15" t="s">
        <v>23</v>
      </c>
      <c r="H883" s="15" t="s">
        <v>1525</v>
      </c>
      <c r="I883" s="15">
        <v>201502</v>
      </c>
      <c r="J883" s="16">
        <v>9861.58</v>
      </c>
      <c r="K883" s="44">
        <v>42036</v>
      </c>
      <c r="L883" s="45">
        <f t="shared" si="62"/>
        <v>4</v>
      </c>
      <c r="M883" s="17">
        <v>1.4833299999999999E-3</v>
      </c>
      <c r="N883" s="46">
        <f t="shared" si="61"/>
        <v>58.511909845599995</v>
      </c>
      <c r="O883" s="14"/>
      <c r="P883" s="48"/>
      <c r="Q883" s="16"/>
      <c r="R883" s="48">
        <f t="shared" si="59"/>
        <v>231.13078124999998</v>
      </c>
      <c r="S883" s="14"/>
    </row>
    <row r="884" spans="1:19">
      <c r="A884" s="14" t="s">
        <v>17</v>
      </c>
      <c r="B884" s="15" t="s">
        <v>149</v>
      </c>
      <c r="C884" s="15" t="s">
        <v>150</v>
      </c>
      <c r="D884" s="14" t="s">
        <v>151</v>
      </c>
      <c r="E884" s="15" t="s">
        <v>40</v>
      </c>
      <c r="F884" s="14" t="s">
        <v>41</v>
      </c>
      <c r="G884" s="15" t="s">
        <v>23</v>
      </c>
      <c r="H884" s="15" t="s">
        <v>1526</v>
      </c>
      <c r="I884" s="15">
        <v>201502</v>
      </c>
      <c r="J884" s="16">
        <v>-179.96</v>
      </c>
      <c r="K884" s="44">
        <v>42036</v>
      </c>
      <c r="L884" s="45">
        <f t="shared" si="62"/>
        <v>4</v>
      </c>
      <c r="M884" s="17">
        <v>1.4833299999999999E-3</v>
      </c>
      <c r="N884" s="46">
        <f t="shared" si="61"/>
        <v>-1.0677602671999999</v>
      </c>
      <c r="O884" s="14"/>
      <c r="P884" s="48"/>
      <c r="Q884" s="16"/>
      <c r="R884" s="48">
        <f t="shared" si="59"/>
        <v>-4.2178125</v>
      </c>
      <c r="S884" s="14"/>
    </row>
    <row r="885" spans="1:19">
      <c r="A885" s="14" t="s">
        <v>17</v>
      </c>
      <c r="B885" s="15" t="s">
        <v>2282</v>
      </c>
      <c r="C885" s="15" t="s">
        <v>1727</v>
      </c>
      <c r="D885" s="14" t="s">
        <v>1728</v>
      </c>
      <c r="E885" s="15" t="s">
        <v>53</v>
      </c>
      <c r="F885" s="14" t="s">
        <v>41</v>
      </c>
      <c r="G885" s="15" t="s">
        <v>23</v>
      </c>
      <c r="H885" s="15" t="s">
        <v>1526</v>
      </c>
      <c r="I885" s="15">
        <v>201502</v>
      </c>
      <c r="J885" s="16">
        <v>137127.51</v>
      </c>
      <c r="K885" s="44">
        <v>42036</v>
      </c>
      <c r="L885" s="45">
        <f t="shared" si="62"/>
        <v>4</v>
      </c>
      <c r="M885" s="17">
        <v>1.4833299999999999E-3</v>
      </c>
      <c r="N885" s="46">
        <f t="shared" si="61"/>
        <v>813.62139763319999</v>
      </c>
      <c r="O885" s="14"/>
      <c r="P885" s="48"/>
      <c r="Q885" s="16"/>
      <c r="R885" s="48">
        <f t="shared" si="59"/>
        <v>3213.9260156250002</v>
      </c>
      <c r="S885" s="14"/>
    </row>
    <row r="886" spans="1:19">
      <c r="A886" s="14" t="s">
        <v>54</v>
      </c>
      <c r="B886" s="15" t="s">
        <v>359</v>
      </c>
      <c r="C886" s="15" t="s">
        <v>360</v>
      </c>
      <c r="D886" s="14" t="s">
        <v>361</v>
      </c>
      <c r="E886" s="15" t="s">
        <v>362</v>
      </c>
      <c r="F886" s="14" t="s">
        <v>41</v>
      </c>
      <c r="G886" s="15" t="s">
        <v>23</v>
      </c>
      <c r="H886" s="15" t="s">
        <v>1526</v>
      </c>
      <c r="I886" s="15">
        <v>201502</v>
      </c>
      <c r="J886" s="16">
        <v>-23.99</v>
      </c>
      <c r="K886" s="44">
        <v>42036</v>
      </c>
      <c r="L886" s="45">
        <f t="shared" si="62"/>
        <v>4</v>
      </c>
      <c r="M886" s="17">
        <v>1.4833299999999999E-3</v>
      </c>
      <c r="N886" s="46">
        <f t="shared" si="61"/>
        <v>-0.14234034679999999</v>
      </c>
      <c r="O886" s="14"/>
      <c r="P886" s="48"/>
      <c r="Q886" s="16"/>
      <c r="R886" s="48">
        <f t="shared" si="59"/>
        <v>-0.56226562499999999</v>
      </c>
      <c r="S886" s="14"/>
    </row>
    <row r="887" spans="1:19">
      <c r="A887" s="14" t="s">
        <v>17</v>
      </c>
      <c r="B887" s="15" t="s">
        <v>366</v>
      </c>
      <c r="C887" s="15" t="s">
        <v>367</v>
      </c>
      <c r="D887" s="14" t="s">
        <v>368</v>
      </c>
      <c r="E887" s="15" t="s">
        <v>369</v>
      </c>
      <c r="F887" s="14" t="s">
        <v>41</v>
      </c>
      <c r="G887" s="15" t="s">
        <v>23</v>
      </c>
      <c r="H887" s="15" t="s">
        <v>1526</v>
      </c>
      <c r="I887" s="15">
        <v>201502</v>
      </c>
      <c r="J887" s="16">
        <v>-1278.56</v>
      </c>
      <c r="K887" s="44">
        <v>42036</v>
      </c>
      <c r="L887" s="45">
        <f t="shared" si="62"/>
        <v>4</v>
      </c>
      <c r="M887" s="17">
        <v>1.4833299999999999E-3</v>
      </c>
      <c r="N887" s="46">
        <f t="shared" si="61"/>
        <v>-7.5861056191999996</v>
      </c>
      <c r="O887" s="14"/>
      <c r="P887" s="48"/>
      <c r="Q887" s="16"/>
      <c r="R887" s="48">
        <f t="shared" si="59"/>
        <v>-29.966249999999999</v>
      </c>
      <c r="S887" s="14"/>
    </row>
    <row r="888" spans="1:19">
      <c r="A888" s="14" t="s">
        <v>17</v>
      </c>
      <c r="B888" s="15" t="s">
        <v>391</v>
      </c>
      <c r="C888" s="15" t="s">
        <v>392</v>
      </c>
      <c r="D888" s="14" t="s">
        <v>393</v>
      </c>
      <c r="E888" s="15" t="s">
        <v>394</v>
      </c>
      <c r="F888" s="14" t="s">
        <v>137</v>
      </c>
      <c r="G888" s="15" t="s">
        <v>23</v>
      </c>
      <c r="H888" s="15" t="s">
        <v>1526</v>
      </c>
      <c r="I888" s="15">
        <v>201502</v>
      </c>
      <c r="J888" s="16">
        <v>-125.25</v>
      </c>
      <c r="K888" s="44">
        <v>42036</v>
      </c>
      <c r="L888" s="45">
        <f t="shared" si="62"/>
        <v>4</v>
      </c>
      <c r="M888" s="17">
        <v>1.4833299999999999E-3</v>
      </c>
      <c r="N888" s="46">
        <f t="shared" si="61"/>
        <v>-0.74314832999999991</v>
      </c>
      <c r="O888" s="14"/>
      <c r="P888" s="48"/>
      <c r="Q888" s="16"/>
      <c r="R888" s="48">
        <f t="shared" si="59"/>
        <v>-2.9355468749999996</v>
      </c>
      <c r="S888" s="14"/>
    </row>
    <row r="889" spans="1:19">
      <c r="A889" s="14" t="s">
        <v>238</v>
      </c>
      <c r="B889" s="15" t="s">
        <v>1099</v>
      </c>
      <c r="C889" s="15" t="s">
        <v>1100</v>
      </c>
      <c r="D889" s="14" t="s">
        <v>1101</v>
      </c>
      <c r="E889" s="15" t="s">
        <v>104</v>
      </c>
      <c r="F889" s="14" t="s">
        <v>41</v>
      </c>
      <c r="G889" s="15" t="s">
        <v>23</v>
      </c>
      <c r="H889" s="15" t="s">
        <v>1526</v>
      </c>
      <c r="I889" s="15">
        <v>201502</v>
      </c>
      <c r="J889" s="16">
        <v>-38.49</v>
      </c>
      <c r="K889" s="44">
        <v>42036</v>
      </c>
      <c r="L889" s="45">
        <f t="shared" si="62"/>
        <v>4</v>
      </c>
      <c r="M889" s="17">
        <v>2.3833299999999999E-3</v>
      </c>
      <c r="N889" s="46">
        <f t="shared" si="61"/>
        <v>-0.36693748679999999</v>
      </c>
      <c r="O889" s="14"/>
      <c r="P889" s="48"/>
      <c r="Q889" s="16"/>
      <c r="R889" s="48">
        <f t="shared" si="59"/>
        <v>-0.90210937499999999</v>
      </c>
      <c r="S889" s="14"/>
    </row>
    <row r="890" spans="1:19">
      <c r="A890" s="14" t="s">
        <v>54</v>
      </c>
      <c r="B890" s="15" t="s">
        <v>578</v>
      </c>
      <c r="C890" s="15" t="s">
        <v>579</v>
      </c>
      <c r="D890" s="14" t="s">
        <v>580</v>
      </c>
      <c r="E890" s="15" t="s">
        <v>136</v>
      </c>
      <c r="F890" s="14" t="s">
        <v>137</v>
      </c>
      <c r="G890" s="15" t="s">
        <v>23</v>
      </c>
      <c r="H890" s="15" t="s">
        <v>1526</v>
      </c>
      <c r="I890" s="15">
        <v>201502</v>
      </c>
      <c r="J890" s="16">
        <v>479.37</v>
      </c>
      <c r="K890" s="44">
        <v>42036</v>
      </c>
      <c r="L890" s="45">
        <f t="shared" si="62"/>
        <v>4</v>
      </c>
      <c r="M890" s="17">
        <v>1.4833299999999999E-3</v>
      </c>
      <c r="N890" s="46">
        <f t="shared" si="61"/>
        <v>2.8442556083999997</v>
      </c>
      <c r="O890" s="14"/>
      <c r="P890" s="48"/>
      <c r="Q890" s="16"/>
      <c r="R890" s="48">
        <f t="shared" si="59"/>
        <v>11.235234375000001</v>
      </c>
      <c r="S890" s="14"/>
    </row>
    <row r="891" spans="1:19">
      <c r="A891" s="14" t="s">
        <v>17</v>
      </c>
      <c r="B891" s="15" t="s">
        <v>581</v>
      </c>
      <c r="C891" s="15" t="s">
        <v>582</v>
      </c>
      <c r="D891" s="14" t="s">
        <v>583</v>
      </c>
      <c r="E891" s="15" t="s">
        <v>104</v>
      </c>
      <c r="F891" s="14" t="s">
        <v>41</v>
      </c>
      <c r="G891" s="15" t="s">
        <v>23</v>
      </c>
      <c r="H891" s="15" t="s">
        <v>1526</v>
      </c>
      <c r="I891" s="15">
        <v>201502</v>
      </c>
      <c r="J891" s="16">
        <v>-0.65</v>
      </c>
      <c r="K891" s="44">
        <v>42036</v>
      </c>
      <c r="L891" s="45">
        <f t="shared" si="62"/>
        <v>4</v>
      </c>
      <c r="M891" s="17">
        <v>1.4833299999999999E-3</v>
      </c>
      <c r="N891" s="46">
        <f t="shared" si="61"/>
        <v>-3.8566579999999998E-3</v>
      </c>
      <c r="O891" s="14"/>
      <c r="P891" s="48"/>
      <c r="Q891" s="16"/>
      <c r="R891" s="48">
        <f t="shared" si="59"/>
        <v>-1.5234375000000001E-2</v>
      </c>
      <c r="S891" s="14"/>
    </row>
    <row r="892" spans="1:19">
      <c r="A892" s="14" t="s">
        <v>54</v>
      </c>
      <c r="B892" s="15" t="s">
        <v>581</v>
      </c>
      <c r="C892" s="15" t="s">
        <v>582</v>
      </c>
      <c r="D892" s="14" t="s">
        <v>583</v>
      </c>
      <c r="E892" s="15" t="s">
        <v>104</v>
      </c>
      <c r="F892" s="14" t="s">
        <v>41</v>
      </c>
      <c r="G892" s="15" t="s">
        <v>23</v>
      </c>
      <c r="H892" s="15" t="s">
        <v>1526</v>
      </c>
      <c r="I892" s="15">
        <v>201502</v>
      </c>
      <c r="J892" s="16">
        <v>-47.83</v>
      </c>
      <c r="K892" s="44">
        <v>42036</v>
      </c>
      <c r="L892" s="45">
        <f t="shared" si="62"/>
        <v>4</v>
      </c>
      <c r="M892" s="17">
        <v>1.4833299999999999E-3</v>
      </c>
      <c r="N892" s="46">
        <f t="shared" si="61"/>
        <v>-0.28379069559999998</v>
      </c>
      <c r="O892" s="14"/>
      <c r="P892" s="48"/>
      <c r="Q892" s="16"/>
      <c r="R892" s="48">
        <f t="shared" si="59"/>
        <v>-1.1210156249999998</v>
      </c>
      <c r="S892" s="14"/>
    </row>
    <row r="893" spans="1:19">
      <c r="A893" s="14" t="s">
        <v>17</v>
      </c>
      <c r="B893" s="15" t="s">
        <v>1030</v>
      </c>
      <c r="C893" s="15" t="s">
        <v>1031</v>
      </c>
      <c r="D893" s="14" t="s">
        <v>1032</v>
      </c>
      <c r="E893" s="15" t="s">
        <v>53</v>
      </c>
      <c r="F893" s="14" t="s">
        <v>41</v>
      </c>
      <c r="G893" s="15" t="s">
        <v>23</v>
      </c>
      <c r="H893" s="15" t="s">
        <v>1526</v>
      </c>
      <c r="I893" s="15">
        <v>201502</v>
      </c>
      <c r="J893" s="16">
        <v>-5.35</v>
      </c>
      <c r="K893" s="44">
        <v>42036</v>
      </c>
      <c r="L893" s="45">
        <f t="shared" si="62"/>
        <v>4</v>
      </c>
      <c r="M893" s="17">
        <v>1.4833299999999999E-3</v>
      </c>
      <c r="N893" s="46">
        <f t="shared" si="61"/>
        <v>-3.1743261999999994E-2</v>
      </c>
      <c r="O893" s="14"/>
      <c r="P893" s="48"/>
      <c r="Q893" s="16"/>
      <c r="R893" s="48">
        <f t="shared" si="59"/>
        <v>-0.12539062499999998</v>
      </c>
      <c r="S893" s="14"/>
    </row>
    <row r="894" spans="1:19">
      <c r="A894" s="14" t="s">
        <v>17</v>
      </c>
      <c r="B894" s="15" t="s">
        <v>1036</v>
      </c>
      <c r="C894" s="15" t="s">
        <v>1037</v>
      </c>
      <c r="D894" s="14" t="s">
        <v>1038</v>
      </c>
      <c r="E894" s="15" t="s">
        <v>40</v>
      </c>
      <c r="F894" s="14" t="s">
        <v>41</v>
      </c>
      <c r="G894" s="15" t="s">
        <v>23</v>
      </c>
      <c r="H894" s="15" t="s">
        <v>1526</v>
      </c>
      <c r="I894" s="15">
        <v>201502</v>
      </c>
      <c r="J894" s="16">
        <v>-124.48</v>
      </c>
      <c r="K894" s="44">
        <v>42036</v>
      </c>
      <c r="L894" s="45">
        <f t="shared" si="62"/>
        <v>4</v>
      </c>
      <c r="M894" s="17">
        <v>1.4833299999999999E-3</v>
      </c>
      <c r="N894" s="46">
        <f t="shared" si="61"/>
        <v>-0.73857967359999999</v>
      </c>
      <c r="O894" s="14"/>
      <c r="P894" s="48"/>
      <c r="Q894" s="16"/>
      <c r="R894" s="48">
        <f t="shared" si="59"/>
        <v>-2.9175</v>
      </c>
      <c r="S894" s="14"/>
    </row>
    <row r="895" spans="1:19">
      <c r="A895" s="14" t="s">
        <v>17</v>
      </c>
      <c r="B895" s="15" t="s">
        <v>1039</v>
      </c>
      <c r="C895" s="15" t="s">
        <v>1040</v>
      </c>
      <c r="D895" s="14" t="s">
        <v>1041</v>
      </c>
      <c r="E895" s="15" t="s">
        <v>40</v>
      </c>
      <c r="F895" s="14" t="s">
        <v>41</v>
      </c>
      <c r="G895" s="15" t="s">
        <v>23</v>
      </c>
      <c r="H895" s="15" t="s">
        <v>1526</v>
      </c>
      <c r="I895" s="15">
        <v>201502</v>
      </c>
      <c r="J895" s="16">
        <v>-4653.87</v>
      </c>
      <c r="K895" s="44">
        <v>42036</v>
      </c>
      <c r="L895" s="45">
        <f t="shared" si="62"/>
        <v>4</v>
      </c>
      <c r="M895" s="17">
        <v>1.4833299999999999E-3</v>
      </c>
      <c r="N895" s="46">
        <f t="shared" si="61"/>
        <v>-27.612899948399999</v>
      </c>
      <c r="O895" s="14"/>
      <c r="P895" s="48"/>
      <c r="Q895" s="16"/>
      <c r="R895" s="48">
        <f t="shared" si="59"/>
        <v>-109.07507812499999</v>
      </c>
      <c r="S895" s="14"/>
    </row>
    <row r="896" spans="1:19">
      <c r="A896" s="14" t="s">
        <v>17</v>
      </c>
      <c r="B896" s="15" t="s">
        <v>819</v>
      </c>
      <c r="C896" s="15" t="s">
        <v>820</v>
      </c>
      <c r="D896" s="14" t="s">
        <v>821</v>
      </c>
      <c r="E896" s="15" t="s">
        <v>822</v>
      </c>
      <c r="F896" s="14" t="s">
        <v>823</v>
      </c>
      <c r="G896" s="15" t="s">
        <v>23</v>
      </c>
      <c r="H896" s="15" t="s">
        <v>1526</v>
      </c>
      <c r="I896" s="15">
        <v>201502</v>
      </c>
      <c r="J896" s="16">
        <v>-13.32</v>
      </c>
      <c r="K896" s="44">
        <v>42036</v>
      </c>
      <c r="L896" s="45">
        <f t="shared" si="62"/>
        <v>4</v>
      </c>
      <c r="M896" s="17">
        <v>1.4833299999999999E-3</v>
      </c>
      <c r="N896" s="46">
        <f t="shared" si="61"/>
        <v>-7.9031822399999993E-2</v>
      </c>
      <c r="O896" s="14"/>
      <c r="P896" s="48"/>
      <c r="Q896" s="16"/>
      <c r="R896" s="48">
        <f t="shared" si="59"/>
        <v>-0.31218750000000001</v>
      </c>
      <c r="S896" s="14"/>
    </row>
    <row r="897" spans="1:19">
      <c r="A897" s="14" t="s">
        <v>54</v>
      </c>
      <c r="B897" s="15" t="s">
        <v>879</v>
      </c>
      <c r="C897" s="15" t="s">
        <v>880</v>
      </c>
      <c r="D897" s="14" t="s">
        <v>881</v>
      </c>
      <c r="E897" s="15" t="s">
        <v>53</v>
      </c>
      <c r="F897" s="14" t="s">
        <v>41</v>
      </c>
      <c r="G897" s="15" t="s">
        <v>23</v>
      </c>
      <c r="H897" s="15" t="s">
        <v>1526</v>
      </c>
      <c r="I897" s="15">
        <v>201502</v>
      </c>
      <c r="J897" s="16">
        <v>54.07</v>
      </c>
      <c r="K897" s="44">
        <v>42036</v>
      </c>
      <c r="L897" s="45">
        <f t="shared" si="62"/>
        <v>4</v>
      </c>
      <c r="M897" s="17">
        <v>1.4833299999999999E-3</v>
      </c>
      <c r="N897" s="46">
        <f t="shared" si="61"/>
        <v>0.32081461239999998</v>
      </c>
      <c r="O897" s="14"/>
      <c r="P897" s="48"/>
      <c r="Q897" s="16"/>
      <c r="R897" s="48">
        <f t="shared" si="59"/>
        <v>1.2672656250000001</v>
      </c>
      <c r="S897" s="14"/>
    </row>
    <row r="898" spans="1:19">
      <c r="A898" s="14" t="s">
        <v>54</v>
      </c>
      <c r="B898" s="15" t="s">
        <v>1048</v>
      </c>
      <c r="C898" s="15" t="s">
        <v>1049</v>
      </c>
      <c r="D898" s="14" t="s">
        <v>1050</v>
      </c>
      <c r="E898" s="15" t="s">
        <v>925</v>
      </c>
      <c r="F898" s="14" t="s">
        <v>41</v>
      </c>
      <c r="G898" s="15" t="s">
        <v>23</v>
      </c>
      <c r="H898" s="15" t="s">
        <v>1526</v>
      </c>
      <c r="I898" s="15">
        <v>201502</v>
      </c>
      <c r="J898" s="16">
        <v>9930.83</v>
      </c>
      <c r="K898" s="44">
        <v>42036</v>
      </c>
      <c r="L898" s="45">
        <f t="shared" si="62"/>
        <v>4</v>
      </c>
      <c r="M898" s="17">
        <v>1.4833299999999999E-3</v>
      </c>
      <c r="N898" s="46">
        <f t="shared" si="61"/>
        <v>58.922792255599994</v>
      </c>
      <c r="O898" s="14"/>
      <c r="P898" s="48"/>
      <c r="Q898" s="16"/>
      <c r="R898" s="48">
        <f t="shared" si="59"/>
        <v>232.75382812499998</v>
      </c>
      <c r="S898" s="14"/>
    </row>
    <row r="899" spans="1:19">
      <c r="A899" s="14" t="s">
        <v>54</v>
      </c>
      <c r="B899" s="15" t="s">
        <v>919</v>
      </c>
      <c r="C899" s="15" t="s">
        <v>920</v>
      </c>
      <c r="D899" s="14" t="s">
        <v>921</v>
      </c>
      <c r="E899" s="15" t="s">
        <v>362</v>
      </c>
      <c r="F899" s="14" t="s">
        <v>41</v>
      </c>
      <c r="G899" s="15" t="s">
        <v>23</v>
      </c>
      <c r="H899" s="15" t="s">
        <v>1526</v>
      </c>
      <c r="I899" s="15">
        <v>201502</v>
      </c>
      <c r="J899" s="16">
        <v>2559.34</v>
      </c>
      <c r="K899" s="44">
        <v>42036</v>
      </c>
      <c r="L899" s="45">
        <f t="shared" si="62"/>
        <v>4</v>
      </c>
      <c r="M899" s="17">
        <v>1.4833299999999999E-3</v>
      </c>
      <c r="N899" s="46">
        <f t="shared" si="61"/>
        <v>15.185383208799999</v>
      </c>
      <c r="O899" s="14"/>
      <c r="P899" s="48"/>
      <c r="Q899" s="16"/>
      <c r="R899" s="48">
        <f t="shared" si="59"/>
        <v>59.984531250000003</v>
      </c>
      <c r="S899" s="14"/>
    </row>
    <row r="900" spans="1:19">
      <c r="A900" s="14" t="s">
        <v>17</v>
      </c>
      <c r="B900" s="15" t="s">
        <v>1057</v>
      </c>
      <c r="C900" s="15" t="s">
        <v>1058</v>
      </c>
      <c r="D900" s="14" t="s">
        <v>1059</v>
      </c>
      <c r="E900" s="15" t="s">
        <v>925</v>
      </c>
      <c r="F900" s="14" t="s">
        <v>41</v>
      </c>
      <c r="G900" s="15" t="s">
        <v>23</v>
      </c>
      <c r="H900" s="15" t="s">
        <v>1526</v>
      </c>
      <c r="I900" s="15">
        <v>201502</v>
      </c>
      <c r="J900" s="16">
        <v>3353.87</v>
      </c>
      <c r="K900" s="44">
        <v>42036</v>
      </c>
      <c r="L900" s="45">
        <f t="shared" si="62"/>
        <v>4</v>
      </c>
      <c r="M900" s="17">
        <v>1.4833299999999999E-3</v>
      </c>
      <c r="N900" s="46">
        <f t="shared" si="61"/>
        <v>19.8995839484</v>
      </c>
      <c r="O900" s="14"/>
      <c r="P900" s="48"/>
      <c r="Q900" s="16"/>
      <c r="R900" s="48">
        <f t="shared" si="59"/>
        <v>78.60632812499999</v>
      </c>
      <c r="S900" s="14"/>
    </row>
    <row r="901" spans="1:19">
      <c r="A901" s="14" t="s">
        <v>54</v>
      </c>
      <c r="B901" s="15" t="s">
        <v>922</v>
      </c>
      <c r="C901" s="15" t="s">
        <v>923</v>
      </c>
      <c r="D901" s="14" t="s">
        <v>924</v>
      </c>
      <c r="E901" s="15" t="s">
        <v>925</v>
      </c>
      <c r="F901" s="14" t="s">
        <v>41</v>
      </c>
      <c r="G901" s="15" t="s">
        <v>23</v>
      </c>
      <c r="H901" s="15" t="s">
        <v>1526</v>
      </c>
      <c r="I901" s="15">
        <v>201502</v>
      </c>
      <c r="J901" s="16">
        <v>-1192.06</v>
      </c>
      <c r="K901" s="44">
        <v>42036</v>
      </c>
      <c r="L901" s="45">
        <f t="shared" si="62"/>
        <v>4</v>
      </c>
      <c r="M901" s="17">
        <v>1.4833299999999999E-3</v>
      </c>
      <c r="N901" s="46">
        <f t="shared" si="61"/>
        <v>-7.0728734391999994</v>
      </c>
      <c r="O901" s="14"/>
      <c r="P901" s="48"/>
      <c r="Q901" s="16"/>
      <c r="R901" s="48">
        <f t="shared" si="59"/>
        <v>-27.938906249999999</v>
      </c>
      <c r="S901" s="14"/>
    </row>
    <row r="902" spans="1:19">
      <c r="A902" s="14" t="s">
        <v>17</v>
      </c>
      <c r="B902" s="15" t="s">
        <v>2283</v>
      </c>
      <c r="C902" s="15" t="s">
        <v>1735</v>
      </c>
      <c r="D902" s="14" t="s">
        <v>1736</v>
      </c>
      <c r="E902" s="15" t="s">
        <v>104</v>
      </c>
      <c r="F902" s="14" t="s">
        <v>41</v>
      </c>
      <c r="G902" s="15" t="s">
        <v>23</v>
      </c>
      <c r="H902" s="15" t="s">
        <v>1526</v>
      </c>
      <c r="I902" s="15">
        <v>201502</v>
      </c>
      <c r="J902" s="16">
        <v>5271.89</v>
      </c>
      <c r="K902" s="44">
        <v>42036</v>
      </c>
      <c r="L902" s="45">
        <f t="shared" si="62"/>
        <v>4</v>
      </c>
      <c r="M902" s="17">
        <v>1.4833299999999999E-3</v>
      </c>
      <c r="N902" s="46">
        <f t="shared" si="61"/>
        <v>31.2798103748</v>
      </c>
      <c r="O902" s="14"/>
      <c r="P902" s="48"/>
      <c r="Q902" s="16"/>
      <c r="R902" s="48">
        <f t="shared" si="59"/>
        <v>123.559921875</v>
      </c>
      <c r="S902" s="14"/>
    </row>
    <row r="903" spans="1:19">
      <c r="A903" s="14" t="s">
        <v>54</v>
      </c>
      <c r="B903" s="15" t="s">
        <v>929</v>
      </c>
      <c r="C903" s="15" t="s">
        <v>930</v>
      </c>
      <c r="D903" s="14" t="s">
        <v>931</v>
      </c>
      <c r="E903" s="15" t="s">
        <v>394</v>
      </c>
      <c r="F903" s="14" t="s">
        <v>137</v>
      </c>
      <c r="G903" s="15" t="s">
        <v>23</v>
      </c>
      <c r="H903" s="15" t="s">
        <v>1526</v>
      </c>
      <c r="I903" s="15">
        <v>201502</v>
      </c>
      <c r="J903" s="16">
        <v>2.68</v>
      </c>
      <c r="K903" s="44">
        <v>42036</v>
      </c>
      <c r="L903" s="45">
        <f t="shared" si="62"/>
        <v>4</v>
      </c>
      <c r="M903" s="17">
        <v>1.4833299999999999E-3</v>
      </c>
      <c r="N903" s="46">
        <f t="shared" si="61"/>
        <v>1.5901297599999999E-2</v>
      </c>
      <c r="O903" s="14"/>
      <c r="P903" s="48"/>
      <c r="Q903" s="16"/>
      <c r="R903" s="48">
        <f t="shared" si="59"/>
        <v>6.2812500000000007E-2</v>
      </c>
      <c r="S903" s="14"/>
    </row>
    <row r="904" spans="1:19">
      <c r="A904" s="14" t="s">
        <v>54</v>
      </c>
      <c r="B904" s="15" t="s">
        <v>1060</v>
      </c>
      <c r="C904" s="15" t="s">
        <v>1061</v>
      </c>
      <c r="D904" s="14" t="s">
        <v>1062</v>
      </c>
      <c r="E904" s="15" t="s">
        <v>53</v>
      </c>
      <c r="F904" s="14" t="s">
        <v>41</v>
      </c>
      <c r="G904" s="15" t="s">
        <v>23</v>
      </c>
      <c r="H904" s="15" t="s">
        <v>1526</v>
      </c>
      <c r="I904" s="15">
        <v>201502</v>
      </c>
      <c r="J904" s="16">
        <v>-331.76</v>
      </c>
      <c r="K904" s="44">
        <v>42036</v>
      </c>
      <c r="L904" s="45">
        <f t="shared" si="62"/>
        <v>4</v>
      </c>
      <c r="M904" s="17">
        <v>1.4833299999999999E-3</v>
      </c>
      <c r="N904" s="46">
        <f t="shared" si="61"/>
        <v>-1.9684382431999998</v>
      </c>
      <c r="O904" s="14"/>
      <c r="P904" s="48"/>
      <c r="Q904" s="16"/>
      <c r="R904" s="48">
        <f t="shared" si="59"/>
        <v>-7.7756249999999998</v>
      </c>
      <c r="S904" s="14"/>
    </row>
    <row r="905" spans="1:19">
      <c r="A905" s="14" t="s">
        <v>17</v>
      </c>
      <c r="B905" s="15" t="s">
        <v>944</v>
      </c>
      <c r="C905" s="15" t="s">
        <v>945</v>
      </c>
      <c r="D905" s="14" t="s">
        <v>946</v>
      </c>
      <c r="E905" s="15" t="s">
        <v>104</v>
      </c>
      <c r="F905" s="14" t="s">
        <v>41</v>
      </c>
      <c r="G905" s="15" t="s">
        <v>23</v>
      </c>
      <c r="H905" s="15" t="s">
        <v>1526</v>
      </c>
      <c r="I905" s="15">
        <v>201502</v>
      </c>
      <c r="J905" s="16">
        <v>-6.95</v>
      </c>
      <c r="K905" s="44">
        <v>42036</v>
      </c>
      <c r="L905" s="45">
        <f t="shared" si="62"/>
        <v>4</v>
      </c>
      <c r="M905" s="17">
        <v>1.4833299999999999E-3</v>
      </c>
      <c r="N905" s="46">
        <f t="shared" si="61"/>
        <v>-4.1236573999999998E-2</v>
      </c>
      <c r="O905" s="14"/>
      <c r="P905" s="48"/>
      <c r="Q905" s="16"/>
      <c r="R905" s="48">
        <f t="shared" si="59"/>
        <v>-0.16289062500000001</v>
      </c>
      <c r="S905" s="14"/>
    </row>
    <row r="906" spans="1:19">
      <c r="A906" s="14" t="s">
        <v>17</v>
      </c>
      <c r="B906" s="15" t="s">
        <v>956</v>
      </c>
      <c r="C906" s="15" t="s">
        <v>957</v>
      </c>
      <c r="D906" s="14" t="s">
        <v>958</v>
      </c>
      <c r="E906" s="15" t="s">
        <v>40</v>
      </c>
      <c r="F906" s="14" t="s">
        <v>41</v>
      </c>
      <c r="G906" s="15" t="s">
        <v>23</v>
      </c>
      <c r="H906" s="15" t="s">
        <v>1526</v>
      </c>
      <c r="I906" s="15">
        <v>201502</v>
      </c>
      <c r="J906" s="16">
        <v>-7.49</v>
      </c>
      <c r="K906" s="44">
        <v>42036</v>
      </c>
      <c r="L906" s="45">
        <f t="shared" si="62"/>
        <v>4</v>
      </c>
      <c r="M906" s="17">
        <v>1.4833299999999999E-3</v>
      </c>
      <c r="N906" s="46">
        <f t="shared" si="61"/>
        <v>-4.4440566799999998E-2</v>
      </c>
      <c r="O906" s="14"/>
      <c r="P906" s="48"/>
      <c r="Q906" s="16"/>
      <c r="R906" s="48">
        <f t="shared" si="59"/>
        <v>-0.17554687499999999</v>
      </c>
      <c r="S906" s="14"/>
    </row>
    <row r="907" spans="1:19">
      <c r="A907" s="14" t="s">
        <v>54</v>
      </c>
      <c r="B907" s="15" t="s">
        <v>962</v>
      </c>
      <c r="C907" s="15" t="s">
        <v>963</v>
      </c>
      <c r="D907" s="14" t="s">
        <v>964</v>
      </c>
      <c r="E907" s="15" t="s">
        <v>40</v>
      </c>
      <c r="F907" s="14" t="s">
        <v>41</v>
      </c>
      <c r="G907" s="15" t="s">
        <v>23</v>
      </c>
      <c r="H907" s="15" t="s">
        <v>1526</v>
      </c>
      <c r="I907" s="15">
        <v>201502</v>
      </c>
      <c r="J907" s="16">
        <v>-6.34</v>
      </c>
      <c r="K907" s="44">
        <v>42036</v>
      </c>
      <c r="L907" s="45">
        <f t="shared" si="62"/>
        <v>4</v>
      </c>
      <c r="M907" s="17">
        <v>1.4833299999999999E-3</v>
      </c>
      <c r="N907" s="46">
        <f t="shared" si="61"/>
        <v>-3.7617248799999996E-2</v>
      </c>
      <c r="O907" s="14"/>
      <c r="P907" s="48"/>
      <c r="Q907" s="16"/>
      <c r="R907" s="48">
        <f t="shared" si="59"/>
        <v>-0.14859375</v>
      </c>
      <c r="S907" s="14"/>
    </row>
    <row r="908" spans="1:19">
      <c r="A908" s="14" t="s">
        <v>54</v>
      </c>
      <c r="B908" s="15" t="s">
        <v>965</v>
      </c>
      <c r="C908" s="15" t="s">
        <v>966</v>
      </c>
      <c r="D908" s="14" t="s">
        <v>967</v>
      </c>
      <c r="E908" s="15" t="s">
        <v>53</v>
      </c>
      <c r="F908" s="14" t="s">
        <v>41</v>
      </c>
      <c r="G908" s="15" t="s">
        <v>23</v>
      </c>
      <c r="H908" s="15" t="s">
        <v>1526</v>
      </c>
      <c r="I908" s="15">
        <v>201502</v>
      </c>
      <c r="J908" s="16">
        <v>155.1</v>
      </c>
      <c r="K908" s="44">
        <v>42036</v>
      </c>
      <c r="L908" s="45">
        <f t="shared" si="62"/>
        <v>4</v>
      </c>
      <c r="M908" s="17">
        <v>1.4833299999999999E-3</v>
      </c>
      <c r="N908" s="46">
        <f t="shared" si="61"/>
        <v>0.92025793199999995</v>
      </c>
      <c r="O908" s="14"/>
      <c r="P908" s="48"/>
      <c r="Q908" s="16"/>
      <c r="R908" s="48">
        <f t="shared" si="59"/>
        <v>3.6351562499999996</v>
      </c>
      <c r="S908" s="14"/>
    </row>
    <row r="909" spans="1:19">
      <c r="A909" s="14" t="s">
        <v>54</v>
      </c>
      <c r="B909" s="15" t="s">
        <v>968</v>
      </c>
      <c r="C909" s="15" t="s">
        <v>969</v>
      </c>
      <c r="D909" s="14" t="s">
        <v>970</v>
      </c>
      <c r="E909" s="15" t="s">
        <v>394</v>
      </c>
      <c r="F909" s="14" t="s">
        <v>137</v>
      </c>
      <c r="G909" s="15" t="s">
        <v>23</v>
      </c>
      <c r="H909" s="15" t="s">
        <v>1526</v>
      </c>
      <c r="I909" s="15">
        <v>201502</v>
      </c>
      <c r="J909" s="16">
        <v>-143.03</v>
      </c>
      <c r="K909" s="44">
        <v>42036</v>
      </c>
      <c r="L909" s="45">
        <f t="shared" si="62"/>
        <v>4</v>
      </c>
      <c r="M909" s="17">
        <v>1.4833299999999999E-3</v>
      </c>
      <c r="N909" s="46">
        <f t="shared" si="61"/>
        <v>-0.84864275960000002</v>
      </c>
      <c r="O909" s="14"/>
      <c r="P909" s="48"/>
      <c r="Q909" s="16"/>
      <c r="R909" s="48">
        <f t="shared" si="59"/>
        <v>-3.3522656249999998</v>
      </c>
      <c r="S909" s="14"/>
    </row>
    <row r="910" spans="1:19">
      <c r="A910" s="14" t="s">
        <v>17</v>
      </c>
      <c r="B910" s="15" t="s">
        <v>971</v>
      </c>
      <c r="C910" s="15" t="s">
        <v>972</v>
      </c>
      <c r="D910" s="14" t="s">
        <v>973</v>
      </c>
      <c r="E910" s="15" t="s">
        <v>567</v>
      </c>
      <c r="F910" s="14" t="s">
        <v>137</v>
      </c>
      <c r="G910" s="15" t="s">
        <v>23</v>
      </c>
      <c r="H910" s="15" t="s">
        <v>1526</v>
      </c>
      <c r="I910" s="15">
        <v>201502</v>
      </c>
      <c r="J910" s="16">
        <v>30896.42</v>
      </c>
      <c r="K910" s="44">
        <v>42036</v>
      </c>
      <c r="L910" s="45">
        <f t="shared" si="62"/>
        <v>4</v>
      </c>
      <c r="M910" s="17">
        <v>1.4833299999999999E-3</v>
      </c>
      <c r="N910" s="46">
        <f t="shared" si="61"/>
        <v>183.31834671439998</v>
      </c>
      <c r="O910" s="14"/>
      <c r="P910" s="48"/>
      <c r="Q910" s="16"/>
      <c r="R910" s="48">
        <f t="shared" si="59"/>
        <v>724.13484374999996</v>
      </c>
      <c r="S910" s="14"/>
    </row>
    <row r="911" spans="1:19">
      <c r="A911" s="14" t="s">
        <v>54</v>
      </c>
      <c r="B911" s="15" t="s">
        <v>971</v>
      </c>
      <c r="C911" s="15" t="s">
        <v>972</v>
      </c>
      <c r="D911" s="14" t="s">
        <v>973</v>
      </c>
      <c r="E911" s="15" t="s">
        <v>567</v>
      </c>
      <c r="F911" s="14" t="s">
        <v>137</v>
      </c>
      <c r="G911" s="15" t="s">
        <v>23</v>
      </c>
      <c r="H911" s="15" t="s">
        <v>1526</v>
      </c>
      <c r="I911" s="15">
        <v>201502</v>
      </c>
      <c r="J911" s="16">
        <v>-31285.119999999999</v>
      </c>
      <c r="K911" s="44">
        <v>42036</v>
      </c>
      <c r="L911" s="45">
        <f t="shared" si="62"/>
        <v>4</v>
      </c>
      <c r="M911" s="17">
        <v>1.4833299999999999E-3</v>
      </c>
      <c r="N911" s="46">
        <f t="shared" si="61"/>
        <v>-185.62462819839999</v>
      </c>
      <c r="O911" s="14"/>
      <c r="P911" s="48"/>
      <c r="Q911" s="16"/>
      <c r="R911" s="48">
        <f t="shared" si="59"/>
        <v>-733.245</v>
      </c>
      <c r="S911" s="14"/>
    </row>
    <row r="912" spans="1:19">
      <c r="A912" s="14" t="s">
        <v>54</v>
      </c>
      <c r="B912" s="15" t="s">
        <v>993</v>
      </c>
      <c r="C912" s="15" t="s">
        <v>994</v>
      </c>
      <c r="D912" s="14" t="s">
        <v>995</v>
      </c>
      <c r="E912" s="15" t="s">
        <v>40</v>
      </c>
      <c r="F912" s="14" t="s">
        <v>41</v>
      </c>
      <c r="G912" s="15" t="s">
        <v>23</v>
      </c>
      <c r="H912" s="15" t="s">
        <v>1526</v>
      </c>
      <c r="I912" s="15">
        <v>201502</v>
      </c>
      <c r="J912" s="16">
        <v>-312.37</v>
      </c>
      <c r="K912" s="44">
        <v>42036</v>
      </c>
      <c r="L912" s="45">
        <f t="shared" si="62"/>
        <v>4</v>
      </c>
      <c r="M912" s="17">
        <v>1.4833299999999999E-3</v>
      </c>
      <c r="N912" s="46">
        <f t="shared" si="61"/>
        <v>-1.8533911684</v>
      </c>
      <c r="O912" s="14"/>
      <c r="P912" s="48"/>
      <c r="Q912" s="16"/>
      <c r="R912" s="48">
        <f t="shared" si="59"/>
        <v>-7.3211718750000001</v>
      </c>
      <c r="S912" s="14"/>
    </row>
    <row r="913" spans="1:19">
      <c r="A913" s="14" t="s">
        <v>54</v>
      </c>
      <c r="B913" s="15" t="s">
        <v>2284</v>
      </c>
      <c r="C913" s="15" t="s">
        <v>2285</v>
      </c>
      <c r="D913" s="14" t="s">
        <v>2286</v>
      </c>
      <c r="E913" s="15" t="s">
        <v>53</v>
      </c>
      <c r="F913" s="14" t="s">
        <v>41</v>
      </c>
      <c r="G913" s="15" t="s">
        <v>23</v>
      </c>
      <c r="H913" s="15" t="s">
        <v>1526</v>
      </c>
      <c r="I913" s="15">
        <v>201502</v>
      </c>
      <c r="J913" s="16">
        <v>40121.800000000003</v>
      </c>
      <c r="K913" s="44">
        <v>42036</v>
      </c>
      <c r="L913" s="45">
        <f t="shared" si="62"/>
        <v>4</v>
      </c>
      <c r="M913" s="17">
        <v>1.4833299999999999E-3</v>
      </c>
      <c r="N913" s="46">
        <f t="shared" si="61"/>
        <v>238.055478376</v>
      </c>
      <c r="O913" s="14"/>
      <c r="P913" s="48"/>
      <c r="Q913" s="16"/>
      <c r="R913" s="48">
        <f t="shared" si="59"/>
        <v>940.35468750000007</v>
      </c>
      <c r="S913" s="14"/>
    </row>
    <row r="914" spans="1:19">
      <c r="A914" s="14" t="s">
        <v>17</v>
      </c>
      <c r="B914" s="15" t="s">
        <v>1066</v>
      </c>
      <c r="C914" s="15" t="s">
        <v>1067</v>
      </c>
      <c r="D914" s="14" t="s">
        <v>1068</v>
      </c>
      <c r="E914" s="15" t="s">
        <v>567</v>
      </c>
      <c r="F914" s="14" t="s">
        <v>137</v>
      </c>
      <c r="G914" s="15" t="s">
        <v>23</v>
      </c>
      <c r="H914" s="15" t="s">
        <v>1526</v>
      </c>
      <c r="I914" s="15">
        <v>201502</v>
      </c>
      <c r="J914" s="16">
        <v>-209.24</v>
      </c>
      <c r="K914" s="44">
        <v>42036</v>
      </c>
      <c r="L914" s="45">
        <f t="shared" si="62"/>
        <v>4</v>
      </c>
      <c r="M914" s="17">
        <v>1.4833299999999999E-3</v>
      </c>
      <c r="N914" s="46">
        <f t="shared" si="61"/>
        <v>-1.2414878767999999</v>
      </c>
      <c r="O914" s="14"/>
      <c r="P914" s="48"/>
      <c r="Q914" s="16"/>
      <c r="R914" s="48">
        <f t="shared" si="59"/>
        <v>-4.9040625000000002</v>
      </c>
      <c r="S914" s="14"/>
    </row>
    <row r="915" spans="1:19">
      <c r="A915" s="14" t="s">
        <v>54</v>
      </c>
      <c r="B915" s="15" t="s">
        <v>2219</v>
      </c>
      <c r="C915" s="15" t="s">
        <v>1743</v>
      </c>
      <c r="D915" s="14" t="s">
        <v>1744</v>
      </c>
      <c r="E915" s="15" t="s">
        <v>53</v>
      </c>
      <c r="F915" s="14" t="s">
        <v>41</v>
      </c>
      <c r="G915" s="15" t="s">
        <v>23</v>
      </c>
      <c r="H915" s="15" t="s">
        <v>1526</v>
      </c>
      <c r="I915" s="15">
        <v>201502</v>
      </c>
      <c r="J915" s="16">
        <v>34.21</v>
      </c>
      <c r="K915" s="44">
        <v>42036</v>
      </c>
      <c r="L915" s="45">
        <f t="shared" si="62"/>
        <v>4</v>
      </c>
      <c r="M915" s="17">
        <v>1.4833299999999999E-3</v>
      </c>
      <c r="N915" s="46">
        <f t="shared" si="61"/>
        <v>0.20297887719999999</v>
      </c>
      <c r="O915" s="14"/>
      <c r="P915" s="48"/>
      <c r="Q915" s="16"/>
      <c r="R915" s="48">
        <f t="shared" si="59"/>
        <v>0.80179687499999996</v>
      </c>
      <c r="S915" s="14"/>
    </row>
    <row r="916" spans="1:19">
      <c r="A916" s="14" t="s">
        <v>54</v>
      </c>
      <c r="B916" s="15" t="s">
        <v>2287</v>
      </c>
      <c r="C916" s="15" t="s">
        <v>2288</v>
      </c>
      <c r="D916" s="14" t="s">
        <v>2289</v>
      </c>
      <c r="E916" s="15" t="s">
        <v>40</v>
      </c>
      <c r="F916" s="14" t="s">
        <v>41</v>
      </c>
      <c r="G916" s="15" t="s">
        <v>23</v>
      </c>
      <c r="H916" s="15" t="s">
        <v>1526</v>
      </c>
      <c r="I916" s="15">
        <v>201502</v>
      </c>
      <c r="J916" s="16">
        <v>73950.03</v>
      </c>
      <c r="K916" s="44">
        <v>42036</v>
      </c>
      <c r="L916" s="45">
        <f t="shared" si="62"/>
        <v>4</v>
      </c>
      <c r="M916" s="17">
        <v>1.4833299999999999E-3</v>
      </c>
      <c r="N916" s="46">
        <f t="shared" si="61"/>
        <v>438.76919199959997</v>
      </c>
      <c r="O916" s="14"/>
      <c r="P916" s="48"/>
      <c r="Q916" s="16"/>
      <c r="R916" s="48">
        <f t="shared" si="59"/>
        <v>1733.2038281249997</v>
      </c>
      <c r="S916" s="14"/>
    </row>
    <row r="917" spans="1:19">
      <c r="A917" s="14" t="s">
        <v>54</v>
      </c>
      <c r="B917" s="15" t="s">
        <v>2220</v>
      </c>
      <c r="C917" s="15" t="s">
        <v>2221</v>
      </c>
      <c r="D917" s="14" t="s">
        <v>2222</v>
      </c>
      <c r="E917" s="15" t="s">
        <v>362</v>
      </c>
      <c r="F917" s="14" t="s">
        <v>41</v>
      </c>
      <c r="G917" s="15" t="s">
        <v>23</v>
      </c>
      <c r="H917" s="15" t="s">
        <v>1526</v>
      </c>
      <c r="I917" s="15">
        <v>201502</v>
      </c>
      <c r="J917" s="16">
        <v>-5634.68</v>
      </c>
      <c r="K917" s="44">
        <v>42036</v>
      </c>
      <c r="L917" s="45">
        <f t="shared" si="62"/>
        <v>4</v>
      </c>
      <c r="M917" s="17">
        <v>1.4833299999999999E-3</v>
      </c>
      <c r="N917" s="46">
        <f t="shared" si="61"/>
        <v>-33.4323595376</v>
      </c>
      <c r="O917" s="14"/>
      <c r="P917" s="48"/>
      <c r="Q917" s="16"/>
      <c r="R917" s="48">
        <f t="shared" si="59"/>
        <v>-132.06281250000001</v>
      </c>
      <c r="S917" s="14"/>
    </row>
    <row r="918" spans="1:19">
      <c r="A918" s="14" t="s">
        <v>54</v>
      </c>
      <c r="B918" s="15" t="s">
        <v>2290</v>
      </c>
      <c r="C918" s="15" t="s">
        <v>2291</v>
      </c>
      <c r="D918" s="14" t="s">
        <v>2292</v>
      </c>
      <c r="E918" s="15" t="s">
        <v>53</v>
      </c>
      <c r="F918" s="14" t="s">
        <v>41</v>
      </c>
      <c r="G918" s="15" t="s">
        <v>23</v>
      </c>
      <c r="H918" s="15" t="s">
        <v>1526</v>
      </c>
      <c r="I918" s="15">
        <v>201502</v>
      </c>
      <c r="J918" s="16">
        <v>4513.7700000000004</v>
      </c>
      <c r="K918" s="44">
        <v>42036</v>
      </c>
      <c r="L918" s="45">
        <f t="shared" si="62"/>
        <v>4</v>
      </c>
      <c r="M918" s="17">
        <v>1.4833299999999999E-3</v>
      </c>
      <c r="N918" s="46">
        <f t="shared" si="61"/>
        <v>26.781641816400001</v>
      </c>
      <c r="O918" s="14"/>
      <c r="P918" s="48"/>
      <c r="Q918" s="16"/>
      <c r="R918" s="48">
        <f t="shared" si="59"/>
        <v>105.79148437500001</v>
      </c>
      <c r="S918" s="14"/>
    </row>
    <row r="919" spans="1:19">
      <c r="A919" s="14" t="s">
        <v>238</v>
      </c>
      <c r="B919" s="15" t="s">
        <v>2223</v>
      </c>
      <c r="C919" s="15" t="s">
        <v>2224</v>
      </c>
      <c r="D919" s="14" t="s">
        <v>2225</v>
      </c>
      <c r="E919" s="15" t="s">
        <v>168</v>
      </c>
      <c r="F919" s="14" t="s">
        <v>169</v>
      </c>
      <c r="G919" s="15" t="s">
        <v>23</v>
      </c>
      <c r="H919" s="15" t="s">
        <v>1528</v>
      </c>
      <c r="I919" s="15">
        <v>201502</v>
      </c>
      <c r="J919" s="16">
        <v>-268.13</v>
      </c>
      <c r="K919" s="44">
        <v>42036</v>
      </c>
      <c r="L919" s="45">
        <f t="shared" si="62"/>
        <v>4</v>
      </c>
      <c r="M919" s="17">
        <v>2.3833299999999999E-3</v>
      </c>
      <c r="N919" s="46">
        <f t="shared" si="61"/>
        <v>-2.5561690915999997</v>
      </c>
      <c r="O919" s="14"/>
      <c r="P919" s="48"/>
      <c r="Q919" s="16"/>
      <c r="R919" s="48">
        <f t="shared" si="59"/>
        <v>-6.284296874999999</v>
      </c>
      <c r="S919" s="14"/>
    </row>
    <row r="920" spans="1:19">
      <c r="A920" s="14" t="s">
        <v>238</v>
      </c>
      <c r="B920" s="15" t="s">
        <v>356</v>
      </c>
      <c r="C920" s="15" t="s">
        <v>357</v>
      </c>
      <c r="D920" s="14" t="s">
        <v>358</v>
      </c>
      <c r="E920" s="15" t="s">
        <v>168</v>
      </c>
      <c r="F920" s="14" t="s">
        <v>169</v>
      </c>
      <c r="G920" s="15" t="s">
        <v>23</v>
      </c>
      <c r="H920" s="15" t="s">
        <v>1528</v>
      </c>
      <c r="I920" s="15">
        <v>201502</v>
      </c>
      <c r="J920" s="16">
        <v>-299.17</v>
      </c>
      <c r="K920" s="44">
        <v>42036</v>
      </c>
      <c r="L920" s="45">
        <f t="shared" si="62"/>
        <v>4</v>
      </c>
      <c r="M920" s="17">
        <v>2.3833299999999999E-3</v>
      </c>
      <c r="N920" s="46">
        <f t="shared" si="61"/>
        <v>-2.8520833444</v>
      </c>
      <c r="O920" s="14"/>
      <c r="P920" s="48"/>
      <c r="Q920" s="16"/>
      <c r="R920" s="48">
        <f t="shared" si="59"/>
        <v>-7.0117968749999999</v>
      </c>
      <c r="S920" s="14"/>
    </row>
    <row r="921" spans="1:19">
      <c r="A921" s="14" t="s">
        <v>238</v>
      </c>
      <c r="B921" s="15" t="s">
        <v>1042</v>
      </c>
      <c r="C921" s="15" t="s">
        <v>1043</v>
      </c>
      <c r="D921" s="14" t="s">
        <v>1044</v>
      </c>
      <c r="E921" s="15" t="s">
        <v>168</v>
      </c>
      <c r="F921" s="14" t="s">
        <v>169</v>
      </c>
      <c r="G921" s="15" t="s">
        <v>23</v>
      </c>
      <c r="H921" s="15" t="s">
        <v>1528</v>
      </c>
      <c r="I921" s="15">
        <v>201502</v>
      </c>
      <c r="J921" s="16">
        <v>-383.4</v>
      </c>
      <c r="K921" s="44">
        <v>42036</v>
      </c>
      <c r="L921" s="45">
        <f t="shared" si="62"/>
        <v>4</v>
      </c>
      <c r="M921" s="17">
        <v>2.3833299999999999E-3</v>
      </c>
      <c r="N921" s="46">
        <f t="shared" si="61"/>
        <v>-3.6550748879999997</v>
      </c>
      <c r="O921" s="14"/>
      <c r="P921" s="48"/>
      <c r="Q921" s="16"/>
      <c r="R921" s="48">
        <f t="shared" si="59"/>
        <v>-8.9859375000000004</v>
      </c>
      <c r="S921" s="14"/>
    </row>
    <row r="922" spans="1:19">
      <c r="A922" s="14" t="s">
        <v>66</v>
      </c>
      <c r="B922" s="15" t="s">
        <v>1105</v>
      </c>
      <c r="C922" s="15" t="s">
        <v>1106</v>
      </c>
      <c r="D922" s="14" t="s">
        <v>1107</v>
      </c>
      <c r="E922" s="15" t="s">
        <v>466</v>
      </c>
      <c r="F922" s="14" t="s">
        <v>467</v>
      </c>
      <c r="G922" s="15" t="s">
        <v>23</v>
      </c>
      <c r="H922" s="15" t="s">
        <v>1527</v>
      </c>
      <c r="I922" s="15">
        <v>201502</v>
      </c>
      <c r="J922" s="16">
        <v>-93.12</v>
      </c>
      <c r="K922" s="44">
        <v>42036</v>
      </c>
      <c r="L922" s="45">
        <f t="shared" si="62"/>
        <v>4</v>
      </c>
      <c r="M922" s="17">
        <v>2.23333E-3</v>
      </c>
      <c r="N922" s="46">
        <f t="shared" ref="N922" si="63">M922*L922*J922</f>
        <v>-0.83187075840000002</v>
      </c>
      <c r="O922" s="14"/>
      <c r="P922" s="48"/>
      <c r="Q922" s="16"/>
      <c r="R922" s="48">
        <f t="shared" si="59"/>
        <v>-2.1825000000000001</v>
      </c>
      <c r="S922" s="14"/>
    </row>
    <row r="923" spans="1:19" ht="15" customHeight="1">
      <c r="A923" s="14"/>
      <c r="B923" s="15"/>
      <c r="C923" s="15"/>
      <c r="D923" s="14"/>
      <c r="E923" s="15"/>
      <c r="F923" s="14"/>
      <c r="G923" s="15"/>
      <c r="H923" s="15"/>
      <c r="I923" s="15"/>
      <c r="J923" s="16"/>
      <c r="K923" s="44"/>
      <c r="L923" s="45"/>
      <c r="M923" s="17"/>
      <c r="N923" s="46"/>
      <c r="O923" s="16"/>
      <c r="P923" s="48"/>
      <c r="Q923" s="16"/>
      <c r="R923" s="48"/>
      <c r="S923" s="14"/>
    </row>
    <row r="924" spans="1:19" ht="15" customHeight="1">
      <c r="A924" s="14"/>
      <c r="B924" s="15"/>
      <c r="C924" s="15"/>
      <c r="D924" s="14"/>
      <c r="E924" s="15"/>
      <c r="F924" s="14"/>
      <c r="G924" s="15"/>
      <c r="H924" s="15"/>
      <c r="I924" s="15"/>
      <c r="J924" s="16">
        <f>SUM(J5:J923)</f>
        <v>22354169.250000022</v>
      </c>
      <c r="K924" s="44"/>
      <c r="L924" s="45"/>
      <c r="M924" s="17"/>
      <c r="N924" s="16">
        <f>SUM(N5:N923)</f>
        <v>238419.34537174361</v>
      </c>
      <c r="O924" s="16"/>
      <c r="P924" s="48">
        <f>SUM(P5:P299,P301:P923)</f>
        <v>1561637.1201874998</v>
      </c>
      <c r="Q924" s="16"/>
      <c r="R924" s="48">
        <f>SUM(R5:R299,R301:R923)</f>
        <v>4869635.4747449579</v>
      </c>
      <c r="S924" s="14"/>
    </row>
    <row r="925" spans="1:19" ht="15" customHeight="1">
      <c r="A925" s="14"/>
      <c r="B925" s="15"/>
      <c r="C925" s="15"/>
      <c r="D925" s="14"/>
      <c r="E925" s="15"/>
      <c r="F925" s="14"/>
      <c r="G925" s="15"/>
      <c r="H925" s="15"/>
      <c r="I925" s="15"/>
      <c r="J925" s="16"/>
      <c r="K925" s="44"/>
      <c r="L925" s="45"/>
      <c r="M925" s="17"/>
      <c r="N925" s="46"/>
      <c r="O925" s="16"/>
      <c r="P925" s="48"/>
      <c r="Q925" s="16"/>
      <c r="R925" s="48"/>
      <c r="S925" s="14"/>
    </row>
    <row r="926" spans="1:19" ht="15" customHeight="1">
      <c r="A926" s="14"/>
      <c r="B926" s="15"/>
      <c r="C926" s="15"/>
      <c r="D926" s="14"/>
      <c r="E926" s="15"/>
      <c r="F926" s="14"/>
      <c r="G926" s="15"/>
      <c r="H926" s="15"/>
      <c r="I926" s="15"/>
      <c r="J926" s="16"/>
      <c r="K926" s="44"/>
      <c r="L926" s="45"/>
      <c r="M926" s="17"/>
      <c r="N926" s="46"/>
      <c r="O926" s="16"/>
      <c r="P926" s="48"/>
      <c r="Q926" s="16"/>
      <c r="R926" s="48"/>
      <c r="S926" s="14"/>
    </row>
    <row r="927" spans="1:19" ht="15" customHeight="1">
      <c r="A927" s="14"/>
      <c r="B927" s="15"/>
      <c r="C927" s="15"/>
      <c r="D927" s="14"/>
      <c r="E927" s="15"/>
      <c r="F927" s="14"/>
      <c r="G927" s="15"/>
      <c r="H927" s="15"/>
      <c r="I927" s="15"/>
      <c r="J927" s="16"/>
      <c r="K927" s="44"/>
      <c r="L927" s="45"/>
      <c r="M927" s="17"/>
      <c r="N927" s="46"/>
      <c r="O927" s="16"/>
      <c r="P927" s="48"/>
      <c r="Q927" s="16"/>
      <c r="R927" s="48"/>
      <c r="S927" s="14"/>
    </row>
    <row r="930" spans="7:18">
      <c r="G930" s="2" t="s">
        <v>1751</v>
      </c>
      <c r="J930" s="6">
        <f>+J924-J931</f>
        <v>17467247.030000024</v>
      </c>
    </row>
    <row r="931" spans="7:18">
      <c r="G931" s="2" t="s">
        <v>1752</v>
      </c>
      <c r="J931" s="6">
        <f>SUM(J628:J922)</f>
        <v>4886922.22</v>
      </c>
    </row>
    <row r="935" spans="7:18">
      <c r="J935" s="6">
        <v>17472118.970000006</v>
      </c>
      <c r="N935" s="6">
        <v>201876.1951881854</v>
      </c>
      <c r="P935" s="6">
        <v>1561637.1201874998</v>
      </c>
      <c r="R935" s="6">
        <v>7569936.9953230945</v>
      </c>
    </row>
  </sheetData>
  <mergeCells count="12">
    <mergeCell ref="K4:N4"/>
    <mergeCell ref="V6:X6"/>
    <mergeCell ref="K1:K3"/>
    <mergeCell ref="M1:M3"/>
    <mergeCell ref="N1:N3"/>
    <mergeCell ref="O1:P1"/>
    <mergeCell ref="Q1:R1"/>
    <mergeCell ref="L2:L3"/>
    <mergeCell ref="O2:O3"/>
    <mergeCell ref="P2:P3"/>
    <mergeCell ref="Q2:Q3"/>
    <mergeCell ref="R2:R3"/>
  </mergeCells>
  <pageMargins left="0.2" right="0.2" top="0.25" bottom="0.25" header="0.3" footer="0.3"/>
  <pageSetup scale="65" orientation="landscape" r:id="rId1"/>
</worksheet>
</file>

<file path=xl/worksheets/sheet12.xml><?xml version="1.0" encoding="utf-8"?>
<worksheet xmlns="http://schemas.openxmlformats.org/spreadsheetml/2006/main" xmlns:r="http://schemas.openxmlformats.org/officeDocument/2006/relationships">
  <sheetPr>
    <tabColor rgb="FF00B050"/>
    <pageSetUpPr fitToPage="1"/>
  </sheetPr>
  <dimension ref="A1:H17"/>
  <sheetViews>
    <sheetView workbookViewId="0">
      <selection activeCell="C10" sqref="C10"/>
    </sheetView>
  </sheetViews>
  <sheetFormatPr defaultColWidth="15.7109375" defaultRowHeight="12.75"/>
  <cols>
    <col min="1" max="1" width="44.7109375" style="76" customWidth="1"/>
    <col min="2" max="2" width="5" style="76" customWidth="1"/>
    <col min="3" max="258" width="15.7109375" style="76"/>
    <col min="259" max="259" width="44.7109375" style="76" customWidth="1"/>
    <col min="260" max="260" width="5" style="76" customWidth="1"/>
    <col min="261" max="514" width="15.7109375" style="76"/>
    <col min="515" max="515" width="44.7109375" style="76" customWidth="1"/>
    <col min="516" max="516" width="5" style="76" customWidth="1"/>
    <col min="517" max="770" width="15.7109375" style="76"/>
    <col min="771" max="771" width="44.7109375" style="76" customWidth="1"/>
    <col min="772" max="772" width="5" style="76" customWidth="1"/>
    <col min="773" max="1026" width="15.7109375" style="76"/>
    <col min="1027" max="1027" width="44.7109375" style="76" customWidth="1"/>
    <col min="1028" max="1028" width="5" style="76" customWidth="1"/>
    <col min="1029" max="1282" width="15.7109375" style="76"/>
    <col min="1283" max="1283" width="44.7109375" style="76" customWidth="1"/>
    <col min="1284" max="1284" width="5" style="76" customWidth="1"/>
    <col min="1285" max="1538" width="15.7109375" style="76"/>
    <col min="1539" max="1539" width="44.7109375" style="76" customWidth="1"/>
    <col min="1540" max="1540" width="5" style="76" customWidth="1"/>
    <col min="1541" max="1794" width="15.7109375" style="76"/>
    <col min="1795" max="1795" width="44.7109375" style="76" customWidth="1"/>
    <col min="1796" max="1796" width="5" style="76" customWidth="1"/>
    <col min="1797" max="2050" width="15.7109375" style="76"/>
    <col min="2051" max="2051" width="44.7109375" style="76" customWidth="1"/>
    <col min="2052" max="2052" width="5" style="76" customWidth="1"/>
    <col min="2053" max="2306" width="15.7109375" style="76"/>
    <col min="2307" max="2307" width="44.7109375" style="76" customWidth="1"/>
    <col min="2308" max="2308" width="5" style="76" customWidth="1"/>
    <col min="2309" max="2562" width="15.7109375" style="76"/>
    <col min="2563" max="2563" width="44.7109375" style="76" customWidth="1"/>
    <col min="2564" max="2564" width="5" style="76" customWidth="1"/>
    <col min="2565" max="2818" width="15.7109375" style="76"/>
    <col min="2819" max="2819" width="44.7109375" style="76" customWidth="1"/>
    <col min="2820" max="2820" width="5" style="76" customWidth="1"/>
    <col min="2821" max="3074" width="15.7109375" style="76"/>
    <col min="3075" max="3075" width="44.7109375" style="76" customWidth="1"/>
    <col min="3076" max="3076" width="5" style="76" customWidth="1"/>
    <col min="3077" max="3330" width="15.7109375" style="76"/>
    <col min="3331" max="3331" width="44.7109375" style="76" customWidth="1"/>
    <col min="3332" max="3332" width="5" style="76" customWidth="1"/>
    <col min="3333" max="3586" width="15.7109375" style="76"/>
    <col min="3587" max="3587" width="44.7109375" style="76" customWidth="1"/>
    <col min="3588" max="3588" width="5" style="76" customWidth="1"/>
    <col min="3589" max="3842" width="15.7109375" style="76"/>
    <col min="3843" max="3843" width="44.7109375" style="76" customWidth="1"/>
    <col min="3844" max="3844" width="5" style="76" customWidth="1"/>
    <col min="3845" max="4098" width="15.7109375" style="76"/>
    <col min="4099" max="4099" width="44.7109375" style="76" customWidth="1"/>
    <col min="4100" max="4100" width="5" style="76" customWidth="1"/>
    <col min="4101" max="4354" width="15.7109375" style="76"/>
    <col min="4355" max="4355" width="44.7109375" style="76" customWidth="1"/>
    <col min="4356" max="4356" width="5" style="76" customWidth="1"/>
    <col min="4357" max="4610" width="15.7109375" style="76"/>
    <col min="4611" max="4611" width="44.7109375" style="76" customWidth="1"/>
    <col min="4612" max="4612" width="5" style="76" customWidth="1"/>
    <col min="4613" max="4866" width="15.7109375" style="76"/>
    <col min="4867" max="4867" width="44.7109375" style="76" customWidth="1"/>
    <col min="4868" max="4868" width="5" style="76" customWidth="1"/>
    <col min="4869" max="5122" width="15.7109375" style="76"/>
    <col min="5123" max="5123" width="44.7109375" style="76" customWidth="1"/>
    <col min="5124" max="5124" width="5" style="76" customWidth="1"/>
    <col min="5125" max="5378" width="15.7109375" style="76"/>
    <col min="5379" max="5379" width="44.7109375" style="76" customWidth="1"/>
    <col min="5380" max="5380" width="5" style="76" customWidth="1"/>
    <col min="5381" max="5634" width="15.7109375" style="76"/>
    <col min="5635" max="5635" width="44.7109375" style="76" customWidth="1"/>
    <col min="5636" max="5636" width="5" style="76" customWidth="1"/>
    <col min="5637" max="5890" width="15.7109375" style="76"/>
    <col min="5891" max="5891" width="44.7109375" style="76" customWidth="1"/>
    <col min="5892" max="5892" width="5" style="76" customWidth="1"/>
    <col min="5893" max="6146" width="15.7109375" style="76"/>
    <col min="6147" max="6147" width="44.7109375" style="76" customWidth="1"/>
    <col min="6148" max="6148" width="5" style="76" customWidth="1"/>
    <col min="6149" max="6402" width="15.7109375" style="76"/>
    <col min="6403" max="6403" width="44.7109375" style="76" customWidth="1"/>
    <col min="6404" max="6404" width="5" style="76" customWidth="1"/>
    <col min="6405" max="6658" width="15.7109375" style="76"/>
    <col min="6659" max="6659" width="44.7109375" style="76" customWidth="1"/>
    <col min="6660" max="6660" width="5" style="76" customWidth="1"/>
    <col min="6661" max="6914" width="15.7109375" style="76"/>
    <col min="6915" max="6915" width="44.7109375" style="76" customWidth="1"/>
    <col min="6916" max="6916" width="5" style="76" customWidth="1"/>
    <col min="6917" max="7170" width="15.7109375" style="76"/>
    <col min="7171" max="7171" width="44.7109375" style="76" customWidth="1"/>
    <col min="7172" max="7172" width="5" style="76" customWidth="1"/>
    <col min="7173" max="7426" width="15.7109375" style="76"/>
    <col min="7427" max="7427" width="44.7109375" style="76" customWidth="1"/>
    <col min="7428" max="7428" width="5" style="76" customWidth="1"/>
    <col min="7429" max="7682" width="15.7109375" style="76"/>
    <col min="7683" max="7683" width="44.7109375" style="76" customWidth="1"/>
    <col min="7684" max="7684" width="5" style="76" customWidth="1"/>
    <col min="7685" max="7938" width="15.7109375" style="76"/>
    <col min="7939" max="7939" width="44.7109375" style="76" customWidth="1"/>
    <col min="7940" max="7940" width="5" style="76" customWidth="1"/>
    <col min="7941" max="8194" width="15.7109375" style="76"/>
    <col min="8195" max="8195" width="44.7109375" style="76" customWidth="1"/>
    <col min="8196" max="8196" width="5" style="76" customWidth="1"/>
    <col min="8197" max="8450" width="15.7109375" style="76"/>
    <col min="8451" max="8451" width="44.7109375" style="76" customWidth="1"/>
    <col min="8452" max="8452" width="5" style="76" customWidth="1"/>
    <col min="8453" max="8706" width="15.7109375" style="76"/>
    <col min="8707" max="8707" width="44.7109375" style="76" customWidth="1"/>
    <col min="8708" max="8708" width="5" style="76" customWidth="1"/>
    <col min="8709" max="8962" width="15.7109375" style="76"/>
    <col min="8963" max="8963" width="44.7109375" style="76" customWidth="1"/>
    <col min="8964" max="8964" width="5" style="76" customWidth="1"/>
    <col min="8965" max="9218" width="15.7109375" style="76"/>
    <col min="9219" max="9219" width="44.7109375" style="76" customWidth="1"/>
    <col min="9220" max="9220" width="5" style="76" customWidth="1"/>
    <col min="9221" max="9474" width="15.7109375" style="76"/>
    <col min="9475" max="9475" width="44.7109375" style="76" customWidth="1"/>
    <col min="9476" max="9476" width="5" style="76" customWidth="1"/>
    <col min="9477" max="9730" width="15.7109375" style="76"/>
    <col min="9731" max="9731" width="44.7109375" style="76" customWidth="1"/>
    <col min="9732" max="9732" width="5" style="76" customWidth="1"/>
    <col min="9733" max="9986" width="15.7109375" style="76"/>
    <col min="9987" max="9987" width="44.7109375" style="76" customWidth="1"/>
    <col min="9988" max="9988" width="5" style="76" customWidth="1"/>
    <col min="9989" max="10242" width="15.7109375" style="76"/>
    <col min="10243" max="10243" width="44.7109375" style="76" customWidth="1"/>
    <col min="10244" max="10244" width="5" style="76" customWidth="1"/>
    <col min="10245" max="10498" width="15.7109375" style="76"/>
    <col min="10499" max="10499" width="44.7109375" style="76" customWidth="1"/>
    <col min="10500" max="10500" width="5" style="76" customWidth="1"/>
    <col min="10501" max="10754" width="15.7109375" style="76"/>
    <col min="10755" max="10755" width="44.7109375" style="76" customWidth="1"/>
    <col min="10756" max="10756" width="5" style="76" customWidth="1"/>
    <col min="10757" max="11010" width="15.7109375" style="76"/>
    <col min="11011" max="11011" width="44.7109375" style="76" customWidth="1"/>
    <col min="11012" max="11012" width="5" style="76" customWidth="1"/>
    <col min="11013" max="11266" width="15.7109375" style="76"/>
    <col min="11267" max="11267" width="44.7109375" style="76" customWidth="1"/>
    <col min="11268" max="11268" width="5" style="76" customWidth="1"/>
    <col min="11269" max="11522" width="15.7109375" style="76"/>
    <col min="11523" max="11523" width="44.7109375" style="76" customWidth="1"/>
    <col min="11524" max="11524" width="5" style="76" customWidth="1"/>
    <col min="11525" max="11778" width="15.7109375" style="76"/>
    <col min="11779" max="11779" width="44.7109375" style="76" customWidth="1"/>
    <col min="11780" max="11780" width="5" style="76" customWidth="1"/>
    <col min="11781" max="12034" width="15.7109375" style="76"/>
    <col min="12035" max="12035" width="44.7109375" style="76" customWidth="1"/>
    <col min="12036" max="12036" width="5" style="76" customWidth="1"/>
    <col min="12037" max="12290" width="15.7109375" style="76"/>
    <col min="12291" max="12291" width="44.7109375" style="76" customWidth="1"/>
    <col min="12292" max="12292" width="5" style="76" customWidth="1"/>
    <col min="12293" max="12546" width="15.7109375" style="76"/>
    <col min="12547" max="12547" width="44.7109375" style="76" customWidth="1"/>
    <col min="12548" max="12548" width="5" style="76" customWidth="1"/>
    <col min="12549" max="12802" width="15.7109375" style="76"/>
    <col min="12803" max="12803" width="44.7109375" style="76" customWidth="1"/>
    <col min="12804" max="12804" width="5" style="76" customWidth="1"/>
    <col min="12805" max="13058" width="15.7109375" style="76"/>
    <col min="13059" max="13059" width="44.7109375" style="76" customWidth="1"/>
    <col min="13060" max="13060" width="5" style="76" customWidth="1"/>
    <col min="13061" max="13314" width="15.7109375" style="76"/>
    <col min="13315" max="13315" width="44.7109375" style="76" customWidth="1"/>
    <col min="13316" max="13316" width="5" style="76" customWidth="1"/>
    <col min="13317" max="13570" width="15.7109375" style="76"/>
    <col min="13571" max="13571" width="44.7109375" style="76" customWidth="1"/>
    <col min="13572" max="13572" width="5" style="76" customWidth="1"/>
    <col min="13573" max="13826" width="15.7109375" style="76"/>
    <col min="13827" max="13827" width="44.7109375" style="76" customWidth="1"/>
    <col min="13828" max="13828" width="5" style="76" customWidth="1"/>
    <col min="13829" max="14082" width="15.7109375" style="76"/>
    <col min="14083" max="14083" width="44.7109375" style="76" customWidth="1"/>
    <col min="14084" max="14084" width="5" style="76" customWidth="1"/>
    <col min="14085" max="14338" width="15.7109375" style="76"/>
    <col min="14339" max="14339" width="44.7109375" style="76" customWidth="1"/>
    <col min="14340" max="14340" width="5" style="76" customWidth="1"/>
    <col min="14341" max="14594" width="15.7109375" style="76"/>
    <col min="14595" max="14595" width="44.7109375" style="76" customWidth="1"/>
    <col min="14596" max="14596" width="5" style="76" customWidth="1"/>
    <col min="14597" max="14850" width="15.7109375" style="76"/>
    <col min="14851" max="14851" width="44.7109375" style="76" customWidth="1"/>
    <col min="14852" max="14852" width="5" style="76" customWidth="1"/>
    <col min="14853" max="15106" width="15.7109375" style="76"/>
    <col min="15107" max="15107" width="44.7109375" style="76" customWidth="1"/>
    <col min="15108" max="15108" width="5" style="76" customWidth="1"/>
    <col min="15109" max="15362" width="15.7109375" style="76"/>
    <col min="15363" max="15363" width="44.7109375" style="76" customWidth="1"/>
    <col min="15364" max="15364" width="5" style="76" customWidth="1"/>
    <col min="15365" max="15618" width="15.7109375" style="76"/>
    <col min="15619" max="15619" width="44.7109375" style="76" customWidth="1"/>
    <col min="15620" max="15620" width="5" style="76" customWidth="1"/>
    <col min="15621" max="15874" width="15.7109375" style="76"/>
    <col min="15875" max="15875" width="44.7109375" style="76" customWidth="1"/>
    <col min="15876" max="15876" width="5" style="76" customWidth="1"/>
    <col min="15877" max="16130" width="15.7109375" style="76"/>
    <col min="16131" max="16131" width="44.7109375" style="76" customWidth="1"/>
    <col min="16132" max="16132" width="5" style="76" customWidth="1"/>
    <col min="16133" max="16384" width="15.7109375" style="76"/>
  </cols>
  <sheetData>
    <row r="1" spans="1:8">
      <c r="A1" s="369" t="s">
        <v>1452</v>
      </c>
      <c r="B1" s="369"/>
      <c r="C1" s="369"/>
      <c r="D1" s="369"/>
      <c r="E1" s="161"/>
      <c r="F1" s="161"/>
      <c r="G1" s="161"/>
      <c r="H1" s="161"/>
    </row>
    <row r="2" spans="1:8">
      <c r="A2" s="369" t="s">
        <v>1514</v>
      </c>
      <c r="B2" s="369"/>
      <c r="C2" s="369"/>
      <c r="D2" s="369"/>
      <c r="E2" s="161"/>
      <c r="F2" s="161"/>
      <c r="G2" s="161"/>
      <c r="H2" s="161"/>
    </row>
    <row r="3" spans="1:8">
      <c r="A3" s="370" t="s">
        <v>1515</v>
      </c>
      <c r="B3" s="370"/>
      <c r="C3" s="370"/>
      <c r="D3" s="370"/>
      <c r="E3" s="162"/>
      <c r="F3" s="162"/>
      <c r="G3" s="162"/>
      <c r="H3" s="162"/>
    </row>
    <row r="4" spans="1:8">
      <c r="A4" s="163"/>
    </row>
    <row r="5" spans="1:8">
      <c r="A5" s="109" t="s">
        <v>1516</v>
      </c>
      <c r="B5" s="95"/>
      <c r="C5" s="164">
        <v>0.35</v>
      </c>
      <c r="D5" s="165"/>
      <c r="E5" s="165"/>
      <c r="F5" s="95"/>
      <c r="G5" s="95"/>
      <c r="H5" s="95"/>
    </row>
    <row r="6" spans="1:8" ht="13.5" thickBot="1">
      <c r="A6" s="109" t="s">
        <v>1517</v>
      </c>
      <c r="B6" s="95"/>
      <c r="C6" s="166">
        <v>0.38388600000000001</v>
      </c>
      <c r="D6" s="165"/>
      <c r="E6" s="165"/>
      <c r="F6" s="95"/>
      <c r="G6" s="95"/>
      <c r="H6" s="95"/>
    </row>
    <row r="7" spans="1:8">
      <c r="A7" s="95"/>
      <c r="B7" s="95"/>
      <c r="C7" s="95"/>
      <c r="D7" s="95"/>
      <c r="E7" s="95"/>
      <c r="F7" s="95"/>
      <c r="G7" s="95"/>
      <c r="H7" s="95"/>
    </row>
    <row r="8" spans="1:8">
      <c r="A8" s="109"/>
      <c r="B8" s="95"/>
      <c r="C8" s="167" t="s">
        <v>1518</v>
      </c>
      <c r="D8" s="167" t="s">
        <v>1523</v>
      </c>
    </row>
    <row r="9" spans="1:8">
      <c r="A9" s="109" t="s">
        <v>1519</v>
      </c>
      <c r="B9" s="95"/>
      <c r="C9" s="180">
        <f>+'Depr-DIT Current'!P924</f>
        <v>1561637.1201874998</v>
      </c>
      <c r="D9" s="174">
        <f>+'Depr-DIT GR-2015-0025'!P1369</f>
        <v>6660933.2501250021</v>
      </c>
    </row>
    <row r="10" spans="1:8">
      <c r="A10" s="109" t="s">
        <v>1513</v>
      </c>
      <c r="B10" s="95"/>
      <c r="C10" s="154">
        <f>+'Depr-DIT Current'!R924</f>
        <v>4869635.4747449579</v>
      </c>
      <c r="D10" s="154">
        <f>+'Depr-DIT GR-2015-0025'!R1369</f>
        <v>249793.64744235008</v>
      </c>
    </row>
    <row r="11" spans="1:8">
      <c r="A11" s="109" t="s">
        <v>1508</v>
      </c>
      <c r="B11" s="95"/>
      <c r="C11" s="168">
        <f>+C9+C10</f>
        <v>6431272.5949324574</v>
      </c>
      <c r="D11" s="168">
        <f>+D9+D10</f>
        <v>6910726.8975673523</v>
      </c>
    </row>
    <row r="12" spans="1:8">
      <c r="A12" s="109" t="s">
        <v>1520</v>
      </c>
      <c r="B12" s="95"/>
      <c r="C12" s="169">
        <f>+'Depr-DIT Current'!N924</f>
        <v>238419.34537174361</v>
      </c>
      <c r="D12" s="169">
        <f>+'Depr-DIT GR-2015-0025'!N1369</f>
        <v>168295.61018034961</v>
      </c>
    </row>
    <row r="13" spans="1:8">
      <c r="A13" s="109"/>
      <c r="B13" s="95"/>
      <c r="C13" s="95"/>
      <c r="D13" s="95"/>
    </row>
    <row r="14" spans="1:8" ht="13.5" thickBot="1">
      <c r="A14" s="109" t="s">
        <v>1521</v>
      </c>
      <c r="B14" s="95"/>
      <c r="C14" s="170">
        <f>+C10-C12</f>
        <v>4631216.1293732142</v>
      </c>
      <c r="D14" s="170">
        <f>+D11-D12</f>
        <v>6742431.2873870023</v>
      </c>
    </row>
    <row r="15" spans="1:8" ht="13.5" thickTop="1">
      <c r="A15" s="109"/>
      <c r="B15" s="95"/>
      <c r="C15" s="95"/>
      <c r="D15" s="95"/>
    </row>
    <row r="16" spans="1:8" ht="13.5" thickBot="1">
      <c r="A16" s="109" t="s">
        <v>1522</v>
      </c>
      <c r="B16" s="95"/>
      <c r="C16" s="170">
        <f>+C14*$C$6</f>
        <v>1777859.0350405658</v>
      </c>
      <c r="D16" s="170">
        <f>+D14*$C$6</f>
        <v>2588324.9771898468</v>
      </c>
    </row>
    <row r="17" spans="1:8" ht="13.5" thickTop="1">
      <c r="A17" s="109"/>
      <c r="B17" s="95"/>
      <c r="C17" s="95"/>
      <c r="D17" s="95"/>
      <c r="E17" s="95"/>
      <c r="F17" s="95"/>
      <c r="G17" s="95"/>
      <c r="H17" s="95"/>
    </row>
  </sheetData>
  <mergeCells count="3">
    <mergeCell ref="A1:D1"/>
    <mergeCell ref="A2:D2"/>
    <mergeCell ref="A3:D3"/>
  </mergeCells>
  <printOptions horizontalCentered="1"/>
  <pageMargins left="0.75" right="0.75" top="1" bottom="1" header="0.5" footer="0.5"/>
  <pageSetup orientation="portrait" r:id="rId1"/>
  <headerFooter alignWithMargins="0">
    <oddHeader xml:space="preserve">&amp;R&amp;"Arial,Bold"Appendix A
Page 4&amp;"Arial,Regular"
</oddHeader>
  </headerFooter>
</worksheet>
</file>

<file path=xl/worksheets/sheet13.xml><?xml version="1.0" encoding="utf-8"?>
<worksheet xmlns="http://schemas.openxmlformats.org/spreadsheetml/2006/main" xmlns:r="http://schemas.openxmlformats.org/officeDocument/2006/relationships">
  <sheetPr>
    <tabColor rgb="FF00B050"/>
  </sheetPr>
  <dimension ref="A1:K12"/>
  <sheetViews>
    <sheetView workbookViewId="0">
      <selection activeCell="L11" sqref="L11"/>
    </sheetView>
  </sheetViews>
  <sheetFormatPr defaultRowHeight="12.75"/>
  <cols>
    <col min="1" max="1" width="26.5703125" style="76" customWidth="1"/>
    <col min="2" max="3" width="9.140625" style="76"/>
    <col min="4" max="4" width="11.28515625" style="76" bestFit="1" customWidth="1"/>
    <col min="5" max="256" width="9.140625" style="76"/>
    <col min="257" max="257" width="26.5703125" style="76" customWidth="1"/>
    <col min="258" max="259" width="9.140625" style="76"/>
    <col min="260" max="260" width="11.28515625" style="76" bestFit="1" customWidth="1"/>
    <col min="261" max="512" width="9.140625" style="76"/>
    <col min="513" max="513" width="26.5703125" style="76" customWidth="1"/>
    <col min="514" max="515" width="9.140625" style="76"/>
    <col min="516" max="516" width="11.28515625" style="76" bestFit="1" customWidth="1"/>
    <col min="517" max="768" width="9.140625" style="76"/>
    <col min="769" max="769" width="26.5703125" style="76" customWidth="1"/>
    <col min="770" max="771" width="9.140625" style="76"/>
    <col min="772" max="772" width="11.28515625" style="76" bestFit="1" customWidth="1"/>
    <col min="773" max="1024" width="9.140625" style="76"/>
    <col min="1025" max="1025" width="26.5703125" style="76" customWidth="1"/>
    <col min="1026" max="1027" width="9.140625" style="76"/>
    <col min="1028" max="1028" width="11.28515625" style="76" bestFit="1" customWidth="1"/>
    <col min="1029" max="1280" width="9.140625" style="76"/>
    <col min="1281" max="1281" width="26.5703125" style="76" customWidth="1"/>
    <col min="1282" max="1283" width="9.140625" style="76"/>
    <col min="1284" max="1284" width="11.28515625" style="76" bestFit="1" customWidth="1"/>
    <col min="1285" max="1536" width="9.140625" style="76"/>
    <col min="1537" max="1537" width="26.5703125" style="76" customWidth="1"/>
    <col min="1538" max="1539" width="9.140625" style="76"/>
    <col min="1540" max="1540" width="11.28515625" style="76" bestFit="1" customWidth="1"/>
    <col min="1541" max="1792" width="9.140625" style="76"/>
    <col min="1793" max="1793" width="26.5703125" style="76" customWidth="1"/>
    <col min="1794" max="1795" width="9.140625" style="76"/>
    <col min="1796" max="1796" width="11.28515625" style="76" bestFit="1" customWidth="1"/>
    <col min="1797" max="2048" width="9.140625" style="76"/>
    <col min="2049" max="2049" width="26.5703125" style="76" customWidth="1"/>
    <col min="2050" max="2051" width="9.140625" style="76"/>
    <col min="2052" max="2052" width="11.28515625" style="76" bestFit="1" customWidth="1"/>
    <col min="2053" max="2304" width="9.140625" style="76"/>
    <col min="2305" max="2305" width="26.5703125" style="76" customWidth="1"/>
    <col min="2306" max="2307" width="9.140625" style="76"/>
    <col min="2308" max="2308" width="11.28515625" style="76" bestFit="1" customWidth="1"/>
    <col min="2309" max="2560" width="9.140625" style="76"/>
    <col min="2561" max="2561" width="26.5703125" style="76" customWidth="1"/>
    <col min="2562" max="2563" width="9.140625" style="76"/>
    <col min="2564" max="2564" width="11.28515625" style="76" bestFit="1" customWidth="1"/>
    <col min="2565" max="2816" width="9.140625" style="76"/>
    <col min="2817" max="2817" width="26.5703125" style="76" customWidth="1"/>
    <col min="2818" max="2819" width="9.140625" style="76"/>
    <col min="2820" max="2820" width="11.28515625" style="76" bestFit="1" customWidth="1"/>
    <col min="2821" max="3072" width="9.140625" style="76"/>
    <col min="3073" max="3073" width="26.5703125" style="76" customWidth="1"/>
    <col min="3074" max="3075" width="9.140625" style="76"/>
    <col min="3076" max="3076" width="11.28515625" style="76" bestFit="1" customWidth="1"/>
    <col min="3077" max="3328" width="9.140625" style="76"/>
    <col min="3329" max="3329" width="26.5703125" style="76" customWidth="1"/>
    <col min="3330" max="3331" width="9.140625" style="76"/>
    <col min="3332" max="3332" width="11.28515625" style="76" bestFit="1" customWidth="1"/>
    <col min="3333" max="3584" width="9.140625" style="76"/>
    <col min="3585" max="3585" width="26.5703125" style="76" customWidth="1"/>
    <col min="3586" max="3587" width="9.140625" style="76"/>
    <col min="3588" max="3588" width="11.28515625" style="76" bestFit="1" customWidth="1"/>
    <col min="3589" max="3840" width="9.140625" style="76"/>
    <col min="3841" max="3841" width="26.5703125" style="76" customWidth="1"/>
    <col min="3842" max="3843" width="9.140625" style="76"/>
    <col min="3844" max="3844" width="11.28515625" style="76" bestFit="1" customWidth="1"/>
    <col min="3845" max="4096" width="9.140625" style="76"/>
    <col min="4097" max="4097" width="26.5703125" style="76" customWidth="1"/>
    <col min="4098" max="4099" width="9.140625" style="76"/>
    <col min="4100" max="4100" width="11.28515625" style="76" bestFit="1" customWidth="1"/>
    <col min="4101" max="4352" width="9.140625" style="76"/>
    <col min="4353" max="4353" width="26.5703125" style="76" customWidth="1"/>
    <col min="4354" max="4355" width="9.140625" style="76"/>
    <col min="4356" max="4356" width="11.28515625" style="76" bestFit="1" customWidth="1"/>
    <col min="4357" max="4608" width="9.140625" style="76"/>
    <col min="4609" max="4609" width="26.5703125" style="76" customWidth="1"/>
    <col min="4610" max="4611" width="9.140625" style="76"/>
    <col min="4612" max="4612" width="11.28515625" style="76" bestFit="1" customWidth="1"/>
    <col min="4613" max="4864" width="9.140625" style="76"/>
    <col min="4865" max="4865" width="26.5703125" style="76" customWidth="1"/>
    <col min="4866" max="4867" width="9.140625" style="76"/>
    <col min="4868" max="4868" width="11.28515625" style="76" bestFit="1" customWidth="1"/>
    <col min="4869" max="5120" width="9.140625" style="76"/>
    <col min="5121" max="5121" width="26.5703125" style="76" customWidth="1"/>
    <col min="5122" max="5123" width="9.140625" style="76"/>
    <col min="5124" max="5124" width="11.28515625" style="76" bestFit="1" customWidth="1"/>
    <col min="5125" max="5376" width="9.140625" style="76"/>
    <col min="5377" max="5377" width="26.5703125" style="76" customWidth="1"/>
    <col min="5378" max="5379" width="9.140625" style="76"/>
    <col min="5380" max="5380" width="11.28515625" style="76" bestFit="1" customWidth="1"/>
    <col min="5381" max="5632" width="9.140625" style="76"/>
    <col min="5633" max="5633" width="26.5703125" style="76" customWidth="1"/>
    <col min="5634" max="5635" width="9.140625" style="76"/>
    <col min="5636" max="5636" width="11.28515625" style="76" bestFit="1" customWidth="1"/>
    <col min="5637" max="5888" width="9.140625" style="76"/>
    <col min="5889" max="5889" width="26.5703125" style="76" customWidth="1"/>
    <col min="5890" max="5891" width="9.140625" style="76"/>
    <col min="5892" max="5892" width="11.28515625" style="76" bestFit="1" customWidth="1"/>
    <col min="5893" max="6144" width="9.140625" style="76"/>
    <col min="6145" max="6145" width="26.5703125" style="76" customWidth="1"/>
    <col min="6146" max="6147" width="9.140625" style="76"/>
    <col min="6148" max="6148" width="11.28515625" style="76" bestFit="1" customWidth="1"/>
    <col min="6149" max="6400" width="9.140625" style="76"/>
    <col min="6401" max="6401" width="26.5703125" style="76" customWidth="1"/>
    <col min="6402" max="6403" width="9.140625" style="76"/>
    <col min="6404" max="6404" width="11.28515625" style="76" bestFit="1" customWidth="1"/>
    <col min="6405" max="6656" width="9.140625" style="76"/>
    <col min="6657" max="6657" width="26.5703125" style="76" customWidth="1"/>
    <col min="6658" max="6659" width="9.140625" style="76"/>
    <col min="6660" max="6660" width="11.28515625" style="76" bestFit="1" customWidth="1"/>
    <col min="6661" max="6912" width="9.140625" style="76"/>
    <col min="6913" max="6913" width="26.5703125" style="76" customWidth="1"/>
    <col min="6914" max="6915" width="9.140625" style="76"/>
    <col min="6916" max="6916" width="11.28515625" style="76" bestFit="1" customWidth="1"/>
    <col min="6917" max="7168" width="9.140625" style="76"/>
    <col min="7169" max="7169" width="26.5703125" style="76" customWidth="1"/>
    <col min="7170" max="7171" width="9.140625" style="76"/>
    <col min="7172" max="7172" width="11.28515625" style="76" bestFit="1" customWidth="1"/>
    <col min="7173" max="7424" width="9.140625" style="76"/>
    <col min="7425" max="7425" width="26.5703125" style="76" customWidth="1"/>
    <col min="7426" max="7427" width="9.140625" style="76"/>
    <col min="7428" max="7428" width="11.28515625" style="76" bestFit="1" customWidth="1"/>
    <col min="7429" max="7680" width="9.140625" style="76"/>
    <col min="7681" max="7681" width="26.5703125" style="76" customWidth="1"/>
    <col min="7682" max="7683" width="9.140625" style="76"/>
    <col min="7684" max="7684" width="11.28515625" style="76" bestFit="1" customWidth="1"/>
    <col min="7685" max="7936" width="9.140625" style="76"/>
    <col min="7937" max="7937" width="26.5703125" style="76" customWidth="1"/>
    <col min="7938" max="7939" width="9.140625" style="76"/>
    <col min="7940" max="7940" width="11.28515625" style="76" bestFit="1" customWidth="1"/>
    <col min="7941" max="8192" width="9.140625" style="76"/>
    <col min="8193" max="8193" width="26.5703125" style="76" customWidth="1"/>
    <col min="8194" max="8195" width="9.140625" style="76"/>
    <col min="8196" max="8196" width="11.28515625" style="76" bestFit="1" customWidth="1"/>
    <col min="8197" max="8448" width="9.140625" style="76"/>
    <col min="8449" max="8449" width="26.5703125" style="76" customWidth="1"/>
    <col min="8450" max="8451" width="9.140625" style="76"/>
    <col min="8452" max="8452" width="11.28515625" style="76" bestFit="1" customWidth="1"/>
    <col min="8453" max="8704" width="9.140625" style="76"/>
    <col min="8705" max="8705" width="26.5703125" style="76" customWidth="1"/>
    <col min="8706" max="8707" width="9.140625" style="76"/>
    <col min="8708" max="8708" width="11.28515625" style="76" bestFit="1" customWidth="1"/>
    <col min="8709" max="8960" width="9.140625" style="76"/>
    <col min="8961" max="8961" width="26.5703125" style="76" customWidth="1"/>
    <col min="8962" max="8963" width="9.140625" style="76"/>
    <col min="8964" max="8964" width="11.28515625" style="76" bestFit="1" customWidth="1"/>
    <col min="8965" max="9216" width="9.140625" style="76"/>
    <col min="9217" max="9217" width="26.5703125" style="76" customWidth="1"/>
    <col min="9218" max="9219" width="9.140625" style="76"/>
    <col min="9220" max="9220" width="11.28515625" style="76" bestFit="1" customWidth="1"/>
    <col min="9221" max="9472" width="9.140625" style="76"/>
    <col min="9473" max="9473" width="26.5703125" style="76" customWidth="1"/>
    <col min="9474" max="9475" width="9.140625" style="76"/>
    <col min="9476" max="9476" width="11.28515625" style="76" bestFit="1" customWidth="1"/>
    <col min="9477" max="9728" width="9.140625" style="76"/>
    <col min="9729" max="9729" width="26.5703125" style="76" customWidth="1"/>
    <col min="9730" max="9731" width="9.140625" style="76"/>
    <col min="9732" max="9732" width="11.28515625" style="76" bestFit="1" customWidth="1"/>
    <col min="9733" max="9984" width="9.140625" style="76"/>
    <col min="9985" max="9985" width="26.5703125" style="76" customWidth="1"/>
    <col min="9986" max="9987" width="9.140625" style="76"/>
    <col min="9988" max="9988" width="11.28515625" style="76" bestFit="1" customWidth="1"/>
    <col min="9989" max="10240" width="9.140625" style="76"/>
    <col min="10241" max="10241" width="26.5703125" style="76" customWidth="1"/>
    <col min="10242" max="10243" width="9.140625" style="76"/>
    <col min="10244" max="10244" width="11.28515625" style="76" bestFit="1" customWidth="1"/>
    <col min="10245" max="10496" width="9.140625" style="76"/>
    <col min="10497" max="10497" width="26.5703125" style="76" customWidth="1"/>
    <col min="10498" max="10499" width="9.140625" style="76"/>
    <col min="10500" max="10500" width="11.28515625" style="76" bestFit="1" customWidth="1"/>
    <col min="10501" max="10752" width="9.140625" style="76"/>
    <col min="10753" max="10753" width="26.5703125" style="76" customWidth="1"/>
    <col min="10754" max="10755" width="9.140625" style="76"/>
    <col min="10756" max="10756" width="11.28515625" style="76" bestFit="1" customWidth="1"/>
    <col min="10757" max="11008" width="9.140625" style="76"/>
    <col min="11009" max="11009" width="26.5703125" style="76" customWidth="1"/>
    <col min="11010" max="11011" width="9.140625" style="76"/>
    <col min="11012" max="11012" width="11.28515625" style="76" bestFit="1" customWidth="1"/>
    <col min="11013" max="11264" width="9.140625" style="76"/>
    <col min="11265" max="11265" width="26.5703125" style="76" customWidth="1"/>
    <col min="11266" max="11267" width="9.140625" style="76"/>
    <col min="11268" max="11268" width="11.28515625" style="76" bestFit="1" customWidth="1"/>
    <col min="11269" max="11520" width="9.140625" style="76"/>
    <col min="11521" max="11521" width="26.5703125" style="76" customWidth="1"/>
    <col min="11522" max="11523" width="9.140625" style="76"/>
    <col min="11524" max="11524" width="11.28515625" style="76" bestFit="1" customWidth="1"/>
    <col min="11525" max="11776" width="9.140625" style="76"/>
    <col min="11777" max="11777" width="26.5703125" style="76" customWidth="1"/>
    <col min="11778" max="11779" width="9.140625" style="76"/>
    <col min="11780" max="11780" width="11.28515625" style="76" bestFit="1" customWidth="1"/>
    <col min="11781" max="12032" width="9.140625" style="76"/>
    <col min="12033" max="12033" width="26.5703125" style="76" customWidth="1"/>
    <col min="12034" max="12035" width="9.140625" style="76"/>
    <col min="12036" max="12036" width="11.28515625" style="76" bestFit="1" customWidth="1"/>
    <col min="12037" max="12288" width="9.140625" style="76"/>
    <col min="12289" max="12289" width="26.5703125" style="76" customWidth="1"/>
    <col min="12290" max="12291" width="9.140625" style="76"/>
    <col min="12292" max="12292" width="11.28515625" style="76" bestFit="1" customWidth="1"/>
    <col min="12293" max="12544" width="9.140625" style="76"/>
    <col min="12545" max="12545" width="26.5703125" style="76" customWidth="1"/>
    <col min="12546" max="12547" width="9.140625" style="76"/>
    <col min="12548" max="12548" width="11.28515625" style="76" bestFit="1" customWidth="1"/>
    <col min="12549" max="12800" width="9.140625" style="76"/>
    <col min="12801" max="12801" width="26.5703125" style="76" customWidth="1"/>
    <col min="12802" max="12803" width="9.140625" style="76"/>
    <col min="12804" max="12804" width="11.28515625" style="76" bestFit="1" customWidth="1"/>
    <col min="12805" max="13056" width="9.140625" style="76"/>
    <col min="13057" max="13057" width="26.5703125" style="76" customWidth="1"/>
    <col min="13058" max="13059" width="9.140625" style="76"/>
    <col min="13060" max="13060" width="11.28515625" style="76" bestFit="1" customWidth="1"/>
    <col min="13061" max="13312" width="9.140625" style="76"/>
    <col min="13313" max="13313" width="26.5703125" style="76" customWidth="1"/>
    <col min="13314" max="13315" width="9.140625" style="76"/>
    <col min="13316" max="13316" width="11.28515625" style="76" bestFit="1" customWidth="1"/>
    <col min="13317" max="13568" width="9.140625" style="76"/>
    <col min="13569" max="13569" width="26.5703125" style="76" customWidth="1"/>
    <col min="13570" max="13571" width="9.140625" style="76"/>
    <col min="13572" max="13572" width="11.28515625" style="76" bestFit="1" customWidth="1"/>
    <col min="13573" max="13824" width="9.140625" style="76"/>
    <col min="13825" max="13825" width="26.5703125" style="76" customWidth="1"/>
    <col min="13826" max="13827" width="9.140625" style="76"/>
    <col min="13828" max="13828" width="11.28515625" style="76" bestFit="1" customWidth="1"/>
    <col min="13829" max="14080" width="9.140625" style="76"/>
    <col min="14081" max="14081" width="26.5703125" style="76" customWidth="1"/>
    <col min="14082" max="14083" width="9.140625" style="76"/>
    <col min="14084" max="14084" width="11.28515625" style="76" bestFit="1" customWidth="1"/>
    <col min="14085" max="14336" width="9.140625" style="76"/>
    <col min="14337" max="14337" width="26.5703125" style="76" customWidth="1"/>
    <col min="14338" max="14339" width="9.140625" style="76"/>
    <col min="14340" max="14340" width="11.28515625" style="76" bestFit="1" customWidth="1"/>
    <col min="14341" max="14592" width="9.140625" style="76"/>
    <col min="14593" max="14593" width="26.5703125" style="76" customWidth="1"/>
    <col min="14594" max="14595" width="9.140625" style="76"/>
    <col min="14596" max="14596" width="11.28515625" style="76" bestFit="1" customWidth="1"/>
    <col min="14597" max="14848" width="9.140625" style="76"/>
    <col min="14849" max="14849" width="26.5703125" style="76" customWidth="1"/>
    <col min="14850" max="14851" width="9.140625" style="76"/>
    <col min="14852" max="14852" width="11.28515625" style="76" bestFit="1" customWidth="1"/>
    <col min="14853" max="15104" width="9.140625" style="76"/>
    <col min="15105" max="15105" width="26.5703125" style="76" customWidth="1"/>
    <col min="15106" max="15107" width="9.140625" style="76"/>
    <col min="15108" max="15108" width="11.28515625" style="76" bestFit="1" customWidth="1"/>
    <col min="15109" max="15360" width="9.140625" style="76"/>
    <col min="15361" max="15361" width="26.5703125" style="76" customWidth="1"/>
    <col min="15362" max="15363" width="9.140625" style="76"/>
    <col min="15364" max="15364" width="11.28515625" style="76" bestFit="1" customWidth="1"/>
    <col min="15365" max="15616" width="9.140625" style="76"/>
    <col min="15617" max="15617" width="26.5703125" style="76" customWidth="1"/>
    <col min="15618" max="15619" width="9.140625" style="76"/>
    <col min="15620" max="15620" width="11.28515625" style="76" bestFit="1" customWidth="1"/>
    <col min="15621" max="15872" width="9.140625" style="76"/>
    <col min="15873" max="15873" width="26.5703125" style="76" customWidth="1"/>
    <col min="15874" max="15875" width="9.140625" style="76"/>
    <col min="15876" max="15876" width="11.28515625" style="76" bestFit="1" customWidth="1"/>
    <col min="15877" max="16128" width="9.140625" style="76"/>
    <col min="16129" max="16129" width="26.5703125" style="76" customWidth="1"/>
    <col min="16130" max="16131" width="9.140625" style="76"/>
    <col min="16132" max="16132" width="11.28515625" style="76" bestFit="1" customWidth="1"/>
    <col min="16133" max="16384" width="9.140625" style="76"/>
  </cols>
  <sheetData>
    <row r="1" spans="1:11">
      <c r="A1" s="369" t="s">
        <v>1452</v>
      </c>
      <c r="B1" s="369"/>
      <c r="C1" s="369"/>
      <c r="D1" s="369"/>
    </row>
    <row r="2" spans="1:11">
      <c r="A2" s="369" t="s">
        <v>1453</v>
      </c>
      <c r="B2" s="369"/>
      <c r="C2" s="369"/>
      <c r="D2" s="369"/>
    </row>
    <row r="3" spans="1:11">
      <c r="A3" s="371" t="s">
        <v>1454</v>
      </c>
      <c r="B3" s="369"/>
      <c r="C3" s="369"/>
      <c r="D3" s="369"/>
    </row>
    <row r="6" spans="1:11">
      <c r="A6" s="76" t="s">
        <v>1455</v>
      </c>
      <c r="C6" s="77"/>
      <c r="D6" s="78">
        <v>440372</v>
      </c>
      <c r="E6" s="79"/>
      <c r="J6" s="77"/>
      <c r="K6" s="79"/>
    </row>
    <row r="7" spans="1:11">
      <c r="A7" s="76" t="s">
        <v>1456</v>
      </c>
      <c r="B7" s="77"/>
      <c r="D7" s="78">
        <v>60087</v>
      </c>
      <c r="E7" s="79"/>
      <c r="I7" s="77"/>
      <c r="K7" s="79"/>
    </row>
    <row r="8" spans="1:11">
      <c r="A8" s="76" t="s">
        <v>1457</v>
      </c>
      <c r="D8" s="78">
        <v>2939</v>
      </c>
      <c r="E8" s="79"/>
      <c r="K8" s="79"/>
    </row>
    <row r="9" spans="1:11">
      <c r="A9" s="76" t="s">
        <v>1458</v>
      </c>
      <c r="D9" s="80">
        <v>489</v>
      </c>
      <c r="K9" s="79"/>
    </row>
    <row r="10" spans="1:11">
      <c r="D10" s="79"/>
      <c r="E10" s="79"/>
      <c r="F10" s="81"/>
      <c r="G10" s="81"/>
      <c r="K10" s="79"/>
    </row>
    <row r="11" spans="1:11" ht="13.5" thickBot="1">
      <c r="A11" s="76" t="s">
        <v>1459</v>
      </c>
      <c r="B11" s="77"/>
      <c r="D11" s="82">
        <f>SUM(D6:D9)</f>
        <v>503887</v>
      </c>
      <c r="E11" s="79"/>
      <c r="I11" s="77"/>
      <c r="K11" s="79"/>
    </row>
    <row r="12" spans="1:11" ht="13.5" thickTop="1"/>
  </sheetData>
  <mergeCells count="3">
    <mergeCell ref="A1:D1"/>
    <mergeCell ref="A2:D2"/>
    <mergeCell ref="A3:D3"/>
  </mergeCells>
  <printOptions horizontalCentered="1"/>
  <pageMargins left="0.75" right="0.75" top="1" bottom="1" header="0.5" footer="0.5"/>
  <pageSetup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sheetPr>
    <tabColor rgb="FF00B050"/>
  </sheetPr>
  <dimension ref="A1:L23"/>
  <sheetViews>
    <sheetView workbookViewId="0">
      <selection activeCell="N38" sqref="N38"/>
    </sheetView>
  </sheetViews>
  <sheetFormatPr defaultRowHeight="12.75"/>
  <cols>
    <col min="1" max="1" width="1" style="76" customWidth="1"/>
    <col min="2" max="2" width="0.5703125" style="76" customWidth="1"/>
    <col min="3" max="3" width="20.140625" style="76" customWidth="1"/>
    <col min="4" max="4" width="3.28515625" style="76" customWidth="1"/>
    <col min="5" max="5" width="11.42578125" style="76" bestFit="1" customWidth="1"/>
    <col min="6" max="6" width="3.5703125" style="76" customWidth="1"/>
    <col min="7" max="7" width="11" style="76" bestFit="1" customWidth="1"/>
    <col min="8" max="8" width="3.5703125" style="76" customWidth="1"/>
    <col min="9" max="9" width="9.7109375" style="76" bestFit="1" customWidth="1"/>
    <col min="10" max="10" width="3.28515625" style="76" customWidth="1"/>
    <col min="11" max="11" width="10.7109375" style="76" bestFit="1" customWidth="1"/>
    <col min="12" max="256" width="9.140625" style="76"/>
    <col min="257" max="257" width="1" style="76" customWidth="1"/>
    <col min="258" max="258" width="0.5703125" style="76" customWidth="1"/>
    <col min="259" max="259" width="20.140625" style="76" customWidth="1"/>
    <col min="260" max="260" width="3.28515625" style="76" customWidth="1"/>
    <col min="261" max="261" width="11.42578125" style="76" bestFit="1" customWidth="1"/>
    <col min="262" max="262" width="3.5703125" style="76" customWidth="1"/>
    <col min="263" max="263" width="11" style="76" bestFit="1" customWidth="1"/>
    <col min="264" max="264" width="3.5703125" style="76" customWidth="1"/>
    <col min="265" max="265" width="9.7109375" style="76" bestFit="1" customWidth="1"/>
    <col min="266" max="266" width="3.28515625" style="76" customWidth="1"/>
    <col min="267" max="267" width="10.7109375" style="76" bestFit="1" customWidth="1"/>
    <col min="268" max="512" width="9.140625" style="76"/>
    <col min="513" max="513" width="1" style="76" customWidth="1"/>
    <col min="514" max="514" width="0.5703125" style="76" customWidth="1"/>
    <col min="515" max="515" width="20.140625" style="76" customWidth="1"/>
    <col min="516" max="516" width="3.28515625" style="76" customWidth="1"/>
    <col min="517" max="517" width="11.42578125" style="76" bestFit="1" customWidth="1"/>
    <col min="518" max="518" width="3.5703125" style="76" customWidth="1"/>
    <col min="519" max="519" width="11" style="76" bestFit="1" customWidth="1"/>
    <col min="520" max="520" width="3.5703125" style="76" customWidth="1"/>
    <col min="521" max="521" width="9.7109375" style="76" bestFit="1" customWidth="1"/>
    <col min="522" max="522" width="3.28515625" style="76" customWidth="1"/>
    <col min="523" max="523" width="10.7109375" style="76" bestFit="1" customWidth="1"/>
    <col min="524" max="768" width="9.140625" style="76"/>
    <col min="769" max="769" width="1" style="76" customWidth="1"/>
    <col min="770" max="770" width="0.5703125" style="76" customWidth="1"/>
    <col min="771" max="771" width="20.140625" style="76" customWidth="1"/>
    <col min="772" max="772" width="3.28515625" style="76" customWidth="1"/>
    <col min="773" max="773" width="11.42578125" style="76" bestFit="1" customWidth="1"/>
    <col min="774" max="774" width="3.5703125" style="76" customWidth="1"/>
    <col min="775" max="775" width="11" style="76" bestFit="1" customWidth="1"/>
    <col min="776" max="776" width="3.5703125" style="76" customWidth="1"/>
    <col min="777" max="777" width="9.7109375" style="76" bestFit="1" customWidth="1"/>
    <col min="778" max="778" width="3.28515625" style="76" customWidth="1"/>
    <col min="779" max="779" width="10.7109375" style="76" bestFit="1" customWidth="1"/>
    <col min="780" max="1024" width="9.140625" style="76"/>
    <col min="1025" max="1025" width="1" style="76" customWidth="1"/>
    <col min="1026" max="1026" width="0.5703125" style="76" customWidth="1"/>
    <col min="1027" max="1027" width="20.140625" style="76" customWidth="1"/>
    <col min="1028" max="1028" width="3.28515625" style="76" customWidth="1"/>
    <col min="1029" max="1029" width="11.42578125" style="76" bestFit="1" customWidth="1"/>
    <col min="1030" max="1030" width="3.5703125" style="76" customWidth="1"/>
    <col min="1031" max="1031" width="11" style="76" bestFit="1" customWidth="1"/>
    <col min="1032" max="1032" width="3.5703125" style="76" customWidth="1"/>
    <col min="1033" max="1033" width="9.7109375" style="76" bestFit="1" customWidth="1"/>
    <col min="1034" max="1034" width="3.28515625" style="76" customWidth="1"/>
    <col min="1035" max="1035" width="10.7109375" style="76" bestFit="1" customWidth="1"/>
    <col min="1036" max="1280" width="9.140625" style="76"/>
    <col min="1281" max="1281" width="1" style="76" customWidth="1"/>
    <col min="1282" max="1282" width="0.5703125" style="76" customWidth="1"/>
    <col min="1283" max="1283" width="20.140625" style="76" customWidth="1"/>
    <col min="1284" max="1284" width="3.28515625" style="76" customWidth="1"/>
    <col min="1285" max="1285" width="11.42578125" style="76" bestFit="1" customWidth="1"/>
    <col min="1286" max="1286" width="3.5703125" style="76" customWidth="1"/>
    <col min="1287" max="1287" width="11" style="76" bestFit="1" customWidth="1"/>
    <col min="1288" max="1288" width="3.5703125" style="76" customWidth="1"/>
    <col min="1289" max="1289" width="9.7109375" style="76" bestFit="1" customWidth="1"/>
    <col min="1290" max="1290" width="3.28515625" style="76" customWidth="1"/>
    <col min="1291" max="1291" width="10.7109375" style="76" bestFit="1" customWidth="1"/>
    <col min="1292" max="1536" width="9.140625" style="76"/>
    <col min="1537" max="1537" width="1" style="76" customWidth="1"/>
    <col min="1538" max="1538" width="0.5703125" style="76" customWidth="1"/>
    <col min="1539" max="1539" width="20.140625" style="76" customWidth="1"/>
    <col min="1540" max="1540" width="3.28515625" style="76" customWidth="1"/>
    <col min="1541" max="1541" width="11.42578125" style="76" bestFit="1" customWidth="1"/>
    <col min="1542" max="1542" width="3.5703125" style="76" customWidth="1"/>
    <col min="1543" max="1543" width="11" style="76" bestFit="1" customWidth="1"/>
    <col min="1544" max="1544" width="3.5703125" style="76" customWidth="1"/>
    <col min="1545" max="1545" width="9.7109375" style="76" bestFit="1" customWidth="1"/>
    <col min="1546" max="1546" width="3.28515625" style="76" customWidth="1"/>
    <col min="1547" max="1547" width="10.7109375" style="76" bestFit="1" customWidth="1"/>
    <col min="1548" max="1792" width="9.140625" style="76"/>
    <col min="1793" max="1793" width="1" style="76" customWidth="1"/>
    <col min="1794" max="1794" width="0.5703125" style="76" customWidth="1"/>
    <col min="1795" max="1795" width="20.140625" style="76" customWidth="1"/>
    <col min="1796" max="1796" width="3.28515625" style="76" customWidth="1"/>
    <col min="1797" max="1797" width="11.42578125" style="76" bestFit="1" customWidth="1"/>
    <col min="1798" max="1798" width="3.5703125" style="76" customWidth="1"/>
    <col min="1799" max="1799" width="11" style="76" bestFit="1" customWidth="1"/>
    <col min="1800" max="1800" width="3.5703125" style="76" customWidth="1"/>
    <col min="1801" max="1801" width="9.7109375" style="76" bestFit="1" customWidth="1"/>
    <col min="1802" max="1802" width="3.28515625" style="76" customWidth="1"/>
    <col min="1803" max="1803" width="10.7109375" style="76" bestFit="1" customWidth="1"/>
    <col min="1804" max="2048" width="9.140625" style="76"/>
    <col min="2049" max="2049" width="1" style="76" customWidth="1"/>
    <col min="2050" max="2050" width="0.5703125" style="76" customWidth="1"/>
    <col min="2051" max="2051" width="20.140625" style="76" customWidth="1"/>
    <col min="2052" max="2052" width="3.28515625" style="76" customWidth="1"/>
    <col min="2053" max="2053" width="11.42578125" style="76" bestFit="1" customWidth="1"/>
    <col min="2054" max="2054" width="3.5703125" style="76" customWidth="1"/>
    <col min="2055" max="2055" width="11" style="76" bestFit="1" customWidth="1"/>
    <col min="2056" max="2056" width="3.5703125" style="76" customWidth="1"/>
    <col min="2057" max="2057" width="9.7109375" style="76" bestFit="1" customWidth="1"/>
    <col min="2058" max="2058" width="3.28515625" style="76" customWidth="1"/>
    <col min="2059" max="2059" width="10.7109375" style="76" bestFit="1" customWidth="1"/>
    <col min="2060" max="2304" width="9.140625" style="76"/>
    <col min="2305" max="2305" width="1" style="76" customWidth="1"/>
    <col min="2306" max="2306" width="0.5703125" style="76" customWidth="1"/>
    <col min="2307" max="2307" width="20.140625" style="76" customWidth="1"/>
    <col min="2308" max="2308" width="3.28515625" style="76" customWidth="1"/>
    <col min="2309" max="2309" width="11.42578125" style="76" bestFit="1" customWidth="1"/>
    <col min="2310" max="2310" width="3.5703125" style="76" customWidth="1"/>
    <col min="2311" max="2311" width="11" style="76" bestFit="1" customWidth="1"/>
    <col min="2312" max="2312" width="3.5703125" style="76" customWidth="1"/>
    <col min="2313" max="2313" width="9.7109375" style="76" bestFit="1" customWidth="1"/>
    <col min="2314" max="2314" width="3.28515625" style="76" customWidth="1"/>
    <col min="2315" max="2315" width="10.7109375" style="76" bestFit="1" customWidth="1"/>
    <col min="2316" max="2560" width="9.140625" style="76"/>
    <col min="2561" max="2561" width="1" style="76" customWidth="1"/>
    <col min="2562" max="2562" width="0.5703125" style="76" customWidth="1"/>
    <col min="2563" max="2563" width="20.140625" style="76" customWidth="1"/>
    <col min="2564" max="2564" width="3.28515625" style="76" customWidth="1"/>
    <col min="2565" max="2565" width="11.42578125" style="76" bestFit="1" customWidth="1"/>
    <col min="2566" max="2566" width="3.5703125" style="76" customWidth="1"/>
    <col min="2567" max="2567" width="11" style="76" bestFit="1" customWidth="1"/>
    <col min="2568" max="2568" width="3.5703125" style="76" customWidth="1"/>
    <col min="2569" max="2569" width="9.7109375" style="76" bestFit="1" customWidth="1"/>
    <col min="2570" max="2570" width="3.28515625" style="76" customWidth="1"/>
    <col min="2571" max="2571" width="10.7109375" style="76" bestFit="1" customWidth="1"/>
    <col min="2572" max="2816" width="9.140625" style="76"/>
    <col min="2817" max="2817" width="1" style="76" customWidth="1"/>
    <col min="2818" max="2818" width="0.5703125" style="76" customWidth="1"/>
    <col min="2819" max="2819" width="20.140625" style="76" customWidth="1"/>
    <col min="2820" max="2820" width="3.28515625" style="76" customWidth="1"/>
    <col min="2821" max="2821" width="11.42578125" style="76" bestFit="1" customWidth="1"/>
    <col min="2822" max="2822" width="3.5703125" style="76" customWidth="1"/>
    <col min="2823" max="2823" width="11" style="76" bestFit="1" customWidth="1"/>
    <col min="2824" max="2824" width="3.5703125" style="76" customWidth="1"/>
    <col min="2825" max="2825" width="9.7109375" style="76" bestFit="1" customWidth="1"/>
    <col min="2826" max="2826" width="3.28515625" style="76" customWidth="1"/>
    <col min="2827" max="2827" width="10.7109375" style="76" bestFit="1" customWidth="1"/>
    <col min="2828" max="3072" width="9.140625" style="76"/>
    <col min="3073" max="3073" width="1" style="76" customWidth="1"/>
    <col min="3074" max="3074" width="0.5703125" style="76" customWidth="1"/>
    <col min="3075" max="3075" width="20.140625" style="76" customWidth="1"/>
    <col min="3076" max="3076" width="3.28515625" style="76" customWidth="1"/>
    <col min="3077" max="3077" width="11.42578125" style="76" bestFit="1" customWidth="1"/>
    <col min="3078" max="3078" width="3.5703125" style="76" customWidth="1"/>
    <col min="3079" max="3079" width="11" style="76" bestFit="1" customWidth="1"/>
    <col min="3080" max="3080" width="3.5703125" style="76" customWidth="1"/>
    <col min="3081" max="3081" width="9.7109375" style="76" bestFit="1" customWidth="1"/>
    <col min="3082" max="3082" width="3.28515625" style="76" customWidth="1"/>
    <col min="3083" max="3083" width="10.7109375" style="76" bestFit="1" customWidth="1"/>
    <col min="3084" max="3328" width="9.140625" style="76"/>
    <col min="3329" max="3329" width="1" style="76" customWidth="1"/>
    <col min="3330" max="3330" width="0.5703125" style="76" customWidth="1"/>
    <col min="3331" max="3331" width="20.140625" style="76" customWidth="1"/>
    <col min="3332" max="3332" width="3.28515625" style="76" customWidth="1"/>
    <col min="3333" max="3333" width="11.42578125" style="76" bestFit="1" customWidth="1"/>
    <col min="3334" max="3334" width="3.5703125" style="76" customWidth="1"/>
    <col min="3335" max="3335" width="11" style="76" bestFit="1" customWidth="1"/>
    <col min="3336" max="3336" width="3.5703125" style="76" customWidth="1"/>
    <col min="3337" max="3337" width="9.7109375" style="76" bestFit="1" customWidth="1"/>
    <col min="3338" max="3338" width="3.28515625" style="76" customWidth="1"/>
    <col min="3339" max="3339" width="10.7109375" style="76" bestFit="1" customWidth="1"/>
    <col min="3340" max="3584" width="9.140625" style="76"/>
    <col min="3585" max="3585" width="1" style="76" customWidth="1"/>
    <col min="3586" max="3586" width="0.5703125" style="76" customWidth="1"/>
    <col min="3587" max="3587" width="20.140625" style="76" customWidth="1"/>
    <col min="3588" max="3588" width="3.28515625" style="76" customWidth="1"/>
    <col min="3589" max="3589" width="11.42578125" style="76" bestFit="1" customWidth="1"/>
    <col min="3590" max="3590" width="3.5703125" style="76" customWidth="1"/>
    <col min="3591" max="3591" width="11" style="76" bestFit="1" customWidth="1"/>
    <col min="3592" max="3592" width="3.5703125" style="76" customWidth="1"/>
    <col min="3593" max="3593" width="9.7109375" style="76" bestFit="1" customWidth="1"/>
    <col min="3594" max="3594" width="3.28515625" style="76" customWidth="1"/>
    <col min="3595" max="3595" width="10.7109375" style="76" bestFit="1" customWidth="1"/>
    <col min="3596" max="3840" width="9.140625" style="76"/>
    <col min="3841" max="3841" width="1" style="76" customWidth="1"/>
    <col min="3842" max="3842" width="0.5703125" style="76" customWidth="1"/>
    <col min="3843" max="3843" width="20.140625" style="76" customWidth="1"/>
    <col min="3844" max="3844" width="3.28515625" style="76" customWidth="1"/>
    <col min="3845" max="3845" width="11.42578125" style="76" bestFit="1" customWidth="1"/>
    <col min="3846" max="3846" width="3.5703125" style="76" customWidth="1"/>
    <col min="3847" max="3847" width="11" style="76" bestFit="1" customWidth="1"/>
    <col min="3848" max="3848" width="3.5703125" style="76" customWidth="1"/>
    <col min="3849" max="3849" width="9.7109375" style="76" bestFit="1" customWidth="1"/>
    <col min="3850" max="3850" width="3.28515625" style="76" customWidth="1"/>
    <col min="3851" max="3851" width="10.7109375" style="76" bestFit="1" customWidth="1"/>
    <col min="3852" max="4096" width="9.140625" style="76"/>
    <col min="4097" max="4097" width="1" style="76" customWidth="1"/>
    <col min="4098" max="4098" width="0.5703125" style="76" customWidth="1"/>
    <col min="4099" max="4099" width="20.140625" style="76" customWidth="1"/>
    <col min="4100" max="4100" width="3.28515625" style="76" customWidth="1"/>
    <col min="4101" max="4101" width="11.42578125" style="76" bestFit="1" customWidth="1"/>
    <col min="4102" max="4102" width="3.5703125" style="76" customWidth="1"/>
    <col min="4103" max="4103" width="11" style="76" bestFit="1" customWidth="1"/>
    <col min="4104" max="4104" width="3.5703125" style="76" customWidth="1"/>
    <col min="4105" max="4105" width="9.7109375" style="76" bestFit="1" customWidth="1"/>
    <col min="4106" max="4106" width="3.28515625" style="76" customWidth="1"/>
    <col min="4107" max="4107" width="10.7109375" style="76" bestFit="1" customWidth="1"/>
    <col min="4108" max="4352" width="9.140625" style="76"/>
    <col min="4353" max="4353" width="1" style="76" customWidth="1"/>
    <col min="4354" max="4354" width="0.5703125" style="76" customWidth="1"/>
    <col min="4355" max="4355" width="20.140625" style="76" customWidth="1"/>
    <col min="4356" max="4356" width="3.28515625" style="76" customWidth="1"/>
    <col min="4357" max="4357" width="11.42578125" style="76" bestFit="1" customWidth="1"/>
    <col min="4358" max="4358" width="3.5703125" style="76" customWidth="1"/>
    <col min="4359" max="4359" width="11" style="76" bestFit="1" customWidth="1"/>
    <col min="4360" max="4360" width="3.5703125" style="76" customWidth="1"/>
    <col min="4361" max="4361" width="9.7109375" style="76" bestFit="1" customWidth="1"/>
    <col min="4362" max="4362" width="3.28515625" style="76" customWidth="1"/>
    <col min="4363" max="4363" width="10.7109375" style="76" bestFit="1" customWidth="1"/>
    <col min="4364" max="4608" width="9.140625" style="76"/>
    <col min="4609" max="4609" width="1" style="76" customWidth="1"/>
    <col min="4610" max="4610" width="0.5703125" style="76" customWidth="1"/>
    <col min="4611" max="4611" width="20.140625" style="76" customWidth="1"/>
    <col min="4612" max="4612" width="3.28515625" style="76" customWidth="1"/>
    <col min="4613" max="4613" width="11.42578125" style="76" bestFit="1" customWidth="1"/>
    <col min="4614" max="4614" width="3.5703125" style="76" customWidth="1"/>
    <col min="4615" max="4615" width="11" style="76" bestFit="1" customWidth="1"/>
    <col min="4616" max="4616" width="3.5703125" style="76" customWidth="1"/>
    <col min="4617" max="4617" width="9.7109375" style="76" bestFit="1" customWidth="1"/>
    <col min="4618" max="4618" width="3.28515625" style="76" customWidth="1"/>
    <col min="4619" max="4619" width="10.7109375" style="76" bestFit="1" customWidth="1"/>
    <col min="4620" max="4864" width="9.140625" style="76"/>
    <col min="4865" max="4865" width="1" style="76" customWidth="1"/>
    <col min="4866" max="4866" width="0.5703125" style="76" customWidth="1"/>
    <col min="4867" max="4867" width="20.140625" style="76" customWidth="1"/>
    <col min="4868" max="4868" width="3.28515625" style="76" customWidth="1"/>
    <col min="4869" max="4869" width="11.42578125" style="76" bestFit="1" customWidth="1"/>
    <col min="4870" max="4870" width="3.5703125" style="76" customWidth="1"/>
    <col min="4871" max="4871" width="11" style="76" bestFit="1" customWidth="1"/>
    <col min="4872" max="4872" width="3.5703125" style="76" customWidth="1"/>
    <col min="4873" max="4873" width="9.7109375" style="76" bestFit="1" customWidth="1"/>
    <col min="4874" max="4874" width="3.28515625" style="76" customWidth="1"/>
    <col min="4875" max="4875" width="10.7109375" style="76" bestFit="1" customWidth="1"/>
    <col min="4876" max="5120" width="9.140625" style="76"/>
    <col min="5121" max="5121" width="1" style="76" customWidth="1"/>
    <col min="5122" max="5122" width="0.5703125" style="76" customWidth="1"/>
    <col min="5123" max="5123" width="20.140625" style="76" customWidth="1"/>
    <col min="5124" max="5124" width="3.28515625" style="76" customWidth="1"/>
    <col min="5125" max="5125" width="11.42578125" style="76" bestFit="1" customWidth="1"/>
    <col min="5126" max="5126" width="3.5703125" style="76" customWidth="1"/>
    <col min="5127" max="5127" width="11" style="76" bestFit="1" customWidth="1"/>
    <col min="5128" max="5128" width="3.5703125" style="76" customWidth="1"/>
    <col min="5129" max="5129" width="9.7109375" style="76" bestFit="1" customWidth="1"/>
    <col min="5130" max="5130" width="3.28515625" style="76" customWidth="1"/>
    <col min="5131" max="5131" width="10.7109375" style="76" bestFit="1" customWidth="1"/>
    <col min="5132" max="5376" width="9.140625" style="76"/>
    <col min="5377" max="5377" width="1" style="76" customWidth="1"/>
    <col min="5378" max="5378" width="0.5703125" style="76" customWidth="1"/>
    <col min="5379" max="5379" width="20.140625" style="76" customWidth="1"/>
    <col min="5380" max="5380" width="3.28515625" style="76" customWidth="1"/>
    <col min="5381" max="5381" width="11.42578125" style="76" bestFit="1" customWidth="1"/>
    <col min="5382" max="5382" width="3.5703125" style="76" customWidth="1"/>
    <col min="5383" max="5383" width="11" style="76" bestFit="1" customWidth="1"/>
    <col min="5384" max="5384" width="3.5703125" style="76" customWidth="1"/>
    <col min="5385" max="5385" width="9.7109375" style="76" bestFit="1" customWidth="1"/>
    <col min="5386" max="5386" width="3.28515625" style="76" customWidth="1"/>
    <col min="5387" max="5387" width="10.7109375" style="76" bestFit="1" customWidth="1"/>
    <col min="5388" max="5632" width="9.140625" style="76"/>
    <col min="5633" max="5633" width="1" style="76" customWidth="1"/>
    <col min="5634" max="5634" width="0.5703125" style="76" customWidth="1"/>
    <col min="5635" max="5635" width="20.140625" style="76" customWidth="1"/>
    <col min="5636" max="5636" width="3.28515625" style="76" customWidth="1"/>
    <col min="5637" max="5637" width="11.42578125" style="76" bestFit="1" customWidth="1"/>
    <col min="5638" max="5638" width="3.5703125" style="76" customWidth="1"/>
    <col min="5639" max="5639" width="11" style="76" bestFit="1" customWidth="1"/>
    <col min="5640" max="5640" width="3.5703125" style="76" customWidth="1"/>
    <col min="5641" max="5641" width="9.7109375" style="76" bestFit="1" customWidth="1"/>
    <col min="5642" max="5642" width="3.28515625" style="76" customWidth="1"/>
    <col min="5643" max="5643" width="10.7109375" style="76" bestFit="1" customWidth="1"/>
    <col min="5644" max="5888" width="9.140625" style="76"/>
    <col min="5889" max="5889" width="1" style="76" customWidth="1"/>
    <col min="5890" max="5890" width="0.5703125" style="76" customWidth="1"/>
    <col min="5891" max="5891" width="20.140625" style="76" customWidth="1"/>
    <col min="5892" max="5892" width="3.28515625" style="76" customWidth="1"/>
    <col min="5893" max="5893" width="11.42578125" style="76" bestFit="1" customWidth="1"/>
    <col min="5894" max="5894" width="3.5703125" style="76" customWidth="1"/>
    <col min="5895" max="5895" width="11" style="76" bestFit="1" customWidth="1"/>
    <col min="5896" max="5896" width="3.5703125" style="76" customWidth="1"/>
    <col min="5897" max="5897" width="9.7109375" style="76" bestFit="1" customWidth="1"/>
    <col min="5898" max="5898" width="3.28515625" style="76" customWidth="1"/>
    <col min="5899" max="5899" width="10.7109375" style="76" bestFit="1" customWidth="1"/>
    <col min="5900" max="6144" width="9.140625" style="76"/>
    <col min="6145" max="6145" width="1" style="76" customWidth="1"/>
    <col min="6146" max="6146" width="0.5703125" style="76" customWidth="1"/>
    <col min="6147" max="6147" width="20.140625" style="76" customWidth="1"/>
    <col min="6148" max="6148" width="3.28515625" style="76" customWidth="1"/>
    <col min="6149" max="6149" width="11.42578125" style="76" bestFit="1" customWidth="1"/>
    <col min="6150" max="6150" width="3.5703125" style="76" customWidth="1"/>
    <col min="6151" max="6151" width="11" style="76" bestFit="1" customWidth="1"/>
    <col min="6152" max="6152" width="3.5703125" style="76" customWidth="1"/>
    <col min="6153" max="6153" width="9.7109375" style="76" bestFit="1" customWidth="1"/>
    <col min="6154" max="6154" width="3.28515625" style="76" customWidth="1"/>
    <col min="6155" max="6155" width="10.7109375" style="76" bestFit="1" customWidth="1"/>
    <col min="6156" max="6400" width="9.140625" style="76"/>
    <col min="6401" max="6401" width="1" style="76" customWidth="1"/>
    <col min="6402" max="6402" width="0.5703125" style="76" customWidth="1"/>
    <col min="6403" max="6403" width="20.140625" style="76" customWidth="1"/>
    <col min="6404" max="6404" width="3.28515625" style="76" customWidth="1"/>
    <col min="6405" max="6405" width="11.42578125" style="76" bestFit="1" customWidth="1"/>
    <col min="6406" max="6406" width="3.5703125" style="76" customWidth="1"/>
    <col min="6407" max="6407" width="11" style="76" bestFit="1" customWidth="1"/>
    <col min="6408" max="6408" width="3.5703125" style="76" customWidth="1"/>
    <col min="6409" max="6409" width="9.7109375" style="76" bestFit="1" customWidth="1"/>
    <col min="6410" max="6410" width="3.28515625" style="76" customWidth="1"/>
    <col min="6411" max="6411" width="10.7109375" style="76" bestFit="1" customWidth="1"/>
    <col min="6412" max="6656" width="9.140625" style="76"/>
    <col min="6657" max="6657" width="1" style="76" customWidth="1"/>
    <col min="6658" max="6658" width="0.5703125" style="76" customWidth="1"/>
    <col min="6659" max="6659" width="20.140625" style="76" customWidth="1"/>
    <col min="6660" max="6660" width="3.28515625" style="76" customWidth="1"/>
    <col min="6661" max="6661" width="11.42578125" style="76" bestFit="1" customWidth="1"/>
    <col min="6662" max="6662" width="3.5703125" style="76" customWidth="1"/>
    <col min="6663" max="6663" width="11" style="76" bestFit="1" customWidth="1"/>
    <col min="6664" max="6664" width="3.5703125" style="76" customWidth="1"/>
    <col min="6665" max="6665" width="9.7109375" style="76" bestFit="1" customWidth="1"/>
    <col min="6666" max="6666" width="3.28515625" style="76" customWidth="1"/>
    <col min="6667" max="6667" width="10.7109375" style="76" bestFit="1" customWidth="1"/>
    <col min="6668" max="6912" width="9.140625" style="76"/>
    <col min="6913" max="6913" width="1" style="76" customWidth="1"/>
    <col min="6914" max="6914" width="0.5703125" style="76" customWidth="1"/>
    <col min="6915" max="6915" width="20.140625" style="76" customWidth="1"/>
    <col min="6916" max="6916" width="3.28515625" style="76" customWidth="1"/>
    <col min="6917" max="6917" width="11.42578125" style="76" bestFit="1" customWidth="1"/>
    <col min="6918" max="6918" width="3.5703125" style="76" customWidth="1"/>
    <col min="6919" max="6919" width="11" style="76" bestFit="1" customWidth="1"/>
    <col min="6920" max="6920" width="3.5703125" style="76" customWidth="1"/>
    <col min="6921" max="6921" width="9.7109375" style="76" bestFit="1" customWidth="1"/>
    <col min="6922" max="6922" width="3.28515625" style="76" customWidth="1"/>
    <col min="6923" max="6923" width="10.7109375" style="76" bestFit="1" customWidth="1"/>
    <col min="6924" max="7168" width="9.140625" style="76"/>
    <col min="7169" max="7169" width="1" style="76" customWidth="1"/>
    <col min="7170" max="7170" width="0.5703125" style="76" customWidth="1"/>
    <col min="7171" max="7171" width="20.140625" style="76" customWidth="1"/>
    <col min="7172" max="7172" width="3.28515625" style="76" customWidth="1"/>
    <col min="7173" max="7173" width="11.42578125" style="76" bestFit="1" customWidth="1"/>
    <col min="7174" max="7174" width="3.5703125" style="76" customWidth="1"/>
    <col min="7175" max="7175" width="11" style="76" bestFit="1" customWidth="1"/>
    <col min="7176" max="7176" width="3.5703125" style="76" customWidth="1"/>
    <col min="7177" max="7177" width="9.7109375" style="76" bestFit="1" customWidth="1"/>
    <col min="7178" max="7178" width="3.28515625" style="76" customWidth="1"/>
    <col min="7179" max="7179" width="10.7109375" style="76" bestFit="1" customWidth="1"/>
    <col min="7180" max="7424" width="9.140625" style="76"/>
    <col min="7425" max="7425" width="1" style="76" customWidth="1"/>
    <col min="7426" max="7426" width="0.5703125" style="76" customWidth="1"/>
    <col min="7427" max="7427" width="20.140625" style="76" customWidth="1"/>
    <col min="7428" max="7428" width="3.28515625" style="76" customWidth="1"/>
    <col min="7429" max="7429" width="11.42578125" style="76" bestFit="1" customWidth="1"/>
    <col min="7430" max="7430" width="3.5703125" style="76" customWidth="1"/>
    <col min="7431" max="7431" width="11" style="76" bestFit="1" customWidth="1"/>
    <col min="7432" max="7432" width="3.5703125" style="76" customWidth="1"/>
    <col min="7433" max="7433" width="9.7109375" style="76" bestFit="1" customWidth="1"/>
    <col min="7434" max="7434" width="3.28515625" style="76" customWidth="1"/>
    <col min="7435" max="7435" width="10.7109375" style="76" bestFit="1" customWidth="1"/>
    <col min="7436" max="7680" width="9.140625" style="76"/>
    <col min="7681" max="7681" width="1" style="76" customWidth="1"/>
    <col min="7682" max="7682" width="0.5703125" style="76" customWidth="1"/>
    <col min="7683" max="7683" width="20.140625" style="76" customWidth="1"/>
    <col min="7684" max="7684" width="3.28515625" style="76" customWidth="1"/>
    <col min="7685" max="7685" width="11.42578125" style="76" bestFit="1" customWidth="1"/>
    <col min="7686" max="7686" width="3.5703125" style="76" customWidth="1"/>
    <col min="7687" max="7687" width="11" style="76" bestFit="1" customWidth="1"/>
    <col min="7688" max="7688" width="3.5703125" style="76" customWidth="1"/>
    <col min="7689" max="7689" width="9.7109375" style="76" bestFit="1" customWidth="1"/>
    <col min="7690" max="7690" width="3.28515625" style="76" customWidth="1"/>
    <col min="7691" max="7691" width="10.7109375" style="76" bestFit="1" customWidth="1"/>
    <col min="7692" max="7936" width="9.140625" style="76"/>
    <col min="7937" max="7937" width="1" style="76" customWidth="1"/>
    <col min="7938" max="7938" width="0.5703125" style="76" customWidth="1"/>
    <col min="7939" max="7939" width="20.140625" style="76" customWidth="1"/>
    <col min="7940" max="7940" width="3.28515625" style="76" customWidth="1"/>
    <col min="7941" max="7941" width="11.42578125" style="76" bestFit="1" customWidth="1"/>
    <col min="7942" max="7942" width="3.5703125" style="76" customWidth="1"/>
    <col min="7943" max="7943" width="11" style="76" bestFit="1" customWidth="1"/>
    <col min="7944" max="7944" width="3.5703125" style="76" customWidth="1"/>
    <col min="7945" max="7945" width="9.7109375" style="76" bestFit="1" customWidth="1"/>
    <col min="7946" max="7946" width="3.28515625" style="76" customWidth="1"/>
    <col min="7947" max="7947" width="10.7109375" style="76" bestFit="1" customWidth="1"/>
    <col min="7948" max="8192" width="9.140625" style="76"/>
    <col min="8193" max="8193" width="1" style="76" customWidth="1"/>
    <col min="8194" max="8194" width="0.5703125" style="76" customWidth="1"/>
    <col min="8195" max="8195" width="20.140625" style="76" customWidth="1"/>
    <col min="8196" max="8196" width="3.28515625" style="76" customWidth="1"/>
    <col min="8197" max="8197" width="11.42578125" style="76" bestFit="1" customWidth="1"/>
    <col min="8198" max="8198" width="3.5703125" style="76" customWidth="1"/>
    <col min="8199" max="8199" width="11" style="76" bestFit="1" customWidth="1"/>
    <col min="8200" max="8200" width="3.5703125" style="76" customWidth="1"/>
    <col min="8201" max="8201" width="9.7109375" style="76" bestFit="1" customWidth="1"/>
    <col min="8202" max="8202" width="3.28515625" style="76" customWidth="1"/>
    <col min="8203" max="8203" width="10.7109375" style="76" bestFit="1" customWidth="1"/>
    <col min="8204" max="8448" width="9.140625" style="76"/>
    <col min="8449" max="8449" width="1" style="76" customWidth="1"/>
    <col min="8450" max="8450" width="0.5703125" style="76" customWidth="1"/>
    <col min="8451" max="8451" width="20.140625" style="76" customWidth="1"/>
    <col min="8452" max="8452" width="3.28515625" style="76" customWidth="1"/>
    <col min="8453" max="8453" width="11.42578125" style="76" bestFit="1" customWidth="1"/>
    <col min="8454" max="8454" width="3.5703125" style="76" customWidth="1"/>
    <col min="8455" max="8455" width="11" style="76" bestFit="1" customWidth="1"/>
    <col min="8456" max="8456" width="3.5703125" style="76" customWidth="1"/>
    <col min="8457" max="8457" width="9.7109375" style="76" bestFit="1" customWidth="1"/>
    <col min="8458" max="8458" width="3.28515625" style="76" customWidth="1"/>
    <col min="8459" max="8459" width="10.7109375" style="76" bestFit="1" customWidth="1"/>
    <col min="8460" max="8704" width="9.140625" style="76"/>
    <col min="8705" max="8705" width="1" style="76" customWidth="1"/>
    <col min="8706" max="8706" width="0.5703125" style="76" customWidth="1"/>
    <col min="8707" max="8707" width="20.140625" style="76" customWidth="1"/>
    <col min="8708" max="8708" width="3.28515625" style="76" customWidth="1"/>
    <col min="8709" max="8709" width="11.42578125" style="76" bestFit="1" customWidth="1"/>
    <col min="8710" max="8710" width="3.5703125" style="76" customWidth="1"/>
    <col min="8711" max="8711" width="11" style="76" bestFit="1" customWidth="1"/>
    <col min="8712" max="8712" width="3.5703125" style="76" customWidth="1"/>
    <col min="8713" max="8713" width="9.7109375" style="76" bestFit="1" customWidth="1"/>
    <col min="8714" max="8714" width="3.28515625" style="76" customWidth="1"/>
    <col min="8715" max="8715" width="10.7109375" style="76" bestFit="1" customWidth="1"/>
    <col min="8716" max="8960" width="9.140625" style="76"/>
    <col min="8961" max="8961" width="1" style="76" customWidth="1"/>
    <col min="8962" max="8962" width="0.5703125" style="76" customWidth="1"/>
    <col min="8963" max="8963" width="20.140625" style="76" customWidth="1"/>
    <col min="8964" max="8964" width="3.28515625" style="76" customWidth="1"/>
    <col min="8965" max="8965" width="11.42578125" style="76" bestFit="1" customWidth="1"/>
    <col min="8966" max="8966" width="3.5703125" style="76" customWidth="1"/>
    <col min="8967" max="8967" width="11" style="76" bestFit="1" customWidth="1"/>
    <col min="8968" max="8968" width="3.5703125" style="76" customWidth="1"/>
    <col min="8969" max="8969" width="9.7109375" style="76" bestFit="1" customWidth="1"/>
    <col min="8970" max="8970" width="3.28515625" style="76" customWidth="1"/>
    <col min="8971" max="8971" width="10.7109375" style="76" bestFit="1" customWidth="1"/>
    <col min="8972" max="9216" width="9.140625" style="76"/>
    <col min="9217" max="9217" width="1" style="76" customWidth="1"/>
    <col min="9218" max="9218" width="0.5703125" style="76" customWidth="1"/>
    <col min="9219" max="9219" width="20.140625" style="76" customWidth="1"/>
    <col min="9220" max="9220" width="3.28515625" style="76" customWidth="1"/>
    <col min="9221" max="9221" width="11.42578125" style="76" bestFit="1" customWidth="1"/>
    <col min="9222" max="9222" width="3.5703125" style="76" customWidth="1"/>
    <col min="9223" max="9223" width="11" style="76" bestFit="1" customWidth="1"/>
    <col min="9224" max="9224" width="3.5703125" style="76" customWidth="1"/>
    <col min="9225" max="9225" width="9.7109375" style="76" bestFit="1" customWidth="1"/>
    <col min="9226" max="9226" width="3.28515625" style="76" customWidth="1"/>
    <col min="9227" max="9227" width="10.7109375" style="76" bestFit="1" customWidth="1"/>
    <col min="9228" max="9472" width="9.140625" style="76"/>
    <col min="9473" max="9473" width="1" style="76" customWidth="1"/>
    <col min="9474" max="9474" width="0.5703125" style="76" customWidth="1"/>
    <col min="9475" max="9475" width="20.140625" style="76" customWidth="1"/>
    <col min="9476" max="9476" width="3.28515625" style="76" customWidth="1"/>
    <col min="9477" max="9477" width="11.42578125" style="76" bestFit="1" customWidth="1"/>
    <col min="9478" max="9478" width="3.5703125" style="76" customWidth="1"/>
    <col min="9479" max="9479" width="11" style="76" bestFit="1" customWidth="1"/>
    <col min="9480" max="9480" width="3.5703125" style="76" customWidth="1"/>
    <col min="9481" max="9481" width="9.7109375" style="76" bestFit="1" customWidth="1"/>
    <col min="9482" max="9482" width="3.28515625" style="76" customWidth="1"/>
    <col min="9483" max="9483" width="10.7109375" style="76" bestFit="1" customWidth="1"/>
    <col min="9484" max="9728" width="9.140625" style="76"/>
    <col min="9729" max="9729" width="1" style="76" customWidth="1"/>
    <col min="9730" max="9730" width="0.5703125" style="76" customWidth="1"/>
    <col min="9731" max="9731" width="20.140625" style="76" customWidth="1"/>
    <col min="9732" max="9732" width="3.28515625" style="76" customWidth="1"/>
    <col min="9733" max="9733" width="11.42578125" style="76" bestFit="1" customWidth="1"/>
    <col min="9734" max="9734" width="3.5703125" style="76" customWidth="1"/>
    <col min="9735" max="9735" width="11" style="76" bestFit="1" customWidth="1"/>
    <col min="9736" max="9736" width="3.5703125" style="76" customWidth="1"/>
    <col min="9737" max="9737" width="9.7109375" style="76" bestFit="1" customWidth="1"/>
    <col min="9738" max="9738" width="3.28515625" style="76" customWidth="1"/>
    <col min="9739" max="9739" width="10.7109375" style="76" bestFit="1" customWidth="1"/>
    <col min="9740" max="9984" width="9.140625" style="76"/>
    <col min="9985" max="9985" width="1" style="76" customWidth="1"/>
    <col min="9986" max="9986" width="0.5703125" style="76" customWidth="1"/>
    <col min="9987" max="9987" width="20.140625" style="76" customWidth="1"/>
    <col min="9988" max="9988" width="3.28515625" style="76" customWidth="1"/>
    <col min="9989" max="9989" width="11.42578125" style="76" bestFit="1" customWidth="1"/>
    <col min="9990" max="9990" width="3.5703125" style="76" customWidth="1"/>
    <col min="9991" max="9991" width="11" style="76" bestFit="1" customWidth="1"/>
    <col min="9992" max="9992" width="3.5703125" style="76" customWidth="1"/>
    <col min="9993" max="9993" width="9.7109375" style="76" bestFit="1" customWidth="1"/>
    <col min="9994" max="9994" width="3.28515625" style="76" customWidth="1"/>
    <col min="9995" max="9995" width="10.7109375" style="76" bestFit="1" customWidth="1"/>
    <col min="9996" max="10240" width="9.140625" style="76"/>
    <col min="10241" max="10241" width="1" style="76" customWidth="1"/>
    <col min="10242" max="10242" width="0.5703125" style="76" customWidth="1"/>
    <col min="10243" max="10243" width="20.140625" style="76" customWidth="1"/>
    <col min="10244" max="10244" width="3.28515625" style="76" customWidth="1"/>
    <col min="10245" max="10245" width="11.42578125" style="76" bestFit="1" customWidth="1"/>
    <col min="10246" max="10246" width="3.5703125" style="76" customWidth="1"/>
    <col min="10247" max="10247" width="11" style="76" bestFit="1" customWidth="1"/>
    <col min="10248" max="10248" width="3.5703125" style="76" customWidth="1"/>
    <col min="10249" max="10249" width="9.7109375" style="76" bestFit="1" customWidth="1"/>
    <col min="10250" max="10250" width="3.28515625" style="76" customWidth="1"/>
    <col min="10251" max="10251" width="10.7109375" style="76" bestFit="1" customWidth="1"/>
    <col min="10252" max="10496" width="9.140625" style="76"/>
    <col min="10497" max="10497" width="1" style="76" customWidth="1"/>
    <col min="10498" max="10498" width="0.5703125" style="76" customWidth="1"/>
    <col min="10499" max="10499" width="20.140625" style="76" customWidth="1"/>
    <col min="10500" max="10500" width="3.28515625" style="76" customWidth="1"/>
    <col min="10501" max="10501" width="11.42578125" style="76" bestFit="1" customWidth="1"/>
    <col min="10502" max="10502" width="3.5703125" style="76" customWidth="1"/>
    <col min="10503" max="10503" width="11" style="76" bestFit="1" customWidth="1"/>
    <col min="10504" max="10504" width="3.5703125" style="76" customWidth="1"/>
    <col min="10505" max="10505" width="9.7109375" style="76" bestFit="1" customWidth="1"/>
    <col min="10506" max="10506" width="3.28515625" style="76" customWidth="1"/>
    <col min="10507" max="10507" width="10.7109375" style="76" bestFit="1" customWidth="1"/>
    <col min="10508" max="10752" width="9.140625" style="76"/>
    <col min="10753" max="10753" width="1" style="76" customWidth="1"/>
    <col min="10754" max="10754" width="0.5703125" style="76" customWidth="1"/>
    <col min="10755" max="10755" width="20.140625" style="76" customWidth="1"/>
    <col min="10756" max="10756" width="3.28515625" style="76" customWidth="1"/>
    <col min="10757" max="10757" width="11.42578125" style="76" bestFit="1" customWidth="1"/>
    <col min="10758" max="10758" width="3.5703125" style="76" customWidth="1"/>
    <col min="10759" max="10759" width="11" style="76" bestFit="1" customWidth="1"/>
    <col min="10760" max="10760" width="3.5703125" style="76" customWidth="1"/>
    <col min="10761" max="10761" width="9.7109375" style="76" bestFit="1" customWidth="1"/>
    <col min="10762" max="10762" width="3.28515625" style="76" customWidth="1"/>
    <col min="10763" max="10763" width="10.7109375" style="76" bestFit="1" customWidth="1"/>
    <col min="10764" max="11008" width="9.140625" style="76"/>
    <col min="11009" max="11009" width="1" style="76" customWidth="1"/>
    <col min="11010" max="11010" width="0.5703125" style="76" customWidth="1"/>
    <col min="11011" max="11011" width="20.140625" style="76" customWidth="1"/>
    <col min="11012" max="11012" width="3.28515625" style="76" customWidth="1"/>
    <col min="11013" max="11013" width="11.42578125" style="76" bestFit="1" customWidth="1"/>
    <col min="11014" max="11014" width="3.5703125" style="76" customWidth="1"/>
    <col min="11015" max="11015" width="11" style="76" bestFit="1" customWidth="1"/>
    <col min="11016" max="11016" width="3.5703125" style="76" customWidth="1"/>
    <col min="11017" max="11017" width="9.7109375" style="76" bestFit="1" customWidth="1"/>
    <col min="11018" max="11018" width="3.28515625" style="76" customWidth="1"/>
    <col min="11019" max="11019" width="10.7109375" style="76" bestFit="1" customWidth="1"/>
    <col min="11020" max="11264" width="9.140625" style="76"/>
    <col min="11265" max="11265" width="1" style="76" customWidth="1"/>
    <col min="11266" max="11266" width="0.5703125" style="76" customWidth="1"/>
    <col min="11267" max="11267" width="20.140625" style="76" customWidth="1"/>
    <col min="11268" max="11268" width="3.28515625" style="76" customWidth="1"/>
    <col min="11269" max="11269" width="11.42578125" style="76" bestFit="1" customWidth="1"/>
    <col min="11270" max="11270" width="3.5703125" style="76" customWidth="1"/>
    <col min="11271" max="11271" width="11" style="76" bestFit="1" customWidth="1"/>
    <col min="11272" max="11272" width="3.5703125" style="76" customWidth="1"/>
    <col min="11273" max="11273" width="9.7109375" style="76" bestFit="1" customWidth="1"/>
    <col min="11274" max="11274" width="3.28515625" style="76" customWidth="1"/>
    <col min="11275" max="11275" width="10.7109375" style="76" bestFit="1" customWidth="1"/>
    <col min="11276" max="11520" width="9.140625" style="76"/>
    <col min="11521" max="11521" width="1" style="76" customWidth="1"/>
    <col min="11522" max="11522" width="0.5703125" style="76" customWidth="1"/>
    <col min="11523" max="11523" width="20.140625" style="76" customWidth="1"/>
    <col min="11524" max="11524" width="3.28515625" style="76" customWidth="1"/>
    <col min="11525" max="11525" width="11.42578125" style="76" bestFit="1" customWidth="1"/>
    <col min="11526" max="11526" width="3.5703125" style="76" customWidth="1"/>
    <col min="11527" max="11527" width="11" style="76" bestFit="1" customWidth="1"/>
    <col min="11528" max="11528" width="3.5703125" style="76" customWidth="1"/>
    <col min="11529" max="11529" width="9.7109375" style="76" bestFit="1" customWidth="1"/>
    <col min="11530" max="11530" width="3.28515625" style="76" customWidth="1"/>
    <col min="11531" max="11531" width="10.7109375" style="76" bestFit="1" customWidth="1"/>
    <col min="11532" max="11776" width="9.140625" style="76"/>
    <col min="11777" max="11777" width="1" style="76" customWidth="1"/>
    <col min="11778" max="11778" width="0.5703125" style="76" customWidth="1"/>
    <col min="11779" max="11779" width="20.140625" style="76" customWidth="1"/>
    <col min="11780" max="11780" width="3.28515625" style="76" customWidth="1"/>
    <col min="11781" max="11781" width="11.42578125" style="76" bestFit="1" customWidth="1"/>
    <col min="11782" max="11782" width="3.5703125" style="76" customWidth="1"/>
    <col min="11783" max="11783" width="11" style="76" bestFit="1" customWidth="1"/>
    <col min="11784" max="11784" width="3.5703125" style="76" customWidth="1"/>
    <col min="11785" max="11785" width="9.7109375" style="76" bestFit="1" customWidth="1"/>
    <col min="11786" max="11786" width="3.28515625" style="76" customWidth="1"/>
    <col min="11787" max="11787" width="10.7109375" style="76" bestFit="1" customWidth="1"/>
    <col min="11788" max="12032" width="9.140625" style="76"/>
    <col min="12033" max="12033" width="1" style="76" customWidth="1"/>
    <col min="12034" max="12034" width="0.5703125" style="76" customWidth="1"/>
    <col min="12035" max="12035" width="20.140625" style="76" customWidth="1"/>
    <col min="12036" max="12036" width="3.28515625" style="76" customWidth="1"/>
    <col min="12037" max="12037" width="11.42578125" style="76" bestFit="1" customWidth="1"/>
    <col min="12038" max="12038" width="3.5703125" style="76" customWidth="1"/>
    <col min="12039" max="12039" width="11" style="76" bestFit="1" customWidth="1"/>
    <col min="12040" max="12040" width="3.5703125" style="76" customWidth="1"/>
    <col min="12041" max="12041" width="9.7109375" style="76" bestFit="1" customWidth="1"/>
    <col min="12042" max="12042" width="3.28515625" style="76" customWidth="1"/>
    <col min="12043" max="12043" width="10.7109375" style="76" bestFit="1" customWidth="1"/>
    <col min="12044" max="12288" width="9.140625" style="76"/>
    <col min="12289" max="12289" width="1" style="76" customWidth="1"/>
    <col min="12290" max="12290" width="0.5703125" style="76" customWidth="1"/>
    <col min="12291" max="12291" width="20.140625" style="76" customWidth="1"/>
    <col min="12292" max="12292" width="3.28515625" style="76" customWidth="1"/>
    <col min="12293" max="12293" width="11.42578125" style="76" bestFit="1" customWidth="1"/>
    <col min="12294" max="12294" width="3.5703125" style="76" customWidth="1"/>
    <col min="12295" max="12295" width="11" style="76" bestFit="1" customWidth="1"/>
    <col min="12296" max="12296" width="3.5703125" style="76" customWidth="1"/>
    <col min="12297" max="12297" width="9.7109375" style="76" bestFit="1" customWidth="1"/>
    <col min="12298" max="12298" width="3.28515625" style="76" customWidth="1"/>
    <col min="12299" max="12299" width="10.7109375" style="76" bestFit="1" customWidth="1"/>
    <col min="12300" max="12544" width="9.140625" style="76"/>
    <col min="12545" max="12545" width="1" style="76" customWidth="1"/>
    <col min="12546" max="12546" width="0.5703125" style="76" customWidth="1"/>
    <col min="12547" max="12547" width="20.140625" style="76" customWidth="1"/>
    <col min="12548" max="12548" width="3.28515625" style="76" customWidth="1"/>
    <col min="12549" max="12549" width="11.42578125" style="76" bestFit="1" customWidth="1"/>
    <col min="12550" max="12550" width="3.5703125" style="76" customWidth="1"/>
    <col min="12551" max="12551" width="11" style="76" bestFit="1" customWidth="1"/>
    <col min="12552" max="12552" width="3.5703125" style="76" customWidth="1"/>
    <col min="12553" max="12553" width="9.7109375" style="76" bestFit="1" customWidth="1"/>
    <col min="12554" max="12554" width="3.28515625" style="76" customWidth="1"/>
    <col min="12555" max="12555" width="10.7109375" style="76" bestFit="1" customWidth="1"/>
    <col min="12556" max="12800" width="9.140625" style="76"/>
    <col min="12801" max="12801" width="1" style="76" customWidth="1"/>
    <col min="12802" max="12802" width="0.5703125" style="76" customWidth="1"/>
    <col min="12803" max="12803" width="20.140625" style="76" customWidth="1"/>
    <col min="12804" max="12804" width="3.28515625" style="76" customWidth="1"/>
    <col min="12805" max="12805" width="11.42578125" style="76" bestFit="1" customWidth="1"/>
    <col min="12806" max="12806" width="3.5703125" style="76" customWidth="1"/>
    <col min="12807" max="12807" width="11" style="76" bestFit="1" customWidth="1"/>
    <col min="12808" max="12808" width="3.5703125" style="76" customWidth="1"/>
    <col min="12809" max="12809" width="9.7109375" style="76" bestFit="1" customWidth="1"/>
    <col min="12810" max="12810" width="3.28515625" style="76" customWidth="1"/>
    <col min="12811" max="12811" width="10.7109375" style="76" bestFit="1" customWidth="1"/>
    <col min="12812" max="13056" width="9.140625" style="76"/>
    <col min="13057" max="13057" width="1" style="76" customWidth="1"/>
    <col min="13058" max="13058" width="0.5703125" style="76" customWidth="1"/>
    <col min="13059" max="13059" width="20.140625" style="76" customWidth="1"/>
    <col min="13060" max="13060" width="3.28515625" style="76" customWidth="1"/>
    <col min="13061" max="13061" width="11.42578125" style="76" bestFit="1" customWidth="1"/>
    <col min="13062" max="13062" width="3.5703125" style="76" customWidth="1"/>
    <col min="13063" max="13063" width="11" style="76" bestFit="1" customWidth="1"/>
    <col min="13064" max="13064" width="3.5703125" style="76" customWidth="1"/>
    <col min="13065" max="13065" width="9.7109375" style="76" bestFit="1" customWidth="1"/>
    <col min="13066" max="13066" width="3.28515625" style="76" customWidth="1"/>
    <col min="13067" max="13067" width="10.7109375" style="76" bestFit="1" customWidth="1"/>
    <col min="13068" max="13312" width="9.140625" style="76"/>
    <col min="13313" max="13313" width="1" style="76" customWidth="1"/>
    <col min="13314" max="13314" width="0.5703125" style="76" customWidth="1"/>
    <col min="13315" max="13315" width="20.140625" style="76" customWidth="1"/>
    <col min="13316" max="13316" width="3.28515625" style="76" customWidth="1"/>
    <col min="13317" max="13317" width="11.42578125" style="76" bestFit="1" customWidth="1"/>
    <col min="13318" max="13318" width="3.5703125" style="76" customWidth="1"/>
    <col min="13319" max="13319" width="11" style="76" bestFit="1" customWidth="1"/>
    <col min="13320" max="13320" width="3.5703125" style="76" customWidth="1"/>
    <col min="13321" max="13321" width="9.7109375" style="76" bestFit="1" customWidth="1"/>
    <col min="13322" max="13322" width="3.28515625" style="76" customWidth="1"/>
    <col min="13323" max="13323" width="10.7109375" style="76" bestFit="1" customWidth="1"/>
    <col min="13324" max="13568" width="9.140625" style="76"/>
    <col min="13569" max="13569" width="1" style="76" customWidth="1"/>
    <col min="13570" max="13570" width="0.5703125" style="76" customWidth="1"/>
    <col min="13571" max="13571" width="20.140625" style="76" customWidth="1"/>
    <col min="13572" max="13572" width="3.28515625" style="76" customWidth="1"/>
    <col min="13573" max="13573" width="11.42578125" style="76" bestFit="1" customWidth="1"/>
    <col min="13574" max="13574" width="3.5703125" style="76" customWidth="1"/>
    <col min="13575" max="13575" width="11" style="76" bestFit="1" customWidth="1"/>
    <col min="13576" max="13576" width="3.5703125" style="76" customWidth="1"/>
    <col min="13577" max="13577" width="9.7109375" style="76" bestFit="1" customWidth="1"/>
    <col min="13578" max="13578" width="3.28515625" style="76" customWidth="1"/>
    <col min="13579" max="13579" width="10.7109375" style="76" bestFit="1" customWidth="1"/>
    <col min="13580" max="13824" width="9.140625" style="76"/>
    <col min="13825" max="13825" width="1" style="76" customWidth="1"/>
    <col min="13826" max="13826" width="0.5703125" style="76" customWidth="1"/>
    <col min="13827" max="13827" width="20.140625" style="76" customWidth="1"/>
    <col min="13828" max="13828" width="3.28515625" style="76" customWidth="1"/>
    <col min="13829" max="13829" width="11.42578125" style="76" bestFit="1" customWidth="1"/>
    <col min="13830" max="13830" width="3.5703125" style="76" customWidth="1"/>
    <col min="13831" max="13831" width="11" style="76" bestFit="1" customWidth="1"/>
    <col min="13832" max="13832" width="3.5703125" style="76" customWidth="1"/>
    <col min="13833" max="13833" width="9.7109375" style="76" bestFit="1" customWidth="1"/>
    <col min="13834" max="13834" width="3.28515625" style="76" customWidth="1"/>
    <col min="13835" max="13835" width="10.7109375" style="76" bestFit="1" customWidth="1"/>
    <col min="13836" max="14080" width="9.140625" style="76"/>
    <col min="14081" max="14081" width="1" style="76" customWidth="1"/>
    <col min="14082" max="14082" width="0.5703125" style="76" customWidth="1"/>
    <col min="14083" max="14083" width="20.140625" style="76" customWidth="1"/>
    <col min="14084" max="14084" width="3.28515625" style="76" customWidth="1"/>
    <col min="14085" max="14085" width="11.42578125" style="76" bestFit="1" customWidth="1"/>
    <col min="14086" max="14086" width="3.5703125" style="76" customWidth="1"/>
    <col min="14087" max="14087" width="11" style="76" bestFit="1" customWidth="1"/>
    <col min="14088" max="14088" width="3.5703125" style="76" customWidth="1"/>
    <col min="14089" max="14089" width="9.7109375" style="76" bestFit="1" customWidth="1"/>
    <col min="14090" max="14090" width="3.28515625" style="76" customWidth="1"/>
    <col min="14091" max="14091" width="10.7109375" style="76" bestFit="1" customWidth="1"/>
    <col min="14092" max="14336" width="9.140625" style="76"/>
    <col min="14337" max="14337" width="1" style="76" customWidth="1"/>
    <col min="14338" max="14338" width="0.5703125" style="76" customWidth="1"/>
    <col min="14339" max="14339" width="20.140625" style="76" customWidth="1"/>
    <col min="14340" max="14340" width="3.28515625" style="76" customWidth="1"/>
    <col min="14341" max="14341" width="11.42578125" style="76" bestFit="1" customWidth="1"/>
    <col min="14342" max="14342" width="3.5703125" style="76" customWidth="1"/>
    <col min="14343" max="14343" width="11" style="76" bestFit="1" customWidth="1"/>
    <col min="14344" max="14344" width="3.5703125" style="76" customWidth="1"/>
    <col min="14345" max="14345" width="9.7109375" style="76" bestFit="1" customWidth="1"/>
    <col min="14346" max="14346" width="3.28515625" style="76" customWidth="1"/>
    <col min="14347" max="14347" width="10.7109375" style="76" bestFit="1" customWidth="1"/>
    <col min="14348" max="14592" width="9.140625" style="76"/>
    <col min="14593" max="14593" width="1" style="76" customWidth="1"/>
    <col min="14594" max="14594" width="0.5703125" style="76" customWidth="1"/>
    <col min="14595" max="14595" width="20.140625" style="76" customWidth="1"/>
    <col min="14596" max="14596" width="3.28515625" style="76" customWidth="1"/>
    <col min="14597" max="14597" width="11.42578125" style="76" bestFit="1" customWidth="1"/>
    <col min="14598" max="14598" width="3.5703125" style="76" customWidth="1"/>
    <col min="14599" max="14599" width="11" style="76" bestFit="1" customWidth="1"/>
    <col min="14600" max="14600" width="3.5703125" style="76" customWidth="1"/>
    <col min="14601" max="14601" width="9.7109375" style="76" bestFit="1" customWidth="1"/>
    <col min="14602" max="14602" width="3.28515625" style="76" customWidth="1"/>
    <col min="14603" max="14603" width="10.7109375" style="76" bestFit="1" customWidth="1"/>
    <col min="14604" max="14848" width="9.140625" style="76"/>
    <col min="14849" max="14849" width="1" style="76" customWidth="1"/>
    <col min="14850" max="14850" width="0.5703125" style="76" customWidth="1"/>
    <col min="14851" max="14851" width="20.140625" style="76" customWidth="1"/>
    <col min="14852" max="14852" width="3.28515625" style="76" customWidth="1"/>
    <col min="14853" max="14853" width="11.42578125" style="76" bestFit="1" customWidth="1"/>
    <col min="14854" max="14854" width="3.5703125" style="76" customWidth="1"/>
    <col min="14855" max="14855" width="11" style="76" bestFit="1" customWidth="1"/>
    <col min="14856" max="14856" width="3.5703125" style="76" customWidth="1"/>
    <col min="14857" max="14857" width="9.7109375" style="76" bestFit="1" customWidth="1"/>
    <col min="14858" max="14858" width="3.28515625" style="76" customWidth="1"/>
    <col min="14859" max="14859" width="10.7109375" style="76" bestFit="1" customWidth="1"/>
    <col min="14860" max="15104" width="9.140625" style="76"/>
    <col min="15105" max="15105" width="1" style="76" customWidth="1"/>
    <col min="15106" max="15106" width="0.5703125" style="76" customWidth="1"/>
    <col min="15107" max="15107" width="20.140625" style="76" customWidth="1"/>
    <col min="15108" max="15108" width="3.28515625" style="76" customWidth="1"/>
    <col min="15109" max="15109" width="11.42578125" style="76" bestFit="1" customWidth="1"/>
    <col min="15110" max="15110" width="3.5703125" style="76" customWidth="1"/>
    <col min="15111" max="15111" width="11" style="76" bestFit="1" customWidth="1"/>
    <col min="15112" max="15112" width="3.5703125" style="76" customWidth="1"/>
    <col min="15113" max="15113" width="9.7109375" style="76" bestFit="1" customWidth="1"/>
    <col min="15114" max="15114" width="3.28515625" style="76" customWidth="1"/>
    <col min="15115" max="15115" width="10.7109375" style="76" bestFit="1" customWidth="1"/>
    <col min="15116" max="15360" width="9.140625" style="76"/>
    <col min="15361" max="15361" width="1" style="76" customWidth="1"/>
    <col min="15362" max="15362" width="0.5703125" style="76" customWidth="1"/>
    <col min="15363" max="15363" width="20.140625" style="76" customWidth="1"/>
    <col min="15364" max="15364" width="3.28515625" style="76" customWidth="1"/>
    <col min="15365" max="15365" width="11.42578125" style="76" bestFit="1" customWidth="1"/>
    <col min="15366" max="15366" width="3.5703125" style="76" customWidth="1"/>
    <col min="15367" max="15367" width="11" style="76" bestFit="1" customWidth="1"/>
    <col min="15368" max="15368" width="3.5703125" style="76" customWidth="1"/>
    <col min="15369" max="15369" width="9.7109375" style="76" bestFit="1" customWidth="1"/>
    <col min="15370" max="15370" width="3.28515625" style="76" customWidth="1"/>
    <col min="15371" max="15371" width="10.7109375" style="76" bestFit="1" customWidth="1"/>
    <col min="15372" max="15616" width="9.140625" style="76"/>
    <col min="15617" max="15617" width="1" style="76" customWidth="1"/>
    <col min="15618" max="15618" width="0.5703125" style="76" customWidth="1"/>
    <col min="15619" max="15619" width="20.140625" style="76" customWidth="1"/>
    <col min="15620" max="15620" width="3.28515625" style="76" customWidth="1"/>
    <col min="15621" max="15621" width="11.42578125" style="76" bestFit="1" customWidth="1"/>
    <col min="15622" max="15622" width="3.5703125" style="76" customWidth="1"/>
    <col min="15623" max="15623" width="11" style="76" bestFit="1" customWidth="1"/>
    <col min="15624" max="15624" width="3.5703125" style="76" customWidth="1"/>
    <col min="15625" max="15625" width="9.7109375" style="76" bestFit="1" customWidth="1"/>
    <col min="15626" max="15626" width="3.28515625" style="76" customWidth="1"/>
    <col min="15627" max="15627" width="10.7109375" style="76" bestFit="1" customWidth="1"/>
    <col min="15628" max="15872" width="9.140625" style="76"/>
    <col min="15873" max="15873" width="1" style="76" customWidth="1"/>
    <col min="15874" max="15874" width="0.5703125" style="76" customWidth="1"/>
    <col min="15875" max="15875" width="20.140625" style="76" customWidth="1"/>
    <col min="15876" max="15876" width="3.28515625" style="76" customWidth="1"/>
    <col min="15877" max="15877" width="11.42578125" style="76" bestFit="1" customWidth="1"/>
    <col min="15878" max="15878" width="3.5703125" style="76" customWidth="1"/>
    <col min="15879" max="15879" width="11" style="76" bestFit="1" customWidth="1"/>
    <col min="15880" max="15880" width="3.5703125" style="76" customWidth="1"/>
    <col min="15881" max="15881" width="9.7109375" style="76" bestFit="1" customWidth="1"/>
    <col min="15882" max="15882" width="3.28515625" style="76" customWidth="1"/>
    <col min="15883" max="15883" width="10.7109375" style="76" bestFit="1" customWidth="1"/>
    <col min="15884" max="16128" width="9.140625" style="76"/>
    <col min="16129" max="16129" width="1" style="76" customWidth="1"/>
    <col min="16130" max="16130" width="0.5703125" style="76" customWidth="1"/>
    <col min="16131" max="16131" width="20.140625" style="76" customWidth="1"/>
    <col min="16132" max="16132" width="3.28515625" style="76" customWidth="1"/>
    <col min="16133" max="16133" width="11.42578125" style="76" bestFit="1" customWidth="1"/>
    <col min="16134" max="16134" width="3.5703125" style="76" customWidth="1"/>
    <col min="16135" max="16135" width="11" style="76" bestFit="1" customWidth="1"/>
    <col min="16136" max="16136" width="3.5703125" style="76" customWidth="1"/>
    <col min="16137" max="16137" width="9.7109375" style="76" bestFit="1" customWidth="1"/>
    <col min="16138" max="16138" width="3.28515625" style="76" customWidth="1"/>
    <col min="16139" max="16139" width="10.7109375" style="76" bestFit="1" customWidth="1"/>
    <col min="16140" max="16384" width="9.140625" style="76"/>
  </cols>
  <sheetData>
    <row r="1" spans="1:12">
      <c r="A1" s="369" t="s">
        <v>1452</v>
      </c>
      <c r="B1" s="369"/>
      <c r="C1" s="369"/>
      <c r="D1" s="369"/>
      <c r="E1" s="369"/>
      <c r="F1" s="369"/>
      <c r="G1" s="369"/>
      <c r="H1" s="369"/>
      <c r="I1" s="369"/>
      <c r="J1" s="369"/>
      <c r="K1" s="369"/>
    </row>
    <row r="2" spans="1:12">
      <c r="A2" s="369" t="s">
        <v>1460</v>
      </c>
      <c r="B2" s="369"/>
      <c r="C2" s="369"/>
      <c r="D2" s="369"/>
      <c r="E2" s="369"/>
      <c r="F2" s="369"/>
      <c r="G2" s="369"/>
      <c r="H2" s="369"/>
      <c r="I2" s="369"/>
      <c r="J2" s="369"/>
      <c r="K2" s="369"/>
    </row>
    <row r="3" spans="1:12">
      <c r="A3" s="83"/>
    </row>
    <row r="4" spans="1:12">
      <c r="A4" s="83"/>
    </row>
    <row r="5" spans="1:12">
      <c r="I5" s="84"/>
      <c r="K5" s="84"/>
    </row>
    <row r="6" spans="1:12" ht="27.75" customHeight="1">
      <c r="C6" s="372" t="s">
        <v>1461</v>
      </c>
      <c r="D6" s="372"/>
      <c r="E6" s="372"/>
      <c r="F6" s="372"/>
      <c r="G6" s="372"/>
      <c r="H6" s="372"/>
      <c r="I6" s="372"/>
      <c r="J6" s="372"/>
      <c r="K6" s="372"/>
    </row>
    <row r="7" spans="1:12">
      <c r="C7" s="85"/>
      <c r="E7" s="85"/>
      <c r="G7" s="85"/>
      <c r="I7" s="85"/>
      <c r="K7" s="85"/>
    </row>
    <row r="8" spans="1:12">
      <c r="A8" s="86"/>
    </row>
    <row r="9" spans="1:12">
      <c r="E9" s="87"/>
      <c r="G9" s="88"/>
      <c r="I9" s="89"/>
      <c r="K9" s="87"/>
    </row>
    <row r="10" spans="1:12">
      <c r="E10" s="87"/>
      <c r="G10" s="88"/>
      <c r="I10" s="89"/>
      <c r="K10" s="90"/>
    </row>
    <row r="11" spans="1:12">
      <c r="E11" s="87"/>
      <c r="G11" s="88"/>
      <c r="I11" s="89"/>
      <c r="K11" s="90"/>
    </row>
    <row r="12" spans="1:12">
      <c r="E12" s="87"/>
      <c r="F12" s="87"/>
      <c r="G12" s="87"/>
      <c r="H12" s="87"/>
      <c r="I12" s="91"/>
      <c r="J12" s="87"/>
      <c r="K12" s="87"/>
      <c r="L12" s="87"/>
    </row>
    <row r="13" spans="1:12">
      <c r="E13" s="87"/>
      <c r="F13" s="87"/>
      <c r="G13" s="87"/>
      <c r="H13" s="87"/>
      <c r="I13" s="87"/>
      <c r="J13" s="87"/>
      <c r="K13" s="87"/>
      <c r="L13" s="87"/>
    </row>
    <row r="14" spans="1:12">
      <c r="E14" s="87"/>
      <c r="F14" s="87"/>
      <c r="G14" s="87"/>
      <c r="H14" s="87"/>
      <c r="I14" s="87"/>
      <c r="J14" s="87"/>
      <c r="K14" s="87"/>
      <c r="L14" s="87"/>
    </row>
    <row r="15" spans="1:12">
      <c r="C15" s="92"/>
    </row>
    <row r="16" spans="1:12">
      <c r="A16" s="86"/>
    </row>
    <row r="17" spans="1:11">
      <c r="E17" s="87"/>
      <c r="G17" s="87"/>
      <c r="I17" s="87"/>
      <c r="K17" s="87"/>
    </row>
    <row r="18" spans="1:11">
      <c r="E18" s="87"/>
      <c r="G18" s="87"/>
      <c r="I18" s="87"/>
      <c r="K18" s="90"/>
    </row>
    <row r="19" spans="1:11">
      <c r="E19" s="87"/>
      <c r="G19" s="87"/>
      <c r="I19" s="87"/>
      <c r="K19" s="90"/>
    </row>
    <row r="20" spans="1:11">
      <c r="I20" s="93"/>
    </row>
    <row r="21" spans="1:11">
      <c r="I21" s="93"/>
    </row>
    <row r="22" spans="1:11">
      <c r="A22" s="86"/>
      <c r="I22" s="94"/>
    </row>
    <row r="23" spans="1:11">
      <c r="I23" s="93"/>
    </row>
  </sheetData>
  <mergeCells count="3">
    <mergeCell ref="A1:K1"/>
    <mergeCell ref="A2:K2"/>
    <mergeCell ref="C6:K6"/>
  </mergeCells>
  <printOptions horizontalCentered="1"/>
  <pageMargins left="0.75" right="0.75" top="1" bottom="1" header="0.5" footer="0.5"/>
  <pageSetup orientation="portrait" horizontalDpi="300" verticalDpi="300" r:id="rId1"/>
  <headerFooter alignWithMargins="0">
    <oddHeader xml:space="preserve">&amp;R&amp;"Arial,Bold"Appendix A
Page 5 </oddHeader>
  </headerFooter>
</worksheet>
</file>

<file path=xl/worksheets/sheet15.xml><?xml version="1.0" encoding="utf-8"?>
<worksheet xmlns="http://schemas.openxmlformats.org/spreadsheetml/2006/main" xmlns:r="http://schemas.openxmlformats.org/officeDocument/2006/relationships">
  <sheetPr>
    <tabColor rgb="FF00B050"/>
  </sheetPr>
  <dimension ref="A1:I20"/>
  <sheetViews>
    <sheetView topLeftCell="A2" workbookViewId="0">
      <selection activeCell="E47" sqref="E47"/>
    </sheetView>
  </sheetViews>
  <sheetFormatPr defaultColWidth="13.7109375" defaultRowHeight="12.75"/>
  <cols>
    <col min="1" max="1" width="44.7109375" style="81" customWidth="1"/>
    <col min="2" max="2" width="3.140625" style="81" customWidth="1"/>
    <col min="3" max="3" width="15" style="81" bestFit="1" customWidth="1"/>
    <col min="4" max="4" width="3.5703125" style="81" customWidth="1"/>
    <col min="5" max="5" width="15" style="81" bestFit="1" customWidth="1"/>
    <col min="6" max="6" width="3.7109375" style="81" customWidth="1"/>
    <col min="7" max="7" width="15" style="81" bestFit="1" customWidth="1"/>
    <col min="8" max="8" width="3.42578125" style="81" customWidth="1"/>
    <col min="9" max="9" width="16.5703125" style="81" bestFit="1" customWidth="1"/>
    <col min="10" max="256" width="13.7109375" style="81"/>
    <col min="257" max="257" width="44.7109375" style="81" customWidth="1"/>
    <col min="258" max="258" width="3.140625" style="81" customWidth="1"/>
    <col min="259" max="259" width="15" style="81" bestFit="1" customWidth="1"/>
    <col min="260" max="260" width="3.5703125" style="81" customWidth="1"/>
    <col min="261" max="261" width="15" style="81" bestFit="1" customWidth="1"/>
    <col min="262" max="262" width="3.7109375" style="81" customWidth="1"/>
    <col min="263" max="263" width="15" style="81" bestFit="1" customWidth="1"/>
    <col min="264" max="264" width="3.42578125" style="81" customWidth="1"/>
    <col min="265" max="265" width="16.5703125" style="81" bestFit="1" customWidth="1"/>
    <col min="266" max="512" width="13.7109375" style="81"/>
    <col min="513" max="513" width="44.7109375" style="81" customWidth="1"/>
    <col min="514" max="514" width="3.140625" style="81" customWidth="1"/>
    <col min="515" max="515" width="15" style="81" bestFit="1" customWidth="1"/>
    <col min="516" max="516" width="3.5703125" style="81" customWidth="1"/>
    <col min="517" max="517" width="15" style="81" bestFit="1" customWidth="1"/>
    <col min="518" max="518" width="3.7109375" style="81" customWidth="1"/>
    <col min="519" max="519" width="15" style="81" bestFit="1" customWidth="1"/>
    <col min="520" max="520" width="3.42578125" style="81" customWidth="1"/>
    <col min="521" max="521" width="16.5703125" style="81" bestFit="1" customWidth="1"/>
    <col min="522" max="768" width="13.7109375" style="81"/>
    <col min="769" max="769" width="44.7109375" style="81" customWidth="1"/>
    <col min="770" max="770" width="3.140625" style="81" customWidth="1"/>
    <col min="771" max="771" width="15" style="81" bestFit="1" customWidth="1"/>
    <col min="772" max="772" width="3.5703125" style="81" customWidth="1"/>
    <col min="773" max="773" width="15" style="81" bestFit="1" customWidth="1"/>
    <col min="774" max="774" width="3.7109375" style="81" customWidth="1"/>
    <col min="775" max="775" width="15" style="81" bestFit="1" customWidth="1"/>
    <col min="776" max="776" width="3.42578125" style="81" customWidth="1"/>
    <col min="777" max="777" width="16.5703125" style="81" bestFit="1" customWidth="1"/>
    <col min="778" max="1024" width="13.7109375" style="81"/>
    <col min="1025" max="1025" width="44.7109375" style="81" customWidth="1"/>
    <col min="1026" max="1026" width="3.140625" style="81" customWidth="1"/>
    <col min="1027" max="1027" width="15" style="81" bestFit="1" customWidth="1"/>
    <col min="1028" max="1028" width="3.5703125" style="81" customWidth="1"/>
    <col min="1029" max="1029" width="15" style="81" bestFit="1" customWidth="1"/>
    <col min="1030" max="1030" width="3.7109375" style="81" customWidth="1"/>
    <col min="1031" max="1031" width="15" style="81" bestFit="1" customWidth="1"/>
    <col min="1032" max="1032" width="3.42578125" style="81" customWidth="1"/>
    <col min="1033" max="1033" width="16.5703125" style="81" bestFit="1" customWidth="1"/>
    <col min="1034" max="1280" width="13.7109375" style="81"/>
    <col min="1281" max="1281" width="44.7109375" style="81" customWidth="1"/>
    <col min="1282" max="1282" width="3.140625" style="81" customWidth="1"/>
    <col min="1283" max="1283" width="15" style="81" bestFit="1" customWidth="1"/>
    <col min="1284" max="1284" width="3.5703125" style="81" customWidth="1"/>
    <col min="1285" max="1285" width="15" style="81" bestFit="1" customWidth="1"/>
    <col min="1286" max="1286" width="3.7109375" style="81" customWidth="1"/>
    <col min="1287" max="1287" width="15" style="81" bestFit="1" customWidth="1"/>
    <col min="1288" max="1288" width="3.42578125" style="81" customWidth="1"/>
    <col min="1289" max="1289" width="16.5703125" style="81" bestFit="1" customWidth="1"/>
    <col min="1290" max="1536" width="13.7109375" style="81"/>
    <col min="1537" max="1537" width="44.7109375" style="81" customWidth="1"/>
    <col min="1538" max="1538" width="3.140625" style="81" customWidth="1"/>
    <col min="1539" max="1539" width="15" style="81" bestFit="1" customWidth="1"/>
    <col min="1540" max="1540" width="3.5703125" style="81" customWidth="1"/>
    <col min="1541" max="1541" width="15" style="81" bestFit="1" customWidth="1"/>
    <col min="1542" max="1542" width="3.7109375" style="81" customWidth="1"/>
    <col min="1543" max="1543" width="15" style="81" bestFit="1" customWidth="1"/>
    <col min="1544" max="1544" width="3.42578125" style="81" customWidth="1"/>
    <col min="1545" max="1545" width="16.5703125" style="81" bestFit="1" customWidth="1"/>
    <col min="1546" max="1792" width="13.7109375" style="81"/>
    <col min="1793" max="1793" width="44.7109375" style="81" customWidth="1"/>
    <col min="1794" max="1794" width="3.140625" style="81" customWidth="1"/>
    <col min="1795" max="1795" width="15" style="81" bestFit="1" customWidth="1"/>
    <col min="1796" max="1796" width="3.5703125" style="81" customWidth="1"/>
    <col min="1797" max="1797" width="15" style="81" bestFit="1" customWidth="1"/>
    <col min="1798" max="1798" width="3.7109375" style="81" customWidth="1"/>
    <col min="1799" max="1799" width="15" style="81" bestFit="1" customWidth="1"/>
    <col min="1800" max="1800" width="3.42578125" style="81" customWidth="1"/>
    <col min="1801" max="1801" width="16.5703125" style="81" bestFit="1" customWidth="1"/>
    <col min="1802" max="2048" width="13.7109375" style="81"/>
    <col min="2049" max="2049" width="44.7109375" style="81" customWidth="1"/>
    <col min="2050" max="2050" width="3.140625" style="81" customWidth="1"/>
    <col min="2051" max="2051" width="15" style="81" bestFit="1" customWidth="1"/>
    <col min="2052" max="2052" width="3.5703125" style="81" customWidth="1"/>
    <col min="2053" max="2053" width="15" style="81" bestFit="1" customWidth="1"/>
    <col min="2054" max="2054" width="3.7109375" style="81" customWidth="1"/>
    <col min="2055" max="2055" width="15" style="81" bestFit="1" customWidth="1"/>
    <col min="2056" max="2056" width="3.42578125" style="81" customWidth="1"/>
    <col min="2057" max="2057" width="16.5703125" style="81" bestFit="1" customWidth="1"/>
    <col min="2058" max="2304" width="13.7109375" style="81"/>
    <col min="2305" max="2305" width="44.7109375" style="81" customWidth="1"/>
    <col min="2306" max="2306" width="3.140625" style="81" customWidth="1"/>
    <col min="2307" max="2307" width="15" style="81" bestFit="1" customWidth="1"/>
    <col min="2308" max="2308" width="3.5703125" style="81" customWidth="1"/>
    <col min="2309" max="2309" width="15" style="81" bestFit="1" customWidth="1"/>
    <col min="2310" max="2310" width="3.7109375" style="81" customWidth="1"/>
    <col min="2311" max="2311" width="15" style="81" bestFit="1" customWidth="1"/>
    <col min="2312" max="2312" width="3.42578125" style="81" customWidth="1"/>
    <col min="2313" max="2313" width="16.5703125" style="81" bestFit="1" customWidth="1"/>
    <col min="2314" max="2560" width="13.7109375" style="81"/>
    <col min="2561" max="2561" width="44.7109375" style="81" customWidth="1"/>
    <col min="2562" max="2562" width="3.140625" style="81" customWidth="1"/>
    <col min="2563" max="2563" width="15" style="81" bestFit="1" customWidth="1"/>
    <col min="2564" max="2564" width="3.5703125" style="81" customWidth="1"/>
    <col min="2565" max="2565" width="15" style="81" bestFit="1" customWidth="1"/>
    <col min="2566" max="2566" width="3.7109375" style="81" customWidth="1"/>
    <col min="2567" max="2567" width="15" style="81" bestFit="1" customWidth="1"/>
    <col min="2568" max="2568" width="3.42578125" style="81" customWidth="1"/>
    <col min="2569" max="2569" width="16.5703125" style="81" bestFit="1" customWidth="1"/>
    <col min="2570" max="2816" width="13.7109375" style="81"/>
    <col min="2817" max="2817" width="44.7109375" style="81" customWidth="1"/>
    <col min="2818" max="2818" width="3.140625" style="81" customWidth="1"/>
    <col min="2819" max="2819" width="15" style="81" bestFit="1" customWidth="1"/>
    <col min="2820" max="2820" width="3.5703125" style="81" customWidth="1"/>
    <col min="2821" max="2821" width="15" style="81" bestFit="1" customWidth="1"/>
    <col min="2822" max="2822" width="3.7109375" style="81" customWidth="1"/>
    <col min="2823" max="2823" width="15" style="81" bestFit="1" customWidth="1"/>
    <col min="2824" max="2824" width="3.42578125" style="81" customWidth="1"/>
    <col min="2825" max="2825" width="16.5703125" style="81" bestFit="1" customWidth="1"/>
    <col min="2826" max="3072" width="13.7109375" style="81"/>
    <col min="3073" max="3073" width="44.7109375" style="81" customWidth="1"/>
    <col min="3074" max="3074" width="3.140625" style="81" customWidth="1"/>
    <col min="3075" max="3075" width="15" style="81" bestFit="1" customWidth="1"/>
    <col min="3076" max="3076" width="3.5703125" style="81" customWidth="1"/>
    <col min="3077" max="3077" width="15" style="81" bestFit="1" customWidth="1"/>
    <col min="3078" max="3078" width="3.7109375" style="81" customWidth="1"/>
    <col min="3079" max="3079" width="15" style="81" bestFit="1" customWidth="1"/>
    <col min="3080" max="3080" width="3.42578125" style="81" customWidth="1"/>
    <col min="3081" max="3081" width="16.5703125" style="81" bestFit="1" customWidth="1"/>
    <col min="3082" max="3328" width="13.7109375" style="81"/>
    <col min="3329" max="3329" width="44.7109375" style="81" customWidth="1"/>
    <col min="3330" max="3330" width="3.140625" style="81" customWidth="1"/>
    <col min="3331" max="3331" width="15" style="81" bestFit="1" customWidth="1"/>
    <col min="3332" max="3332" width="3.5703125" style="81" customWidth="1"/>
    <col min="3333" max="3333" width="15" style="81" bestFit="1" customWidth="1"/>
    <col min="3334" max="3334" width="3.7109375" style="81" customWidth="1"/>
    <col min="3335" max="3335" width="15" style="81" bestFit="1" customWidth="1"/>
    <col min="3336" max="3336" width="3.42578125" style="81" customWidth="1"/>
    <col min="3337" max="3337" width="16.5703125" style="81" bestFit="1" customWidth="1"/>
    <col min="3338" max="3584" width="13.7109375" style="81"/>
    <col min="3585" max="3585" width="44.7109375" style="81" customWidth="1"/>
    <col min="3586" max="3586" width="3.140625" style="81" customWidth="1"/>
    <col min="3587" max="3587" width="15" style="81" bestFit="1" customWidth="1"/>
    <col min="3588" max="3588" width="3.5703125" style="81" customWidth="1"/>
    <col min="3589" max="3589" width="15" style="81" bestFit="1" customWidth="1"/>
    <col min="3590" max="3590" width="3.7109375" style="81" customWidth="1"/>
    <col min="3591" max="3591" width="15" style="81" bestFit="1" customWidth="1"/>
    <col min="3592" max="3592" width="3.42578125" style="81" customWidth="1"/>
    <col min="3593" max="3593" width="16.5703125" style="81" bestFit="1" customWidth="1"/>
    <col min="3594" max="3840" width="13.7109375" style="81"/>
    <col min="3841" max="3841" width="44.7109375" style="81" customWidth="1"/>
    <col min="3842" max="3842" width="3.140625" style="81" customWidth="1"/>
    <col min="3843" max="3843" width="15" style="81" bestFit="1" customWidth="1"/>
    <col min="3844" max="3844" width="3.5703125" style="81" customWidth="1"/>
    <col min="3845" max="3845" width="15" style="81" bestFit="1" customWidth="1"/>
    <col min="3846" max="3846" width="3.7109375" style="81" customWidth="1"/>
    <col min="3847" max="3847" width="15" style="81" bestFit="1" customWidth="1"/>
    <col min="3848" max="3848" width="3.42578125" style="81" customWidth="1"/>
    <col min="3849" max="3849" width="16.5703125" style="81" bestFit="1" customWidth="1"/>
    <col min="3850" max="4096" width="13.7109375" style="81"/>
    <col min="4097" max="4097" width="44.7109375" style="81" customWidth="1"/>
    <col min="4098" max="4098" width="3.140625" style="81" customWidth="1"/>
    <col min="4099" max="4099" width="15" style="81" bestFit="1" customWidth="1"/>
    <col min="4100" max="4100" width="3.5703125" style="81" customWidth="1"/>
    <col min="4101" max="4101" width="15" style="81" bestFit="1" customWidth="1"/>
    <col min="4102" max="4102" width="3.7109375" style="81" customWidth="1"/>
    <col min="4103" max="4103" width="15" style="81" bestFit="1" customWidth="1"/>
    <col min="4104" max="4104" width="3.42578125" style="81" customWidth="1"/>
    <col min="4105" max="4105" width="16.5703125" style="81" bestFit="1" customWidth="1"/>
    <col min="4106" max="4352" width="13.7109375" style="81"/>
    <col min="4353" max="4353" width="44.7109375" style="81" customWidth="1"/>
    <col min="4354" max="4354" width="3.140625" style="81" customWidth="1"/>
    <col min="4355" max="4355" width="15" style="81" bestFit="1" customWidth="1"/>
    <col min="4356" max="4356" width="3.5703125" style="81" customWidth="1"/>
    <col min="4357" max="4357" width="15" style="81" bestFit="1" customWidth="1"/>
    <col min="4358" max="4358" width="3.7109375" style="81" customWidth="1"/>
    <col min="4359" max="4359" width="15" style="81" bestFit="1" customWidth="1"/>
    <col min="4360" max="4360" width="3.42578125" style="81" customWidth="1"/>
    <col min="4361" max="4361" width="16.5703125" style="81" bestFit="1" customWidth="1"/>
    <col min="4362" max="4608" width="13.7109375" style="81"/>
    <col min="4609" max="4609" width="44.7109375" style="81" customWidth="1"/>
    <col min="4610" max="4610" width="3.140625" style="81" customWidth="1"/>
    <col min="4611" max="4611" width="15" style="81" bestFit="1" customWidth="1"/>
    <col min="4612" max="4612" width="3.5703125" style="81" customWidth="1"/>
    <col min="4613" max="4613" width="15" style="81" bestFit="1" customWidth="1"/>
    <col min="4614" max="4614" width="3.7109375" style="81" customWidth="1"/>
    <col min="4615" max="4615" width="15" style="81" bestFit="1" customWidth="1"/>
    <col min="4616" max="4616" width="3.42578125" style="81" customWidth="1"/>
    <col min="4617" max="4617" width="16.5703125" style="81" bestFit="1" customWidth="1"/>
    <col min="4618" max="4864" width="13.7109375" style="81"/>
    <col min="4865" max="4865" width="44.7109375" style="81" customWidth="1"/>
    <col min="4866" max="4866" width="3.140625" style="81" customWidth="1"/>
    <col min="4867" max="4867" width="15" style="81" bestFit="1" customWidth="1"/>
    <col min="4868" max="4868" width="3.5703125" style="81" customWidth="1"/>
    <col min="4869" max="4869" width="15" style="81" bestFit="1" customWidth="1"/>
    <col min="4870" max="4870" width="3.7109375" style="81" customWidth="1"/>
    <col min="4871" max="4871" width="15" style="81" bestFit="1" customWidth="1"/>
    <col min="4872" max="4872" width="3.42578125" style="81" customWidth="1"/>
    <col min="4873" max="4873" width="16.5703125" style="81" bestFit="1" customWidth="1"/>
    <col min="4874" max="5120" width="13.7109375" style="81"/>
    <col min="5121" max="5121" width="44.7109375" style="81" customWidth="1"/>
    <col min="5122" max="5122" width="3.140625" style="81" customWidth="1"/>
    <col min="5123" max="5123" width="15" style="81" bestFit="1" customWidth="1"/>
    <col min="5124" max="5124" width="3.5703125" style="81" customWidth="1"/>
    <col min="5125" max="5125" width="15" style="81" bestFit="1" customWidth="1"/>
    <col min="5126" max="5126" width="3.7109375" style="81" customWidth="1"/>
    <col min="5127" max="5127" width="15" style="81" bestFit="1" customWidth="1"/>
    <col min="5128" max="5128" width="3.42578125" style="81" customWidth="1"/>
    <col min="5129" max="5129" width="16.5703125" style="81" bestFit="1" customWidth="1"/>
    <col min="5130" max="5376" width="13.7109375" style="81"/>
    <col min="5377" max="5377" width="44.7109375" style="81" customWidth="1"/>
    <col min="5378" max="5378" width="3.140625" style="81" customWidth="1"/>
    <col min="5379" max="5379" width="15" style="81" bestFit="1" customWidth="1"/>
    <col min="5380" max="5380" width="3.5703125" style="81" customWidth="1"/>
    <col min="5381" max="5381" width="15" style="81" bestFit="1" customWidth="1"/>
    <col min="5382" max="5382" width="3.7109375" style="81" customWidth="1"/>
    <col min="5383" max="5383" width="15" style="81" bestFit="1" customWidth="1"/>
    <col min="5384" max="5384" width="3.42578125" style="81" customWidth="1"/>
    <col min="5385" max="5385" width="16.5703125" style="81" bestFit="1" customWidth="1"/>
    <col min="5386" max="5632" width="13.7109375" style="81"/>
    <col min="5633" max="5633" width="44.7109375" style="81" customWidth="1"/>
    <col min="5634" max="5634" width="3.140625" style="81" customWidth="1"/>
    <col min="5635" max="5635" width="15" style="81" bestFit="1" customWidth="1"/>
    <col min="5636" max="5636" width="3.5703125" style="81" customWidth="1"/>
    <col min="5637" max="5637" width="15" style="81" bestFit="1" customWidth="1"/>
    <col min="5638" max="5638" width="3.7109375" style="81" customWidth="1"/>
    <col min="5639" max="5639" width="15" style="81" bestFit="1" customWidth="1"/>
    <col min="5640" max="5640" width="3.42578125" style="81" customWidth="1"/>
    <col min="5641" max="5641" width="16.5703125" style="81" bestFit="1" customWidth="1"/>
    <col min="5642" max="5888" width="13.7109375" style="81"/>
    <col min="5889" max="5889" width="44.7109375" style="81" customWidth="1"/>
    <col min="5890" max="5890" width="3.140625" style="81" customWidth="1"/>
    <col min="5891" max="5891" width="15" style="81" bestFit="1" customWidth="1"/>
    <col min="5892" max="5892" width="3.5703125" style="81" customWidth="1"/>
    <col min="5893" max="5893" width="15" style="81" bestFit="1" customWidth="1"/>
    <col min="5894" max="5894" width="3.7109375" style="81" customWidth="1"/>
    <col min="5895" max="5895" width="15" style="81" bestFit="1" customWidth="1"/>
    <col min="5896" max="5896" width="3.42578125" style="81" customWidth="1"/>
    <col min="5897" max="5897" width="16.5703125" style="81" bestFit="1" customWidth="1"/>
    <col min="5898" max="6144" width="13.7109375" style="81"/>
    <col min="6145" max="6145" width="44.7109375" style="81" customWidth="1"/>
    <col min="6146" max="6146" width="3.140625" style="81" customWidth="1"/>
    <col min="6147" max="6147" width="15" style="81" bestFit="1" customWidth="1"/>
    <col min="6148" max="6148" width="3.5703125" style="81" customWidth="1"/>
    <col min="6149" max="6149" width="15" style="81" bestFit="1" customWidth="1"/>
    <col min="6150" max="6150" width="3.7109375" style="81" customWidth="1"/>
    <col min="6151" max="6151" width="15" style="81" bestFit="1" customWidth="1"/>
    <col min="6152" max="6152" width="3.42578125" style="81" customWidth="1"/>
    <col min="6153" max="6153" width="16.5703125" style="81" bestFit="1" customWidth="1"/>
    <col min="6154" max="6400" width="13.7109375" style="81"/>
    <col min="6401" max="6401" width="44.7109375" style="81" customWidth="1"/>
    <col min="6402" max="6402" width="3.140625" style="81" customWidth="1"/>
    <col min="6403" max="6403" width="15" style="81" bestFit="1" customWidth="1"/>
    <col min="6404" max="6404" width="3.5703125" style="81" customWidth="1"/>
    <col min="6405" max="6405" width="15" style="81" bestFit="1" customWidth="1"/>
    <col min="6406" max="6406" width="3.7109375" style="81" customWidth="1"/>
    <col min="6407" max="6407" width="15" style="81" bestFit="1" customWidth="1"/>
    <col min="6408" max="6408" width="3.42578125" style="81" customWidth="1"/>
    <col min="6409" max="6409" width="16.5703125" style="81" bestFit="1" customWidth="1"/>
    <col min="6410" max="6656" width="13.7109375" style="81"/>
    <col min="6657" max="6657" width="44.7109375" style="81" customWidth="1"/>
    <col min="6658" max="6658" width="3.140625" style="81" customWidth="1"/>
    <col min="6659" max="6659" width="15" style="81" bestFit="1" customWidth="1"/>
    <col min="6660" max="6660" width="3.5703125" style="81" customWidth="1"/>
    <col min="6661" max="6661" width="15" style="81" bestFit="1" customWidth="1"/>
    <col min="6662" max="6662" width="3.7109375" style="81" customWidth="1"/>
    <col min="6663" max="6663" width="15" style="81" bestFit="1" customWidth="1"/>
    <col min="6664" max="6664" width="3.42578125" style="81" customWidth="1"/>
    <col min="6665" max="6665" width="16.5703125" style="81" bestFit="1" customWidth="1"/>
    <col min="6666" max="6912" width="13.7109375" style="81"/>
    <col min="6913" max="6913" width="44.7109375" style="81" customWidth="1"/>
    <col min="6914" max="6914" width="3.140625" style="81" customWidth="1"/>
    <col min="6915" max="6915" width="15" style="81" bestFit="1" customWidth="1"/>
    <col min="6916" max="6916" width="3.5703125" style="81" customWidth="1"/>
    <col min="6917" max="6917" width="15" style="81" bestFit="1" customWidth="1"/>
    <col min="6918" max="6918" width="3.7109375" style="81" customWidth="1"/>
    <col min="6919" max="6919" width="15" style="81" bestFit="1" customWidth="1"/>
    <col min="6920" max="6920" width="3.42578125" style="81" customWidth="1"/>
    <col min="6921" max="6921" width="16.5703125" style="81" bestFit="1" customWidth="1"/>
    <col min="6922" max="7168" width="13.7109375" style="81"/>
    <col min="7169" max="7169" width="44.7109375" style="81" customWidth="1"/>
    <col min="7170" max="7170" width="3.140625" style="81" customWidth="1"/>
    <col min="7171" max="7171" width="15" style="81" bestFit="1" customWidth="1"/>
    <col min="7172" max="7172" width="3.5703125" style="81" customWidth="1"/>
    <col min="7173" max="7173" width="15" style="81" bestFit="1" customWidth="1"/>
    <col min="7174" max="7174" width="3.7109375" style="81" customWidth="1"/>
    <col min="7175" max="7175" width="15" style="81" bestFit="1" customWidth="1"/>
    <col min="7176" max="7176" width="3.42578125" style="81" customWidth="1"/>
    <col min="7177" max="7177" width="16.5703125" style="81" bestFit="1" customWidth="1"/>
    <col min="7178" max="7424" width="13.7109375" style="81"/>
    <col min="7425" max="7425" width="44.7109375" style="81" customWidth="1"/>
    <col min="7426" max="7426" width="3.140625" style="81" customWidth="1"/>
    <col min="7427" max="7427" width="15" style="81" bestFit="1" customWidth="1"/>
    <col min="7428" max="7428" width="3.5703125" style="81" customWidth="1"/>
    <col min="7429" max="7429" width="15" style="81" bestFit="1" customWidth="1"/>
    <col min="7430" max="7430" width="3.7109375" style="81" customWidth="1"/>
    <col min="7431" max="7431" width="15" style="81" bestFit="1" customWidth="1"/>
    <col min="7432" max="7432" width="3.42578125" style="81" customWidth="1"/>
    <col min="7433" max="7433" width="16.5703125" style="81" bestFit="1" customWidth="1"/>
    <col min="7434" max="7680" width="13.7109375" style="81"/>
    <col min="7681" max="7681" width="44.7109375" style="81" customWidth="1"/>
    <col min="7682" max="7682" width="3.140625" style="81" customWidth="1"/>
    <col min="7683" max="7683" width="15" style="81" bestFit="1" customWidth="1"/>
    <col min="7684" max="7684" width="3.5703125" style="81" customWidth="1"/>
    <col min="7685" max="7685" width="15" style="81" bestFit="1" customWidth="1"/>
    <col min="7686" max="7686" width="3.7109375" style="81" customWidth="1"/>
    <col min="7687" max="7687" width="15" style="81" bestFit="1" customWidth="1"/>
    <col min="7688" max="7688" width="3.42578125" style="81" customWidth="1"/>
    <col min="7689" max="7689" width="16.5703125" style="81" bestFit="1" customWidth="1"/>
    <col min="7690" max="7936" width="13.7109375" style="81"/>
    <col min="7937" max="7937" width="44.7109375" style="81" customWidth="1"/>
    <col min="7938" max="7938" width="3.140625" style="81" customWidth="1"/>
    <col min="7939" max="7939" width="15" style="81" bestFit="1" customWidth="1"/>
    <col min="7940" max="7940" width="3.5703125" style="81" customWidth="1"/>
    <col min="7941" max="7941" width="15" style="81" bestFit="1" customWidth="1"/>
    <col min="7942" max="7942" width="3.7109375" style="81" customWidth="1"/>
    <col min="7943" max="7943" width="15" style="81" bestFit="1" customWidth="1"/>
    <col min="7944" max="7944" width="3.42578125" style="81" customWidth="1"/>
    <col min="7945" max="7945" width="16.5703125" style="81" bestFit="1" customWidth="1"/>
    <col min="7946" max="8192" width="13.7109375" style="81"/>
    <col min="8193" max="8193" width="44.7109375" style="81" customWidth="1"/>
    <col min="8194" max="8194" width="3.140625" style="81" customWidth="1"/>
    <col min="8195" max="8195" width="15" style="81" bestFit="1" customWidth="1"/>
    <col min="8196" max="8196" width="3.5703125" style="81" customWidth="1"/>
    <col min="8197" max="8197" width="15" style="81" bestFit="1" customWidth="1"/>
    <col min="8198" max="8198" width="3.7109375" style="81" customWidth="1"/>
    <col min="8199" max="8199" width="15" style="81" bestFit="1" customWidth="1"/>
    <col min="8200" max="8200" width="3.42578125" style="81" customWidth="1"/>
    <col min="8201" max="8201" width="16.5703125" style="81" bestFit="1" customWidth="1"/>
    <col min="8202" max="8448" width="13.7109375" style="81"/>
    <col min="8449" max="8449" width="44.7109375" style="81" customWidth="1"/>
    <col min="8450" max="8450" width="3.140625" style="81" customWidth="1"/>
    <col min="8451" max="8451" width="15" style="81" bestFit="1" customWidth="1"/>
    <col min="8452" max="8452" width="3.5703125" style="81" customWidth="1"/>
    <col min="8453" max="8453" width="15" style="81" bestFit="1" customWidth="1"/>
    <col min="8454" max="8454" width="3.7109375" style="81" customWidth="1"/>
    <col min="8455" max="8455" width="15" style="81" bestFit="1" customWidth="1"/>
    <col min="8456" max="8456" width="3.42578125" style="81" customWidth="1"/>
    <col min="8457" max="8457" width="16.5703125" style="81" bestFit="1" customWidth="1"/>
    <col min="8458" max="8704" width="13.7109375" style="81"/>
    <col min="8705" max="8705" width="44.7109375" style="81" customWidth="1"/>
    <col min="8706" max="8706" width="3.140625" style="81" customWidth="1"/>
    <col min="8707" max="8707" width="15" style="81" bestFit="1" customWidth="1"/>
    <col min="8708" max="8708" width="3.5703125" style="81" customWidth="1"/>
    <col min="8709" max="8709" width="15" style="81" bestFit="1" customWidth="1"/>
    <col min="8710" max="8710" width="3.7109375" style="81" customWidth="1"/>
    <col min="8711" max="8711" width="15" style="81" bestFit="1" customWidth="1"/>
    <col min="8712" max="8712" width="3.42578125" style="81" customWidth="1"/>
    <col min="8713" max="8713" width="16.5703125" style="81" bestFit="1" customWidth="1"/>
    <col min="8714" max="8960" width="13.7109375" style="81"/>
    <col min="8961" max="8961" width="44.7109375" style="81" customWidth="1"/>
    <col min="8962" max="8962" width="3.140625" style="81" customWidth="1"/>
    <col min="8963" max="8963" width="15" style="81" bestFit="1" customWidth="1"/>
    <col min="8964" max="8964" width="3.5703125" style="81" customWidth="1"/>
    <col min="8965" max="8965" width="15" style="81" bestFit="1" customWidth="1"/>
    <col min="8966" max="8966" width="3.7109375" style="81" customWidth="1"/>
    <col min="8967" max="8967" width="15" style="81" bestFit="1" customWidth="1"/>
    <col min="8968" max="8968" width="3.42578125" style="81" customWidth="1"/>
    <col min="8969" max="8969" width="16.5703125" style="81" bestFit="1" customWidth="1"/>
    <col min="8970" max="9216" width="13.7109375" style="81"/>
    <col min="9217" max="9217" width="44.7109375" style="81" customWidth="1"/>
    <col min="9218" max="9218" width="3.140625" style="81" customWidth="1"/>
    <col min="9219" max="9219" width="15" style="81" bestFit="1" customWidth="1"/>
    <col min="9220" max="9220" width="3.5703125" style="81" customWidth="1"/>
    <col min="9221" max="9221" width="15" style="81" bestFit="1" customWidth="1"/>
    <col min="9222" max="9222" width="3.7109375" style="81" customWidth="1"/>
    <col min="9223" max="9223" width="15" style="81" bestFit="1" customWidth="1"/>
    <col min="9224" max="9224" width="3.42578125" style="81" customWidth="1"/>
    <col min="9225" max="9225" width="16.5703125" style="81" bestFit="1" customWidth="1"/>
    <col min="9226" max="9472" width="13.7109375" style="81"/>
    <col min="9473" max="9473" width="44.7109375" style="81" customWidth="1"/>
    <col min="9474" max="9474" width="3.140625" style="81" customWidth="1"/>
    <col min="9475" max="9475" width="15" style="81" bestFit="1" customWidth="1"/>
    <col min="9476" max="9476" width="3.5703125" style="81" customWidth="1"/>
    <col min="9477" max="9477" width="15" style="81" bestFit="1" customWidth="1"/>
    <col min="9478" max="9478" width="3.7109375" style="81" customWidth="1"/>
    <col min="9479" max="9479" width="15" style="81" bestFit="1" customWidth="1"/>
    <col min="9480" max="9480" width="3.42578125" style="81" customWidth="1"/>
    <col min="9481" max="9481" width="16.5703125" style="81" bestFit="1" customWidth="1"/>
    <col min="9482" max="9728" width="13.7109375" style="81"/>
    <col min="9729" max="9729" width="44.7109375" style="81" customWidth="1"/>
    <col min="9730" max="9730" width="3.140625" style="81" customWidth="1"/>
    <col min="9731" max="9731" width="15" style="81" bestFit="1" customWidth="1"/>
    <col min="9732" max="9732" width="3.5703125" style="81" customWidth="1"/>
    <col min="9733" max="9733" width="15" style="81" bestFit="1" customWidth="1"/>
    <col min="9734" max="9734" width="3.7109375" style="81" customWidth="1"/>
    <col min="9735" max="9735" width="15" style="81" bestFit="1" customWidth="1"/>
    <col min="9736" max="9736" width="3.42578125" style="81" customWidth="1"/>
    <col min="9737" max="9737" width="16.5703125" style="81" bestFit="1" customWidth="1"/>
    <col min="9738" max="9984" width="13.7109375" style="81"/>
    <col min="9985" max="9985" width="44.7109375" style="81" customWidth="1"/>
    <col min="9986" max="9986" width="3.140625" style="81" customWidth="1"/>
    <col min="9987" max="9987" width="15" style="81" bestFit="1" customWidth="1"/>
    <col min="9988" max="9988" width="3.5703125" style="81" customWidth="1"/>
    <col min="9989" max="9989" width="15" style="81" bestFit="1" customWidth="1"/>
    <col min="9990" max="9990" width="3.7109375" style="81" customWidth="1"/>
    <col min="9991" max="9991" width="15" style="81" bestFit="1" customWidth="1"/>
    <col min="9992" max="9992" width="3.42578125" style="81" customWidth="1"/>
    <col min="9993" max="9993" width="16.5703125" style="81" bestFit="1" customWidth="1"/>
    <col min="9994" max="10240" width="13.7109375" style="81"/>
    <col min="10241" max="10241" width="44.7109375" style="81" customWidth="1"/>
    <col min="10242" max="10242" width="3.140625" style="81" customWidth="1"/>
    <col min="10243" max="10243" width="15" style="81" bestFit="1" customWidth="1"/>
    <col min="10244" max="10244" width="3.5703125" style="81" customWidth="1"/>
    <col min="10245" max="10245" width="15" style="81" bestFit="1" customWidth="1"/>
    <col min="10246" max="10246" width="3.7109375" style="81" customWidth="1"/>
    <col min="10247" max="10247" width="15" style="81" bestFit="1" customWidth="1"/>
    <col min="10248" max="10248" width="3.42578125" style="81" customWidth="1"/>
    <col min="10249" max="10249" width="16.5703125" style="81" bestFit="1" customWidth="1"/>
    <col min="10250" max="10496" width="13.7109375" style="81"/>
    <col min="10497" max="10497" width="44.7109375" style="81" customWidth="1"/>
    <col min="10498" max="10498" width="3.140625" style="81" customWidth="1"/>
    <col min="10499" max="10499" width="15" style="81" bestFit="1" customWidth="1"/>
    <col min="10500" max="10500" width="3.5703125" style="81" customWidth="1"/>
    <col min="10501" max="10501" width="15" style="81" bestFit="1" customWidth="1"/>
    <col min="10502" max="10502" width="3.7109375" style="81" customWidth="1"/>
    <col min="10503" max="10503" width="15" style="81" bestFit="1" customWidth="1"/>
    <col min="10504" max="10504" width="3.42578125" style="81" customWidth="1"/>
    <col min="10505" max="10505" width="16.5703125" style="81" bestFit="1" customWidth="1"/>
    <col min="10506" max="10752" width="13.7109375" style="81"/>
    <col min="10753" max="10753" width="44.7109375" style="81" customWidth="1"/>
    <col min="10754" max="10754" width="3.140625" style="81" customWidth="1"/>
    <col min="10755" max="10755" width="15" style="81" bestFit="1" customWidth="1"/>
    <col min="10756" max="10756" width="3.5703125" style="81" customWidth="1"/>
    <col min="10757" max="10757" width="15" style="81" bestFit="1" customWidth="1"/>
    <col min="10758" max="10758" width="3.7109375" style="81" customWidth="1"/>
    <col min="10759" max="10759" width="15" style="81" bestFit="1" customWidth="1"/>
    <col min="10760" max="10760" width="3.42578125" style="81" customWidth="1"/>
    <col min="10761" max="10761" width="16.5703125" style="81" bestFit="1" customWidth="1"/>
    <col min="10762" max="11008" width="13.7109375" style="81"/>
    <col min="11009" max="11009" width="44.7109375" style="81" customWidth="1"/>
    <col min="11010" max="11010" width="3.140625" style="81" customWidth="1"/>
    <col min="11011" max="11011" width="15" style="81" bestFit="1" customWidth="1"/>
    <col min="11012" max="11012" width="3.5703125" style="81" customWidth="1"/>
    <col min="11013" max="11013" width="15" style="81" bestFit="1" customWidth="1"/>
    <col min="11014" max="11014" width="3.7109375" style="81" customWidth="1"/>
    <col min="11015" max="11015" width="15" style="81" bestFit="1" customWidth="1"/>
    <col min="11016" max="11016" width="3.42578125" style="81" customWidth="1"/>
    <col min="11017" max="11017" width="16.5703125" style="81" bestFit="1" customWidth="1"/>
    <col min="11018" max="11264" width="13.7109375" style="81"/>
    <col min="11265" max="11265" width="44.7109375" style="81" customWidth="1"/>
    <col min="11266" max="11266" width="3.140625" style="81" customWidth="1"/>
    <col min="11267" max="11267" width="15" style="81" bestFit="1" customWidth="1"/>
    <col min="11268" max="11268" width="3.5703125" style="81" customWidth="1"/>
    <col min="11269" max="11269" width="15" style="81" bestFit="1" customWidth="1"/>
    <col min="11270" max="11270" width="3.7109375" style="81" customWidth="1"/>
    <col min="11271" max="11271" width="15" style="81" bestFit="1" customWidth="1"/>
    <col min="11272" max="11272" width="3.42578125" style="81" customWidth="1"/>
    <col min="11273" max="11273" width="16.5703125" style="81" bestFit="1" customWidth="1"/>
    <col min="11274" max="11520" width="13.7109375" style="81"/>
    <col min="11521" max="11521" width="44.7109375" style="81" customWidth="1"/>
    <col min="11522" max="11522" width="3.140625" style="81" customWidth="1"/>
    <col min="11523" max="11523" width="15" style="81" bestFit="1" customWidth="1"/>
    <col min="11524" max="11524" width="3.5703125" style="81" customWidth="1"/>
    <col min="11525" max="11525" width="15" style="81" bestFit="1" customWidth="1"/>
    <col min="11526" max="11526" width="3.7109375" style="81" customWidth="1"/>
    <col min="11527" max="11527" width="15" style="81" bestFit="1" customWidth="1"/>
    <col min="11528" max="11528" width="3.42578125" style="81" customWidth="1"/>
    <col min="11529" max="11529" width="16.5703125" style="81" bestFit="1" customWidth="1"/>
    <col min="11530" max="11776" width="13.7109375" style="81"/>
    <col min="11777" max="11777" width="44.7109375" style="81" customWidth="1"/>
    <col min="11778" max="11778" width="3.140625" style="81" customWidth="1"/>
    <col min="11779" max="11779" width="15" style="81" bestFit="1" customWidth="1"/>
    <col min="11780" max="11780" width="3.5703125" style="81" customWidth="1"/>
    <col min="11781" max="11781" width="15" style="81" bestFit="1" customWidth="1"/>
    <col min="11782" max="11782" width="3.7109375" style="81" customWidth="1"/>
    <col min="11783" max="11783" width="15" style="81" bestFit="1" customWidth="1"/>
    <col min="11784" max="11784" width="3.42578125" style="81" customWidth="1"/>
    <col min="11785" max="11785" width="16.5703125" style="81" bestFit="1" customWidth="1"/>
    <col min="11786" max="12032" width="13.7109375" style="81"/>
    <col min="12033" max="12033" width="44.7109375" style="81" customWidth="1"/>
    <col min="12034" max="12034" width="3.140625" style="81" customWidth="1"/>
    <col min="12035" max="12035" width="15" style="81" bestFit="1" customWidth="1"/>
    <col min="12036" max="12036" width="3.5703125" style="81" customWidth="1"/>
    <col min="12037" max="12037" width="15" style="81" bestFit="1" customWidth="1"/>
    <col min="12038" max="12038" width="3.7109375" style="81" customWidth="1"/>
    <col min="12039" max="12039" width="15" style="81" bestFit="1" customWidth="1"/>
    <col min="12040" max="12040" width="3.42578125" style="81" customWidth="1"/>
    <col min="12041" max="12041" width="16.5703125" style="81" bestFit="1" customWidth="1"/>
    <col min="12042" max="12288" width="13.7109375" style="81"/>
    <col min="12289" max="12289" width="44.7109375" style="81" customWidth="1"/>
    <col min="12290" max="12290" width="3.140625" style="81" customWidth="1"/>
    <col min="12291" max="12291" width="15" style="81" bestFit="1" customWidth="1"/>
    <col min="12292" max="12292" width="3.5703125" style="81" customWidth="1"/>
    <col min="12293" max="12293" width="15" style="81" bestFit="1" customWidth="1"/>
    <col min="12294" max="12294" width="3.7109375" style="81" customWidth="1"/>
    <col min="12295" max="12295" width="15" style="81" bestFit="1" customWidth="1"/>
    <col min="12296" max="12296" width="3.42578125" style="81" customWidth="1"/>
    <col min="12297" max="12297" width="16.5703125" style="81" bestFit="1" customWidth="1"/>
    <col min="12298" max="12544" width="13.7109375" style="81"/>
    <col min="12545" max="12545" width="44.7109375" style="81" customWidth="1"/>
    <col min="12546" max="12546" width="3.140625" style="81" customWidth="1"/>
    <col min="12547" max="12547" width="15" style="81" bestFit="1" customWidth="1"/>
    <col min="12548" max="12548" width="3.5703125" style="81" customWidth="1"/>
    <col min="12549" max="12549" width="15" style="81" bestFit="1" customWidth="1"/>
    <col min="12550" max="12550" width="3.7109375" style="81" customWidth="1"/>
    <col min="12551" max="12551" width="15" style="81" bestFit="1" customWidth="1"/>
    <col min="12552" max="12552" width="3.42578125" style="81" customWidth="1"/>
    <col min="12553" max="12553" width="16.5703125" style="81" bestFit="1" customWidth="1"/>
    <col min="12554" max="12800" width="13.7109375" style="81"/>
    <col min="12801" max="12801" width="44.7109375" style="81" customWidth="1"/>
    <col min="12802" max="12802" width="3.140625" style="81" customWidth="1"/>
    <col min="12803" max="12803" width="15" style="81" bestFit="1" customWidth="1"/>
    <col min="12804" max="12804" width="3.5703125" style="81" customWidth="1"/>
    <col min="12805" max="12805" width="15" style="81" bestFit="1" customWidth="1"/>
    <col min="12806" max="12806" width="3.7109375" style="81" customWidth="1"/>
    <col min="12807" max="12807" width="15" style="81" bestFit="1" customWidth="1"/>
    <col min="12808" max="12808" width="3.42578125" style="81" customWidth="1"/>
    <col min="12809" max="12809" width="16.5703125" style="81" bestFit="1" customWidth="1"/>
    <col min="12810" max="13056" width="13.7109375" style="81"/>
    <col min="13057" max="13057" width="44.7109375" style="81" customWidth="1"/>
    <col min="13058" max="13058" width="3.140625" style="81" customWidth="1"/>
    <col min="13059" max="13059" width="15" style="81" bestFit="1" customWidth="1"/>
    <col min="13060" max="13060" width="3.5703125" style="81" customWidth="1"/>
    <col min="13061" max="13061" width="15" style="81" bestFit="1" customWidth="1"/>
    <col min="13062" max="13062" width="3.7109375" style="81" customWidth="1"/>
    <col min="13063" max="13063" width="15" style="81" bestFit="1" customWidth="1"/>
    <col min="13064" max="13064" width="3.42578125" style="81" customWidth="1"/>
    <col min="13065" max="13065" width="16.5703125" style="81" bestFit="1" customWidth="1"/>
    <col min="13066" max="13312" width="13.7109375" style="81"/>
    <col min="13313" max="13313" width="44.7109375" style="81" customWidth="1"/>
    <col min="13314" max="13314" width="3.140625" style="81" customWidth="1"/>
    <col min="13315" max="13315" width="15" style="81" bestFit="1" customWidth="1"/>
    <col min="13316" max="13316" width="3.5703125" style="81" customWidth="1"/>
    <col min="13317" max="13317" width="15" style="81" bestFit="1" customWidth="1"/>
    <col min="13318" max="13318" width="3.7109375" style="81" customWidth="1"/>
    <col min="13319" max="13319" width="15" style="81" bestFit="1" customWidth="1"/>
    <col min="13320" max="13320" width="3.42578125" style="81" customWidth="1"/>
    <col min="13321" max="13321" width="16.5703125" style="81" bestFit="1" customWidth="1"/>
    <col min="13322" max="13568" width="13.7109375" style="81"/>
    <col min="13569" max="13569" width="44.7109375" style="81" customWidth="1"/>
    <col min="13570" max="13570" width="3.140625" style="81" customWidth="1"/>
    <col min="13571" max="13571" width="15" style="81" bestFit="1" customWidth="1"/>
    <col min="13572" max="13572" width="3.5703125" style="81" customWidth="1"/>
    <col min="13573" max="13573" width="15" style="81" bestFit="1" customWidth="1"/>
    <col min="13574" max="13574" width="3.7109375" style="81" customWidth="1"/>
    <col min="13575" max="13575" width="15" style="81" bestFit="1" customWidth="1"/>
    <col min="13576" max="13576" width="3.42578125" style="81" customWidth="1"/>
    <col min="13577" max="13577" width="16.5703125" style="81" bestFit="1" customWidth="1"/>
    <col min="13578" max="13824" width="13.7109375" style="81"/>
    <col min="13825" max="13825" width="44.7109375" style="81" customWidth="1"/>
    <col min="13826" max="13826" width="3.140625" style="81" customWidth="1"/>
    <col min="13827" max="13827" width="15" style="81" bestFit="1" customWidth="1"/>
    <col min="13828" max="13828" width="3.5703125" style="81" customWidth="1"/>
    <col min="13829" max="13829" width="15" style="81" bestFit="1" customWidth="1"/>
    <col min="13830" max="13830" width="3.7109375" style="81" customWidth="1"/>
    <col min="13831" max="13831" width="15" style="81" bestFit="1" customWidth="1"/>
    <col min="13832" max="13832" width="3.42578125" style="81" customWidth="1"/>
    <col min="13833" max="13833" width="16.5703125" style="81" bestFit="1" customWidth="1"/>
    <col min="13834" max="14080" width="13.7109375" style="81"/>
    <col min="14081" max="14081" width="44.7109375" style="81" customWidth="1"/>
    <col min="14082" max="14082" width="3.140625" style="81" customWidth="1"/>
    <col min="14083" max="14083" width="15" style="81" bestFit="1" customWidth="1"/>
    <col min="14084" max="14084" width="3.5703125" style="81" customWidth="1"/>
    <col min="14085" max="14085" width="15" style="81" bestFit="1" customWidth="1"/>
    <col min="14086" max="14086" width="3.7109375" style="81" customWidth="1"/>
    <col min="14087" max="14087" width="15" style="81" bestFit="1" customWidth="1"/>
    <col min="14088" max="14088" width="3.42578125" style="81" customWidth="1"/>
    <col min="14089" max="14089" width="16.5703125" style="81" bestFit="1" customWidth="1"/>
    <col min="14090" max="14336" width="13.7109375" style="81"/>
    <col min="14337" max="14337" width="44.7109375" style="81" customWidth="1"/>
    <col min="14338" max="14338" width="3.140625" style="81" customWidth="1"/>
    <col min="14339" max="14339" width="15" style="81" bestFit="1" customWidth="1"/>
    <col min="14340" max="14340" width="3.5703125" style="81" customWidth="1"/>
    <col min="14341" max="14341" width="15" style="81" bestFit="1" customWidth="1"/>
    <col min="14342" max="14342" width="3.7109375" style="81" customWidth="1"/>
    <col min="14343" max="14343" width="15" style="81" bestFit="1" customWidth="1"/>
    <col min="14344" max="14344" width="3.42578125" style="81" customWidth="1"/>
    <col min="14345" max="14345" width="16.5703125" style="81" bestFit="1" customWidth="1"/>
    <col min="14346" max="14592" width="13.7109375" style="81"/>
    <col min="14593" max="14593" width="44.7109375" style="81" customWidth="1"/>
    <col min="14594" max="14594" width="3.140625" style="81" customWidth="1"/>
    <col min="14595" max="14595" width="15" style="81" bestFit="1" customWidth="1"/>
    <col min="14596" max="14596" width="3.5703125" style="81" customWidth="1"/>
    <col min="14597" max="14597" width="15" style="81" bestFit="1" customWidth="1"/>
    <col min="14598" max="14598" width="3.7109375" style="81" customWidth="1"/>
    <col min="14599" max="14599" width="15" style="81" bestFit="1" customWidth="1"/>
    <col min="14600" max="14600" width="3.42578125" style="81" customWidth="1"/>
    <col min="14601" max="14601" width="16.5703125" style="81" bestFit="1" customWidth="1"/>
    <col min="14602" max="14848" width="13.7109375" style="81"/>
    <col min="14849" max="14849" width="44.7109375" style="81" customWidth="1"/>
    <col min="14850" max="14850" width="3.140625" style="81" customWidth="1"/>
    <col min="14851" max="14851" width="15" style="81" bestFit="1" customWidth="1"/>
    <col min="14852" max="14852" width="3.5703125" style="81" customWidth="1"/>
    <col min="14853" max="14853" width="15" style="81" bestFit="1" customWidth="1"/>
    <col min="14854" max="14854" width="3.7109375" style="81" customWidth="1"/>
    <col min="14855" max="14855" width="15" style="81" bestFit="1" customWidth="1"/>
    <col min="14856" max="14856" width="3.42578125" style="81" customWidth="1"/>
    <col min="14857" max="14857" width="16.5703125" style="81" bestFit="1" customWidth="1"/>
    <col min="14858" max="15104" width="13.7109375" style="81"/>
    <col min="15105" max="15105" width="44.7109375" style="81" customWidth="1"/>
    <col min="15106" max="15106" width="3.140625" style="81" customWidth="1"/>
    <col min="15107" max="15107" width="15" style="81" bestFit="1" customWidth="1"/>
    <col min="15108" max="15108" width="3.5703125" style="81" customWidth="1"/>
    <col min="15109" max="15109" width="15" style="81" bestFit="1" customWidth="1"/>
    <col min="15110" max="15110" width="3.7109375" style="81" customWidth="1"/>
    <col min="15111" max="15111" width="15" style="81" bestFit="1" customWidth="1"/>
    <col min="15112" max="15112" width="3.42578125" style="81" customWidth="1"/>
    <col min="15113" max="15113" width="16.5703125" style="81" bestFit="1" customWidth="1"/>
    <col min="15114" max="15360" width="13.7109375" style="81"/>
    <col min="15361" max="15361" width="44.7109375" style="81" customWidth="1"/>
    <col min="15362" max="15362" width="3.140625" style="81" customWidth="1"/>
    <col min="15363" max="15363" width="15" style="81" bestFit="1" customWidth="1"/>
    <col min="15364" max="15364" width="3.5703125" style="81" customWidth="1"/>
    <col min="15365" max="15365" width="15" style="81" bestFit="1" customWidth="1"/>
    <col min="15366" max="15366" width="3.7109375" style="81" customWidth="1"/>
    <col min="15367" max="15367" width="15" style="81" bestFit="1" customWidth="1"/>
    <col min="15368" max="15368" width="3.42578125" style="81" customWidth="1"/>
    <col min="15369" max="15369" width="16.5703125" style="81" bestFit="1" customWidth="1"/>
    <col min="15370" max="15616" width="13.7109375" style="81"/>
    <col min="15617" max="15617" width="44.7109375" style="81" customWidth="1"/>
    <col min="15618" max="15618" width="3.140625" style="81" customWidth="1"/>
    <col min="15619" max="15619" width="15" style="81" bestFit="1" customWidth="1"/>
    <col min="15620" max="15620" width="3.5703125" style="81" customWidth="1"/>
    <col min="15621" max="15621" width="15" style="81" bestFit="1" customWidth="1"/>
    <col min="15622" max="15622" width="3.7109375" style="81" customWidth="1"/>
    <col min="15623" max="15623" width="15" style="81" bestFit="1" customWidth="1"/>
    <col min="15624" max="15624" width="3.42578125" style="81" customWidth="1"/>
    <col min="15625" max="15625" width="16.5703125" style="81" bestFit="1" customWidth="1"/>
    <col min="15626" max="15872" width="13.7109375" style="81"/>
    <col min="15873" max="15873" width="44.7109375" style="81" customWidth="1"/>
    <col min="15874" max="15874" width="3.140625" style="81" customWidth="1"/>
    <col min="15875" max="15875" width="15" style="81" bestFit="1" customWidth="1"/>
    <col min="15876" max="15876" width="3.5703125" style="81" customWidth="1"/>
    <col min="15877" max="15877" width="15" style="81" bestFit="1" customWidth="1"/>
    <col min="15878" max="15878" width="3.7109375" style="81" customWidth="1"/>
    <col min="15879" max="15879" width="15" style="81" bestFit="1" customWidth="1"/>
    <col min="15880" max="15880" width="3.42578125" style="81" customWidth="1"/>
    <col min="15881" max="15881" width="16.5703125" style="81" bestFit="1" customWidth="1"/>
    <col min="15882" max="16128" width="13.7109375" style="81"/>
    <col min="16129" max="16129" width="44.7109375" style="81" customWidth="1"/>
    <col min="16130" max="16130" width="3.140625" style="81" customWidth="1"/>
    <col min="16131" max="16131" width="15" style="81" bestFit="1" customWidth="1"/>
    <col min="16132" max="16132" width="3.5703125" style="81" customWidth="1"/>
    <col min="16133" max="16133" width="15" style="81" bestFit="1" customWidth="1"/>
    <col min="16134" max="16134" width="3.7109375" style="81" customWidth="1"/>
    <col min="16135" max="16135" width="15" style="81" bestFit="1" customWidth="1"/>
    <col min="16136" max="16136" width="3.42578125" style="81" customWidth="1"/>
    <col min="16137" max="16137" width="16.5703125" style="81" bestFit="1" customWidth="1"/>
    <col min="16138" max="16384" width="13.7109375" style="81"/>
  </cols>
  <sheetData>
    <row r="1" spans="1:3">
      <c r="A1" s="370" t="s">
        <v>1452</v>
      </c>
      <c r="B1" s="370"/>
      <c r="C1" s="370"/>
    </row>
    <row r="2" spans="1:3">
      <c r="A2" s="370" t="s">
        <v>1548</v>
      </c>
      <c r="B2" s="370"/>
      <c r="C2" s="370"/>
    </row>
    <row r="3" spans="1:3">
      <c r="A3" s="370" t="s">
        <v>1489</v>
      </c>
      <c r="B3" s="370"/>
      <c r="C3" s="370"/>
    </row>
    <row r="4" spans="1:3">
      <c r="A4" s="163"/>
    </row>
    <row r="6" spans="1:3">
      <c r="A6" s="117" t="s">
        <v>1551</v>
      </c>
      <c r="B6" s="138"/>
      <c r="C6" s="140">
        <f>+'Depr-DIT Current'!J930</f>
        <v>17467247.030000024</v>
      </c>
    </row>
    <row r="7" spans="1:3">
      <c r="A7" s="117" t="s">
        <v>1552</v>
      </c>
      <c r="B7" s="138"/>
      <c r="C7" s="140">
        <f>+'Depr-DIT GR-2015-0025'!J1369</f>
        <v>13840900.259999968</v>
      </c>
    </row>
    <row r="8" spans="1:3">
      <c r="A8" s="138" t="s">
        <v>1553</v>
      </c>
      <c r="B8" s="138"/>
      <c r="C8" s="140">
        <f>+'WO Retirements'!I159</f>
        <v>-1015806.7600000002</v>
      </c>
    </row>
    <row r="9" spans="1:3">
      <c r="A9" s="138" t="s">
        <v>1554</v>
      </c>
      <c r="B9" s="138"/>
      <c r="C9" s="181">
        <f>+[3]summary!$C$18</f>
        <v>-1322519.3700000001</v>
      </c>
    </row>
    <row r="10" spans="1:3">
      <c r="A10" s="138"/>
      <c r="B10" s="138"/>
      <c r="C10" s="138"/>
    </row>
    <row r="11" spans="1:3">
      <c r="A11" s="138" t="s">
        <v>1549</v>
      </c>
      <c r="B11" s="138"/>
      <c r="C11" s="138">
        <f>SUM(C6:C9)</f>
        <v>28969821.159999989</v>
      </c>
    </row>
    <row r="12" spans="1:3" ht="15">
      <c r="A12" t="s">
        <v>2180</v>
      </c>
      <c r="B12"/>
      <c r="C12" s="273">
        <v>0.32</v>
      </c>
    </row>
    <row r="13" spans="1:3" ht="15">
      <c r="A13" t="s">
        <v>2108</v>
      </c>
      <c r="B13"/>
      <c r="C13" s="329">
        <f>+'ISRS Property Taxes'!D15</f>
        <v>8.1897238778996975E-2</v>
      </c>
    </row>
    <row r="14" spans="1:3" ht="15">
      <c r="A14"/>
      <c r="B14"/>
    </row>
    <row r="15" spans="1:3" ht="13.5" thickBot="1">
      <c r="A15" s="138" t="s">
        <v>1550</v>
      </c>
      <c r="B15" s="138"/>
      <c r="C15" s="182">
        <f>+C11*C12*C13</f>
        <v>759215.4754961147</v>
      </c>
    </row>
    <row r="16" spans="1:3" ht="13.5" thickTop="1"/>
    <row r="17" spans="1:9">
      <c r="A17" s="76"/>
      <c r="B17" s="76"/>
      <c r="C17" s="76"/>
      <c r="D17" s="76"/>
    </row>
    <row r="18" spans="1:9" ht="27" customHeight="1">
      <c r="A18" s="373"/>
      <c r="B18" s="374"/>
      <c r="C18" s="374"/>
      <c r="D18" s="76"/>
    </row>
    <row r="19" spans="1:9">
      <c r="A19" s="76"/>
      <c r="B19" s="76"/>
      <c r="C19" s="85"/>
      <c r="D19" s="85"/>
      <c r="E19" s="85"/>
      <c r="F19" s="85"/>
      <c r="G19" s="85"/>
      <c r="H19" s="85"/>
      <c r="I19" s="76"/>
    </row>
    <row r="20" spans="1:9">
      <c r="A20" s="76"/>
      <c r="B20" s="76"/>
      <c r="C20" s="183"/>
      <c r="D20" s="183"/>
      <c r="E20" s="183"/>
      <c r="F20" s="183"/>
      <c r="G20" s="183"/>
      <c r="H20" s="183"/>
      <c r="I20" s="183"/>
    </row>
  </sheetData>
  <mergeCells count="4">
    <mergeCell ref="A1:C1"/>
    <mergeCell ref="A2:C2"/>
    <mergeCell ref="A3:C3"/>
    <mergeCell ref="A18:C18"/>
  </mergeCells>
  <printOptions horizontalCentered="1"/>
  <pageMargins left="0" right="0" top="1" bottom="1" header="0.5" footer="0.5"/>
  <pageSetup orientation="portrait" r:id="rId1"/>
  <headerFooter alignWithMargins="0">
    <oddHeader>&amp;R&amp;"Arial,Bold"Appendix A
Page 3</oddHeader>
  </headerFooter>
</worksheet>
</file>

<file path=xl/worksheets/sheet16.xml><?xml version="1.0" encoding="utf-8"?>
<worksheet xmlns="http://schemas.openxmlformats.org/spreadsheetml/2006/main" xmlns:r="http://schemas.openxmlformats.org/officeDocument/2006/relationships">
  <sheetPr>
    <tabColor rgb="FF00B050"/>
    <pageSetUpPr fitToPage="1"/>
  </sheetPr>
  <dimension ref="A1:L33"/>
  <sheetViews>
    <sheetView topLeftCell="A7" workbookViewId="0">
      <selection activeCell="E47" sqref="E47"/>
    </sheetView>
  </sheetViews>
  <sheetFormatPr defaultRowHeight="12.75"/>
  <cols>
    <col min="1" max="1" width="45.28515625" style="76" customWidth="1"/>
    <col min="2" max="2" width="19.5703125" style="76" customWidth="1"/>
    <col min="3" max="3" width="8" style="76" customWidth="1"/>
    <col min="4" max="4" width="9.140625" style="76"/>
    <col min="5" max="5" width="16.85546875" style="76" customWidth="1"/>
    <col min="6" max="8" width="9.140625" style="76"/>
    <col min="9" max="9" width="11.28515625" style="76" bestFit="1" customWidth="1"/>
    <col min="10" max="10" width="17" style="76" customWidth="1"/>
    <col min="11" max="11" width="10.28515625" style="76" bestFit="1" customWidth="1"/>
    <col min="12" max="254" width="9.140625" style="76"/>
    <col min="255" max="255" width="45.28515625" style="76" customWidth="1"/>
    <col min="256" max="256" width="19.5703125" style="76" customWidth="1"/>
    <col min="257" max="257" width="8" style="76" customWidth="1"/>
    <col min="258" max="258" width="9.140625" style="76"/>
    <col min="259" max="259" width="16.85546875" style="76" customWidth="1"/>
    <col min="260" max="510" width="9.140625" style="76"/>
    <col min="511" max="511" width="45.28515625" style="76" customWidth="1"/>
    <col min="512" max="512" width="19.5703125" style="76" customWidth="1"/>
    <col min="513" max="513" width="8" style="76" customWidth="1"/>
    <col min="514" max="514" width="9.140625" style="76"/>
    <col min="515" max="515" width="16.85546875" style="76" customWidth="1"/>
    <col min="516" max="766" width="9.140625" style="76"/>
    <col min="767" max="767" width="45.28515625" style="76" customWidth="1"/>
    <col min="768" max="768" width="19.5703125" style="76" customWidth="1"/>
    <col min="769" max="769" width="8" style="76" customWidth="1"/>
    <col min="770" max="770" width="9.140625" style="76"/>
    <col min="771" max="771" width="16.85546875" style="76" customWidth="1"/>
    <col min="772" max="1022" width="9.140625" style="76"/>
    <col min="1023" max="1023" width="45.28515625" style="76" customWidth="1"/>
    <col min="1024" max="1024" width="19.5703125" style="76" customWidth="1"/>
    <col min="1025" max="1025" width="8" style="76" customWidth="1"/>
    <col min="1026" max="1026" width="9.140625" style="76"/>
    <col min="1027" max="1027" width="16.85546875" style="76" customWidth="1"/>
    <col min="1028" max="1278" width="9.140625" style="76"/>
    <col min="1279" max="1279" width="45.28515625" style="76" customWidth="1"/>
    <col min="1280" max="1280" width="19.5703125" style="76" customWidth="1"/>
    <col min="1281" max="1281" width="8" style="76" customWidth="1"/>
    <col min="1282" max="1282" width="9.140625" style="76"/>
    <col min="1283" max="1283" width="16.85546875" style="76" customWidth="1"/>
    <col min="1284" max="1534" width="9.140625" style="76"/>
    <col min="1535" max="1535" width="45.28515625" style="76" customWidth="1"/>
    <col min="1536" max="1536" width="19.5703125" style="76" customWidth="1"/>
    <col min="1537" max="1537" width="8" style="76" customWidth="1"/>
    <col min="1538" max="1538" width="9.140625" style="76"/>
    <col min="1539" max="1539" width="16.85546875" style="76" customWidth="1"/>
    <col min="1540" max="1790" width="9.140625" style="76"/>
    <col min="1791" max="1791" width="45.28515625" style="76" customWidth="1"/>
    <col min="1792" max="1792" width="19.5703125" style="76" customWidth="1"/>
    <col min="1793" max="1793" width="8" style="76" customWidth="1"/>
    <col min="1794" max="1794" width="9.140625" style="76"/>
    <col min="1795" max="1795" width="16.85546875" style="76" customWidth="1"/>
    <col min="1796" max="2046" width="9.140625" style="76"/>
    <col min="2047" max="2047" width="45.28515625" style="76" customWidth="1"/>
    <col min="2048" max="2048" width="19.5703125" style="76" customWidth="1"/>
    <col min="2049" max="2049" width="8" style="76" customWidth="1"/>
    <col min="2050" max="2050" width="9.140625" style="76"/>
    <col min="2051" max="2051" width="16.85546875" style="76" customWidth="1"/>
    <col min="2052" max="2302" width="9.140625" style="76"/>
    <col min="2303" max="2303" width="45.28515625" style="76" customWidth="1"/>
    <col min="2304" max="2304" width="19.5703125" style="76" customWidth="1"/>
    <col min="2305" max="2305" width="8" style="76" customWidth="1"/>
    <col min="2306" max="2306" width="9.140625" style="76"/>
    <col min="2307" max="2307" width="16.85546875" style="76" customWidth="1"/>
    <col min="2308" max="2558" width="9.140625" style="76"/>
    <col min="2559" max="2559" width="45.28515625" style="76" customWidth="1"/>
    <col min="2560" max="2560" width="19.5703125" style="76" customWidth="1"/>
    <col min="2561" max="2561" width="8" style="76" customWidth="1"/>
    <col min="2562" max="2562" width="9.140625" style="76"/>
    <col min="2563" max="2563" width="16.85546875" style="76" customWidth="1"/>
    <col min="2564" max="2814" width="9.140625" style="76"/>
    <col min="2815" max="2815" width="45.28515625" style="76" customWidth="1"/>
    <col min="2816" max="2816" width="19.5703125" style="76" customWidth="1"/>
    <col min="2817" max="2817" width="8" style="76" customWidth="1"/>
    <col min="2818" max="2818" width="9.140625" style="76"/>
    <col min="2819" max="2819" width="16.85546875" style="76" customWidth="1"/>
    <col min="2820" max="3070" width="9.140625" style="76"/>
    <col min="3071" max="3071" width="45.28515625" style="76" customWidth="1"/>
    <col min="3072" max="3072" width="19.5703125" style="76" customWidth="1"/>
    <col min="3073" max="3073" width="8" style="76" customWidth="1"/>
    <col min="3074" max="3074" width="9.140625" style="76"/>
    <col min="3075" max="3075" width="16.85546875" style="76" customWidth="1"/>
    <col min="3076" max="3326" width="9.140625" style="76"/>
    <col min="3327" max="3327" width="45.28515625" style="76" customWidth="1"/>
    <col min="3328" max="3328" width="19.5703125" style="76" customWidth="1"/>
    <col min="3329" max="3329" width="8" style="76" customWidth="1"/>
    <col min="3330" max="3330" width="9.140625" style="76"/>
    <col min="3331" max="3331" width="16.85546875" style="76" customWidth="1"/>
    <col min="3332" max="3582" width="9.140625" style="76"/>
    <col min="3583" max="3583" width="45.28515625" style="76" customWidth="1"/>
    <col min="3584" max="3584" width="19.5703125" style="76" customWidth="1"/>
    <col min="3585" max="3585" width="8" style="76" customWidth="1"/>
    <col min="3586" max="3586" width="9.140625" style="76"/>
    <col min="3587" max="3587" width="16.85546875" style="76" customWidth="1"/>
    <col min="3588" max="3838" width="9.140625" style="76"/>
    <col min="3839" max="3839" width="45.28515625" style="76" customWidth="1"/>
    <col min="3840" max="3840" width="19.5703125" style="76" customWidth="1"/>
    <col min="3841" max="3841" width="8" style="76" customWidth="1"/>
    <col min="3842" max="3842" width="9.140625" style="76"/>
    <col min="3843" max="3843" width="16.85546875" style="76" customWidth="1"/>
    <col min="3844" max="4094" width="9.140625" style="76"/>
    <col min="4095" max="4095" width="45.28515625" style="76" customWidth="1"/>
    <col min="4096" max="4096" width="19.5703125" style="76" customWidth="1"/>
    <col min="4097" max="4097" width="8" style="76" customWidth="1"/>
    <col min="4098" max="4098" width="9.140625" style="76"/>
    <col min="4099" max="4099" width="16.85546875" style="76" customWidth="1"/>
    <col min="4100" max="4350" width="9.140625" style="76"/>
    <col min="4351" max="4351" width="45.28515625" style="76" customWidth="1"/>
    <col min="4352" max="4352" width="19.5703125" style="76" customWidth="1"/>
    <col min="4353" max="4353" width="8" style="76" customWidth="1"/>
    <col min="4354" max="4354" width="9.140625" style="76"/>
    <col min="4355" max="4355" width="16.85546875" style="76" customWidth="1"/>
    <col min="4356" max="4606" width="9.140625" style="76"/>
    <col min="4607" max="4607" width="45.28515625" style="76" customWidth="1"/>
    <col min="4608" max="4608" width="19.5703125" style="76" customWidth="1"/>
    <col min="4609" max="4609" width="8" style="76" customWidth="1"/>
    <col min="4610" max="4610" width="9.140625" style="76"/>
    <col min="4611" max="4611" width="16.85546875" style="76" customWidth="1"/>
    <col min="4612" max="4862" width="9.140625" style="76"/>
    <col min="4863" max="4863" width="45.28515625" style="76" customWidth="1"/>
    <col min="4864" max="4864" width="19.5703125" style="76" customWidth="1"/>
    <col min="4865" max="4865" width="8" style="76" customWidth="1"/>
    <col min="4866" max="4866" width="9.140625" style="76"/>
    <col min="4867" max="4867" width="16.85546875" style="76" customWidth="1"/>
    <col min="4868" max="5118" width="9.140625" style="76"/>
    <col min="5119" max="5119" width="45.28515625" style="76" customWidth="1"/>
    <col min="5120" max="5120" width="19.5703125" style="76" customWidth="1"/>
    <col min="5121" max="5121" width="8" style="76" customWidth="1"/>
    <col min="5122" max="5122" width="9.140625" style="76"/>
    <col min="5123" max="5123" width="16.85546875" style="76" customWidth="1"/>
    <col min="5124" max="5374" width="9.140625" style="76"/>
    <col min="5375" max="5375" width="45.28515625" style="76" customWidth="1"/>
    <col min="5376" max="5376" width="19.5703125" style="76" customWidth="1"/>
    <col min="5377" max="5377" width="8" style="76" customWidth="1"/>
    <col min="5378" max="5378" width="9.140625" style="76"/>
    <col min="5379" max="5379" width="16.85546875" style="76" customWidth="1"/>
    <col min="5380" max="5630" width="9.140625" style="76"/>
    <col min="5631" max="5631" width="45.28515625" style="76" customWidth="1"/>
    <col min="5632" max="5632" width="19.5703125" style="76" customWidth="1"/>
    <col min="5633" max="5633" width="8" style="76" customWidth="1"/>
    <col min="5634" max="5634" width="9.140625" style="76"/>
    <col min="5635" max="5635" width="16.85546875" style="76" customWidth="1"/>
    <col min="5636" max="5886" width="9.140625" style="76"/>
    <col min="5887" max="5887" width="45.28515625" style="76" customWidth="1"/>
    <col min="5888" max="5888" width="19.5703125" style="76" customWidth="1"/>
    <col min="5889" max="5889" width="8" style="76" customWidth="1"/>
    <col min="5890" max="5890" width="9.140625" style="76"/>
    <col min="5891" max="5891" width="16.85546875" style="76" customWidth="1"/>
    <col min="5892" max="6142" width="9.140625" style="76"/>
    <col min="6143" max="6143" width="45.28515625" style="76" customWidth="1"/>
    <col min="6144" max="6144" width="19.5703125" style="76" customWidth="1"/>
    <col min="6145" max="6145" width="8" style="76" customWidth="1"/>
    <col min="6146" max="6146" width="9.140625" style="76"/>
    <col min="6147" max="6147" width="16.85546875" style="76" customWidth="1"/>
    <col min="6148" max="6398" width="9.140625" style="76"/>
    <col min="6399" max="6399" width="45.28515625" style="76" customWidth="1"/>
    <col min="6400" max="6400" width="19.5703125" style="76" customWidth="1"/>
    <col min="6401" max="6401" width="8" style="76" customWidth="1"/>
    <col min="6402" max="6402" width="9.140625" style="76"/>
    <col min="6403" max="6403" width="16.85546875" style="76" customWidth="1"/>
    <col min="6404" max="6654" width="9.140625" style="76"/>
    <col min="6655" max="6655" width="45.28515625" style="76" customWidth="1"/>
    <col min="6656" max="6656" width="19.5703125" style="76" customWidth="1"/>
    <col min="6657" max="6657" width="8" style="76" customWidth="1"/>
    <col min="6658" max="6658" width="9.140625" style="76"/>
    <col min="6659" max="6659" width="16.85546875" style="76" customWidth="1"/>
    <col min="6660" max="6910" width="9.140625" style="76"/>
    <col min="6911" max="6911" width="45.28515625" style="76" customWidth="1"/>
    <col min="6912" max="6912" width="19.5703125" style="76" customWidth="1"/>
    <col min="6913" max="6913" width="8" style="76" customWidth="1"/>
    <col min="6914" max="6914" width="9.140625" style="76"/>
    <col min="6915" max="6915" width="16.85546875" style="76" customWidth="1"/>
    <col min="6916" max="7166" width="9.140625" style="76"/>
    <col min="7167" max="7167" width="45.28515625" style="76" customWidth="1"/>
    <col min="7168" max="7168" width="19.5703125" style="76" customWidth="1"/>
    <col min="7169" max="7169" width="8" style="76" customWidth="1"/>
    <col min="7170" max="7170" width="9.140625" style="76"/>
    <col min="7171" max="7171" width="16.85546875" style="76" customWidth="1"/>
    <col min="7172" max="7422" width="9.140625" style="76"/>
    <col min="7423" max="7423" width="45.28515625" style="76" customWidth="1"/>
    <col min="7424" max="7424" width="19.5703125" style="76" customWidth="1"/>
    <col min="7425" max="7425" width="8" style="76" customWidth="1"/>
    <col min="7426" max="7426" width="9.140625" style="76"/>
    <col min="7427" max="7427" width="16.85546875" style="76" customWidth="1"/>
    <col min="7428" max="7678" width="9.140625" style="76"/>
    <col min="7679" max="7679" width="45.28515625" style="76" customWidth="1"/>
    <col min="7680" max="7680" width="19.5703125" style="76" customWidth="1"/>
    <col min="7681" max="7681" width="8" style="76" customWidth="1"/>
    <col min="7682" max="7682" width="9.140625" style="76"/>
    <col min="7683" max="7683" width="16.85546875" style="76" customWidth="1"/>
    <col min="7684" max="7934" width="9.140625" style="76"/>
    <col min="7935" max="7935" width="45.28515625" style="76" customWidth="1"/>
    <col min="7936" max="7936" width="19.5703125" style="76" customWidth="1"/>
    <col min="7937" max="7937" width="8" style="76" customWidth="1"/>
    <col min="7938" max="7938" width="9.140625" style="76"/>
    <col min="7939" max="7939" width="16.85546875" style="76" customWidth="1"/>
    <col min="7940" max="8190" width="9.140625" style="76"/>
    <col min="8191" max="8191" width="45.28515625" style="76" customWidth="1"/>
    <col min="8192" max="8192" width="19.5703125" style="76" customWidth="1"/>
    <col min="8193" max="8193" width="8" style="76" customWidth="1"/>
    <col min="8194" max="8194" width="9.140625" style="76"/>
    <col min="8195" max="8195" width="16.85546875" style="76" customWidth="1"/>
    <col min="8196" max="8446" width="9.140625" style="76"/>
    <col min="8447" max="8447" width="45.28515625" style="76" customWidth="1"/>
    <col min="8448" max="8448" width="19.5703125" style="76" customWidth="1"/>
    <col min="8449" max="8449" width="8" style="76" customWidth="1"/>
    <col min="8450" max="8450" width="9.140625" style="76"/>
    <col min="8451" max="8451" width="16.85546875" style="76" customWidth="1"/>
    <col min="8452" max="8702" width="9.140625" style="76"/>
    <col min="8703" max="8703" width="45.28515625" style="76" customWidth="1"/>
    <col min="8704" max="8704" width="19.5703125" style="76" customWidth="1"/>
    <col min="8705" max="8705" width="8" style="76" customWidth="1"/>
    <col min="8706" max="8706" width="9.140625" style="76"/>
    <col min="8707" max="8707" width="16.85546875" style="76" customWidth="1"/>
    <col min="8708" max="8958" width="9.140625" style="76"/>
    <col min="8959" max="8959" width="45.28515625" style="76" customWidth="1"/>
    <col min="8960" max="8960" width="19.5703125" style="76" customWidth="1"/>
    <col min="8961" max="8961" width="8" style="76" customWidth="1"/>
    <col min="8962" max="8962" width="9.140625" style="76"/>
    <col min="8963" max="8963" width="16.85546875" style="76" customWidth="1"/>
    <col min="8964" max="9214" width="9.140625" style="76"/>
    <col min="9215" max="9215" width="45.28515625" style="76" customWidth="1"/>
    <col min="9216" max="9216" width="19.5703125" style="76" customWidth="1"/>
    <col min="9217" max="9217" width="8" style="76" customWidth="1"/>
    <col min="9218" max="9218" width="9.140625" style="76"/>
    <col min="9219" max="9219" width="16.85546875" style="76" customWidth="1"/>
    <col min="9220" max="9470" width="9.140625" style="76"/>
    <col min="9471" max="9471" width="45.28515625" style="76" customWidth="1"/>
    <col min="9472" max="9472" width="19.5703125" style="76" customWidth="1"/>
    <col min="9473" max="9473" width="8" style="76" customWidth="1"/>
    <col min="9474" max="9474" width="9.140625" style="76"/>
    <col min="9475" max="9475" width="16.85546875" style="76" customWidth="1"/>
    <col min="9476" max="9726" width="9.140625" style="76"/>
    <col min="9727" max="9727" width="45.28515625" style="76" customWidth="1"/>
    <col min="9728" max="9728" width="19.5703125" style="76" customWidth="1"/>
    <col min="9729" max="9729" width="8" style="76" customWidth="1"/>
    <col min="9730" max="9730" width="9.140625" style="76"/>
    <col min="9731" max="9731" width="16.85546875" style="76" customWidth="1"/>
    <col min="9732" max="9982" width="9.140625" style="76"/>
    <col min="9983" max="9983" width="45.28515625" style="76" customWidth="1"/>
    <col min="9984" max="9984" width="19.5703125" style="76" customWidth="1"/>
    <col min="9985" max="9985" width="8" style="76" customWidth="1"/>
    <col min="9986" max="9986" width="9.140625" style="76"/>
    <col min="9987" max="9987" width="16.85546875" style="76" customWidth="1"/>
    <col min="9988" max="10238" width="9.140625" style="76"/>
    <col min="10239" max="10239" width="45.28515625" style="76" customWidth="1"/>
    <col min="10240" max="10240" width="19.5703125" style="76" customWidth="1"/>
    <col min="10241" max="10241" width="8" style="76" customWidth="1"/>
    <col min="10242" max="10242" width="9.140625" style="76"/>
    <col min="10243" max="10243" width="16.85546875" style="76" customWidth="1"/>
    <col min="10244" max="10494" width="9.140625" style="76"/>
    <col min="10495" max="10495" width="45.28515625" style="76" customWidth="1"/>
    <col min="10496" max="10496" width="19.5703125" style="76" customWidth="1"/>
    <col min="10497" max="10497" width="8" style="76" customWidth="1"/>
    <col min="10498" max="10498" width="9.140625" style="76"/>
    <col min="10499" max="10499" width="16.85546875" style="76" customWidth="1"/>
    <col min="10500" max="10750" width="9.140625" style="76"/>
    <col min="10751" max="10751" width="45.28515625" style="76" customWidth="1"/>
    <col min="10752" max="10752" width="19.5703125" style="76" customWidth="1"/>
    <col min="10753" max="10753" width="8" style="76" customWidth="1"/>
    <col min="10754" max="10754" width="9.140625" style="76"/>
    <col min="10755" max="10755" width="16.85546875" style="76" customWidth="1"/>
    <col min="10756" max="11006" width="9.140625" style="76"/>
    <col min="11007" max="11007" width="45.28515625" style="76" customWidth="1"/>
    <col min="11008" max="11008" width="19.5703125" style="76" customWidth="1"/>
    <col min="11009" max="11009" width="8" style="76" customWidth="1"/>
    <col min="11010" max="11010" width="9.140625" style="76"/>
    <col min="11011" max="11011" width="16.85546875" style="76" customWidth="1"/>
    <col min="11012" max="11262" width="9.140625" style="76"/>
    <col min="11263" max="11263" width="45.28515625" style="76" customWidth="1"/>
    <col min="11264" max="11264" width="19.5703125" style="76" customWidth="1"/>
    <col min="11265" max="11265" width="8" style="76" customWidth="1"/>
    <col min="11266" max="11266" width="9.140625" style="76"/>
    <col min="11267" max="11267" width="16.85546875" style="76" customWidth="1"/>
    <col min="11268" max="11518" width="9.140625" style="76"/>
    <col min="11519" max="11519" width="45.28515625" style="76" customWidth="1"/>
    <col min="11520" max="11520" width="19.5703125" style="76" customWidth="1"/>
    <col min="11521" max="11521" width="8" style="76" customWidth="1"/>
    <col min="11522" max="11522" width="9.140625" style="76"/>
    <col min="11523" max="11523" width="16.85546875" style="76" customWidth="1"/>
    <col min="11524" max="11774" width="9.140625" style="76"/>
    <col min="11775" max="11775" width="45.28515625" style="76" customWidth="1"/>
    <col min="11776" max="11776" width="19.5703125" style="76" customWidth="1"/>
    <col min="11777" max="11777" width="8" style="76" customWidth="1"/>
    <col min="11778" max="11778" width="9.140625" style="76"/>
    <col min="11779" max="11779" width="16.85546875" style="76" customWidth="1"/>
    <col min="11780" max="12030" width="9.140625" style="76"/>
    <col min="12031" max="12031" width="45.28515625" style="76" customWidth="1"/>
    <col min="12032" max="12032" width="19.5703125" style="76" customWidth="1"/>
    <col min="12033" max="12033" width="8" style="76" customWidth="1"/>
    <col min="12034" max="12034" width="9.140625" style="76"/>
    <col min="12035" max="12035" width="16.85546875" style="76" customWidth="1"/>
    <col min="12036" max="12286" width="9.140625" style="76"/>
    <col min="12287" max="12287" width="45.28515625" style="76" customWidth="1"/>
    <col min="12288" max="12288" width="19.5703125" style="76" customWidth="1"/>
    <col min="12289" max="12289" width="8" style="76" customWidth="1"/>
    <col min="12290" max="12290" width="9.140625" style="76"/>
    <col min="12291" max="12291" width="16.85546875" style="76" customWidth="1"/>
    <col min="12292" max="12542" width="9.140625" style="76"/>
    <col min="12543" max="12543" width="45.28515625" style="76" customWidth="1"/>
    <col min="12544" max="12544" width="19.5703125" style="76" customWidth="1"/>
    <col min="12545" max="12545" width="8" style="76" customWidth="1"/>
    <col min="12546" max="12546" width="9.140625" style="76"/>
    <col min="12547" max="12547" width="16.85546875" style="76" customWidth="1"/>
    <col min="12548" max="12798" width="9.140625" style="76"/>
    <col min="12799" max="12799" width="45.28515625" style="76" customWidth="1"/>
    <col min="12800" max="12800" width="19.5703125" style="76" customWidth="1"/>
    <col min="12801" max="12801" width="8" style="76" customWidth="1"/>
    <col min="12802" max="12802" width="9.140625" style="76"/>
    <col min="12803" max="12803" width="16.85546875" style="76" customWidth="1"/>
    <col min="12804" max="13054" width="9.140625" style="76"/>
    <col min="13055" max="13055" width="45.28515625" style="76" customWidth="1"/>
    <col min="13056" max="13056" width="19.5703125" style="76" customWidth="1"/>
    <col min="13057" max="13057" width="8" style="76" customWidth="1"/>
    <col min="13058" max="13058" width="9.140625" style="76"/>
    <col min="13059" max="13059" width="16.85546875" style="76" customWidth="1"/>
    <col min="13060" max="13310" width="9.140625" style="76"/>
    <col min="13311" max="13311" width="45.28515625" style="76" customWidth="1"/>
    <col min="13312" max="13312" width="19.5703125" style="76" customWidth="1"/>
    <col min="13313" max="13313" width="8" style="76" customWidth="1"/>
    <col min="13314" max="13314" width="9.140625" style="76"/>
    <col min="13315" max="13315" width="16.85546875" style="76" customWidth="1"/>
    <col min="13316" max="13566" width="9.140625" style="76"/>
    <col min="13567" max="13567" width="45.28515625" style="76" customWidth="1"/>
    <col min="13568" max="13568" width="19.5703125" style="76" customWidth="1"/>
    <col min="13569" max="13569" width="8" style="76" customWidth="1"/>
    <col min="13570" max="13570" width="9.140625" style="76"/>
    <col min="13571" max="13571" width="16.85546875" style="76" customWidth="1"/>
    <col min="13572" max="13822" width="9.140625" style="76"/>
    <col min="13823" max="13823" width="45.28515625" style="76" customWidth="1"/>
    <col min="13824" max="13824" width="19.5703125" style="76" customWidth="1"/>
    <col min="13825" max="13825" width="8" style="76" customWidth="1"/>
    <col min="13826" max="13826" width="9.140625" style="76"/>
    <col min="13827" max="13827" width="16.85546875" style="76" customWidth="1"/>
    <col min="13828" max="14078" width="9.140625" style="76"/>
    <col min="14079" max="14079" width="45.28515625" style="76" customWidth="1"/>
    <col min="14080" max="14080" width="19.5703125" style="76" customWidth="1"/>
    <col min="14081" max="14081" width="8" style="76" customWidth="1"/>
    <col min="14082" max="14082" width="9.140625" style="76"/>
    <col min="14083" max="14083" width="16.85546875" style="76" customWidth="1"/>
    <col min="14084" max="14334" width="9.140625" style="76"/>
    <col min="14335" max="14335" width="45.28515625" style="76" customWidth="1"/>
    <col min="14336" max="14336" width="19.5703125" style="76" customWidth="1"/>
    <col min="14337" max="14337" width="8" style="76" customWidth="1"/>
    <col min="14338" max="14338" width="9.140625" style="76"/>
    <col min="14339" max="14339" width="16.85546875" style="76" customWidth="1"/>
    <col min="14340" max="14590" width="9.140625" style="76"/>
    <col min="14591" max="14591" width="45.28515625" style="76" customWidth="1"/>
    <col min="14592" max="14592" width="19.5703125" style="76" customWidth="1"/>
    <col min="14593" max="14593" width="8" style="76" customWidth="1"/>
    <col min="14594" max="14594" width="9.140625" style="76"/>
    <col min="14595" max="14595" width="16.85546875" style="76" customWidth="1"/>
    <col min="14596" max="14846" width="9.140625" style="76"/>
    <col min="14847" max="14847" width="45.28515625" style="76" customWidth="1"/>
    <col min="14848" max="14848" width="19.5703125" style="76" customWidth="1"/>
    <col min="14849" max="14849" width="8" style="76" customWidth="1"/>
    <col min="14850" max="14850" width="9.140625" style="76"/>
    <col min="14851" max="14851" width="16.85546875" style="76" customWidth="1"/>
    <col min="14852" max="15102" width="9.140625" style="76"/>
    <col min="15103" max="15103" width="45.28515625" style="76" customWidth="1"/>
    <col min="15104" max="15104" width="19.5703125" style="76" customWidth="1"/>
    <col min="15105" max="15105" width="8" style="76" customWidth="1"/>
    <col min="15106" max="15106" width="9.140625" style="76"/>
    <col min="15107" max="15107" width="16.85546875" style="76" customWidth="1"/>
    <col min="15108" max="15358" width="9.140625" style="76"/>
    <col min="15359" max="15359" width="45.28515625" style="76" customWidth="1"/>
    <col min="15360" max="15360" width="19.5703125" style="76" customWidth="1"/>
    <col min="15361" max="15361" width="8" style="76" customWidth="1"/>
    <col min="15362" max="15362" width="9.140625" style="76"/>
    <col min="15363" max="15363" width="16.85546875" style="76" customWidth="1"/>
    <col min="15364" max="15614" width="9.140625" style="76"/>
    <col min="15615" max="15615" width="45.28515625" style="76" customWidth="1"/>
    <col min="15616" max="15616" width="19.5703125" style="76" customWidth="1"/>
    <col min="15617" max="15617" width="8" style="76" customWidth="1"/>
    <col min="15618" max="15618" width="9.140625" style="76"/>
    <col min="15619" max="15619" width="16.85546875" style="76" customWidth="1"/>
    <col min="15620" max="15870" width="9.140625" style="76"/>
    <col min="15871" max="15871" width="45.28515625" style="76" customWidth="1"/>
    <col min="15872" max="15872" width="19.5703125" style="76" customWidth="1"/>
    <col min="15873" max="15873" width="8" style="76" customWidth="1"/>
    <col min="15874" max="15874" width="9.140625" style="76"/>
    <col min="15875" max="15875" width="16.85546875" style="76" customWidth="1"/>
    <col min="15876" max="16126" width="9.140625" style="76"/>
    <col min="16127" max="16127" width="45.28515625" style="76" customWidth="1"/>
    <col min="16128" max="16128" width="19.5703125" style="76" customWidth="1"/>
    <col min="16129" max="16129" width="8" style="76" customWidth="1"/>
    <col min="16130" max="16130" width="9.140625" style="76"/>
    <col min="16131" max="16131" width="16.85546875" style="76" customWidth="1"/>
    <col min="16132" max="16384" width="9.140625" style="76"/>
  </cols>
  <sheetData>
    <row r="1" spans="1:12" ht="15.75">
      <c r="A1" s="375" t="s">
        <v>1452</v>
      </c>
      <c r="B1" s="375"/>
      <c r="C1" s="375"/>
      <c r="D1" s="375"/>
      <c r="E1" s="375"/>
    </row>
    <row r="2" spans="1:12" ht="15.75">
      <c r="A2" s="375" t="s">
        <v>1462</v>
      </c>
      <c r="B2" s="375"/>
      <c r="C2" s="375"/>
      <c r="D2" s="375"/>
      <c r="E2" s="375"/>
    </row>
    <row r="3" spans="1:12">
      <c r="A3" s="369"/>
      <c r="B3" s="369"/>
      <c r="C3" s="369"/>
      <c r="D3" s="369"/>
      <c r="E3" s="369"/>
    </row>
    <row r="4" spans="1:12">
      <c r="A4" s="95"/>
      <c r="B4" s="95"/>
      <c r="C4" s="95"/>
      <c r="D4" s="95"/>
      <c r="E4" s="96" t="s">
        <v>1463</v>
      </c>
      <c r="F4" s="95"/>
      <c r="G4" s="95"/>
      <c r="H4" s="95"/>
      <c r="I4" s="95"/>
      <c r="J4" s="95"/>
      <c r="K4" s="95"/>
      <c r="L4" s="95"/>
    </row>
    <row r="5" spans="1:12">
      <c r="A5" s="97" t="s">
        <v>1464</v>
      </c>
      <c r="B5" s="97"/>
      <c r="C5" s="95"/>
      <c r="D5" s="95"/>
      <c r="E5" s="96" t="s">
        <v>1465</v>
      </c>
      <c r="F5" s="95"/>
      <c r="G5" s="95"/>
      <c r="H5" s="95"/>
      <c r="I5" s="95"/>
      <c r="J5" s="95"/>
      <c r="K5" s="95"/>
      <c r="L5" s="95"/>
    </row>
    <row r="6" spans="1:12">
      <c r="A6" s="97"/>
      <c r="B6" s="97"/>
      <c r="C6" s="95"/>
      <c r="D6" s="95"/>
      <c r="E6" s="98"/>
      <c r="F6" s="95"/>
      <c r="G6" s="95"/>
      <c r="H6" s="95"/>
      <c r="I6" s="95"/>
      <c r="J6" s="95"/>
      <c r="K6" s="95"/>
      <c r="L6" s="95"/>
    </row>
    <row r="7" spans="1:12">
      <c r="A7" s="97" t="s">
        <v>1466</v>
      </c>
      <c r="B7" s="97"/>
      <c r="C7" s="95"/>
      <c r="D7" s="99"/>
      <c r="E7" s="100"/>
      <c r="F7" s="95"/>
      <c r="G7" s="95"/>
      <c r="H7" s="95"/>
      <c r="I7" s="95"/>
      <c r="J7" s="95"/>
      <c r="K7" s="95"/>
      <c r="L7" s="95"/>
    </row>
    <row r="8" spans="1:12">
      <c r="A8" s="101" t="s">
        <v>1467</v>
      </c>
      <c r="B8" s="101"/>
      <c r="C8" s="95"/>
      <c r="D8" s="99"/>
      <c r="E8" s="102"/>
      <c r="F8" s="95"/>
      <c r="G8" s="95"/>
      <c r="H8" s="95"/>
      <c r="I8" s="95"/>
      <c r="J8" s="95"/>
      <c r="K8" s="103"/>
      <c r="L8" s="95"/>
    </row>
    <row r="9" spans="1:12">
      <c r="A9" s="95" t="s">
        <v>1468</v>
      </c>
      <c r="B9" s="95"/>
      <c r="C9" s="95"/>
      <c r="D9" s="99"/>
      <c r="E9" s="104">
        <f>+summary!B19</f>
        <v>22354169.249999985</v>
      </c>
      <c r="F9" s="95"/>
      <c r="G9" s="95"/>
      <c r="H9" s="95"/>
      <c r="I9" s="95"/>
      <c r="J9" s="95"/>
      <c r="K9" s="105"/>
      <c r="L9" s="95"/>
    </row>
    <row r="10" spans="1:12">
      <c r="A10" s="95" t="s">
        <v>1543</v>
      </c>
      <c r="B10" s="95"/>
      <c r="C10" s="95"/>
      <c r="D10" s="99"/>
      <c r="E10" s="104">
        <f>-'MGE - Deferred Taxes'!D16</f>
        <v>-2588324.9771898468</v>
      </c>
      <c r="F10" s="95"/>
      <c r="G10" s="95"/>
      <c r="H10" s="95"/>
      <c r="I10" s="95"/>
      <c r="J10" s="95"/>
      <c r="K10" s="105"/>
      <c r="L10" s="95"/>
    </row>
    <row r="11" spans="1:12">
      <c r="A11" s="107" t="s">
        <v>1544</v>
      </c>
      <c r="B11" s="95"/>
      <c r="C11" s="95"/>
      <c r="D11" s="99"/>
      <c r="E11" s="104">
        <f>-'MGE - Deferred Taxes'!D12</f>
        <v>-168295.61018034961</v>
      </c>
      <c r="F11" s="95"/>
      <c r="G11" s="95"/>
      <c r="H11" s="95"/>
      <c r="I11" s="95"/>
      <c r="J11" s="95"/>
      <c r="K11" s="105"/>
      <c r="L11" s="95"/>
    </row>
    <row r="12" spans="1:12">
      <c r="A12" s="95" t="s">
        <v>1469</v>
      </c>
      <c r="B12" s="95"/>
      <c r="C12" s="95"/>
      <c r="D12" s="99"/>
      <c r="E12" s="106">
        <f>-'MGE - Deferred Taxes'!C16</f>
        <v>-1777859.0350405658</v>
      </c>
      <c r="F12" s="95"/>
      <c r="G12" s="95"/>
      <c r="H12" s="95"/>
      <c r="I12" s="95"/>
      <c r="J12" s="95"/>
      <c r="K12" s="105"/>
      <c r="L12" s="95"/>
    </row>
    <row r="13" spans="1:12">
      <c r="A13" s="107" t="s">
        <v>1470</v>
      </c>
      <c r="B13" s="95"/>
      <c r="C13" s="95"/>
      <c r="D13" s="99"/>
      <c r="E13" s="108">
        <f>-'MGE - Deferred Taxes'!C12</f>
        <v>-238419.34537174361</v>
      </c>
      <c r="F13" s="95"/>
      <c r="G13" s="95"/>
      <c r="H13" s="95"/>
    </row>
    <row r="14" spans="1:12">
      <c r="A14" s="107"/>
      <c r="B14" s="107"/>
      <c r="C14" s="95"/>
      <c r="D14" s="99"/>
      <c r="E14" s="102"/>
      <c r="F14" s="95"/>
      <c r="G14" s="95"/>
      <c r="H14" s="95"/>
      <c r="I14" s="95"/>
      <c r="J14" s="95"/>
      <c r="K14" s="95"/>
      <c r="L14" s="95"/>
    </row>
    <row r="15" spans="1:12">
      <c r="A15" s="109" t="s">
        <v>1471</v>
      </c>
      <c r="B15" s="109"/>
      <c r="C15" s="95"/>
      <c r="D15" s="99"/>
      <c r="E15" s="110">
        <f>SUM(E9:E14)</f>
        <v>17581270.282217484</v>
      </c>
      <c r="F15" s="95"/>
      <c r="G15" s="95"/>
      <c r="H15" s="95"/>
      <c r="I15" s="95"/>
      <c r="J15" s="95"/>
      <c r="K15" s="95"/>
      <c r="L15" s="95"/>
    </row>
    <row r="16" spans="1:12">
      <c r="A16" s="109" t="s">
        <v>1472</v>
      </c>
      <c r="B16" s="109"/>
      <c r="C16" s="95"/>
      <c r="D16" s="99"/>
      <c r="E16" s="111">
        <v>9.7500000000000003E-2</v>
      </c>
      <c r="F16" s="95"/>
      <c r="G16" s="95"/>
      <c r="H16" s="95"/>
      <c r="I16" s="95"/>
      <c r="J16" s="95"/>
      <c r="K16" s="95"/>
      <c r="L16" s="95"/>
    </row>
    <row r="17" spans="1:12">
      <c r="A17" s="109"/>
      <c r="B17" s="109"/>
      <c r="C17" s="95"/>
      <c r="D17" s="99"/>
      <c r="E17" s="112"/>
      <c r="F17" s="95"/>
      <c r="G17" s="95"/>
      <c r="H17" s="95"/>
      <c r="I17" s="95"/>
      <c r="J17" s="95"/>
      <c r="K17" s="95"/>
      <c r="L17" s="95"/>
    </row>
    <row r="18" spans="1:12">
      <c r="A18" s="109" t="s">
        <v>1473</v>
      </c>
      <c r="B18" s="95"/>
      <c r="C18" s="95"/>
      <c r="D18" s="99"/>
      <c r="E18" s="100">
        <f>+E15*E16</f>
        <v>1714173.8525162048</v>
      </c>
      <c r="F18" s="95"/>
      <c r="G18" s="95"/>
      <c r="H18" s="95"/>
    </row>
    <row r="19" spans="1:12" ht="15">
      <c r="A19" s="109" t="s">
        <v>1474</v>
      </c>
      <c r="B19" s="113"/>
      <c r="C19" s="95"/>
      <c r="D19" s="95"/>
      <c r="E19" s="114">
        <f>+summary!E19</f>
        <v>398134.33000000007</v>
      </c>
      <c r="F19" s="95"/>
      <c r="G19" s="95"/>
      <c r="H19" s="95"/>
      <c r="I19" s="95" t="s">
        <v>1475</v>
      </c>
      <c r="J19" s="95"/>
      <c r="K19" s="95"/>
      <c r="L19" s="95">
        <f>1/(1-0.383886)</f>
        <v>1.6230762488760195</v>
      </c>
    </row>
    <row r="20" spans="1:12">
      <c r="A20" s="109" t="s">
        <v>1476</v>
      </c>
      <c r="B20" s="95"/>
      <c r="C20" s="95"/>
      <c r="D20" s="95"/>
      <c r="E20" s="114">
        <f>+'Property Taxes'!C15</f>
        <v>759215.4754961147</v>
      </c>
      <c r="F20" s="95"/>
      <c r="G20" s="95"/>
      <c r="H20" s="95"/>
      <c r="I20" s="115" t="s">
        <v>1477</v>
      </c>
      <c r="J20" s="95"/>
      <c r="K20" s="95"/>
      <c r="L20" s="95"/>
    </row>
    <row r="21" spans="1:12">
      <c r="A21" s="109"/>
      <c r="B21" s="95"/>
      <c r="C21" s="95"/>
      <c r="D21" s="95"/>
      <c r="E21" s="116"/>
      <c r="F21" s="95"/>
      <c r="G21" s="95"/>
      <c r="H21" s="95"/>
      <c r="I21" s="95" t="s">
        <v>1478</v>
      </c>
      <c r="J21" s="95"/>
      <c r="K21" s="95"/>
      <c r="L21" s="95"/>
    </row>
    <row r="22" spans="1:12">
      <c r="A22" s="109"/>
      <c r="B22" s="95"/>
      <c r="C22" s="95"/>
      <c r="D22" s="95"/>
      <c r="E22" s="117"/>
      <c r="F22" s="95"/>
      <c r="G22" s="95"/>
      <c r="H22" s="95"/>
      <c r="I22" s="95"/>
      <c r="J22" s="95"/>
      <c r="K22" s="95"/>
      <c r="L22" s="95"/>
    </row>
    <row r="23" spans="1:12" ht="13.5" thickBot="1">
      <c r="A23" s="109" t="s">
        <v>1479</v>
      </c>
      <c r="B23" s="95"/>
      <c r="C23" s="95"/>
      <c r="D23" s="95"/>
      <c r="E23" s="118">
        <f>SUM(E18:E22)</f>
        <v>2871523.6580123198</v>
      </c>
      <c r="F23" s="95"/>
      <c r="G23" s="95"/>
      <c r="H23" s="95"/>
      <c r="I23" s="119"/>
      <c r="J23" s="95"/>
      <c r="K23" s="95"/>
      <c r="L23" s="95"/>
    </row>
    <row r="24" spans="1:12" ht="13.5" thickTop="1">
      <c r="A24" s="95"/>
      <c r="B24" s="95"/>
      <c r="C24" s="95"/>
      <c r="D24" s="95"/>
      <c r="E24" s="95"/>
      <c r="F24" s="95"/>
      <c r="G24" s="95"/>
      <c r="H24" s="95"/>
      <c r="I24" s="95"/>
      <c r="J24" s="95"/>
      <c r="K24" s="95"/>
      <c r="L24" s="95"/>
    </row>
    <row r="25" spans="1:12">
      <c r="E25" s="120"/>
    </row>
    <row r="27" spans="1:12">
      <c r="E27" s="120"/>
    </row>
    <row r="33" spans="5:5">
      <c r="E33" s="81"/>
    </row>
  </sheetData>
  <mergeCells count="3">
    <mergeCell ref="A1:E1"/>
    <mergeCell ref="A2:E2"/>
    <mergeCell ref="A3:E3"/>
  </mergeCells>
  <printOptions horizontalCentered="1"/>
  <pageMargins left="0.75" right="0.75" top="1" bottom="1" header="0.5" footer="0.5"/>
  <pageSetup scale="90" orientation="portrait" horizontalDpi="300" verticalDpi="300" r:id="rId1"/>
  <headerFooter alignWithMargins="0">
    <oddHeader>&amp;R&amp;"Arial,Bold"Appendix A
Page 2</oddHeader>
  </headerFooter>
</worksheet>
</file>

<file path=xl/worksheets/sheet17.xml><?xml version="1.0" encoding="utf-8"?>
<worksheet xmlns="http://schemas.openxmlformats.org/spreadsheetml/2006/main" xmlns:r="http://schemas.openxmlformats.org/officeDocument/2006/relationships">
  <sheetPr>
    <tabColor rgb="FF00B050"/>
    <pageSetUpPr fitToPage="1"/>
  </sheetPr>
  <dimension ref="A1:I21"/>
  <sheetViews>
    <sheetView topLeftCell="A7" workbookViewId="0">
      <selection activeCell="E47" sqref="E47"/>
    </sheetView>
  </sheetViews>
  <sheetFormatPr defaultColWidth="9.140625" defaultRowHeight="12"/>
  <cols>
    <col min="1" max="1" width="55.5703125" style="122" bestFit="1" customWidth="1"/>
    <col min="2" max="8" width="12.7109375" style="122" customWidth="1"/>
    <col min="9" max="16384" width="9.140625" style="122"/>
  </cols>
  <sheetData>
    <row r="1" spans="1:9" ht="15.75">
      <c r="A1" s="376" t="s">
        <v>1452</v>
      </c>
      <c r="B1" s="376"/>
      <c r="C1" s="376"/>
      <c r="D1" s="376"/>
      <c r="E1" s="376"/>
      <c r="F1" s="121"/>
      <c r="G1" s="121"/>
      <c r="H1" s="121"/>
    </row>
    <row r="2" spans="1:9" ht="15.75">
      <c r="A2" s="376" t="s">
        <v>1480</v>
      </c>
      <c r="B2" s="376"/>
      <c r="C2" s="376"/>
      <c r="D2" s="376"/>
      <c r="E2" s="376"/>
      <c r="F2" s="121"/>
      <c r="G2" s="121"/>
      <c r="H2" s="121"/>
    </row>
    <row r="3" spans="1:9" ht="15">
      <c r="A3"/>
      <c r="B3"/>
      <c r="C3"/>
      <c r="D3"/>
      <c r="E3"/>
      <c r="F3"/>
      <c r="G3"/>
      <c r="H3"/>
    </row>
    <row r="4" spans="1:9" ht="15">
      <c r="A4"/>
      <c r="B4"/>
      <c r="C4"/>
      <c r="D4"/>
      <c r="E4"/>
      <c r="F4"/>
      <c r="G4"/>
      <c r="H4"/>
    </row>
    <row r="5" spans="1:9" ht="15">
      <c r="A5" s="123"/>
      <c r="B5" s="123"/>
      <c r="C5" s="123"/>
      <c r="D5" s="124"/>
      <c r="E5" s="124"/>
      <c r="F5" s="124"/>
      <c r="G5" s="124"/>
      <c r="H5" s="124"/>
    </row>
    <row r="6" spans="1:9" ht="15">
      <c r="A6" s="123"/>
      <c r="B6" s="123"/>
      <c r="C6" s="123"/>
      <c r="D6" s="124"/>
      <c r="E6" s="124"/>
      <c r="F6" s="124"/>
      <c r="G6" s="124"/>
      <c r="H6" s="124"/>
    </row>
    <row r="7" spans="1:9" ht="15">
      <c r="A7" s="3"/>
      <c r="B7" s="125" t="s">
        <v>1481</v>
      </c>
      <c r="C7" s="125" t="s">
        <v>1482</v>
      </c>
      <c r="D7" s="125" t="s">
        <v>1483</v>
      </c>
      <c r="E7" s="125" t="s">
        <v>1484</v>
      </c>
      <c r="H7" s="126"/>
      <c r="I7" s="126"/>
    </row>
    <row r="8" spans="1:9" ht="15">
      <c r="A8" s="3"/>
      <c r="B8" s="3"/>
      <c r="C8" s="3"/>
      <c r="D8" s="3"/>
      <c r="E8" s="3"/>
      <c r="H8" s="126"/>
      <c r="I8" s="126"/>
    </row>
    <row r="9" spans="1:9" ht="15">
      <c r="A9" s="3"/>
      <c r="B9" s="3"/>
      <c r="C9" s="3"/>
      <c r="D9" s="3"/>
      <c r="E9" s="3"/>
      <c r="H9" s="126"/>
      <c r="I9" s="126"/>
    </row>
    <row r="10" spans="1:9" ht="15.75">
      <c r="A10" s="127" t="s">
        <v>1485</v>
      </c>
      <c r="B10" s="128"/>
      <c r="C10" s="128"/>
      <c r="D10" s="129"/>
      <c r="E10" s="130"/>
      <c r="H10" s="126"/>
      <c r="I10" s="126"/>
    </row>
    <row r="11" spans="1:9" ht="15.75">
      <c r="A11" s="131" t="s">
        <v>1486</v>
      </c>
      <c r="B11" s="132">
        <f>+'WO Additions'!J901</f>
        <v>8871618.9899999928</v>
      </c>
      <c r="C11" s="132"/>
      <c r="D11" s="132">
        <f>-'WO Additions'!M901</f>
        <v>-84971.310000000041</v>
      </c>
      <c r="E11" s="132">
        <f>+'WO Additions'!N901</f>
        <v>159675.84</v>
      </c>
      <c r="H11" s="126"/>
      <c r="I11" s="133">
        <f>+E11/B11</f>
        <v>1.7998500632182821E-2</v>
      </c>
    </row>
    <row r="12" spans="1:9" ht="15.75">
      <c r="A12" s="131" t="s">
        <v>1487</v>
      </c>
      <c r="B12" s="132">
        <f>+'WO Additions'!J930+'WO Additions'!J704</f>
        <v>8763892.1099999901</v>
      </c>
      <c r="C12" s="132"/>
      <c r="D12" s="132">
        <f>-'WO Additions'!M930-'WO Additions'!M704</f>
        <v>-81565.590000000069</v>
      </c>
      <c r="E12" s="132">
        <f>+'WO Additions'!N930+'WO Additions'!N704</f>
        <v>156059.37000000014</v>
      </c>
      <c r="H12" s="126"/>
      <c r="I12" s="133">
        <f>+E12/B12</f>
        <v>1.7807084802188455E-2</v>
      </c>
    </row>
    <row r="13" spans="1:9" ht="15.75">
      <c r="A13" s="131" t="s">
        <v>1524</v>
      </c>
      <c r="B13" s="132">
        <f>+'WO Additions'!J213</f>
        <v>387633.85</v>
      </c>
      <c r="C13" s="132"/>
      <c r="D13" s="132">
        <f>-'WO Additions'!M213</f>
        <v>-4054.2499999999995</v>
      </c>
      <c r="E13" s="132">
        <f>+'WO Additions'!N213</f>
        <v>6899.87</v>
      </c>
      <c r="H13" s="126"/>
      <c r="I13" s="133">
        <f>+E13/B13</f>
        <v>1.7799967675681577E-2</v>
      </c>
    </row>
    <row r="14" spans="1:9" ht="15.75">
      <c r="A14" s="131" t="s">
        <v>1540</v>
      </c>
      <c r="B14" s="132">
        <f>+'WO Additions'!J918</f>
        <v>241923.77</v>
      </c>
      <c r="C14" s="132"/>
      <c r="D14" s="132">
        <f>-'WO Additions'!M918</f>
        <v>-2921.9300000000007</v>
      </c>
      <c r="E14" s="132">
        <f>+'WO Additions'!N918</f>
        <v>6920.96</v>
      </c>
      <c r="H14" s="126"/>
      <c r="I14" s="133">
        <f>+E14/B14</f>
        <v>2.8608019790696881E-2</v>
      </c>
    </row>
    <row r="15" spans="1:9" ht="15.75">
      <c r="A15" s="131" t="s">
        <v>1541</v>
      </c>
      <c r="B15" s="132">
        <f>+'WO Additions'!J205</f>
        <v>4089100.5300000012</v>
      </c>
      <c r="C15" s="132"/>
      <c r="D15" s="132">
        <f>-'WO Additions'!M205</f>
        <v>-64906.510000000038</v>
      </c>
      <c r="E15" s="132">
        <f>+'WO Additions'!N205</f>
        <v>108870.18999999997</v>
      </c>
      <c r="H15" s="126"/>
      <c r="I15" s="133">
        <f>+E15/B15</f>
        <v>2.6624483600064471E-2</v>
      </c>
    </row>
    <row r="16" spans="1:9" ht="15.75">
      <c r="A16" s="131" t="s">
        <v>1538</v>
      </c>
      <c r="B16" s="132"/>
      <c r="C16" s="132"/>
      <c r="D16" s="132"/>
      <c r="E16" s="132"/>
      <c r="H16" s="126"/>
      <c r="I16" s="133"/>
    </row>
    <row r="17" spans="1:9" ht="15.75">
      <c r="A17" s="131" t="s">
        <v>1539</v>
      </c>
      <c r="B17" s="132"/>
      <c r="C17" s="132"/>
      <c r="D17" s="132"/>
      <c r="E17" s="132"/>
      <c r="H17" s="126"/>
      <c r="I17" s="133"/>
    </row>
    <row r="18" spans="1:9" ht="15.75">
      <c r="A18" s="131" t="s">
        <v>1482</v>
      </c>
      <c r="C18" s="132">
        <f>+'WO Retirements'!I157</f>
        <v>-1859621.6900000006</v>
      </c>
      <c r="D18" s="132"/>
      <c r="E18" s="132">
        <f>+'WO Retirements'!M157</f>
        <v>-40291.899999999994</v>
      </c>
      <c r="H18" s="126"/>
      <c r="I18" s="133"/>
    </row>
    <row r="19" spans="1:9" ht="16.5" thickBot="1">
      <c r="A19" s="131" t="s">
        <v>1450</v>
      </c>
      <c r="B19" s="134">
        <f>SUM(B11:B18)</f>
        <v>22354169.249999985</v>
      </c>
      <c r="C19" s="134">
        <f>SUM(C11:C18)</f>
        <v>-1859621.6900000006</v>
      </c>
      <c r="D19" s="134">
        <f t="shared" ref="D19:E19" si="0">SUM(D11:D18)</f>
        <v>-238419.59000000014</v>
      </c>
      <c r="E19" s="134">
        <f t="shared" si="0"/>
        <v>398134.33000000007</v>
      </c>
      <c r="H19" s="126"/>
      <c r="I19" s="126"/>
    </row>
    <row r="20" spans="1:9" ht="12.75" thickTop="1">
      <c r="A20" s="130"/>
      <c r="B20" s="130"/>
      <c r="C20" s="130"/>
      <c r="D20" s="129"/>
      <c r="E20" s="130"/>
      <c r="H20" s="126"/>
      <c r="I20" s="126"/>
    </row>
    <row r="21" spans="1:9">
      <c r="A21" s="135"/>
      <c r="B21" s="135"/>
      <c r="C21" s="135"/>
      <c r="D21" s="135"/>
      <c r="E21" s="135"/>
      <c r="F21" s="136"/>
      <c r="G21" s="135"/>
      <c r="H21" s="135"/>
    </row>
  </sheetData>
  <mergeCells count="2">
    <mergeCell ref="A1:E1"/>
    <mergeCell ref="A2:E2"/>
  </mergeCells>
  <printOptions horizontalCentered="1"/>
  <pageMargins left="0.7" right="0.7" top="0.75" bottom="0.75" header="0.3" footer="0.3"/>
  <pageSetup fitToHeight="0" orientation="landscape" horizontalDpi="300" verticalDpi="300" r:id="rId1"/>
  <headerFooter>
    <oddHeader>&amp;R&amp;"-,Bold"Appendix A
Page 1</oddHeader>
  </headerFooter>
</worksheet>
</file>

<file path=xl/worksheets/sheet18.xml><?xml version="1.0" encoding="utf-8"?>
<worksheet xmlns="http://schemas.openxmlformats.org/spreadsheetml/2006/main" xmlns:r="http://schemas.openxmlformats.org/officeDocument/2006/relationships">
  <sheetPr>
    <tabColor rgb="FF00B050"/>
  </sheetPr>
  <dimension ref="A1:L37"/>
  <sheetViews>
    <sheetView workbookViewId="0">
      <selection activeCell="M13" sqref="M13"/>
    </sheetView>
  </sheetViews>
  <sheetFormatPr defaultRowHeight="12.75"/>
  <cols>
    <col min="1" max="1" width="25.7109375" style="76" customWidth="1"/>
    <col min="2" max="2" width="8.5703125" style="76" customWidth="1"/>
    <col min="3" max="4" width="16" style="76" customWidth="1"/>
    <col min="5" max="5" width="14.5703125" style="76" customWidth="1"/>
    <col min="6" max="6" width="14.140625" style="76" customWidth="1"/>
    <col min="7" max="7" width="11.5703125" style="76" customWidth="1"/>
    <col min="8" max="8" width="13.5703125" style="76" customWidth="1"/>
    <col min="9" max="10" width="13.7109375" style="76" customWidth="1"/>
    <col min="11" max="257" width="9.140625" style="76"/>
    <col min="258" max="258" width="23.85546875" style="76" customWidth="1"/>
    <col min="259" max="259" width="8.5703125" style="76" customWidth="1"/>
    <col min="260" max="260" width="16" style="76" customWidth="1"/>
    <col min="261" max="261" width="14.5703125" style="76" customWidth="1"/>
    <col min="262" max="262" width="14.140625" style="76" customWidth="1"/>
    <col min="263" max="263" width="11.5703125" style="76" customWidth="1"/>
    <col min="264" max="264" width="13.5703125" style="76" customWidth="1"/>
    <col min="265" max="266" width="13.7109375" style="76" customWidth="1"/>
    <col min="267" max="513" width="9.140625" style="76"/>
    <col min="514" max="514" width="23.85546875" style="76" customWidth="1"/>
    <col min="515" max="515" width="8.5703125" style="76" customWidth="1"/>
    <col min="516" max="516" width="16" style="76" customWidth="1"/>
    <col min="517" max="517" width="14.5703125" style="76" customWidth="1"/>
    <col min="518" max="518" width="14.140625" style="76" customWidth="1"/>
    <col min="519" max="519" width="11.5703125" style="76" customWidth="1"/>
    <col min="520" max="520" width="13.5703125" style="76" customWidth="1"/>
    <col min="521" max="522" width="13.7109375" style="76" customWidth="1"/>
    <col min="523" max="769" width="9.140625" style="76"/>
    <col min="770" max="770" width="23.85546875" style="76" customWidth="1"/>
    <col min="771" max="771" width="8.5703125" style="76" customWidth="1"/>
    <col min="772" max="772" width="16" style="76" customWidth="1"/>
    <col min="773" max="773" width="14.5703125" style="76" customWidth="1"/>
    <col min="774" max="774" width="14.140625" style="76" customWidth="1"/>
    <col min="775" max="775" width="11.5703125" style="76" customWidth="1"/>
    <col min="776" max="776" width="13.5703125" style="76" customWidth="1"/>
    <col min="777" max="778" width="13.7109375" style="76" customWidth="1"/>
    <col min="779" max="1025" width="9.140625" style="76"/>
    <col min="1026" max="1026" width="23.85546875" style="76" customWidth="1"/>
    <col min="1027" max="1027" width="8.5703125" style="76" customWidth="1"/>
    <col min="1028" max="1028" width="16" style="76" customWidth="1"/>
    <col min="1029" max="1029" width="14.5703125" style="76" customWidth="1"/>
    <col min="1030" max="1030" width="14.140625" style="76" customWidth="1"/>
    <col min="1031" max="1031" width="11.5703125" style="76" customWidth="1"/>
    <col min="1032" max="1032" width="13.5703125" style="76" customWidth="1"/>
    <col min="1033" max="1034" width="13.7109375" style="76" customWidth="1"/>
    <col min="1035" max="1281" width="9.140625" style="76"/>
    <col min="1282" max="1282" width="23.85546875" style="76" customWidth="1"/>
    <col min="1283" max="1283" width="8.5703125" style="76" customWidth="1"/>
    <col min="1284" max="1284" width="16" style="76" customWidth="1"/>
    <col min="1285" max="1285" width="14.5703125" style="76" customWidth="1"/>
    <col min="1286" max="1286" width="14.140625" style="76" customWidth="1"/>
    <col min="1287" max="1287" width="11.5703125" style="76" customWidth="1"/>
    <col min="1288" max="1288" width="13.5703125" style="76" customWidth="1"/>
    <col min="1289" max="1290" width="13.7109375" style="76" customWidth="1"/>
    <col min="1291" max="1537" width="9.140625" style="76"/>
    <col min="1538" max="1538" width="23.85546875" style="76" customWidth="1"/>
    <col min="1539" max="1539" width="8.5703125" style="76" customWidth="1"/>
    <col min="1540" max="1540" width="16" style="76" customWidth="1"/>
    <col min="1541" max="1541" width="14.5703125" style="76" customWidth="1"/>
    <col min="1542" max="1542" width="14.140625" style="76" customWidth="1"/>
    <col min="1543" max="1543" width="11.5703125" style="76" customWidth="1"/>
    <col min="1544" max="1544" width="13.5703125" style="76" customWidth="1"/>
    <col min="1545" max="1546" width="13.7109375" style="76" customWidth="1"/>
    <col min="1547" max="1793" width="9.140625" style="76"/>
    <col min="1794" max="1794" width="23.85546875" style="76" customWidth="1"/>
    <col min="1795" max="1795" width="8.5703125" style="76" customWidth="1"/>
    <col min="1796" max="1796" width="16" style="76" customWidth="1"/>
    <col min="1797" max="1797" width="14.5703125" style="76" customWidth="1"/>
    <col min="1798" max="1798" width="14.140625" style="76" customWidth="1"/>
    <col min="1799" max="1799" width="11.5703125" style="76" customWidth="1"/>
    <col min="1800" max="1800" width="13.5703125" style="76" customWidth="1"/>
    <col min="1801" max="1802" width="13.7109375" style="76" customWidth="1"/>
    <col min="1803" max="2049" width="9.140625" style="76"/>
    <col min="2050" max="2050" width="23.85546875" style="76" customWidth="1"/>
    <col min="2051" max="2051" width="8.5703125" style="76" customWidth="1"/>
    <col min="2052" max="2052" width="16" style="76" customWidth="1"/>
    <col min="2053" max="2053" width="14.5703125" style="76" customWidth="1"/>
    <col min="2054" max="2054" width="14.140625" style="76" customWidth="1"/>
    <col min="2055" max="2055" width="11.5703125" style="76" customWidth="1"/>
    <col min="2056" max="2056" width="13.5703125" style="76" customWidth="1"/>
    <col min="2057" max="2058" width="13.7109375" style="76" customWidth="1"/>
    <col min="2059" max="2305" width="9.140625" style="76"/>
    <col min="2306" max="2306" width="23.85546875" style="76" customWidth="1"/>
    <col min="2307" max="2307" width="8.5703125" style="76" customWidth="1"/>
    <col min="2308" max="2308" width="16" style="76" customWidth="1"/>
    <col min="2309" max="2309" width="14.5703125" style="76" customWidth="1"/>
    <col min="2310" max="2310" width="14.140625" style="76" customWidth="1"/>
    <col min="2311" max="2311" width="11.5703125" style="76" customWidth="1"/>
    <col min="2312" max="2312" width="13.5703125" style="76" customWidth="1"/>
    <col min="2313" max="2314" width="13.7109375" style="76" customWidth="1"/>
    <col min="2315" max="2561" width="9.140625" style="76"/>
    <col min="2562" max="2562" width="23.85546875" style="76" customWidth="1"/>
    <col min="2563" max="2563" width="8.5703125" style="76" customWidth="1"/>
    <col min="2564" max="2564" width="16" style="76" customWidth="1"/>
    <col min="2565" max="2565" width="14.5703125" style="76" customWidth="1"/>
    <col min="2566" max="2566" width="14.140625" style="76" customWidth="1"/>
    <col min="2567" max="2567" width="11.5703125" style="76" customWidth="1"/>
    <col min="2568" max="2568" width="13.5703125" style="76" customWidth="1"/>
    <col min="2569" max="2570" width="13.7109375" style="76" customWidth="1"/>
    <col min="2571" max="2817" width="9.140625" style="76"/>
    <col min="2818" max="2818" width="23.85546875" style="76" customWidth="1"/>
    <col min="2819" max="2819" width="8.5703125" style="76" customWidth="1"/>
    <col min="2820" max="2820" width="16" style="76" customWidth="1"/>
    <col min="2821" max="2821" width="14.5703125" style="76" customWidth="1"/>
    <col min="2822" max="2822" width="14.140625" style="76" customWidth="1"/>
    <col min="2823" max="2823" width="11.5703125" style="76" customWidth="1"/>
    <col min="2824" max="2824" width="13.5703125" style="76" customWidth="1"/>
    <col min="2825" max="2826" width="13.7109375" style="76" customWidth="1"/>
    <col min="2827" max="3073" width="9.140625" style="76"/>
    <col min="3074" max="3074" width="23.85546875" style="76" customWidth="1"/>
    <col min="3075" max="3075" width="8.5703125" style="76" customWidth="1"/>
    <col min="3076" max="3076" width="16" style="76" customWidth="1"/>
    <col min="3077" max="3077" width="14.5703125" style="76" customWidth="1"/>
    <col min="3078" max="3078" width="14.140625" style="76" customWidth="1"/>
    <col min="3079" max="3079" width="11.5703125" style="76" customWidth="1"/>
    <col min="3080" max="3080" width="13.5703125" style="76" customWidth="1"/>
    <col min="3081" max="3082" width="13.7109375" style="76" customWidth="1"/>
    <col min="3083" max="3329" width="9.140625" style="76"/>
    <col min="3330" max="3330" width="23.85546875" style="76" customWidth="1"/>
    <col min="3331" max="3331" width="8.5703125" style="76" customWidth="1"/>
    <col min="3332" max="3332" width="16" style="76" customWidth="1"/>
    <col min="3333" max="3333" width="14.5703125" style="76" customWidth="1"/>
    <col min="3334" max="3334" width="14.140625" style="76" customWidth="1"/>
    <col min="3335" max="3335" width="11.5703125" style="76" customWidth="1"/>
    <col min="3336" max="3336" width="13.5703125" style="76" customWidth="1"/>
    <col min="3337" max="3338" width="13.7109375" style="76" customWidth="1"/>
    <col min="3339" max="3585" width="9.140625" style="76"/>
    <col min="3586" max="3586" width="23.85546875" style="76" customWidth="1"/>
    <col min="3587" max="3587" width="8.5703125" style="76" customWidth="1"/>
    <col min="3588" max="3588" width="16" style="76" customWidth="1"/>
    <col min="3589" max="3589" width="14.5703125" style="76" customWidth="1"/>
    <col min="3590" max="3590" width="14.140625" style="76" customWidth="1"/>
    <col min="3591" max="3591" width="11.5703125" style="76" customWidth="1"/>
    <col min="3592" max="3592" width="13.5703125" style="76" customWidth="1"/>
    <col min="3593" max="3594" width="13.7109375" style="76" customWidth="1"/>
    <col min="3595" max="3841" width="9.140625" style="76"/>
    <col min="3842" max="3842" width="23.85546875" style="76" customWidth="1"/>
    <col min="3843" max="3843" width="8.5703125" style="76" customWidth="1"/>
    <col min="3844" max="3844" width="16" style="76" customWidth="1"/>
    <col min="3845" max="3845" width="14.5703125" style="76" customWidth="1"/>
    <col min="3846" max="3846" width="14.140625" style="76" customWidth="1"/>
    <col min="3847" max="3847" width="11.5703125" style="76" customWidth="1"/>
    <col min="3848" max="3848" width="13.5703125" style="76" customWidth="1"/>
    <col min="3849" max="3850" width="13.7109375" style="76" customWidth="1"/>
    <col min="3851" max="4097" width="9.140625" style="76"/>
    <col min="4098" max="4098" width="23.85546875" style="76" customWidth="1"/>
    <col min="4099" max="4099" width="8.5703125" style="76" customWidth="1"/>
    <col min="4100" max="4100" width="16" style="76" customWidth="1"/>
    <col min="4101" max="4101" width="14.5703125" style="76" customWidth="1"/>
    <col min="4102" max="4102" width="14.140625" style="76" customWidth="1"/>
    <col min="4103" max="4103" width="11.5703125" style="76" customWidth="1"/>
    <col min="4104" max="4104" width="13.5703125" style="76" customWidth="1"/>
    <col min="4105" max="4106" width="13.7109375" style="76" customWidth="1"/>
    <col min="4107" max="4353" width="9.140625" style="76"/>
    <col min="4354" max="4354" width="23.85546875" style="76" customWidth="1"/>
    <col min="4355" max="4355" width="8.5703125" style="76" customWidth="1"/>
    <col min="4356" max="4356" width="16" style="76" customWidth="1"/>
    <col min="4357" max="4357" width="14.5703125" style="76" customWidth="1"/>
    <col min="4358" max="4358" width="14.140625" style="76" customWidth="1"/>
    <col min="4359" max="4359" width="11.5703125" style="76" customWidth="1"/>
    <col min="4360" max="4360" width="13.5703125" style="76" customWidth="1"/>
    <col min="4361" max="4362" width="13.7109375" style="76" customWidth="1"/>
    <col min="4363" max="4609" width="9.140625" style="76"/>
    <col min="4610" max="4610" width="23.85546875" style="76" customWidth="1"/>
    <col min="4611" max="4611" width="8.5703125" style="76" customWidth="1"/>
    <col min="4612" max="4612" width="16" style="76" customWidth="1"/>
    <col min="4613" max="4613" width="14.5703125" style="76" customWidth="1"/>
    <col min="4614" max="4614" width="14.140625" style="76" customWidth="1"/>
    <col min="4615" max="4615" width="11.5703125" style="76" customWidth="1"/>
    <col min="4616" max="4616" width="13.5703125" style="76" customWidth="1"/>
    <col min="4617" max="4618" width="13.7109375" style="76" customWidth="1"/>
    <col min="4619" max="4865" width="9.140625" style="76"/>
    <col min="4866" max="4866" width="23.85546875" style="76" customWidth="1"/>
    <col min="4867" max="4867" width="8.5703125" style="76" customWidth="1"/>
    <col min="4868" max="4868" width="16" style="76" customWidth="1"/>
    <col min="4869" max="4869" width="14.5703125" style="76" customWidth="1"/>
    <col min="4870" max="4870" width="14.140625" style="76" customWidth="1"/>
    <col min="4871" max="4871" width="11.5703125" style="76" customWidth="1"/>
    <col min="4872" max="4872" width="13.5703125" style="76" customWidth="1"/>
    <col min="4873" max="4874" width="13.7109375" style="76" customWidth="1"/>
    <col min="4875" max="5121" width="9.140625" style="76"/>
    <col min="5122" max="5122" width="23.85546875" style="76" customWidth="1"/>
    <col min="5123" max="5123" width="8.5703125" style="76" customWidth="1"/>
    <col min="5124" max="5124" width="16" style="76" customWidth="1"/>
    <col min="5125" max="5125" width="14.5703125" style="76" customWidth="1"/>
    <col min="5126" max="5126" width="14.140625" style="76" customWidth="1"/>
    <col min="5127" max="5127" width="11.5703125" style="76" customWidth="1"/>
    <col min="5128" max="5128" width="13.5703125" style="76" customWidth="1"/>
    <col min="5129" max="5130" width="13.7109375" style="76" customWidth="1"/>
    <col min="5131" max="5377" width="9.140625" style="76"/>
    <col min="5378" max="5378" width="23.85546875" style="76" customWidth="1"/>
    <col min="5379" max="5379" width="8.5703125" style="76" customWidth="1"/>
    <col min="5380" max="5380" width="16" style="76" customWidth="1"/>
    <col min="5381" max="5381" width="14.5703125" style="76" customWidth="1"/>
    <col min="5382" max="5382" width="14.140625" style="76" customWidth="1"/>
    <col min="5383" max="5383" width="11.5703125" style="76" customWidth="1"/>
    <col min="5384" max="5384" width="13.5703125" style="76" customWidth="1"/>
    <col min="5385" max="5386" width="13.7109375" style="76" customWidth="1"/>
    <col min="5387" max="5633" width="9.140625" style="76"/>
    <col min="5634" max="5634" width="23.85546875" style="76" customWidth="1"/>
    <col min="5635" max="5635" width="8.5703125" style="76" customWidth="1"/>
    <col min="5636" max="5636" width="16" style="76" customWidth="1"/>
    <col min="5637" max="5637" width="14.5703125" style="76" customWidth="1"/>
    <col min="5638" max="5638" width="14.140625" style="76" customWidth="1"/>
    <col min="5639" max="5639" width="11.5703125" style="76" customWidth="1"/>
    <col min="5640" max="5640" width="13.5703125" style="76" customWidth="1"/>
    <col min="5641" max="5642" width="13.7109375" style="76" customWidth="1"/>
    <col min="5643" max="5889" width="9.140625" style="76"/>
    <col min="5890" max="5890" width="23.85546875" style="76" customWidth="1"/>
    <col min="5891" max="5891" width="8.5703125" style="76" customWidth="1"/>
    <col min="5892" max="5892" width="16" style="76" customWidth="1"/>
    <col min="5893" max="5893" width="14.5703125" style="76" customWidth="1"/>
    <col min="5894" max="5894" width="14.140625" style="76" customWidth="1"/>
    <col min="5895" max="5895" width="11.5703125" style="76" customWidth="1"/>
    <col min="5896" max="5896" width="13.5703125" style="76" customWidth="1"/>
    <col min="5897" max="5898" width="13.7109375" style="76" customWidth="1"/>
    <col min="5899" max="6145" width="9.140625" style="76"/>
    <col min="6146" max="6146" width="23.85546875" style="76" customWidth="1"/>
    <col min="6147" max="6147" width="8.5703125" style="76" customWidth="1"/>
    <col min="6148" max="6148" width="16" style="76" customWidth="1"/>
    <col min="6149" max="6149" width="14.5703125" style="76" customWidth="1"/>
    <col min="6150" max="6150" width="14.140625" style="76" customWidth="1"/>
    <col min="6151" max="6151" width="11.5703125" style="76" customWidth="1"/>
    <col min="6152" max="6152" width="13.5703125" style="76" customWidth="1"/>
    <col min="6153" max="6154" width="13.7109375" style="76" customWidth="1"/>
    <col min="6155" max="6401" width="9.140625" style="76"/>
    <col min="6402" max="6402" width="23.85546875" style="76" customWidth="1"/>
    <col min="6403" max="6403" width="8.5703125" style="76" customWidth="1"/>
    <col min="6404" max="6404" width="16" style="76" customWidth="1"/>
    <col min="6405" max="6405" width="14.5703125" style="76" customWidth="1"/>
    <col min="6406" max="6406" width="14.140625" style="76" customWidth="1"/>
    <col min="6407" max="6407" width="11.5703125" style="76" customWidth="1"/>
    <col min="6408" max="6408" width="13.5703125" style="76" customWidth="1"/>
    <col min="6409" max="6410" width="13.7109375" style="76" customWidth="1"/>
    <col min="6411" max="6657" width="9.140625" style="76"/>
    <col min="6658" max="6658" width="23.85546875" style="76" customWidth="1"/>
    <col min="6659" max="6659" width="8.5703125" style="76" customWidth="1"/>
    <col min="6660" max="6660" width="16" style="76" customWidth="1"/>
    <col min="6661" max="6661" width="14.5703125" style="76" customWidth="1"/>
    <col min="6662" max="6662" width="14.140625" style="76" customWidth="1"/>
    <col min="6663" max="6663" width="11.5703125" style="76" customWidth="1"/>
    <col min="6664" max="6664" width="13.5703125" style="76" customWidth="1"/>
    <col min="6665" max="6666" width="13.7109375" style="76" customWidth="1"/>
    <col min="6667" max="6913" width="9.140625" style="76"/>
    <col min="6914" max="6914" width="23.85546875" style="76" customWidth="1"/>
    <col min="6915" max="6915" width="8.5703125" style="76" customWidth="1"/>
    <col min="6916" max="6916" width="16" style="76" customWidth="1"/>
    <col min="6917" max="6917" width="14.5703125" style="76" customWidth="1"/>
    <col min="6918" max="6918" width="14.140625" style="76" customWidth="1"/>
    <col min="6919" max="6919" width="11.5703125" style="76" customWidth="1"/>
    <col min="6920" max="6920" width="13.5703125" style="76" customWidth="1"/>
    <col min="6921" max="6922" width="13.7109375" style="76" customWidth="1"/>
    <col min="6923" max="7169" width="9.140625" style="76"/>
    <col min="7170" max="7170" width="23.85546875" style="76" customWidth="1"/>
    <col min="7171" max="7171" width="8.5703125" style="76" customWidth="1"/>
    <col min="7172" max="7172" width="16" style="76" customWidth="1"/>
    <col min="7173" max="7173" width="14.5703125" style="76" customWidth="1"/>
    <col min="7174" max="7174" width="14.140625" style="76" customWidth="1"/>
    <col min="7175" max="7175" width="11.5703125" style="76" customWidth="1"/>
    <col min="7176" max="7176" width="13.5703125" style="76" customWidth="1"/>
    <col min="7177" max="7178" width="13.7109375" style="76" customWidth="1"/>
    <col min="7179" max="7425" width="9.140625" style="76"/>
    <col min="7426" max="7426" width="23.85546875" style="76" customWidth="1"/>
    <col min="7427" max="7427" width="8.5703125" style="76" customWidth="1"/>
    <col min="7428" max="7428" width="16" style="76" customWidth="1"/>
    <col min="7429" max="7429" width="14.5703125" style="76" customWidth="1"/>
    <col min="7430" max="7430" width="14.140625" style="76" customWidth="1"/>
    <col min="7431" max="7431" width="11.5703125" style="76" customWidth="1"/>
    <col min="7432" max="7432" width="13.5703125" style="76" customWidth="1"/>
    <col min="7433" max="7434" width="13.7109375" style="76" customWidth="1"/>
    <col min="7435" max="7681" width="9.140625" style="76"/>
    <col min="7682" max="7682" width="23.85546875" style="76" customWidth="1"/>
    <col min="7683" max="7683" width="8.5703125" style="76" customWidth="1"/>
    <col min="7684" max="7684" width="16" style="76" customWidth="1"/>
    <col min="7685" max="7685" width="14.5703125" style="76" customWidth="1"/>
    <col min="7686" max="7686" width="14.140625" style="76" customWidth="1"/>
    <col min="7687" max="7687" width="11.5703125" style="76" customWidth="1"/>
    <col min="7688" max="7688" width="13.5703125" style="76" customWidth="1"/>
    <col min="7689" max="7690" width="13.7109375" style="76" customWidth="1"/>
    <col min="7691" max="7937" width="9.140625" style="76"/>
    <col min="7938" max="7938" width="23.85546875" style="76" customWidth="1"/>
    <col min="7939" max="7939" width="8.5703125" style="76" customWidth="1"/>
    <col min="7940" max="7940" width="16" style="76" customWidth="1"/>
    <col min="7941" max="7941" width="14.5703125" style="76" customWidth="1"/>
    <col min="7942" max="7942" width="14.140625" style="76" customWidth="1"/>
    <col min="7943" max="7943" width="11.5703125" style="76" customWidth="1"/>
    <col min="7944" max="7944" width="13.5703125" style="76" customWidth="1"/>
    <col min="7945" max="7946" width="13.7109375" style="76" customWidth="1"/>
    <col min="7947" max="8193" width="9.140625" style="76"/>
    <col min="8194" max="8194" width="23.85546875" style="76" customWidth="1"/>
    <col min="8195" max="8195" width="8.5703125" style="76" customWidth="1"/>
    <col min="8196" max="8196" width="16" style="76" customWidth="1"/>
    <col min="8197" max="8197" width="14.5703125" style="76" customWidth="1"/>
    <col min="8198" max="8198" width="14.140625" style="76" customWidth="1"/>
    <col min="8199" max="8199" width="11.5703125" style="76" customWidth="1"/>
    <col min="8200" max="8200" width="13.5703125" style="76" customWidth="1"/>
    <col min="8201" max="8202" width="13.7109375" style="76" customWidth="1"/>
    <col min="8203" max="8449" width="9.140625" style="76"/>
    <col min="8450" max="8450" width="23.85546875" style="76" customWidth="1"/>
    <col min="8451" max="8451" width="8.5703125" style="76" customWidth="1"/>
    <col min="8452" max="8452" width="16" style="76" customWidth="1"/>
    <col min="8453" max="8453" width="14.5703125" style="76" customWidth="1"/>
    <col min="8454" max="8454" width="14.140625" style="76" customWidth="1"/>
    <col min="8455" max="8455" width="11.5703125" style="76" customWidth="1"/>
    <col min="8456" max="8456" width="13.5703125" style="76" customWidth="1"/>
    <col min="8457" max="8458" width="13.7109375" style="76" customWidth="1"/>
    <col min="8459" max="8705" width="9.140625" style="76"/>
    <col min="8706" max="8706" width="23.85546875" style="76" customWidth="1"/>
    <col min="8707" max="8707" width="8.5703125" style="76" customWidth="1"/>
    <col min="8708" max="8708" width="16" style="76" customWidth="1"/>
    <col min="8709" max="8709" width="14.5703125" style="76" customWidth="1"/>
    <col min="8710" max="8710" width="14.140625" style="76" customWidth="1"/>
    <col min="8711" max="8711" width="11.5703125" style="76" customWidth="1"/>
    <col min="8712" max="8712" width="13.5703125" style="76" customWidth="1"/>
    <col min="8713" max="8714" width="13.7109375" style="76" customWidth="1"/>
    <col min="8715" max="8961" width="9.140625" style="76"/>
    <col min="8962" max="8962" width="23.85546875" style="76" customWidth="1"/>
    <col min="8963" max="8963" width="8.5703125" style="76" customWidth="1"/>
    <col min="8964" max="8964" width="16" style="76" customWidth="1"/>
    <col min="8965" max="8965" width="14.5703125" style="76" customWidth="1"/>
    <col min="8966" max="8966" width="14.140625" style="76" customWidth="1"/>
    <col min="8967" max="8967" width="11.5703125" style="76" customWidth="1"/>
    <col min="8968" max="8968" width="13.5703125" style="76" customWidth="1"/>
    <col min="8969" max="8970" width="13.7109375" style="76" customWidth="1"/>
    <col min="8971" max="9217" width="9.140625" style="76"/>
    <col min="9218" max="9218" width="23.85546875" style="76" customWidth="1"/>
    <col min="9219" max="9219" width="8.5703125" style="76" customWidth="1"/>
    <col min="9220" max="9220" width="16" style="76" customWidth="1"/>
    <col min="9221" max="9221" width="14.5703125" style="76" customWidth="1"/>
    <col min="9222" max="9222" width="14.140625" style="76" customWidth="1"/>
    <col min="9223" max="9223" width="11.5703125" style="76" customWidth="1"/>
    <col min="9224" max="9224" width="13.5703125" style="76" customWidth="1"/>
    <col min="9225" max="9226" width="13.7109375" style="76" customWidth="1"/>
    <col min="9227" max="9473" width="9.140625" style="76"/>
    <col min="9474" max="9474" width="23.85546875" style="76" customWidth="1"/>
    <col min="9475" max="9475" width="8.5703125" style="76" customWidth="1"/>
    <col min="9476" max="9476" width="16" style="76" customWidth="1"/>
    <col min="9477" max="9477" width="14.5703125" style="76" customWidth="1"/>
    <col min="9478" max="9478" width="14.140625" style="76" customWidth="1"/>
    <col min="9479" max="9479" width="11.5703125" style="76" customWidth="1"/>
    <col min="9480" max="9480" width="13.5703125" style="76" customWidth="1"/>
    <col min="9481" max="9482" width="13.7109375" style="76" customWidth="1"/>
    <col min="9483" max="9729" width="9.140625" style="76"/>
    <col min="9730" max="9730" width="23.85546875" style="76" customWidth="1"/>
    <col min="9731" max="9731" width="8.5703125" style="76" customWidth="1"/>
    <col min="9732" max="9732" width="16" style="76" customWidth="1"/>
    <col min="9733" max="9733" width="14.5703125" style="76" customWidth="1"/>
    <col min="9734" max="9734" width="14.140625" style="76" customWidth="1"/>
    <col min="9735" max="9735" width="11.5703125" style="76" customWidth="1"/>
    <col min="9736" max="9736" width="13.5703125" style="76" customWidth="1"/>
    <col min="9737" max="9738" width="13.7109375" style="76" customWidth="1"/>
    <col min="9739" max="9985" width="9.140625" style="76"/>
    <col min="9986" max="9986" width="23.85546875" style="76" customWidth="1"/>
    <col min="9987" max="9987" width="8.5703125" style="76" customWidth="1"/>
    <col min="9988" max="9988" width="16" style="76" customWidth="1"/>
    <col min="9989" max="9989" width="14.5703125" style="76" customWidth="1"/>
    <col min="9990" max="9990" width="14.140625" style="76" customWidth="1"/>
    <col min="9991" max="9991" width="11.5703125" style="76" customWidth="1"/>
    <col min="9992" max="9992" width="13.5703125" style="76" customWidth="1"/>
    <col min="9993" max="9994" width="13.7109375" style="76" customWidth="1"/>
    <col min="9995" max="10241" width="9.140625" style="76"/>
    <col min="10242" max="10242" width="23.85546875" style="76" customWidth="1"/>
    <col min="10243" max="10243" width="8.5703125" style="76" customWidth="1"/>
    <col min="10244" max="10244" width="16" style="76" customWidth="1"/>
    <col min="10245" max="10245" width="14.5703125" style="76" customWidth="1"/>
    <col min="10246" max="10246" width="14.140625" style="76" customWidth="1"/>
    <col min="10247" max="10247" width="11.5703125" style="76" customWidth="1"/>
    <col min="10248" max="10248" width="13.5703125" style="76" customWidth="1"/>
    <col min="10249" max="10250" width="13.7109375" style="76" customWidth="1"/>
    <col min="10251" max="10497" width="9.140625" style="76"/>
    <col min="10498" max="10498" width="23.85546875" style="76" customWidth="1"/>
    <col min="10499" max="10499" width="8.5703125" style="76" customWidth="1"/>
    <col min="10500" max="10500" width="16" style="76" customWidth="1"/>
    <col min="10501" max="10501" width="14.5703125" style="76" customWidth="1"/>
    <col min="10502" max="10502" width="14.140625" style="76" customWidth="1"/>
    <col min="10503" max="10503" width="11.5703125" style="76" customWidth="1"/>
    <col min="10504" max="10504" width="13.5703125" style="76" customWidth="1"/>
    <col min="10505" max="10506" width="13.7109375" style="76" customWidth="1"/>
    <col min="10507" max="10753" width="9.140625" style="76"/>
    <col min="10754" max="10754" width="23.85546875" style="76" customWidth="1"/>
    <col min="10755" max="10755" width="8.5703125" style="76" customWidth="1"/>
    <col min="10756" max="10756" width="16" style="76" customWidth="1"/>
    <col min="10757" max="10757" width="14.5703125" style="76" customWidth="1"/>
    <col min="10758" max="10758" width="14.140625" style="76" customWidth="1"/>
    <col min="10759" max="10759" width="11.5703125" style="76" customWidth="1"/>
    <col min="10760" max="10760" width="13.5703125" style="76" customWidth="1"/>
    <col min="10761" max="10762" width="13.7109375" style="76" customWidth="1"/>
    <col min="10763" max="11009" width="9.140625" style="76"/>
    <col min="11010" max="11010" width="23.85546875" style="76" customWidth="1"/>
    <col min="11011" max="11011" width="8.5703125" style="76" customWidth="1"/>
    <col min="11012" max="11012" width="16" style="76" customWidth="1"/>
    <col min="11013" max="11013" width="14.5703125" style="76" customWidth="1"/>
    <col min="11014" max="11014" width="14.140625" style="76" customWidth="1"/>
    <col min="11015" max="11015" width="11.5703125" style="76" customWidth="1"/>
    <col min="11016" max="11016" width="13.5703125" style="76" customWidth="1"/>
    <col min="11017" max="11018" width="13.7109375" style="76" customWidth="1"/>
    <col min="11019" max="11265" width="9.140625" style="76"/>
    <col min="11266" max="11266" width="23.85546875" style="76" customWidth="1"/>
    <col min="11267" max="11267" width="8.5703125" style="76" customWidth="1"/>
    <col min="11268" max="11268" width="16" style="76" customWidth="1"/>
    <col min="11269" max="11269" width="14.5703125" style="76" customWidth="1"/>
    <col min="11270" max="11270" width="14.140625" style="76" customWidth="1"/>
    <col min="11271" max="11271" width="11.5703125" style="76" customWidth="1"/>
    <col min="11272" max="11272" width="13.5703125" style="76" customWidth="1"/>
    <col min="11273" max="11274" width="13.7109375" style="76" customWidth="1"/>
    <col min="11275" max="11521" width="9.140625" style="76"/>
    <col min="11522" max="11522" width="23.85546875" style="76" customWidth="1"/>
    <col min="11523" max="11523" width="8.5703125" style="76" customWidth="1"/>
    <col min="11524" max="11524" width="16" style="76" customWidth="1"/>
    <col min="11525" max="11525" width="14.5703125" style="76" customWidth="1"/>
    <col min="11526" max="11526" width="14.140625" style="76" customWidth="1"/>
    <col min="11527" max="11527" width="11.5703125" style="76" customWidth="1"/>
    <col min="11528" max="11528" width="13.5703125" style="76" customWidth="1"/>
    <col min="11529" max="11530" width="13.7109375" style="76" customWidth="1"/>
    <col min="11531" max="11777" width="9.140625" style="76"/>
    <col min="11778" max="11778" width="23.85546875" style="76" customWidth="1"/>
    <col min="11779" max="11779" width="8.5703125" style="76" customWidth="1"/>
    <col min="11780" max="11780" width="16" style="76" customWidth="1"/>
    <col min="11781" max="11781" width="14.5703125" style="76" customWidth="1"/>
    <col min="11782" max="11782" width="14.140625" style="76" customWidth="1"/>
    <col min="11783" max="11783" width="11.5703125" style="76" customWidth="1"/>
    <col min="11784" max="11784" width="13.5703125" style="76" customWidth="1"/>
    <col min="11785" max="11786" width="13.7109375" style="76" customWidth="1"/>
    <col min="11787" max="12033" width="9.140625" style="76"/>
    <col min="12034" max="12034" width="23.85546875" style="76" customWidth="1"/>
    <col min="12035" max="12035" width="8.5703125" style="76" customWidth="1"/>
    <col min="12036" max="12036" width="16" style="76" customWidth="1"/>
    <col min="12037" max="12037" width="14.5703125" style="76" customWidth="1"/>
    <col min="12038" max="12038" width="14.140625" style="76" customWidth="1"/>
    <col min="12039" max="12039" width="11.5703125" style="76" customWidth="1"/>
    <col min="12040" max="12040" width="13.5703125" style="76" customWidth="1"/>
    <col min="12041" max="12042" width="13.7109375" style="76" customWidth="1"/>
    <col min="12043" max="12289" width="9.140625" style="76"/>
    <col min="12290" max="12290" width="23.85546875" style="76" customWidth="1"/>
    <col min="12291" max="12291" width="8.5703125" style="76" customWidth="1"/>
    <col min="12292" max="12292" width="16" style="76" customWidth="1"/>
    <col min="12293" max="12293" width="14.5703125" style="76" customWidth="1"/>
    <col min="12294" max="12294" width="14.140625" style="76" customWidth="1"/>
    <col min="12295" max="12295" width="11.5703125" style="76" customWidth="1"/>
    <col min="12296" max="12296" width="13.5703125" style="76" customWidth="1"/>
    <col min="12297" max="12298" width="13.7109375" style="76" customWidth="1"/>
    <col min="12299" max="12545" width="9.140625" style="76"/>
    <col min="12546" max="12546" width="23.85546875" style="76" customWidth="1"/>
    <col min="12547" max="12547" width="8.5703125" style="76" customWidth="1"/>
    <col min="12548" max="12548" width="16" style="76" customWidth="1"/>
    <col min="12549" max="12549" width="14.5703125" style="76" customWidth="1"/>
    <col min="12550" max="12550" width="14.140625" style="76" customWidth="1"/>
    <col min="12551" max="12551" width="11.5703125" style="76" customWidth="1"/>
    <col min="12552" max="12552" width="13.5703125" style="76" customWidth="1"/>
    <col min="12553" max="12554" width="13.7109375" style="76" customWidth="1"/>
    <col min="12555" max="12801" width="9.140625" style="76"/>
    <col min="12802" max="12802" width="23.85546875" style="76" customWidth="1"/>
    <col min="12803" max="12803" width="8.5703125" style="76" customWidth="1"/>
    <col min="12804" max="12804" width="16" style="76" customWidth="1"/>
    <col min="12805" max="12805" width="14.5703125" style="76" customWidth="1"/>
    <col min="12806" max="12806" width="14.140625" style="76" customWidth="1"/>
    <col min="12807" max="12807" width="11.5703125" style="76" customWidth="1"/>
    <col min="12808" max="12808" width="13.5703125" style="76" customWidth="1"/>
    <col min="12809" max="12810" width="13.7109375" style="76" customWidth="1"/>
    <col min="12811" max="13057" width="9.140625" style="76"/>
    <col min="13058" max="13058" width="23.85546875" style="76" customWidth="1"/>
    <col min="13059" max="13059" width="8.5703125" style="76" customWidth="1"/>
    <col min="13060" max="13060" width="16" style="76" customWidth="1"/>
    <col min="13061" max="13061" width="14.5703125" style="76" customWidth="1"/>
    <col min="13062" max="13062" width="14.140625" style="76" customWidth="1"/>
    <col min="13063" max="13063" width="11.5703125" style="76" customWidth="1"/>
    <col min="13064" max="13064" width="13.5703125" style="76" customWidth="1"/>
    <col min="13065" max="13066" width="13.7109375" style="76" customWidth="1"/>
    <col min="13067" max="13313" width="9.140625" style="76"/>
    <col min="13314" max="13314" width="23.85546875" style="76" customWidth="1"/>
    <col min="13315" max="13315" width="8.5703125" style="76" customWidth="1"/>
    <col min="13316" max="13316" width="16" style="76" customWidth="1"/>
    <col min="13317" max="13317" width="14.5703125" style="76" customWidth="1"/>
    <col min="13318" max="13318" width="14.140625" style="76" customWidth="1"/>
    <col min="13319" max="13319" width="11.5703125" style="76" customWidth="1"/>
    <col min="13320" max="13320" width="13.5703125" style="76" customWidth="1"/>
    <col min="13321" max="13322" width="13.7109375" style="76" customWidth="1"/>
    <col min="13323" max="13569" width="9.140625" style="76"/>
    <col min="13570" max="13570" width="23.85546875" style="76" customWidth="1"/>
    <col min="13571" max="13571" width="8.5703125" style="76" customWidth="1"/>
    <col min="13572" max="13572" width="16" style="76" customWidth="1"/>
    <col min="13573" max="13573" width="14.5703125" style="76" customWidth="1"/>
    <col min="13574" max="13574" width="14.140625" style="76" customWidth="1"/>
    <col min="13575" max="13575" width="11.5703125" style="76" customWidth="1"/>
    <col min="13576" max="13576" width="13.5703125" style="76" customWidth="1"/>
    <col min="13577" max="13578" width="13.7109375" style="76" customWidth="1"/>
    <col min="13579" max="13825" width="9.140625" style="76"/>
    <col min="13826" max="13826" width="23.85546875" style="76" customWidth="1"/>
    <col min="13827" max="13827" width="8.5703125" style="76" customWidth="1"/>
    <col min="13828" max="13828" width="16" style="76" customWidth="1"/>
    <col min="13829" max="13829" width="14.5703125" style="76" customWidth="1"/>
    <col min="13830" max="13830" width="14.140625" style="76" customWidth="1"/>
    <col min="13831" max="13831" width="11.5703125" style="76" customWidth="1"/>
    <col min="13832" max="13832" width="13.5703125" style="76" customWidth="1"/>
    <col min="13833" max="13834" width="13.7109375" style="76" customWidth="1"/>
    <col min="13835" max="14081" width="9.140625" style="76"/>
    <col min="14082" max="14082" width="23.85546875" style="76" customWidth="1"/>
    <col min="14083" max="14083" width="8.5703125" style="76" customWidth="1"/>
    <col min="14084" max="14084" width="16" style="76" customWidth="1"/>
    <col min="14085" max="14085" width="14.5703125" style="76" customWidth="1"/>
    <col min="14086" max="14086" width="14.140625" style="76" customWidth="1"/>
    <col min="14087" max="14087" width="11.5703125" style="76" customWidth="1"/>
    <col min="14088" max="14088" width="13.5703125" style="76" customWidth="1"/>
    <col min="14089" max="14090" width="13.7109375" style="76" customWidth="1"/>
    <col min="14091" max="14337" width="9.140625" style="76"/>
    <col min="14338" max="14338" width="23.85546875" style="76" customWidth="1"/>
    <col min="14339" max="14339" width="8.5703125" style="76" customWidth="1"/>
    <col min="14340" max="14340" width="16" style="76" customWidth="1"/>
    <col min="14341" max="14341" width="14.5703125" style="76" customWidth="1"/>
    <col min="14342" max="14342" width="14.140625" style="76" customWidth="1"/>
    <col min="14343" max="14343" width="11.5703125" style="76" customWidth="1"/>
    <col min="14344" max="14344" width="13.5703125" style="76" customWidth="1"/>
    <col min="14345" max="14346" width="13.7109375" style="76" customWidth="1"/>
    <col min="14347" max="14593" width="9.140625" style="76"/>
    <col min="14594" max="14594" width="23.85546875" style="76" customWidth="1"/>
    <col min="14595" max="14595" width="8.5703125" style="76" customWidth="1"/>
    <col min="14596" max="14596" width="16" style="76" customWidth="1"/>
    <col min="14597" max="14597" width="14.5703125" style="76" customWidth="1"/>
    <col min="14598" max="14598" width="14.140625" style="76" customWidth="1"/>
    <col min="14599" max="14599" width="11.5703125" style="76" customWidth="1"/>
    <col min="14600" max="14600" width="13.5703125" style="76" customWidth="1"/>
    <col min="14601" max="14602" width="13.7109375" style="76" customWidth="1"/>
    <col min="14603" max="14849" width="9.140625" style="76"/>
    <col min="14850" max="14850" width="23.85546875" style="76" customWidth="1"/>
    <col min="14851" max="14851" width="8.5703125" style="76" customWidth="1"/>
    <col min="14852" max="14852" width="16" style="76" customWidth="1"/>
    <col min="14853" max="14853" width="14.5703125" style="76" customWidth="1"/>
    <col min="14854" max="14854" width="14.140625" style="76" customWidth="1"/>
    <col min="14855" max="14855" width="11.5703125" style="76" customWidth="1"/>
    <col min="14856" max="14856" width="13.5703125" style="76" customWidth="1"/>
    <col min="14857" max="14858" width="13.7109375" style="76" customWidth="1"/>
    <col min="14859" max="15105" width="9.140625" style="76"/>
    <col min="15106" max="15106" width="23.85546875" style="76" customWidth="1"/>
    <col min="15107" max="15107" width="8.5703125" style="76" customWidth="1"/>
    <col min="15108" max="15108" width="16" style="76" customWidth="1"/>
    <col min="15109" max="15109" width="14.5703125" style="76" customWidth="1"/>
    <col min="15110" max="15110" width="14.140625" style="76" customWidth="1"/>
    <col min="15111" max="15111" width="11.5703125" style="76" customWidth="1"/>
    <col min="15112" max="15112" width="13.5703125" style="76" customWidth="1"/>
    <col min="15113" max="15114" width="13.7109375" style="76" customWidth="1"/>
    <col min="15115" max="15361" width="9.140625" style="76"/>
    <col min="15362" max="15362" width="23.85546875" style="76" customWidth="1"/>
    <col min="15363" max="15363" width="8.5703125" style="76" customWidth="1"/>
    <col min="15364" max="15364" width="16" style="76" customWidth="1"/>
    <col min="15365" max="15365" width="14.5703125" style="76" customWidth="1"/>
    <col min="15366" max="15366" width="14.140625" style="76" customWidth="1"/>
    <col min="15367" max="15367" width="11.5703125" style="76" customWidth="1"/>
    <col min="15368" max="15368" width="13.5703125" style="76" customWidth="1"/>
    <col min="15369" max="15370" width="13.7109375" style="76" customWidth="1"/>
    <col min="15371" max="15617" width="9.140625" style="76"/>
    <col min="15618" max="15618" width="23.85546875" style="76" customWidth="1"/>
    <col min="15619" max="15619" width="8.5703125" style="76" customWidth="1"/>
    <col min="15620" max="15620" width="16" style="76" customWidth="1"/>
    <col min="15621" max="15621" width="14.5703125" style="76" customWidth="1"/>
    <col min="15622" max="15622" width="14.140625" style="76" customWidth="1"/>
    <col min="15623" max="15623" width="11.5703125" style="76" customWidth="1"/>
    <col min="15624" max="15624" width="13.5703125" style="76" customWidth="1"/>
    <col min="15625" max="15626" width="13.7109375" style="76" customWidth="1"/>
    <col min="15627" max="15873" width="9.140625" style="76"/>
    <col min="15874" max="15874" width="23.85546875" style="76" customWidth="1"/>
    <col min="15875" max="15875" width="8.5703125" style="76" customWidth="1"/>
    <col min="15876" max="15876" width="16" style="76" customWidth="1"/>
    <col min="15877" max="15877" width="14.5703125" style="76" customWidth="1"/>
    <col min="15878" max="15878" width="14.140625" style="76" customWidth="1"/>
    <col min="15879" max="15879" width="11.5703125" style="76" customWidth="1"/>
    <col min="15880" max="15880" width="13.5703125" style="76" customWidth="1"/>
    <col min="15881" max="15882" width="13.7109375" style="76" customWidth="1"/>
    <col min="15883" max="16129" width="9.140625" style="76"/>
    <col min="16130" max="16130" width="23.85546875" style="76" customWidth="1"/>
    <col min="16131" max="16131" width="8.5703125" style="76" customWidth="1"/>
    <col min="16132" max="16132" width="16" style="76" customWidth="1"/>
    <col min="16133" max="16133" width="14.5703125" style="76" customWidth="1"/>
    <col min="16134" max="16134" width="14.140625" style="76" customWidth="1"/>
    <col min="16135" max="16135" width="11.5703125" style="76" customWidth="1"/>
    <col min="16136" max="16136" width="13.5703125" style="76" customWidth="1"/>
    <col min="16137" max="16138" width="13.7109375" style="76" customWidth="1"/>
    <col min="16139" max="16384" width="9.140625" style="76"/>
  </cols>
  <sheetData>
    <row r="1" spans="1:12">
      <c r="A1" s="137" t="s">
        <v>1452</v>
      </c>
      <c r="B1" s="137"/>
      <c r="C1" s="137"/>
      <c r="D1" s="137"/>
      <c r="E1" s="137"/>
      <c r="F1" s="137"/>
      <c r="G1" s="137"/>
      <c r="H1" s="137"/>
      <c r="I1" s="138"/>
      <c r="J1" s="138"/>
    </row>
    <row r="2" spans="1:12">
      <c r="A2" s="137" t="s">
        <v>1488</v>
      </c>
      <c r="B2" s="137"/>
      <c r="C2" s="137"/>
      <c r="D2" s="137"/>
      <c r="E2" s="137"/>
      <c r="F2" s="137"/>
      <c r="G2" s="137"/>
      <c r="H2" s="137"/>
      <c r="I2" s="138"/>
      <c r="J2" s="138"/>
    </row>
    <row r="3" spans="1:12">
      <c r="A3" s="137" t="s">
        <v>1489</v>
      </c>
      <c r="B3" s="137"/>
      <c r="C3" s="137"/>
      <c r="D3" s="137"/>
      <c r="E3" s="137"/>
      <c r="F3" s="137"/>
      <c r="G3" s="137"/>
      <c r="H3" s="137"/>
      <c r="I3" s="138"/>
      <c r="J3" s="138"/>
    </row>
    <row r="4" spans="1:12">
      <c r="A4" s="109"/>
      <c r="B4" s="138"/>
      <c r="C4" s="138"/>
      <c r="D4" s="138"/>
      <c r="E4" s="138"/>
      <c r="F4" s="138"/>
      <c r="G4" s="138"/>
      <c r="H4" s="138"/>
      <c r="I4" s="138"/>
      <c r="J4" s="138"/>
    </row>
    <row r="5" spans="1:12">
      <c r="A5" s="109"/>
      <c r="B5" s="138"/>
      <c r="C5" s="138"/>
      <c r="D5" s="138"/>
      <c r="E5" s="138"/>
      <c r="F5" s="138"/>
      <c r="G5" s="138"/>
      <c r="H5" s="138"/>
      <c r="I5" s="138"/>
      <c r="J5" s="138"/>
    </row>
    <row r="6" spans="1:12">
      <c r="A6" s="109" t="s">
        <v>1490</v>
      </c>
      <c r="B6" s="138"/>
      <c r="C6" s="138">
        <f>+'Rev Req 9.75%'!E23</f>
        <v>2871523.6580123198</v>
      </c>
      <c r="D6" s="138"/>
      <c r="E6" s="138"/>
      <c r="F6" s="138"/>
      <c r="G6" s="138"/>
      <c r="H6" s="138"/>
      <c r="I6" s="138"/>
      <c r="J6" s="138"/>
    </row>
    <row r="7" spans="1:12" ht="25.5">
      <c r="A7" s="139" t="s">
        <v>1583</v>
      </c>
      <c r="B7" s="138"/>
      <c r="C7" s="140">
        <f>+'[3]Rev Req 9.75%'!E21</f>
        <v>1990295.4582998087</v>
      </c>
      <c r="D7" s="141"/>
      <c r="E7" s="138"/>
      <c r="F7" s="138"/>
      <c r="G7" s="138"/>
      <c r="H7" s="138"/>
      <c r="I7" s="138"/>
      <c r="J7" s="138"/>
    </row>
    <row r="8" spans="1:12" ht="26.25" thickBot="1">
      <c r="A8" s="139" t="s">
        <v>1491</v>
      </c>
      <c r="B8" s="138"/>
      <c r="C8" s="202">
        <f>+C6+C7</f>
        <v>4861819.1163121285</v>
      </c>
      <c r="D8" s="138"/>
      <c r="E8" s="138"/>
      <c r="F8" s="138"/>
      <c r="G8" s="138"/>
      <c r="H8" s="138"/>
      <c r="I8" s="138"/>
      <c r="J8" s="138"/>
    </row>
    <row r="9" spans="1:12" ht="13.5" thickTop="1">
      <c r="A9" s="109"/>
      <c r="B9" s="138"/>
      <c r="C9" s="140"/>
      <c r="D9" s="140"/>
      <c r="E9" s="138"/>
      <c r="F9" s="138"/>
      <c r="G9" s="138"/>
      <c r="H9" s="138"/>
      <c r="I9" s="138"/>
      <c r="J9" s="138"/>
    </row>
    <row r="10" spans="1:12">
      <c r="A10" s="109"/>
      <c r="B10" s="138"/>
      <c r="C10" s="138"/>
      <c r="D10" s="138"/>
      <c r="E10" s="138"/>
      <c r="F10" s="143"/>
      <c r="G10" s="96"/>
      <c r="H10" s="138"/>
      <c r="I10" s="138"/>
      <c r="J10" s="138"/>
    </row>
    <row r="11" spans="1:12">
      <c r="A11" s="109"/>
      <c r="B11" s="138"/>
      <c r="C11" s="144" t="s">
        <v>1492</v>
      </c>
      <c r="D11" s="144" t="s">
        <v>1493</v>
      </c>
      <c r="E11" s="143"/>
      <c r="F11" s="143" t="s">
        <v>1494</v>
      </c>
      <c r="G11" s="96" t="s">
        <v>1495</v>
      </c>
      <c r="H11" s="143" t="s">
        <v>1495</v>
      </c>
      <c r="I11" s="138"/>
      <c r="J11" s="143" t="s">
        <v>1496</v>
      </c>
    </row>
    <row r="12" spans="1:12">
      <c r="A12" s="95"/>
      <c r="B12" s="95"/>
      <c r="C12" s="145" t="s">
        <v>1497</v>
      </c>
      <c r="D12" s="145" t="s">
        <v>1498</v>
      </c>
      <c r="E12" s="145" t="s">
        <v>1499</v>
      </c>
      <c r="F12" s="145" t="s">
        <v>1500</v>
      </c>
      <c r="G12" s="146" t="s">
        <v>1501</v>
      </c>
      <c r="H12" s="147" t="s">
        <v>1502</v>
      </c>
      <c r="I12" s="138"/>
      <c r="J12" s="147" t="s">
        <v>1503</v>
      </c>
      <c r="L12" s="148"/>
    </row>
    <row r="13" spans="1:12">
      <c r="A13" s="95" t="s">
        <v>1455</v>
      </c>
      <c r="B13" s="95"/>
      <c r="C13" s="149">
        <f>+[3]Customers!D6</f>
        <v>440372</v>
      </c>
      <c r="D13" s="150">
        <v>23</v>
      </c>
      <c r="E13" s="140">
        <f>C13/C$21*C$8</f>
        <v>4248986.3955382947</v>
      </c>
      <c r="F13" s="151">
        <f>+D13/D13</f>
        <v>1</v>
      </c>
      <c r="G13" s="152">
        <f>E25</f>
        <v>0.71940735315599469</v>
      </c>
      <c r="H13" s="140">
        <f>C13*G13*12</f>
        <v>3801682.25908814</v>
      </c>
      <c r="I13" s="138"/>
      <c r="J13" s="138">
        <f>+C13*F13</f>
        <v>440372</v>
      </c>
    </row>
    <row r="14" spans="1:12">
      <c r="A14" s="95"/>
      <c r="B14" s="95"/>
      <c r="C14" s="153"/>
      <c r="D14" s="150"/>
      <c r="E14" s="140"/>
      <c r="F14" s="151"/>
      <c r="G14" s="152"/>
      <c r="H14" s="140"/>
      <c r="I14" s="138"/>
      <c r="J14" s="138"/>
      <c r="L14" s="148"/>
    </row>
    <row r="15" spans="1:12">
      <c r="A15" s="95" t="s">
        <v>1456</v>
      </c>
      <c r="B15" s="95"/>
      <c r="C15" s="153">
        <f>+[3]Customers!D7</f>
        <v>60087</v>
      </c>
      <c r="D15" s="150">
        <v>34</v>
      </c>
      <c r="E15" s="140">
        <f>C15/C$21*C$8</f>
        <v>579757.21787195711</v>
      </c>
      <c r="F15" s="151">
        <f>+D15/D13</f>
        <v>1.4782608695652173</v>
      </c>
      <c r="G15" s="152">
        <f>E25*F15</f>
        <v>1.063471739447992</v>
      </c>
      <c r="H15" s="140">
        <f>C15*G15*12</f>
        <v>766809.91689853801</v>
      </c>
      <c r="I15" s="138"/>
      <c r="J15" s="138">
        <f>+C15*F15</f>
        <v>88824.260869565216</v>
      </c>
    </row>
    <row r="16" spans="1:12">
      <c r="A16" s="95"/>
      <c r="B16" s="95"/>
      <c r="C16" s="153"/>
      <c r="D16" s="150"/>
      <c r="E16" s="140"/>
      <c r="F16" s="151"/>
      <c r="G16" s="152"/>
      <c r="H16" s="140"/>
      <c r="I16" s="138"/>
      <c r="J16" s="138"/>
      <c r="L16" s="148"/>
    </row>
    <row r="17" spans="1:12">
      <c r="A17" s="95" t="s">
        <v>1504</v>
      </c>
      <c r="B17" s="95"/>
      <c r="C17" s="153">
        <f>+[3]Customers!D8</f>
        <v>2939</v>
      </c>
      <c r="D17" s="150">
        <v>115.4</v>
      </c>
      <c r="E17" s="140">
        <f>C17/C$21*C$8</f>
        <v>28357.322937169138</v>
      </c>
      <c r="F17" s="151">
        <f>+D17/D13</f>
        <v>5.017391304347826</v>
      </c>
      <c r="G17" s="152">
        <f>E25*F17</f>
        <v>3.6095481980087731</v>
      </c>
      <c r="H17" s="140">
        <f>C17*G17*12</f>
        <v>127301.54584737342</v>
      </c>
      <c r="I17" s="138"/>
      <c r="J17" s="138">
        <f>+C17*F17</f>
        <v>14746.113043478261</v>
      </c>
    </row>
    <row r="18" spans="1:12">
      <c r="A18" s="95"/>
      <c r="B18" s="95"/>
      <c r="C18" s="153"/>
      <c r="D18" s="150"/>
      <c r="E18" s="140"/>
      <c r="F18" s="151"/>
      <c r="G18" s="152"/>
      <c r="H18" s="140"/>
      <c r="I18" s="138"/>
      <c r="J18" s="138"/>
      <c r="L18" s="148"/>
    </row>
    <row r="19" spans="1:12">
      <c r="A19" s="95" t="s">
        <v>1505</v>
      </c>
      <c r="B19" s="95"/>
      <c r="C19" s="153">
        <f>+[3]Customers!D9</f>
        <v>489</v>
      </c>
      <c r="D19" s="150">
        <v>904.56</v>
      </c>
      <c r="E19" s="140">
        <f>C19/C$21*C$8</f>
        <v>4718.179964707625</v>
      </c>
      <c r="F19" s="151">
        <f>+D19/D13</f>
        <v>39.328695652173913</v>
      </c>
      <c r="G19" s="152">
        <f>E25*F19</f>
        <v>28.293352842208112</v>
      </c>
      <c r="H19" s="140">
        <f>C19*G19*12</f>
        <v>166025.39447807719</v>
      </c>
      <c r="I19" s="138"/>
      <c r="J19" s="138">
        <f>+C19*F19</f>
        <v>19231.732173913042</v>
      </c>
    </row>
    <row r="20" spans="1:12">
      <c r="A20" s="95"/>
      <c r="B20" s="95"/>
      <c r="C20" s="95"/>
      <c r="D20" s="95"/>
      <c r="E20" s="95"/>
      <c r="F20" s="95"/>
      <c r="G20" s="109"/>
      <c r="H20" s="95"/>
      <c r="I20" s="138"/>
      <c r="J20" s="154"/>
    </row>
    <row r="21" spans="1:12" ht="13.5" thickBot="1">
      <c r="A21" s="95"/>
      <c r="B21" s="95"/>
      <c r="C21" s="155">
        <f>SUM(C13:C19)</f>
        <v>503887</v>
      </c>
      <c r="D21" s="155"/>
      <c r="E21" s="142">
        <f>SUM(E13:E19)</f>
        <v>4861819.1163121285</v>
      </c>
      <c r="F21" s="95"/>
      <c r="G21" s="95"/>
      <c r="H21" s="142">
        <f>SUM(H13:H19)</f>
        <v>4861819.1163121285</v>
      </c>
      <c r="I21" s="138"/>
      <c r="J21" s="153">
        <f>SUM(J13:J19)</f>
        <v>563174.10608695645</v>
      </c>
    </row>
    <row r="22" spans="1:12" ht="13.5" thickTop="1">
      <c r="A22" s="95"/>
      <c r="B22" s="95"/>
      <c r="C22" s="95"/>
      <c r="D22" s="95"/>
      <c r="E22" s="140"/>
      <c r="F22" s="95"/>
      <c r="G22" s="95"/>
      <c r="H22" s="138"/>
      <c r="I22" s="138"/>
      <c r="J22" s="138"/>
    </row>
    <row r="23" spans="1:12" ht="13.5" thickBot="1">
      <c r="A23" s="95"/>
      <c r="B23" s="95"/>
      <c r="C23" s="156" t="s">
        <v>1506</v>
      </c>
      <c r="D23" s="156"/>
      <c r="E23" s="157">
        <f>E21/C21/12</f>
        <v>0.80405248205651414</v>
      </c>
      <c r="F23" s="95"/>
      <c r="G23" s="95"/>
      <c r="H23" s="138"/>
      <c r="I23" s="138"/>
      <c r="J23" s="138"/>
    </row>
    <row r="24" spans="1:12" ht="13.5" thickTop="1">
      <c r="A24" s="95"/>
      <c r="B24" s="95"/>
      <c r="C24" s="95"/>
      <c r="D24" s="95"/>
      <c r="E24" s="95"/>
      <c r="F24" s="138"/>
      <c r="G24" s="95"/>
      <c r="H24" s="95"/>
      <c r="I24" s="95"/>
      <c r="J24" s="158"/>
    </row>
    <row r="25" spans="1:12" ht="13.5" thickBot="1">
      <c r="A25" s="95"/>
      <c r="B25" s="95"/>
      <c r="C25" s="156" t="s">
        <v>1507</v>
      </c>
      <c r="D25" s="156"/>
      <c r="E25" s="157">
        <f>+E21/J21/12</f>
        <v>0.71940735315599469</v>
      </c>
      <c r="F25" s="95"/>
      <c r="G25" s="95"/>
      <c r="H25" s="95"/>
      <c r="I25" s="95"/>
      <c r="J25" s="138"/>
    </row>
    <row r="26" spans="1:12" ht="13.5" thickTop="1">
      <c r="J26" s="81"/>
    </row>
    <row r="36" ht="26.45" customHeight="1"/>
    <row r="37" ht="18" customHeight="1"/>
  </sheetData>
  <printOptions horizontalCentered="1"/>
  <pageMargins left="0.75" right="0.75" top="1" bottom="1" header="0.5" footer="0.5"/>
  <pageSetup orientation="landscape" horizontalDpi="300" verticalDpi="300" r:id="rId1"/>
  <headerFooter alignWithMargins="0">
    <oddHeader xml:space="preserve">&amp;R&amp;"Arial,Bold"Appendix A
Page 6
</oddHeader>
  </headerFooter>
</worksheet>
</file>

<file path=xl/worksheets/sheet19.xml><?xml version="1.0" encoding="utf-8"?>
<worksheet xmlns="http://schemas.openxmlformats.org/spreadsheetml/2006/main" xmlns:r="http://schemas.openxmlformats.org/officeDocument/2006/relationships">
  <sheetPr>
    <pageSetUpPr fitToPage="1"/>
  </sheetPr>
  <dimension ref="A1:M53"/>
  <sheetViews>
    <sheetView workbookViewId="0">
      <selection activeCell="K34" sqref="K34"/>
    </sheetView>
  </sheetViews>
  <sheetFormatPr defaultRowHeight="15.75"/>
  <cols>
    <col min="1" max="1" width="14.28515625" style="184" customWidth="1"/>
    <col min="2" max="2" width="28.140625" style="184" bestFit="1" customWidth="1"/>
    <col min="3" max="3" width="16.85546875" style="184" bestFit="1" customWidth="1"/>
    <col min="4" max="4" width="21.7109375" style="184" bestFit="1" customWidth="1"/>
    <col min="5" max="5" width="16.5703125" style="184" customWidth="1"/>
    <col min="6" max="6" width="16.42578125" style="184" customWidth="1"/>
    <col min="7" max="7" width="5.7109375" style="184" customWidth="1"/>
    <col min="8" max="10" width="16.85546875" style="184" bestFit="1" customWidth="1"/>
    <col min="11" max="11" width="20.140625" style="184" customWidth="1"/>
    <col min="12" max="12" width="15" style="184" bestFit="1" customWidth="1"/>
    <col min="13" max="16384" width="9.140625" style="184"/>
  </cols>
  <sheetData>
    <row r="1" spans="1:9">
      <c r="A1" s="184" t="s">
        <v>1452</v>
      </c>
      <c r="B1" s="185"/>
      <c r="C1" s="185"/>
      <c r="D1" s="185"/>
      <c r="E1" s="185"/>
      <c r="F1" s="185"/>
    </row>
    <row r="2" spans="1:9">
      <c r="A2" s="184" t="s">
        <v>1555</v>
      </c>
      <c r="B2" s="185"/>
      <c r="C2" s="185"/>
      <c r="D2" s="185"/>
      <c r="E2" s="185"/>
      <c r="F2" s="185"/>
    </row>
    <row r="3" spans="1:9">
      <c r="A3" s="184" t="s">
        <v>1556</v>
      </c>
      <c r="B3" s="185"/>
      <c r="C3" s="185"/>
      <c r="D3" s="185"/>
      <c r="E3" s="185"/>
      <c r="F3" s="185"/>
    </row>
    <row r="4" spans="1:9">
      <c r="A4" s="184" t="s">
        <v>1557</v>
      </c>
      <c r="B4" s="185"/>
      <c r="C4" s="185"/>
      <c r="D4" s="185"/>
      <c r="E4" s="185"/>
      <c r="F4" s="185"/>
    </row>
    <row r="5" spans="1:9">
      <c r="A5" s="184" t="s">
        <v>1558</v>
      </c>
      <c r="B5" s="185"/>
      <c r="C5" s="185"/>
      <c r="D5" s="185"/>
      <c r="E5" s="185"/>
      <c r="F5" s="185"/>
    </row>
    <row r="8" spans="1:9">
      <c r="C8" s="186">
        <v>40544</v>
      </c>
      <c r="D8" s="186">
        <v>40909</v>
      </c>
      <c r="E8" s="186">
        <v>41275</v>
      </c>
      <c r="F8" s="186">
        <v>41641</v>
      </c>
      <c r="H8" s="186">
        <v>41275</v>
      </c>
      <c r="I8" s="186">
        <v>41641</v>
      </c>
    </row>
    <row r="9" spans="1:9">
      <c r="C9" s="187" t="s">
        <v>1559</v>
      </c>
      <c r="D9" s="187" t="s">
        <v>1559</v>
      </c>
      <c r="E9" s="187" t="s">
        <v>1559</v>
      </c>
      <c r="F9" s="187" t="s">
        <v>1559</v>
      </c>
      <c r="H9" s="187" t="s">
        <v>2106</v>
      </c>
      <c r="I9" s="187" t="s">
        <v>1559</v>
      </c>
    </row>
    <row r="10" spans="1:9">
      <c r="A10" s="188" t="s">
        <v>1560</v>
      </c>
      <c r="B10" s="188" t="s">
        <v>1561</v>
      </c>
      <c r="C10" s="186">
        <v>40543</v>
      </c>
      <c r="D10" s="186">
        <v>40908</v>
      </c>
      <c r="E10" s="186">
        <v>41274</v>
      </c>
      <c r="F10" s="186">
        <v>41639</v>
      </c>
      <c r="H10" s="186">
        <v>41274</v>
      </c>
      <c r="I10" s="186">
        <v>41639</v>
      </c>
    </row>
    <row r="11" spans="1:9">
      <c r="A11" s="188"/>
      <c r="C11" s="186"/>
      <c r="D11" s="186"/>
      <c r="E11" s="186"/>
    </row>
    <row r="12" spans="1:9">
      <c r="A12" s="188">
        <v>101</v>
      </c>
      <c r="B12" s="184" t="s">
        <v>1562</v>
      </c>
      <c r="C12" s="189">
        <v>1004657999</v>
      </c>
      <c r="D12" s="189">
        <v>1040593776</v>
      </c>
      <c r="E12" s="189">
        <v>1072885051</v>
      </c>
      <c r="F12" s="189">
        <v>1102447390</v>
      </c>
      <c r="G12" s="189"/>
      <c r="H12" s="189">
        <f>1072885050.59-438409133.16-H14</f>
        <v>627498666.46000004</v>
      </c>
      <c r="I12" s="189">
        <f>1102447389.85-463046900.38-I14</f>
        <v>633854137.5999999</v>
      </c>
    </row>
    <row r="13" spans="1:9">
      <c r="A13" s="188">
        <v>107</v>
      </c>
      <c r="B13" s="184" t="s">
        <v>1563</v>
      </c>
      <c r="C13" s="189">
        <v>5422103</v>
      </c>
      <c r="D13" s="189">
        <v>5630856.9000000004</v>
      </c>
      <c r="E13" s="189">
        <v>4152129.89</v>
      </c>
      <c r="F13" s="189">
        <v>2398475.77</v>
      </c>
      <c r="G13" s="189"/>
      <c r="H13" s="189">
        <v>4152130</v>
      </c>
      <c r="I13" s="189">
        <v>2398475.77</v>
      </c>
    </row>
    <row r="14" spans="1:9">
      <c r="A14" s="188" t="s">
        <v>1564</v>
      </c>
      <c r="B14" s="184" t="s">
        <v>1565</v>
      </c>
      <c r="C14" s="189">
        <v>31922709</v>
      </c>
      <c r="D14" s="189">
        <v>32554613</v>
      </c>
      <c r="E14" s="189">
        <v>33535182</v>
      </c>
      <c r="F14" s="189">
        <v>33535182</v>
      </c>
      <c r="G14" s="189"/>
      <c r="H14" s="189">
        <f>15600.35+13822.9+2595752.13+1382891.29+1371167.38+1598016.92</f>
        <v>6977250.9699999997</v>
      </c>
      <c r="I14" s="189">
        <f>33535181.89-27988830.02</f>
        <v>5546351.870000001</v>
      </c>
    </row>
    <row r="15" spans="1:9">
      <c r="A15" s="188">
        <v>154</v>
      </c>
      <c r="B15" s="184" t="s">
        <v>1566</v>
      </c>
      <c r="C15" s="189">
        <v>2660678.11</v>
      </c>
      <c r="D15" s="189">
        <v>3597694.64</v>
      </c>
      <c r="E15" s="189">
        <v>3779666.53</v>
      </c>
      <c r="F15" s="189">
        <f>3107084.6+581783.22</f>
        <v>3688867.8200000003</v>
      </c>
      <c r="G15" s="189"/>
      <c r="H15" s="189">
        <v>3779667</v>
      </c>
      <c r="I15" s="189">
        <v>3933391</v>
      </c>
    </row>
    <row r="16" spans="1:9" ht="16.5" thickBot="1">
      <c r="A16" s="188"/>
      <c r="B16" s="185" t="s">
        <v>1567</v>
      </c>
      <c r="C16" s="190">
        <f>C12+C13+C15-C14</f>
        <v>980818071.11000001</v>
      </c>
      <c r="D16" s="190">
        <f>D12+D13+D15-D14</f>
        <v>1017267714.54</v>
      </c>
      <c r="E16" s="190">
        <f>E12+E13+E15-E14</f>
        <v>1047281665.4200001</v>
      </c>
      <c r="F16" s="190">
        <f>F12+F13+F15-F14</f>
        <v>1074999551.5899999</v>
      </c>
      <c r="G16" s="189"/>
      <c r="H16" s="190">
        <f>H12+H13+H15-H14</f>
        <v>628453212.49000001</v>
      </c>
      <c r="I16" s="190">
        <f>I12+I13+I15-I14</f>
        <v>634639652.49999988</v>
      </c>
    </row>
    <row r="17" spans="1:13" ht="16.5" thickTop="1">
      <c r="A17" s="188"/>
      <c r="C17" s="189"/>
      <c r="D17" s="189"/>
      <c r="E17" s="189"/>
      <c r="F17" s="189"/>
      <c r="G17" s="189"/>
    </row>
    <row r="18" spans="1:13">
      <c r="A18" s="188"/>
      <c r="C18" s="191">
        <v>2011</v>
      </c>
      <c r="D18" s="191">
        <v>2012</v>
      </c>
      <c r="E18" s="191">
        <v>2013</v>
      </c>
      <c r="F18" s="189"/>
      <c r="G18" s="189"/>
    </row>
    <row r="19" spans="1:13">
      <c r="A19" s="188"/>
      <c r="B19" s="184" t="s">
        <v>1568</v>
      </c>
      <c r="C19" s="189">
        <v>7096535.4699999997</v>
      </c>
      <c r="D19" s="189">
        <v>8379374.2000000002</v>
      </c>
      <c r="E19" s="192">
        <v>11097288.85</v>
      </c>
      <c r="F19" s="189"/>
    </row>
    <row r="20" spans="1:13">
      <c r="A20" s="188"/>
      <c r="C20" s="189"/>
      <c r="D20" s="189"/>
      <c r="E20" s="189"/>
      <c r="F20" s="189"/>
      <c r="G20" s="189"/>
    </row>
    <row r="21" spans="1:13">
      <c r="A21" s="188"/>
      <c r="B21" s="184" t="s">
        <v>1569</v>
      </c>
      <c r="C21" s="193">
        <f>C19/C16</f>
        <v>7.2353229197426915E-3</v>
      </c>
      <c r="D21" s="193">
        <f>D19/D16</f>
        <v>8.2371376582899645E-3</v>
      </c>
      <c r="E21" s="193">
        <f>E19/E16</f>
        <v>1.0596279125682546E-2</v>
      </c>
      <c r="F21" s="189"/>
      <c r="G21" s="189"/>
    </row>
    <row r="22" spans="1:13">
      <c r="E22" s="268">
        <f>+E19/H16</f>
        <v>1.7658098692870602E-2</v>
      </c>
      <c r="G22" s="189"/>
      <c r="H22" s="189"/>
      <c r="I22" s="189">
        <f>+I16*E22</f>
        <v>11206529.618254101</v>
      </c>
      <c r="J22" s="189"/>
      <c r="K22" s="189"/>
      <c r="L22" s="189"/>
      <c r="M22" s="189"/>
    </row>
    <row r="23" spans="1:13">
      <c r="G23" s="189"/>
      <c r="H23" s="189"/>
      <c r="I23" s="189"/>
      <c r="J23" s="189"/>
      <c r="K23" s="189"/>
      <c r="L23" s="189"/>
      <c r="M23" s="189"/>
    </row>
    <row r="24" spans="1:13">
      <c r="D24" s="189"/>
      <c r="E24" s="189"/>
      <c r="F24" s="189"/>
      <c r="G24" s="194"/>
      <c r="I24" s="195"/>
      <c r="K24" s="189"/>
    </row>
    <row r="25" spans="1:13">
      <c r="E25" s="189"/>
      <c r="F25" s="189"/>
      <c r="G25" s="189"/>
      <c r="K25" s="189"/>
    </row>
    <row r="26" spans="1:13">
      <c r="C26" s="195">
        <f>SUM(C12:C13)</f>
        <v>1010080102</v>
      </c>
      <c r="D26" s="195">
        <f>SUM(D12:D13)</f>
        <v>1046224632.9</v>
      </c>
      <c r="E26" s="189">
        <f>SUM(E12:E13)</f>
        <v>1077037180.8900001</v>
      </c>
      <c r="F26" s="189"/>
      <c r="G26" s="189"/>
      <c r="K26" s="189"/>
    </row>
    <row r="27" spans="1:13">
      <c r="C27" s="184">
        <f>C13/C26</f>
        <v>5.367993082196168E-3</v>
      </c>
      <c r="D27" s="184">
        <f>D13/D26</f>
        <v>5.3820725711571041E-3</v>
      </c>
      <c r="E27" s="184">
        <f>E13/E26</f>
        <v>3.8551407172117535E-3</v>
      </c>
      <c r="F27" s="189"/>
      <c r="G27" s="189"/>
      <c r="K27" s="189"/>
    </row>
    <row r="28" spans="1:13">
      <c r="B28" s="184" t="s">
        <v>1570</v>
      </c>
      <c r="E28" s="189"/>
      <c r="F28" s="189"/>
      <c r="G28" s="189"/>
      <c r="K28" s="189"/>
    </row>
    <row r="29" spans="1:13">
      <c r="C29" s="191">
        <v>2011</v>
      </c>
      <c r="D29" s="191">
        <v>2012</v>
      </c>
      <c r="E29" s="191">
        <v>2013</v>
      </c>
      <c r="F29" s="191">
        <v>2014</v>
      </c>
      <c r="G29" s="189"/>
      <c r="K29" s="189"/>
    </row>
    <row r="30" spans="1:13">
      <c r="B30" s="184" t="s">
        <v>1562</v>
      </c>
      <c r="C30" s="195">
        <f t="shared" ref="C30:F31" si="0">C12</f>
        <v>1004657999</v>
      </c>
      <c r="D30" s="195">
        <f t="shared" si="0"/>
        <v>1040593776</v>
      </c>
      <c r="E30" s="189">
        <f t="shared" si="0"/>
        <v>1072885051</v>
      </c>
      <c r="F30" s="189">
        <f t="shared" si="0"/>
        <v>1102447390</v>
      </c>
      <c r="G30" s="189"/>
      <c r="K30" s="189"/>
    </row>
    <row r="31" spans="1:13">
      <c r="B31" s="184" t="s">
        <v>1563</v>
      </c>
      <c r="C31" s="195">
        <f t="shared" si="0"/>
        <v>5422103</v>
      </c>
      <c r="D31" s="195">
        <f t="shared" si="0"/>
        <v>5630856.9000000004</v>
      </c>
      <c r="E31" s="189">
        <f t="shared" si="0"/>
        <v>4152129.89</v>
      </c>
      <c r="F31" s="189">
        <f t="shared" si="0"/>
        <v>2398475.77</v>
      </c>
      <c r="G31" s="189"/>
      <c r="K31" s="189"/>
    </row>
    <row r="32" spans="1:13" ht="16.5" thickBot="1">
      <c r="B32" s="184" t="s">
        <v>1571</v>
      </c>
      <c r="C32" s="196">
        <f>SUM(C30:C31)</f>
        <v>1010080102</v>
      </c>
      <c r="D32" s="196">
        <f>SUM(D30:D31)</f>
        <v>1046224632.9</v>
      </c>
      <c r="E32" s="196">
        <f>SUM(E30:E31)</f>
        <v>1077037180.8900001</v>
      </c>
      <c r="F32" s="196">
        <f>SUM(F30:F31)</f>
        <v>1104845865.77</v>
      </c>
      <c r="K32" s="189"/>
    </row>
    <row r="33" spans="2:11" ht="16.5" thickTop="1">
      <c r="B33" s="184" t="s">
        <v>1572</v>
      </c>
      <c r="C33" s="197">
        <f>C31/C32</f>
        <v>5.367993082196168E-3</v>
      </c>
      <c r="D33" s="197">
        <f>D31/D32</f>
        <v>5.3820725711571041E-3</v>
      </c>
      <c r="E33" s="197">
        <f>E31/E32</f>
        <v>3.8551407172117535E-3</v>
      </c>
      <c r="F33" s="197">
        <f>F31/F32</f>
        <v>2.1708691178641743E-3</v>
      </c>
      <c r="K33" s="189"/>
    </row>
    <row r="36" spans="2:11">
      <c r="C36" s="189">
        <f>D21*E16</f>
        <v>8626603.2450677138</v>
      </c>
      <c r="D36" s="189" t="s">
        <v>1573</v>
      </c>
      <c r="E36" s="189"/>
    </row>
    <row r="37" spans="2:11">
      <c r="C37" s="189">
        <v>100270</v>
      </c>
      <c r="D37" s="189" t="s">
        <v>1574</v>
      </c>
      <c r="E37" s="189"/>
    </row>
    <row r="38" spans="2:11">
      <c r="C38" s="198">
        <f>SUM(C36:C37)</f>
        <v>8726873.2450677138</v>
      </c>
      <c r="D38" s="189" t="s">
        <v>1575</v>
      </c>
      <c r="E38" s="189"/>
    </row>
    <row r="39" spans="2:11">
      <c r="C39" s="199">
        <f>E33*C36</f>
        <v>33256.769421291589</v>
      </c>
      <c r="D39" s="189" t="s">
        <v>1576</v>
      </c>
      <c r="E39" s="189"/>
    </row>
    <row r="40" spans="2:11">
      <c r="C40" s="199">
        <f>C38-C39</f>
        <v>8693616.4756464213</v>
      </c>
      <c r="D40" s="189" t="s">
        <v>1577</v>
      </c>
      <c r="E40" s="189"/>
    </row>
    <row r="41" spans="2:11" ht="16.5" thickBot="1">
      <c r="C41" s="200">
        <v>8682789</v>
      </c>
      <c r="D41" s="189" t="s">
        <v>1578</v>
      </c>
      <c r="E41" s="189"/>
    </row>
    <row r="42" spans="2:11" ht="16.5" thickTop="1">
      <c r="C42" s="189">
        <f>C38-C41</f>
        <v>44084.245067713782</v>
      </c>
      <c r="D42" s="189" t="s">
        <v>1579</v>
      </c>
      <c r="E42" s="189"/>
      <c r="J42" s="201"/>
    </row>
    <row r="43" spans="2:11">
      <c r="C43" s="194"/>
      <c r="D43" s="189" t="s">
        <v>1580</v>
      </c>
      <c r="E43" s="189"/>
    </row>
    <row r="44" spans="2:11">
      <c r="C44" s="194"/>
      <c r="D44" s="189"/>
      <c r="E44" s="189"/>
    </row>
    <row r="45" spans="2:11">
      <c r="C45" s="189"/>
      <c r="D45" s="189"/>
      <c r="E45" s="189"/>
    </row>
    <row r="46" spans="2:11">
      <c r="C46" s="189">
        <f>E21*F16</f>
        <v>11390995.308631213</v>
      </c>
      <c r="D46" s="189" t="s">
        <v>1581</v>
      </c>
    </row>
    <row r="47" spans="2:11">
      <c r="C47" s="189">
        <v>66463</v>
      </c>
      <c r="D47" s="189" t="s">
        <v>1574</v>
      </c>
    </row>
    <row r="48" spans="2:11">
      <c r="C48" s="198">
        <f>SUM(C46:C47)</f>
        <v>11457458.308631213</v>
      </c>
      <c r="D48" s="189" t="s">
        <v>1575</v>
      </c>
    </row>
    <row r="49" spans="3:5">
      <c r="C49" s="199">
        <f>F33*C46</f>
        <v>24728.359937243189</v>
      </c>
      <c r="D49" s="189" t="s">
        <v>1576</v>
      </c>
      <c r="E49" s="189"/>
    </row>
    <row r="50" spans="3:5">
      <c r="C50" s="199">
        <f>C48-C49</f>
        <v>11432729.94869397</v>
      </c>
      <c r="D50" s="189" t="s">
        <v>1577</v>
      </c>
      <c r="E50" s="189"/>
    </row>
    <row r="51" spans="3:5" ht="16.5" thickBot="1">
      <c r="C51" s="200">
        <v>8682789</v>
      </c>
      <c r="D51" s="189" t="s">
        <v>1578</v>
      </c>
    </row>
    <row r="52" spans="3:5" ht="16.5" thickTop="1">
      <c r="C52" s="194">
        <f>C48-C51</f>
        <v>2774669.3086312134</v>
      </c>
      <c r="D52" s="189" t="s">
        <v>1582</v>
      </c>
    </row>
    <row r="53" spans="3:5">
      <c r="D53" s="184" t="s">
        <v>1580</v>
      </c>
    </row>
  </sheetData>
  <pageMargins left="0.7" right="0.7" top="0.75" bottom="0.75" header="0.3" footer="0.3"/>
  <pageSetup scale="66" orientation="portrait" r:id="rId1"/>
  <legacyDrawing r:id="rId2"/>
</worksheet>
</file>

<file path=xl/worksheets/sheet2.xml><?xml version="1.0" encoding="utf-8"?>
<worksheet xmlns="http://schemas.openxmlformats.org/spreadsheetml/2006/main" xmlns:r="http://schemas.openxmlformats.org/officeDocument/2006/relationships">
  <sheetPr>
    <tabColor rgb="FF00B050"/>
  </sheetPr>
  <dimension ref="A1:U950"/>
  <sheetViews>
    <sheetView zoomScale="85" zoomScaleNormal="85" workbookViewId="0">
      <pane ySplit="4" topLeftCell="A18" activePane="bottomLeft" state="frozen"/>
      <selection pane="bottomLeft" activeCell="I952" sqref="I952"/>
    </sheetView>
  </sheetViews>
  <sheetFormatPr defaultRowHeight="15" outlineLevelRow="2"/>
  <cols>
    <col min="1" max="1" width="25.5703125" style="3" customWidth="1"/>
    <col min="2" max="2" width="16.42578125" style="2" customWidth="1"/>
    <col min="3" max="3" width="13.140625" style="2" customWidth="1"/>
    <col min="4" max="4" width="40.85546875" style="3" customWidth="1"/>
    <col min="5" max="5" width="9.42578125" style="2" customWidth="1"/>
    <col min="6" max="6" width="36.7109375" style="3" bestFit="1" customWidth="1"/>
    <col min="7" max="7" width="12.42578125" style="2" customWidth="1"/>
    <col min="8" max="8" width="14.5703125" style="2" customWidth="1"/>
    <col min="9" max="9" width="9.28515625" style="2" customWidth="1"/>
    <col min="10" max="10" width="14.7109375" style="6" customWidth="1"/>
    <col min="11" max="11" width="10.140625" style="3" customWidth="1"/>
    <col min="12" max="12" width="14.7109375" style="3" customWidth="1"/>
    <col min="13" max="13" width="15.5703125" style="3" customWidth="1"/>
    <col min="14" max="14" width="16" style="3" customWidth="1"/>
    <col min="15" max="15" width="24.5703125" style="3" hidden="1" customWidth="1"/>
    <col min="16" max="16" width="87.42578125" style="3" customWidth="1"/>
    <col min="17" max="17" width="18.28515625" style="3" customWidth="1"/>
    <col min="18" max="18" width="29" style="3" bestFit="1" customWidth="1"/>
    <col min="19" max="16384" width="9.140625" style="3"/>
  </cols>
  <sheetData>
    <row r="1" spans="1:21">
      <c r="A1" s="1" t="s">
        <v>0</v>
      </c>
      <c r="L1" s="7"/>
    </row>
    <row r="2" spans="1:21">
      <c r="A2" s="1" t="s">
        <v>2</v>
      </c>
    </row>
    <row r="4" spans="1:21" s="13" customFormat="1" ht="35.25" customHeight="1">
      <c r="A4" s="8" t="s">
        <v>3</v>
      </c>
      <c r="B4" s="9" t="s">
        <v>4</v>
      </c>
      <c r="C4" s="9" t="s">
        <v>5</v>
      </c>
      <c r="D4" s="8" t="s">
        <v>6</v>
      </c>
      <c r="E4" s="9" t="s">
        <v>7</v>
      </c>
      <c r="F4" s="8" t="s">
        <v>8</v>
      </c>
      <c r="G4" s="10" t="s">
        <v>9</v>
      </c>
      <c r="H4" s="10" t="s">
        <v>1529</v>
      </c>
      <c r="I4" s="9" t="s">
        <v>10</v>
      </c>
      <c r="J4" s="11" t="s">
        <v>11</v>
      </c>
      <c r="K4" s="12" t="s">
        <v>12</v>
      </c>
      <c r="L4" s="12" t="s">
        <v>13</v>
      </c>
      <c r="M4" s="12" t="s">
        <v>14</v>
      </c>
      <c r="N4" s="12" t="s">
        <v>15</v>
      </c>
      <c r="O4" s="12" t="s">
        <v>16</v>
      </c>
      <c r="P4" s="12" t="s">
        <v>1663</v>
      </c>
      <c r="Q4" s="12" t="s">
        <v>1693</v>
      </c>
      <c r="R4" s="12" t="s">
        <v>1694</v>
      </c>
    </row>
    <row r="5" spans="1:21" ht="30" outlineLevel="2">
      <c r="A5" s="14" t="s">
        <v>66</v>
      </c>
      <c r="B5" s="15" t="s">
        <v>67</v>
      </c>
      <c r="C5" s="15" t="s">
        <v>68</v>
      </c>
      <c r="D5" s="14" t="s">
        <v>69</v>
      </c>
      <c r="E5" s="15" t="s">
        <v>70</v>
      </c>
      <c r="F5" s="14" t="s">
        <v>71</v>
      </c>
      <c r="G5" s="15" t="s">
        <v>23</v>
      </c>
      <c r="H5" s="15" t="s">
        <v>1530</v>
      </c>
      <c r="I5" s="15">
        <v>201409</v>
      </c>
      <c r="J5" s="16">
        <v>33.67</v>
      </c>
      <c r="K5" s="171">
        <f t="shared" ref="K5:K36" si="0">VLOOKUP(I5,$T$7:$U$15,2)</f>
        <v>9</v>
      </c>
      <c r="L5" s="17">
        <v>2.23333E-3</v>
      </c>
      <c r="M5" s="16">
        <f t="shared" ref="M5:M36" si="1">ROUND(J5*K5*L5,2)</f>
        <v>0.68</v>
      </c>
      <c r="N5" s="16">
        <f t="shared" ref="N5:N36" si="2">ROUND(J5*L5*12,2)</f>
        <v>0.9</v>
      </c>
      <c r="O5" s="14"/>
      <c r="P5" s="210" t="str">
        <f>VLOOKUP(C5,'WO Descriptions'!$A$5:$D$345,4)</f>
        <v>Service/Yard Line Replacement (SLRP): Company Crew.  Immediate response - replacement single unprotected steel or copper  (Independence - East Region)</v>
      </c>
    </row>
    <row r="6" spans="1:21" ht="30" outlineLevel="2">
      <c r="A6" s="14" t="s">
        <v>66</v>
      </c>
      <c r="B6" s="15" t="s">
        <v>72</v>
      </c>
      <c r="C6" s="15" t="s">
        <v>73</v>
      </c>
      <c r="D6" s="14" t="s">
        <v>74</v>
      </c>
      <c r="E6" s="15" t="s">
        <v>75</v>
      </c>
      <c r="F6" s="14" t="s">
        <v>71</v>
      </c>
      <c r="G6" s="15" t="s">
        <v>23</v>
      </c>
      <c r="H6" s="15" t="s">
        <v>1530</v>
      </c>
      <c r="I6" s="15">
        <v>201409</v>
      </c>
      <c r="J6" s="16">
        <v>29889.97</v>
      </c>
      <c r="K6" s="171">
        <f t="shared" si="0"/>
        <v>9</v>
      </c>
      <c r="L6" s="17">
        <v>2.23333E-3</v>
      </c>
      <c r="M6" s="16">
        <f t="shared" si="1"/>
        <v>600.79</v>
      </c>
      <c r="N6" s="16">
        <f t="shared" si="2"/>
        <v>801.05</v>
      </c>
      <c r="O6" s="14"/>
      <c r="P6" s="210" t="str">
        <f>VLOOKUP(C6,'WO Descriptions'!$A$5:$D$345,4)</f>
        <v>Service/Yard Line Replacement (SLRP): Company Crew.  Immediate response - replacement single unprotected steel or copper  (Kansas City - Central Region)</v>
      </c>
      <c r="T6" s="171" t="s">
        <v>1542</v>
      </c>
      <c r="U6" s="171" t="s">
        <v>12</v>
      </c>
    </row>
    <row r="7" spans="1:21" ht="30" outlineLevel="2">
      <c r="A7" s="14" t="s">
        <v>66</v>
      </c>
      <c r="B7" s="15" t="s">
        <v>76</v>
      </c>
      <c r="C7" s="15" t="s">
        <v>77</v>
      </c>
      <c r="D7" s="14" t="s">
        <v>78</v>
      </c>
      <c r="E7" s="15" t="s">
        <v>79</v>
      </c>
      <c r="F7" s="14" t="s">
        <v>80</v>
      </c>
      <c r="G7" s="15" t="s">
        <v>23</v>
      </c>
      <c r="H7" s="15" t="s">
        <v>1531</v>
      </c>
      <c r="I7" s="15">
        <v>201409</v>
      </c>
      <c r="J7" s="16">
        <v>5719.2</v>
      </c>
      <c r="K7" s="171">
        <f t="shared" si="0"/>
        <v>9</v>
      </c>
      <c r="L7" s="17">
        <v>2.23333E-3</v>
      </c>
      <c r="M7" s="16">
        <f t="shared" si="1"/>
        <v>114.96</v>
      </c>
      <c r="N7" s="16">
        <f t="shared" si="2"/>
        <v>153.27000000000001</v>
      </c>
      <c r="O7" s="14"/>
      <c r="P7" s="210" t="str">
        <f>VLOOKUP(C7,'WO Descriptions'!$A$5:$D$345,4)</f>
        <v>Service/Yard Line Replacement (SLRP): Contract Crew.  Modified Block by Block - Planned replacement of unprotected steel or copper  (Lee's Summit - East Region)</v>
      </c>
      <c r="T7" s="172">
        <v>201409</v>
      </c>
      <c r="U7" s="171">
        <v>9</v>
      </c>
    </row>
    <row r="8" spans="1:21" ht="30" outlineLevel="2">
      <c r="A8" s="14" t="s">
        <v>66</v>
      </c>
      <c r="B8" s="15" t="s">
        <v>81</v>
      </c>
      <c r="C8" s="15" t="s">
        <v>82</v>
      </c>
      <c r="D8" s="14" t="s">
        <v>83</v>
      </c>
      <c r="E8" s="15" t="s">
        <v>84</v>
      </c>
      <c r="F8" s="14" t="s">
        <v>85</v>
      </c>
      <c r="G8" s="15" t="s">
        <v>23</v>
      </c>
      <c r="H8" s="15" t="s">
        <v>1530</v>
      </c>
      <c r="I8" s="15">
        <v>201409</v>
      </c>
      <c r="J8" s="16">
        <v>152025.89000000001</v>
      </c>
      <c r="K8" s="171">
        <f t="shared" si="0"/>
        <v>9</v>
      </c>
      <c r="L8" s="17">
        <v>2.23333E-3</v>
      </c>
      <c r="M8" s="16">
        <f t="shared" si="1"/>
        <v>3055.72</v>
      </c>
      <c r="N8" s="16">
        <f t="shared" si="2"/>
        <v>4074.29</v>
      </c>
      <c r="O8" s="14"/>
      <c r="P8" s="210" t="str">
        <f>VLOOKUP(C8,'WO Descriptions'!$A$5:$D$345,4)</f>
        <v>Service/Yard Line Replacement (SLRP): Contract Crew.  Block by Block - Planned replacement of all unprotected steel or copper in a single block.  (Kansas City - Central Region)</v>
      </c>
      <c r="T8" s="172">
        <v>201410</v>
      </c>
      <c r="U8" s="171">
        <v>8</v>
      </c>
    </row>
    <row r="9" spans="1:21" ht="30" outlineLevel="2">
      <c r="A9" s="14" t="s">
        <v>66</v>
      </c>
      <c r="B9" s="15" t="s">
        <v>86</v>
      </c>
      <c r="C9" s="15" t="s">
        <v>87</v>
      </c>
      <c r="D9" s="14" t="s">
        <v>88</v>
      </c>
      <c r="E9" s="15" t="s">
        <v>89</v>
      </c>
      <c r="F9" s="14" t="s">
        <v>85</v>
      </c>
      <c r="G9" s="15" t="s">
        <v>23</v>
      </c>
      <c r="H9" s="15" t="s">
        <v>1530</v>
      </c>
      <c r="I9" s="15">
        <v>201409</v>
      </c>
      <c r="J9" s="16">
        <v>5005.29</v>
      </c>
      <c r="K9" s="171">
        <f t="shared" si="0"/>
        <v>9</v>
      </c>
      <c r="L9" s="17">
        <v>2.23333E-3</v>
      </c>
      <c r="M9" s="16">
        <f t="shared" si="1"/>
        <v>100.61</v>
      </c>
      <c r="N9" s="16">
        <f t="shared" si="2"/>
        <v>134.13999999999999</v>
      </c>
      <c r="O9" s="14"/>
      <c r="P9" s="210" t="str">
        <f>VLOOKUP(C9,'WO Descriptions'!$A$5:$D$345,4)</f>
        <v>Service/Yard Line Replacement (SLRP): Contract Crew.  Block by Block - Planned replacement of all unprotected steel or copper in a single block.  (Monett - South Region)</v>
      </c>
      <c r="T9" s="172">
        <v>201411</v>
      </c>
      <c r="U9" s="171">
        <v>7</v>
      </c>
    </row>
    <row r="10" spans="1:21" ht="30" outlineLevel="2">
      <c r="A10" s="14" t="s">
        <v>66</v>
      </c>
      <c r="B10" s="15" t="s">
        <v>90</v>
      </c>
      <c r="C10" s="15" t="s">
        <v>91</v>
      </c>
      <c r="D10" s="14" t="s">
        <v>78</v>
      </c>
      <c r="E10" s="15" t="s">
        <v>92</v>
      </c>
      <c r="F10" s="14" t="s">
        <v>80</v>
      </c>
      <c r="G10" s="15" t="s">
        <v>23</v>
      </c>
      <c r="H10" s="15" t="s">
        <v>1530</v>
      </c>
      <c r="I10" s="15">
        <v>201409</v>
      </c>
      <c r="J10" s="16">
        <v>26370.98</v>
      </c>
      <c r="K10" s="171">
        <f t="shared" si="0"/>
        <v>9</v>
      </c>
      <c r="L10" s="17">
        <v>2.23333E-3</v>
      </c>
      <c r="M10" s="16">
        <f t="shared" si="1"/>
        <v>530.05999999999995</v>
      </c>
      <c r="N10" s="16">
        <f t="shared" si="2"/>
        <v>706.74</v>
      </c>
      <c r="O10" s="14"/>
      <c r="P10" s="210" t="str">
        <f>VLOOKUP(C10,'WO Descriptions'!$A$5:$D$345,4)</f>
        <v>Service/Yard Line Replacement (SLRP): Company Crew.  Modified Block by Block - Planned replacement of all unprotected steel or copper in a single block.  (Monett - South Region)</v>
      </c>
      <c r="T10" s="172">
        <v>201412</v>
      </c>
      <c r="U10" s="171">
        <v>6</v>
      </c>
    </row>
    <row r="11" spans="1:21" ht="30" outlineLevel="2">
      <c r="A11" s="211" t="s">
        <v>1584</v>
      </c>
      <c r="B11" s="212" t="s">
        <v>1586</v>
      </c>
      <c r="C11" s="212" t="s">
        <v>1587</v>
      </c>
      <c r="D11" s="211" t="s">
        <v>1588</v>
      </c>
      <c r="E11" s="212" t="s">
        <v>1589</v>
      </c>
      <c r="F11" s="211" t="s">
        <v>1590</v>
      </c>
      <c r="G11" s="212" t="s">
        <v>23</v>
      </c>
      <c r="H11" s="212" t="s">
        <v>1530</v>
      </c>
      <c r="I11" s="212">
        <v>201409</v>
      </c>
      <c r="J11" s="213">
        <v>3649.84</v>
      </c>
      <c r="K11" s="171">
        <f t="shared" si="0"/>
        <v>9</v>
      </c>
      <c r="L11" s="214">
        <v>2.0333333000000001E-3</v>
      </c>
      <c r="M11" s="213">
        <f t="shared" si="1"/>
        <v>66.790000000000006</v>
      </c>
      <c r="N11" s="213">
        <f t="shared" si="2"/>
        <v>89.06</v>
      </c>
      <c r="O11" s="14"/>
      <c r="P11" s="210" t="str">
        <f>VLOOKUP(C11,'WO Descriptions'!$A$5:$D$345,4)</f>
        <v>Service/Yard Line Replacement (SLRP): Company Crew.  Modified Block by Block - Planned replacement of all unprotected steel or copper in a single block.  (Monett - South Region)</v>
      </c>
      <c r="T11" s="172">
        <v>201501</v>
      </c>
      <c r="U11" s="171">
        <v>5</v>
      </c>
    </row>
    <row r="12" spans="1:21" ht="30" outlineLevel="2">
      <c r="A12" s="211" t="s">
        <v>66</v>
      </c>
      <c r="B12" s="212" t="s">
        <v>93</v>
      </c>
      <c r="C12" s="212" t="s">
        <v>94</v>
      </c>
      <c r="D12" s="211" t="s">
        <v>95</v>
      </c>
      <c r="E12" s="212" t="s">
        <v>96</v>
      </c>
      <c r="F12" s="211" t="s">
        <v>97</v>
      </c>
      <c r="G12" s="212" t="s">
        <v>23</v>
      </c>
      <c r="H12" s="212" t="s">
        <v>1530</v>
      </c>
      <c r="I12" s="212">
        <v>201409</v>
      </c>
      <c r="J12" s="213">
        <v>-596.15</v>
      </c>
      <c r="K12" s="171">
        <f t="shared" si="0"/>
        <v>9</v>
      </c>
      <c r="L12" s="214">
        <v>2.23333E-3</v>
      </c>
      <c r="M12" s="213">
        <f t="shared" si="1"/>
        <v>-11.98</v>
      </c>
      <c r="N12" s="213">
        <f t="shared" si="2"/>
        <v>-15.98</v>
      </c>
      <c r="O12" s="14"/>
      <c r="P12" s="210" t="str">
        <f>VLOOKUP(C12,'WO Descriptions'!$A$5:$D$345,4)</f>
        <v>Service/Yard Line Replacement (SLRP): Company Crew.  Service/yard line replacement - Material Charges Only  (Kansas City - Central Region)</v>
      </c>
      <c r="T12" s="172">
        <v>201502</v>
      </c>
      <c r="U12" s="171">
        <v>4</v>
      </c>
    </row>
    <row r="13" spans="1:21" ht="30" outlineLevel="2">
      <c r="A13" s="211" t="s">
        <v>66</v>
      </c>
      <c r="B13" s="212" t="s">
        <v>197</v>
      </c>
      <c r="C13" s="212" t="s">
        <v>198</v>
      </c>
      <c r="D13" s="211" t="s">
        <v>69</v>
      </c>
      <c r="E13" s="212" t="s">
        <v>199</v>
      </c>
      <c r="F13" s="211" t="s">
        <v>71</v>
      </c>
      <c r="G13" s="212" t="s">
        <v>23</v>
      </c>
      <c r="H13" s="212" t="s">
        <v>1530</v>
      </c>
      <c r="I13" s="212">
        <v>201409</v>
      </c>
      <c r="J13" s="213">
        <v>4610.79</v>
      </c>
      <c r="K13" s="171">
        <f t="shared" si="0"/>
        <v>9</v>
      </c>
      <c r="L13" s="214">
        <v>2.23333E-3</v>
      </c>
      <c r="M13" s="213">
        <f t="shared" si="1"/>
        <v>92.68</v>
      </c>
      <c r="N13" s="213">
        <f t="shared" si="2"/>
        <v>123.57</v>
      </c>
      <c r="O13" s="14"/>
      <c r="P13" s="210" t="str">
        <f>VLOOKUP(C13,'WO Descriptions'!$A$5:$D$345,4)</f>
        <v>Service/Yard Line Replacement (SLRP): Company Crew.  Immediate response - replacement single unprotected steel or copper  (Monett - South Region)</v>
      </c>
      <c r="T13" s="172">
        <v>201503</v>
      </c>
      <c r="U13" s="171">
        <v>3</v>
      </c>
    </row>
    <row r="14" spans="1:21" ht="30" outlineLevel="2">
      <c r="A14" s="211" t="s">
        <v>1584</v>
      </c>
      <c r="B14" s="212" t="s">
        <v>1591</v>
      </c>
      <c r="C14" s="212" t="s">
        <v>1592</v>
      </c>
      <c r="D14" s="211" t="s">
        <v>1593</v>
      </c>
      <c r="E14" s="212" t="s">
        <v>1594</v>
      </c>
      <c r="F14" s="211" t="s">
        <v>1590</v>
      </c>
      <c r="G14" s="212" t="s">
        <v>23</v>
      </c>
      <c r="H14" s="212" t="s">
        <v>1530</v>
      </c>
      <c r="I14" s="212">
        <v>201409</v>
      </c>
      <c r="J14" s="213">
        <v>1343.76</v>
      </c>
      <c r="K14" s="171">
        <f t="shared" si="0"/>
        <v>9</v>
      </c>
      <c r="L14" s="214">
        <v>2.0333333000000001E-3</v>
      </c>
      <c r="M14" s="213">
        <f t="shared" si="1"/>
        <v>24.59</v>
      </c>
      <c r="N14" s="213">
        <f t="shared" si="2"/>
        <v>32.79</v>
      </c>
      <c r="O14" s="14"/>
      <c r="P14" s="210" t="str">
        <f>VLOOKUP(C14,'WO Descriptions'!$A$5:$D$345,4)</f>
        <v>Service/Yard Line Replacement (SLRP): Company Crew.  Immediate response - replacement single unprotected steel or copper  (Monett - South Region)</v>
      </c>
      <c r="T14" s="172">
        <v>201504</v>
      </c>
      <c r="U14" s="171">
        <v>2</v>
      </c>
    </row>
    <row r="15" spans="1:21" ht="30" outlineLevel="2">
      <c r="A15" s="211" t="s">
        <v>1584</v>
      </c>
      <c r="B15" s="212" t="s">
        <v>1595</v>
      </c>
      <c r="C15" s="212" t="s">
        <v>1596</v>
      </c>
      <c r="D15" s="211" t="s">
        <v>1593</v>
      </c>
      <c r="E15" s="212" t="s">
        <v>1597</v>
      </c>
      <c r="F15" s="211" t="s">
        <v>1590</v>
      </c>
      <c r="G15" s="212" t="s">
        <v>23</v>
      </c>
      <c r="H15" s="212" t="s">
        <v>1530</v>
      </c>
      <c r="I15" s="212">
        <v>201409</v>
      </c>
      <c r="J15" s="213">
        <v>34137.56</v>
      </c>
      <c r="K15" s="171">
        <f t="shared" si="0"/>
        <v>9</v>
      </c>
      <c r="L15" s="214">
        <v>2.0333333000000001E-3</v>
      </c>
      <c r="M15" s="213">
        <f t="shared" si="1"/>
        <v>624.72</v>
      </c>
      <c r="N15" s="213">
        <f t="shared" si="2"/>
        <v>832.96</v>
      </c>
      <c r="O15" s="14"/>
      <c r="P15" s="210" t="str">
        <f>VLOOKUP(C15,'WO Descriptions'!$A$5:$D$345,4)</f>
        <v>Service/Yard Line Replacement (SLRP): Company Crew.  Immediate response - replacement single unprotected steel or copper  (Monett - South Region)</v>
      </c>
      <c r="T15" s="172">
        <v>201505</v>
      </c>
      <c r="U15" s="171">
        <v>1</v>
      </c>
    </row>
    <row r="16" spans="1:21" ht="30" outlineLevel="2">
      <c r="A16" s="211" t="s">
        <v>66</v>
      </c>
      <c r="B16" s="212" t="s">
        <v>200</v>
      </c>
      <c r="C16" s="212" t="s">
        <v>201</v>
      </c>
      <c r="D16" s="211" t="s">
        <v>202</v>
      </c>
      <c r="E16" s="212" t="s">
        <v>203</v>
      </c>
      <c r="F16" s="211" t="s">
        <v>80</v>
      </c>
      <c r="G16" s="212" t="s">
        <v>23</v>
      </c>
      <c r="H16" s="212" t="s">
        <v>1530</v>
      </c>
      <c r="I16" s="212">
        <v>201409</v>
      </c>
      <c r="J16" s="213">
        <v>103697.26</v>
      </c>
      <c r="K16" s="171">
        <f t="shared" si="0"/>
        <v>9</v>
      </c>
      <c r="L16" s="214">
        <v>2.23333E-3</v>
      </c>
      <c r="M16" s="213">
        <f t="shared" si="1"/>
        <v>2084.31</v>
      </c>
      <c r="N16" s="213">
        <f t="shared" si="2"/>
        <v>2779.08</v>
      </c>
      <c r="O16" s="14"/>
      <c r="P16" s="210" t="str">
        <f>VLOOKUP(C16,'WO Descriptions'!$A$5:$D$345,4)</f>
        <v>Service/Yard Line Replacement (SLRP): Company Crew.  Modified Block by Block - Planned replacement of all unprotected steel or copper in a single block.  (Kansas City - Central Region)</v>
      </c>
      <c r="T16" s="172"/>
      <c r="U16" s="171"/>
    </row>
    <row r="17" spans="1:16" ht="30" outlineLevel="2">
      <c r="A17" s="211" t="s">
        <v>66</v>
      </c>
      <c r="B17" s="212" t="s">
        <v>204</v>
      </c>
      <c r="C17" s="212" t="s">
        <v>205</v>
      </c>
      <c r="D17" s="211" t="s">
        <v>206</v>
      </c>
      <c r="E17" s="212" t="s">
        <v>207</v>
      </c>
      <c r="F17" s="211" t="s">
        <v>97</v>
      </c>
      <c r="G17" s="212" t="s">
        <v>23</v>
      </c>
      <c r="H17" s="212" t="s">
        <v>1530</v>
      </c>
      <c r="I17" s="212">
        <v>201409</v>
      </c>
      <c r="J17" s="213">
        <v>-46.62</v>
      </c>
      <c r="K17" s="171">
        <f t="shared" si="0"/>
        <v>9</v>
      </c>
      <c r="L17" s="214">
        <v>2.23333E-3</v>
      </c>
      <c r="M17" s="213">
        <f t="shared" si="1"/>
        <v>-0.94</v>
      </c>
      <c r="N17" s="213">
        <f t="shared" si="2"/>
        <v>-1.25</v>
      </c>
      <c r="O17" s="14"/>
      <c r="P17" s="210" t="str">
        <f>VLOOKUP(C17,'WO Descriptions'!$A$5:$D$345,4)</f>
        <v>Service/Yard Line Replacement (SLRP): Company Crew.  Service/yard line replacement - Material Charges Only  (Kansas City - Monett - South Region)</v>
      </c>
    </row>
    <row r="18" spans="1:16" ht="30" outlineLevel="2">
      <c r="A18" s="211" t="s">
        <v>66</v>
      </c>
      <c r="B18" s="212" t="s">
        <v>208</v>
      </c>
      <c r="C18" s="212" t="s">
        <v>209</v>
      </c>
      <c r="D18" s="211" t="s">
        <v>210</v>
      </c>
      <c r="E18" s="212" t="s">
        <v>211</v>
      </c>
      <c r="F18" s="211" t="s">
        <v>212</v>
      </c>
      <c r="G18" s="212" t="s">
        <v>23</v>
      </c>
      <c r="H18" s="212" t="s">
        <v>1530</v>
      </c>
      <c r="I18" s="212">
        <v>201409</v>
      </c>
      <c r="J18" s="213">
        <v>-620.16</v>
      </c>
      <c r="K18" s="171">
        <f t="shared" si="0"/>
        <v>9</v>
      </c>
      <c r="L18" s="214">
        <v>2.23333E-3</v>
      </c>
      <c r="M18" s="213">
        <f t="shared" si="1"/>
        <v>-12.47</v>
      </c>
      <c r="N18" s="213">
        <f t="shared" si="2"/>
        <v>-16.62</v>
      </c>
      <c r="O18" s="14"/>
      <c r="P18" s="210" t="str">
        <f>VLOOKUP(C18,'WO Descriptions'!$A$5:$D$345,4)</f>
        <v>Service/Yard Line Replacement (SLRP): Contract Crew.  Immediate response - replacement single unprotected steel or copper  (Joplin - South Region)</v>
      </c>
    </row>
    <row r="19" spans="1:16" ht="30" outlineLevel="2">
      <c r="A19" s="211" t="s">
        <v>66</v>
      </c>
      <c r="B19" s="212" t="s">
        <v>223</v>
      </c>
      <c r="C19" s="212" t="s">
        <v>224</v>
      </c>
      <c r="D19" s="211" t="s">
        <v>88</v>
      </c>
      <c r="E19" s="212" t="s">
        <v>225</v>
      </c>
      <c r="F19" s="211" t="s">
        <v>85</v>
      </c>
      <c r="G19" s="212" t="s">
        <v>23</v>
      </c>
      <c r="H19" s="212" t="s">
        <v>1530</v>
      </c>
      <c r="I19" s="212">
        <v>201409</v>
      </c>
      <c r="J19" s="213">
        <v>6250.26</v>
      </c>
      <c r="K19" s="171">
        <f t="shared" si="0"/>
        <v>9</v>
      </c>
      <c r="L19" s="214">
        <v>2.23333E-3</v>
      </c>
      <c r="M19" s="213">
        <f t="shared" si="1"/>
        <v>125.63</v>
      </c>
      <c r="N19" s="213">
        <f t="shared" si="2"/>
        <v>167.51</v>
      </c>
      <c r="O19" s="14"/>
      <c r="P19" s="210" t="str">
        <f>VLOOKUP(C19,'WO Descriptions'!$A$5:$D$345,4)</f>
        <v>Service/Yard Line Replacement (SLRP): Contract Crew.  Block by Block - Planned replacement of all unprotected steel or copper in a single block.  (Joplin - South Region)</v>
      </c>
    </row>
    <row r="20" spans="1:16" ht="30" outlineLevel="2">
      <c r="A20" s="211" t="s">
        <v>1584</v>
      </c>
      <c r="B20" s="212" t="s">
        <v>1598</v>
      </c>
      <c r="C20" s="212" t="s">
        <v>1599</v>
      </c>
      <c r="D20" s="211" t="s">
        <v>1600</v>
      </c>
      <c r="E20" s="212" t="s">
        <v>1601</v>
      </c>
      <c r="F20" s="211" t="s">
        <v>1590</v>
      </c>
      <c r="G20" s="212" t="s">
        <v>23</v>
      </c>
      <c r="H20" s="212" t="s">
        <v>1530</v>
      </c>
      <c r="I20" s="212">
        <v>201409</v>
      </c>
      <c r="J20" s="213">
        <v>34733.839999999997</v>
      </c>
      <c r="K20" s="171">
        <f t="shared" si="0"/>
        <v>9</v>
      </c>
      <c r="L20" s="214">
        <v>2.0333333000000001E-3</v>
      </c>
      <c r="M20" s="213">
        <f t="shared" si="1"/>
        <v>635.63</v>
      </c>
      <c r="N20" s="213">
        <f t="shared" si="2"/>
        <v>847.51</v>
      </c>
      <c r="O20" s="14"/>
      <c r="P20" s="210" t="str">
        <f>VLOOKUP(C20,'WO Descriptions'!$A$5:$D$345,4)</f>
        <v>Service/Yard Line Replacement (SLRP): Contract Crew.  Block by Block - Planned replacement of all unprotected steel or copper in a single block.  (Joplin - South Region)</v>
      </c>
    </row>
    <row r="21" spans="1:16" ht="30" outlineLevel="2">
      <c r="A21" s="211" t="s">
        <v>66</v>
      </c>
      <c r="B21" s="212" t="s">
        <v>226</v>
      </c>
      <c r="C21" s="212" t="s">
        <v>227</v>
      </c>
      <c r="D21" s="211" t="s">
        <v>78</v>
      </c>
      <c r="E21" s="212" t="s">
        <v>228</v>
      </c>
      <c r="F21" s="211" t="s">
        <v>80</v>
      </c>
      <c r="G21" s="212" t="s">
        <v>23</v>
      </c>
      <c r="H21" s="212" t="s">
        <v>1530</v>
      </c>
      <c r="I21" s="212">
        <v>201409</v>
      </c>
      <c r="J21" s="213">
        <v>16732.5</v>
      </c>
      <c r="K21" s="171">
        <f t="shared" si="0"/>
        <v>9</v>
      </c>
      <c r="L21" s="214">
        <v>2.23333E-3</v>
      </c>
      <c r="M21" s="213">
        <f t="shared" si="1"/>
        <v>336.32</v>
      </c>
      <c r="N21" s="213">
        <f t="shared" si="2"/>
        <v>448.43</v>
      </c>
      <c r="O21" s="14"/>
      <c r="P21" s="210" t="str">
        <f>VLOOKUP(C21,'WO Descriptions'!$A$5:$D$345,4)</f>
        <v>Service/Yard Line Replacement (SLRP): Company Crew.  Modified Block by Block - Planned replacement of all unprotected steel or copper in a single block.  (Joplin - South Region)</v>
      </c>
    </row>
    <row r="22" spans="1:16" ht="30" outlineLevel="2">
      <c r="A22" s="211" t="s">
        <v>66</v>
      </c>
      <c r="B22" s="212" t="s">
        <v>229</v>
      </c>
      <c r="C22" s="212" t="s">
        <v>230</v>
      </c>
      <c r="D22" s="211" t="s">
        <v>78</v>
      </c>
      <c r="E22" s="212" t="s">
        <v>231</v>
      </c>
      <c r="F22" s="211" t="s">
        <v>80</v>
      </c>
      <c r="G22" s="212" t="s">
        <v>23</v>
      </c>
      <c r="H22" s="212" t="s">
        <v>1530</v>
      </c>
      <c r="I22" s="212">
        <v>201409</v>
      </c>
      <c r="J22" s="213">
        <v>46346.59</v>
      </c>
      <c r="K22" s="171">
        <f t="shared" si="0"/>
        <v>9</v>
      </c>
      <c r="L22" s="214">
        <v>2.23333E-3</v>
      </c>
      <c r="M22" s="213">
        <f t="shared" si="1"/>
        <v>931.57</v>
      </c>
      <c r="N22" s="213">
        <f t="shared" si="2"/>
        <v>1242.0899999999999</v>
      </c>
      <c r="O22" s="14"/>
      <c r="P22" s="210" t="str">
        <f>VLOOKUP(C22,'WO Descriptions'!$A$5:$D$345,4)</f>
        <v>Service/Yard Line Replacement (SLRP): Company Crew.  Modified Block by Block - Planned replacement of all unprotected steel or copper in a single block.  (Lee's Summit - East Region)</v>
      </c>
    </row>
    <row r="23" spans="1:16" ht="30" outlineLevel="2">
      <c r="A23" s="211" t="s">
        <v>1584</v>
      </c>
      <c r="B23" s="212" t="s">
        <v>1602</v>
      </c>
      <c r="C23" s="212" t="s">
        <v>1603</v>
      </c>
      <c r="D23" s="211" t="s">
        <v>1588</v>
      </c>
      <c r="E23" s="212" t="s">
        <v>1604</v>
      </c>
      <c r="F23" s="211" t="s">
        <v>1590</v>
      </c>
      <c r="G23" s="212" t="s">
        <v>23</v>
      </c>
      <c r="H23" s="212" t="s">
        <v>1530</v>
      </c>
      <c r="I23" s="212">
        <v>201409</v>
      </c>
      <c r="J23" s="213">
        <v>-4.0199999999999996</v>
      </c>
      <c r="K23" s="171">
        <f t="shared" si="0"/>
        <v>9</v>
      </c>
      <c r="L23" s="214">
        <v>2.0333333000000001E-3</v>
      </c>
      <c r="M23" s="213">
        <f t="shared" si="1"/>
        <v>-7.0000000000000007E-2</v>
      </c>
      <c r="N23" s="213">
        <f t="shared" si="2"/>
        <v>-0.1</v>
      </c>
      <c r="O23" s="14"/>
      <c r="P23" s="210" t="str">
        <f>VLOOKUP(C23,'WO Descriptions'!$A$5:$D$345,4)</f>
        <v>Service/Yard Line Replacement (SLRP): Company Crew.  Modified Block by Block - Planned replacement of all unprotected steel or copper in a single block.  (Lee's Summit - East Region)</v>
      </c>
    </row>
    <row r="24" spans="1:16" ht="30" outlineLevel="2">
      <c r="A24" s="211" t="s">
        <v>66</v>
      </c>
      <c r="B24" s="212" t="s">
        <v>371</v>
      </c>
      <c r="C24" s="212" t="s">
        <v>372</v>
      </c>
      <c r="D24" s="211" t="s">
        <v>88</v>
      </c>
      <c r="E24" s="212" t="s">
        <v>373</v>
      </c>
      <c r="F24" s="211" t="s">
        <v>85</v>
      </c>
      <c r="G24" s="212" t="s">
        <v>23</v>
      </c>
      <c r="H24" s="212" t="s">
        <v>1530</v>
      </c>
      <c r="I24" s="212">
        <v>201409</v>
      </c>
      <c r="J24" s="213">
        <v>47214.32</v>
      </c>
      <c r="K24" s="171">
        <f t="shared" si="0"/>
        <v>9</v>
      </c>
      <c r="L24" s="214">
        <v>2.23333E-3</v>
      </c>
      <c r="M24" s="213">
        <f t="shared" si="1"/>
        <v>949.01</v>
      </c>
      <c r="N24" s="213">
        <f t="shared" si="2"/>
        <v>1265.3399999999999</v>
      </c>
      <c r="O24" s="14"/>
      <c r="P24" s="210" t="str">
        <f>VLOOKUP(C24,'WO Descriptions'!$A$5:$D$345,4)</f>
        <v>Service/Yard Line Replacement (SLRP): Contract Crew.  Block by Block - Planned replacement of all unprotected steel or copper in a single block.  (Lee's Summit - East Region)</v>
      </c>
    </row>
    <row r="25" spans="1:16" ht="30" outlineLevel="2">
      <c r="A25" s="211" t="s">
        <v>66</v>
      </c>
      <c r="B25" s="212" t="s">
        <v>374</v>
      </c>
      <c r="C25" s="212" t="s">
        <v>375</v>
      </c>
      <c r="D25" s="211" t="s">
        <v>376</v>
      </c>
      <c r="E25" s="212" t="s">
        <v>377</v>
      </c>
      <c r="F25" s="211" t="s">
        <v>378</v>
      </c>
      <c r="G25" s="212" t="s">
        <v>23</v>
      </c>
      <c r="H25" s="212" t="s">
        <v>1530</v>
      </c>
      <c r="I25" s="212">
        <v>201409</v>
      </c>
      <c r="J25" s="213">
        <v>23482.38</v>
      </c>
      <c r="K25" s="171">
        <f t="shared" si="0"/>
        <v>9</v>
      </c>
      <c r="L25" s="214">
        <v>2.23333E-3</v>
      </c>
      <c r="M25" s="213">
        <f t="shared" si="1"/>
        <v>472</v>
      </c>
      <c r="N25" s="213">
        <f t="shared" si="2"/>
        <v>629.33000000000004</v>
      </c>
      <c r="O25" s="14"/>
      <c r="P25" s="210" t="str">
        <f>VLOOKUP(C25,'WO Descriptions'!$A$5:$D$345,4)</f>
        <v>Service/Yard Line Replacement (SLRP): Contract Crew.  Service/yard line replacement - Material Charges Only  (Joplin - South Region)</v>
      </c>
    </row>
    <row r="26" spans="1:16" ht="30" outlineLevel="2">
      <c r="A26" s="211" t="s">
        <v>66</v>
      </c>
      <c r="B26" s="212" t="s">
        <v>379</v>
      </c>
      <c r="C26" s="212" t="s">
        <v>380</v>
      </c>
      <c r="D26" s="211" t="s">
        <v>381</v>
      </c>
      <c r="E26" s="212" t="s">
        <v>382</v>
      </c>
      <c r="F26" s="211" t="s">
        <v>212</v>
      </c>
      <c r="G26" s="212" t="s">
        <v>23</v>
      </c>
      <c r="H26" s="212" t="s">
        <v>1530</v>
      </c>
      <c r="I26" s="212">
        <v>201409</v>
      </c>
      <c r="J26" s="213">
        <v>51541.52</v>
      </c>
      <c r="K26" s="171">
        <f t="shared" si="0"/>
        <v>9</v>
      </c>
      <c r="L26" s="214">
        <v>2.23333E-3</v>
      </c>
      <c r="M26" s="213">
        <f t="shared" si="1"/>
        <v>1035.98</v>
      </c>
      <c r="N26" s="213">
        <f t="shared" si="2"/>
        <v>1381.31</v>
      </c>
      <c r="O26" s="14"/>
      <c r="P26" s="210" t="str">
        <f>VLOOKUP(C26,'WO Descriptions'!$A$5:$D$345,4)</f>
        <v>Service/Yard Line Replacement (SLRP): Contract Crew.  Immediate response - replacement single unprotected steel or copper  (Kansas City - Central Region)</v>
      </c>
    </row>
    <row r="27" spans="1:16" ht="30" outlineLevel="2">
      <c r="A27" s="211" t="s">
        <v>66</v>
      </c>
      <c r="B27" s="212" t="s">
        <v>383</v>
      </c>
      <c r="C27" s="212" t="s">
        <v>384</v>
      </c>
      <c r="D27" s="211" t="s">
        <v>385</v>
      </c>
      <c r="E27" s="212" t="s">
        <v>386</v>
      </c>
      <c r="F27" s="211" t="s">
        <v>387</v>
      </c>
      <c r="G27" s="212" t="s">
        <v>23</v>
      </c>
      <c r="H27" s="212" t="s">
        <v>1530</v>
      </c>
      <c r="I27" s="212">
        <v>201409</v>
      </c>
      <c r="J27" s="213">
        <v>103600.86</v>
      </c>
      <c r="K27" s="171">
        <f t="shared" si="0"/>
        <v>9</v>
      </c>
      <c r="L27" s="214">
        <v>2.23333E-3</v>
      </c>
      <c r="M27" s="213">
        <f t="shared" si="1"/>
        <v>2082.37</v>
      </c>
      <c r="N27" s="213">
        <f t="shared" si="2"/>
        <v>2776.5</v>
      </c>
      <c r="O27" s="14"/>
      <c r="P27" s="210" t="str">
        <f>VLOOKUP(C27,'WO Descriptions'!$A$5:$D$345,4)</f>
        <v>Replacement and/or removal of existing protected steel or plastic (Kansas City - Central Region)</v>
      </c>
    </row>
    <row r="28" spans="1:16" outlineLevel="2">
      <c r="A28" s="211" t="s">
        <v>66</v>
      </c>
      <c r="B28" s="212" t="s">
        <v>388</v>
      </c>
      <c r="C28" s="212" t="s">
        <v>389</v>
      </c>
      <c r="D28" s="211" t="s">
        <v>385</v>
      </c>
      <c r="E28" s="212" t="s">
        <v>390</v>
      </c>
      <c r="F28" s="211" t="s">
        <v>387</v>
      </c>
      <c r="G28" s="212" t="s">
        <v>23</v>
      </c>
      <c r="H28" s="212" t="s">
        <v>1530</v>
      </c>
      <c r="I28" s="212">
        <v>201409</v>
      </c>
      <c r="J28" s="213">
        <v>42682.33</v>
      </c>
      <c r="K28" s="171">
        <f t="shared" si="0"/>
        <v>9</v>
      </c>
      <c r="L28" s="214">
        <v>2.23333E-3</v>
      </c>
      <c r="M28" s="213">
        <f t="shared" si="1"/>
        <v>857.91</v>
      </c>
      <c r="N28" s="213">
        <f t="shared" si="2"/>
        <v>1143.8800000000001</v>
      </c>
      <c r="O28" s="14"/>
      <c r="P28" s="210" t="str">
        <f>VLOOKUP(C28,'WO Descriptions'!$A$5:$D$345,4)</f>
        <v>Replacement and/or removal of existing protected steel or plastic (Lee's Summit - East Region)</v>
      </c>
    </row>
    <row r="29" spans="1:16" ht="30" outlineLevel="2">
      <c r="A29" s="211" t="s">
        <v>66</v>
      </c>
      <c r="B29" s="212" t="s">
        <v>489</v>
      </c>
      <c r="C29" s="212" t="s">
        <v>490</v>
      </c>
      <c r="D29" s="211" t="s">
        <v>491</v>
      </c>
      <c r="E29" s="212" t="s">
        <v>492</v>
      </c>
      <c r="F29" s="211" t="s">
        <v>378</v>
      </c>
      <c r="G29" s="212" t="s">
        <v>23</v>
      </c>
      <c r="H29" s="212" t="s">
        <v>1530</v>
      </c>
      <c r="I29" s="212">
        <v>201409</v>
      </c>
      <c r="J29" s="213">
        <v>-2416.5500000000002</v>
      </c>
      <c r="K29" s="171">
        <f t="shared" si="0"/>
        <v>9</v>
      </c>
      <c r="L29" s="214">
        <v>2.23333E-3</v>
      </c>
      <c r="M29" s="213">
        <f t="shared" si="1"/>
        <v>-48.57</v>
      </c>
      <c r="N29" s="213">
        <f t="shared" si="2"/>
        <v>-64.760000000000005</v>
      </c>
      <c r="O29" s="14"/>
      <c r="P29" s="210" t="str">
        <f>VLOOKUP(C29,'WO Descriptions'!$A$5:$D$345,4)</f>
        <v>Service/Yard Line Replacement (SLRP): Contract Crew.  Service/yard line replacement - Material Charges Only  (Kansas City - Central Region)</v>
      </c>
    </row>
    <row r="30" spans="1:16" ht="30" outlineLevel="2">
      <c r="A30" s="211" t="s">
        <v>1584</v>
      </c>
      <c r="B30" s="212" t="s">
        <v>1605</v>
      </c>
      <c r="C30" s="212" t="s">
        <v>1606</v>
      </c>
      <c r="D30" s="211" t="s">
        <v>1607</v>
      </c>
      <c r="E30" s="212" t="s">
        <v>1608</v>
      </c>
      <c r="F30" s="211" t="s">
        <v>1590</v>
      </c>
      <c r="G30" s="212" t="s">
        <v>23</v>
      </c>
      <c r="H30" s="212" t="s">
        <v>1530</v>
      </c>
      <c r="I30" s="212">
        <v>201409</v>
      </c>
      <c r="J30" s="213">
        <v>14022.68</v>
      </c>
      <c r="K30" s="171">
        <f t="shared" si="0"/>
        <v>9</v>
      </c>
      <c r="L30" s="214">
        <v>2.0333333000000001E-3</v>
      </c>
      <c r="M30" s="213">
        <f t="shared" si="1"/>
        <v>256.62</v>
      </c>
      <c r="N30" s="213">
        <f t="shared" si="2"/>
        <v>342.15</v>
      </c>
      <c r="O30" s="14"/>
      <c r="P30" s="210" t="str">
        <f>VLOOKUP(C30,'WO Descriptions'!$A$5:$D$345,4)</f>
        <v>Service/Yard Line Replacement (SLRP): Contract Crew.  Service/yard line replacement - Material Charges Only  (Kansas City - Central Region)</v>
      </c>
    </row>
    <row r="31" spans="1:16" ht="30" outlineLevel="2">
      <c r="A31" s="211" t="s">
        <v>66</v>
      </c>
      <c r="B31" s="212" t="s">
        <v>496</v>
      </c>
      <c r="C31" s="212" t="s">
        <v>497</v>
      </c>
      <c r="D31" s="211" t="s">
        <v>376</v>
      </c>
      <c r="E31" s="212" t="s">
        <v>498</v>
      </c>
      <c r="F31" s="211" t="s">
        <v>378</v>
      </c>
      <c r="G31" s="212" t="s">
        <v>23</v>
      </c>
      <c r="H31" s="212" t="s">
        <v>1530</v>
      </c>
      <c r="I31" s="212">
        <v>201409</v>
      </c>
      <c r="J31" s="213">
        <v>55968.13</v>
      </c>
      <c r="K31" s="171">
        <f t="shared" si="0"/>
        <v>9</v>
      </c>
      <c r="L31" s="214">
        <v>2.23333E-3</v>
      </c>
      <c r="M31" s="213">
        <f t="shared" si="1"/>
        <v>1124.96</v>
      </c>
      <c r="N31" s="213">
        <f t="shared" si="2"/>
        <v>1499.94</v>
      </c>
      <c r="O31" s="14"/>
      <c r="P31" s="210" t="str">
        <f>VLOOKUP(C31,'WO Descriptions'!$A$5:$D$345,4)</f>
        <v>Service/Yard Line Replacement (SLRP): Contract Crew.  Service/yard line replacement - Material Charges Only  (Lee's Summit - East Region)</v>
      </c>
    </row>
    <row r="32" spans="1:16" outlineLevel="2">
      <c r="A32" s="211" t="s">
        <v>66</v>
      </c>
      <c r="B32" s="212" t="s">
        <v>499</v>
      </c>
      <c r="C32" s="212" t="s">
        <v>500</v>
      </c>
      <c r="D32" s="211" t="s">
        <v>385</v>
      </c>
      <c r="E32" s="212" t="s">
        <v>501</v>
      </c>
      <c r="F32" s="211" t="s">
        <v>387</v>
      </c>
      <c r="G32" s="212" t="s">
        <v>23</v>
      </c>
      <c r="H32" s="212" t="s">
        <v>1530</v>
      </c>
      <c r="I32" s="212">
        <v>201409</v>
      </c>
      <c r="J32" s="213">
        <v>26046.38</v>
      </c>
      <c r="K32" s="171">
        <f t="shared" si="0"/>
        <v>9</v>
      </c>
      <c r="L32" s="214">
        <v>2.23333E-3</v>
      </c>
      <c r="M32" s="213">
        <f t="shared" si="1"/>
        <v>523.53</v>
      </c>
      <c r="N32" s="213">
        <f t="shared" si="2"/>
        <v>698.04</v>
      </c>
      <c r="O32" s="14"/>
      <c r="P32" s="210" t="str">
        <f>VLOOKUP(C32,'WO Descriptions'!$A$5:$D$345,4)</f>
        <v>Replacement and/or removal of existing protected steel or plastic (Joplin - South Region)</v>
      </c>
    </row>
    <row r="33" spans="1:16" ht="30" outlineLevel="2">
      <c r="A33" s="211" t="s">
        <v>66</v>
      </c>
      <c r="B33" s="212" t="s">
        <v>587</v>
      </c>
      <c r="C33" s="212" t="s">
        <v>588</v>
      </c>
      <c r="D33" s="211" t="s">
        <v>589</v>
      </c>
      <c r="E33" s="212" t="s">
        <v>590</v>
      </c>
      <c r="F33" s="211" t="s">
        <v>591</v>
      </c>
      <c r="G33" s="212" t="s">
        <v>23</v>
      </c>
      <c r="H33" s="212" t="s">
        <v>1530</v>
      </c>
      <c r="I33" s="212">
        <v>201409</v>
      </c>
      <c r="J33" s="213">
        <v>-3.04</v>
      </c>
      <c r="K33" s="171">
        <f t="shared" si="0"/>
        <v>9</v>
      </c>
      <c r="L33" s="214">
        <v>2.23333E-3</v>
      </c>
      <c r="M33" s="213">
        <f t="shared" si="1"/>
        <v>-0.06</v>
      </c>
      <c r="N33" s="213">
        <f t="shared" si="2"/>
        <v>-0.08</v>
      </c>
      <c r="O33" s="14"/>
      <c r="P33" s="210" t="str">
        <f>VLOOKUP(C33,'WO Descriptions'!$A$5:$D$345,4)</f>
        <v>Service/Yard Line Replacement (SLRP): Company Crew.  Block by Block - Planned replacement of all unprotected steel or copper in a single block.  (Monett - South Region)</v>
      </c>
    </row>
    <row r="34" spans="1:16" ht="30" outlineLevel="2">
      <c r="A34" s="211" t="s">
        <v>1584</v>
      </c>
      <c r="B34" s="212" t="s">
        <v>1609</v>
      </c>
      <c r="C34" s="212" t="s">
        <v>1610</v>
      </c>
      <c r="D34" s="211" t="s">
        <v>1588</v>
      </c>
      <c r="E34" s="212" t="s">
        <v>1611</v>
      </c>
      <c r="F34" s="211" t="s">
        <v>1590</v>
      </c>
      <c r="G34" s="212" t="s">
        <v>23</v>
      </c>
      <c r="H34" s="212" t="s">
        <v>1530</v>
      </c>
      <c r="I34" s="212">
        <v>201409</v>
      </c>
      <c r="J34" s="213">
        <v>-5.08</v>
      </c>
      <c r="K34" s="171">
        <f t="shared" si="0"/>
        <v>9</v>
      </c>
      <c r="L34" s="214">
        <v>2.0333333000000001E-3</v>
      </c>
      <c r="M34" s="213">
        <f t="shared" si="1"/>
        <v>-0.09</v>
      </c>
      <c r="N34" s="213">
        <f t="shared" si="2"/>
        <v>-0.12</v>
      </c>
      <c r="O34" s="14"/>
      <c r="P34" s="210" t="str">
        <f>VLOOKUP(C34,'WO Descriptions'!$A$5:$D$345,4)</f>
        <v>Service/Yard Line Replacement (SLRP): Company Crew.  Block by Block - Planned replacement of all unprotected steel or copper in a single block.  (Monett - South Region)</v>
      </c>
    </row>
    <row r="35" spans="1:16" ht="30" outlineLevel="2">
      <c r="A35" s="211" t="s">
        <v>66</v>
      </c>
      <c r="B35" s="212" t="s">
        <v>592</v>
      </c>
      <c r="C35" s="212" t="s">
        <v>593</v>
      </c>
      <c r="D35" s="211" t="s">
        <v>381</v>
      </c>
      <c r="E35" s="212" t="s">
        <v>594</v>
      </c>
      <c r="F35" s="211" t="s">
        <v>212</v>
      </c>
      <c r="G35" s="212" t="s">
        <v>23</v>
      </c>
      <c r="H35" s="212" t="s">
        <v>1530</v>
      </c>
      <c r="I35" s="212">
        <v>201409</v>
      </c>
      <c r="J35" s="213">
        <v>-383.88</v>
      </c>
      <c r="K35" s="171">
        <f t="shared" si="0"/>
        <v>9</v>
      </c>
      <c r="L35" s="214">
        <v>2.23333E-3</v>
      </c>
      <c r="M35" s="213">
        <f t="shared" si="1"/>
        <v>-7.72</v>
      </c>
      <c r="N35" s="213">
        <f t="shared" si="2"/>
        <v>-10.29</v>
      </c>
      <c r="O35" s="14"/>
      <c r="P35" s="210" t="str">
        <f>VLOOKUP(C35,'WO Descriptions'!$A$5:$D$345,4)</f>
        <v>Service/Yard Line Replacement (SLRP): Contract Crew.  Immediate response - replacement single unprotected steel or copper  (Monett - South Region)</v>
      </c>
    </row>
    <row r="36" spans="1:16" ht="30" outlineLevel="2">
      <c r="A36" s="211" t="s">
        <v>66</v>
      </c>
      <c r="B36" s="212" t="s">
        <v>595</v>
      </c>
      <c r="C36" s="212" t="s">
        <v>596</v>
      </c>
      <c r="D36" s="211" t="s">
        <v>597</v>
      </c>
      <c r="E36" s="212" t="s">
        <v>598</v>
      </c>
      <c r="F36" s="211" t="s">
        <v>212</v>
      </c>
      <c r="G36" s="212" t="s">
        <v>23</v>
      </c>
      <c r="H36" s="212" t="s">
        <v>1530</v>
      </c>
      <c r="I36" s="212">
        <v>201409</v>
      </c>
      <c r="J36" s="213">
        <v>260099.33</v>
      </c>
      <c r="K36" s="171">
        <f t="shared" si="0"/>
        <v>9</v>
      </c>
      <c r="L36" s="214">
        <v>2.23333E-3</v>
      </c>
      <c r="M36" s="213">
        <f t="shared" si="1"/>
        <v>5227.99</v>
      </c>
      <c r="N36" s="213">
        <f t="shared" si="2"/>
        <v>6970.65</v>
      </c>
      <c r="O36" s="14"/>
      <c r="P36" s="210" t="str">
        <f>VLOOKUP(C36,'WO Descriptions'!$A$5:$D$345,4)</f>
        <v>Service/Yard Line Replacement (SLRP): Contract Crew.  Immediate response - replacement single unprotected steel or copper  (Lee's Summit - East Region)</v>
      </c>
    </row>
    <row r="37" spans="1:16" outlineLevel="2">
      <c r="A37" s="211" t="s">
        <v>66</v>
      </c>
      <c r="B37" s="212" t="s">
        <v>599</v>
      </c>
      <c r="C37" s="212" t="s">
        <v>600</v>
      </c>
      <c r="D37" s="211" t="s">
        <v>385</v>
      </c>
      <c r="E37" s="212" t="s">
        <v>601</v>
      </c>
      <c r="F37" s="211" t="s">
        <v>387</v>
      </c>
      <c r="G37" s="212" t="s">
        <v>23</v>
      </c>
      <c r="H37" s="212" t="s">
        <v>1530</v>
      </c>
      <c r="I37" s="212">
        <v>201409</v>
      </c>
      <c r="J37" s="213">
        <v>3438.85</v>
      </c>
      <c r="K37" s="171">
        <f t="shared" ref="K37:K68" si="3">VLOOKUP(I37,$T$7:$U$15,2)</f>
        <v>9</v>
      </c>
      <c r="L37" s="214">
        <v>2.23333E-3</v>
      </c>
      <c r="M37" s="213">
        <f t="shared" ref="M37:M68" si="4">ROUND(J37*K37*L37,2)</f>
        <v>69.12</v>
      </c>
      <c r="N37" s="213">
        <f t="shared" ref="N37:N68" si="5">ROUND(J37*L37*12,2)</f>
        <v>92.16</v>
      </c>
      <c r="O37" s="14"/>
      <c r="P37" s="210" t="str">
        <f>VLOOKUP(C37,'WO Descriptions'!$A$5:$D$345,4)</f>
        <v>Replacement and/or removal of existing protected steel or plastic (St. Joseph)</v>
      </c>
    </row>
    <row r="38" spans="1:16" ht="45" outlineLevel="2">
      <c r="A38" s="211" t="s">
        <v>1584</v>
      </c>
      <c r="B38" s="212" t="s">
        <v>1612</v>
      </c>
      <c r="C38" s="212" t="s">
        <v>1613</v>
      </c>
      <c r="D38" s="211" t="s">
        <v>1588</v>
      </c>
      <c r="E38" s="212" t="s">
        <v>1614</v>
      </c>
      <c r="F38" s="211" t="s">
        <v>1590</v>
      </c>
      <c r="G38" s="212" t="s">
        <v>23</v>
      </c>
      <c r="H38" s="212" t="s">
        <v>1530</v>
      </c>
      <c r="I38" s="212">
        <v>201409</v>
      </c>
      <c r="J38" s="213">
        <v>453.16</v>
      </c>
      <c r="K38" s="171">
        <f t="shared" si="3"/>
        <v>9</v>
      </c>
      <c r="L38" s="214">
        <v>2.0333333000000001E-3</v>
      </c>
      <c r="M38" s="213">
        <f t="shared" si="4"/>
        <v>8.2899999999999991</v>
      </c>
      <c r="N38" s="213">
        <f t="shared" si="5"/>
        <v>11.06</v>
      </c>
      <c r="O38" s="14"/>
      <c r="P38" s="210" t="str">
        <f>VLOOKUP(C38,'WO Descriptions'!$A$5:$D$345,4)</f>
        <v>Approved by: Ken Thomas on 07/01/2013,  Replace 45' of 12in PBS wo unknown with 36' of 12in PCS due to leak on the gate valve. Pressure system C-175KCLS. Job was completed on 3-15-2013.</v>
      </c>
    </row>
    <row r="39" spans="1:16" ht="30" outlineLevel="2">
      <c r="A39" s="211" t="s">
        <v>66</v>
      </c>
      <c r="B39" s="212" t="s">
        <v>671</v>
      </c>
      <c r="C39" s="212" t="s">
        <v>672</v>
      </c>
      <c r="D39" s="211" t="s">
        <v>206</v>
      </c>
      <c r="E39" s="212" t="s">
        <v>673</v>
      </c>
      <c r="F39" s="211" t="s">
        <v>97</v>
      </c>
      <c r="G39" s="212" t="s">
        <v>23</v>
      </c>
      <c r="H39" s="212" t="s">
        <v>1530</v>
      </c>
      <c r="I39" s="212">
        <v>201409</v>
      </c>
      <c r="J39" s="213">
        <v>642.49</v>
      </c>
      <c r="K39" s="171">
        <f t="shared" si="3"/>
        <v>9</v>
      </c>
      <c r="L39" s="214">
        <v>2.23333E-3</v>
      </c>
      <c r="M39" s="213">
        <f t="shared" si="4"/>
        <v>12.91</v>
      </c>
      <c r="N39" s="213">
        <f t="shared" si="5"/>
        <v>17.22</v>
      </c>
      <c r="O39" s="14"/>
      <c r="P39" s="210" t="str">
        <f>VLOOKUP(C39,'WO Descriptions'!$A$5:$D$345,4)</f>
        <v>Service/Yard Line Replacement (SLRP): Company Crew.  Service/yard line replacement - Material Charges Only  (Joplin - South Region)</v>
      </c>
    </row>
    <row r="40" spans="1:16" outlineLevel="2">
      <c r="A40" s="211" t="s">
        <v>66</v>
      </c>
      <c r="B40" s="212" t="s">
        <v>674</v>
      </c>
      <c r="C40" s="212" t="s">
        <v>675</v>
      </c>
      <c r="D40" s="211" t="s">
        <v>385</v>
      </c>
      <c r="E40" s="212" t="s">
        <v>676</v>
      </c>
      <c r="F40" s="211" t="s">
        <v>387</v>
      </c>
      <c r="G40" s="212" t="s">
        <v>23</v>
      </c>
      <c r="H40" s="212" t="s">
        <v>1530</v>
      </c>
      <c r="I40" s="212">
        <v>201409</v>
      </c>
      <c r="J40" s="213">
        <v>16917.41</v>
      </c>
      <c r="K40" s="171">
        <f t="shared" si="3"/>
        <v>9</v>
      </c>
      <c r="L40" s="214">
        <v>2.23333E-3</v>
      </c>
      <c r="M40" s="213">
        <f t="shared" si="4"/>
        <v>340.04</v>
      </c>
      <c r="N40" s="213">
        <f t="shared" si="5"/>
        <v>453.39</v>
      </c>
      <c r="O40" s="14"/>
      <c r="P40" s="210" t="str">
        <f>VLOOKUP(C40,'WO Descriptions'!$A$5:$D$345,4)</f>
        <v>Replacement and/or removal of existing protected steel or plastic (Monett - South Region)</v>
      </c>
    </row>
    <row r="41" spans="1:16" ht="30" outlineLevel="2">
      <c r="A41" s="211" t="s">
        <v>66</v>
      </c>
      <c r="B41" s="212" t="s">
        <v>738</v>
      </c>
      <c r="C41" s="212" t="s">
        <v>739</v>
      </c>
      <c r="D41" s="211" t="s">
        <v>69</v>
      </c>
      <c r="E41" s="212" t="s">
        <v>740</v>
      </c>
      <c r="F41" s="211" t="s">
        <v>71</v>
      </c>
      <c r="G41" s="212" t="s">
        <v>23</v>
      </c>
      <c r="H41" s="212" t="s">
        <v>1530</v>
      </c>
      <c r="I41" s="212">
        <v>201409</v>
      </c>
      <c r="J41" s="213">
        <v>29.7</v>
      </c>
      <c r="K41" s="171">
        <f t="shared" si="3"/>
        <v>9</v>
      </c>
      <c r="L41" s="214">
        <v>2.23333E-3</v>
      </c>
      <c r="M41" s="213">
        <f t="shared" si="4"/>
        <v>0.6</v>
      </c>
      <c r="N41" s="213">
        <f t="shared" si="5"/>
        <v>0.8</v>
      </c>
      <c r="O41" s="14"/>
      <c r="P41" s="210" t="str">
        <f>VLOOKUP(C41,'WO Descriptions'!$A$5:$D$345,4)</f>
        <v>Service/Yard Line Replacement (SLRP): Company Crew.  Immediate response - replacement single unprotected steel or copper  (Joplin - South Region)</v>
      </c>
    </row>
    <row r="42" spans="1:16" ht="30" outlineLevel="2">
      <c r="A42" s="211" t="s">
        <v>66</v>
      </c>
      <c r="B42" s="212" t="s">
        <v>741</v>
      </c>
      <c r="C42" s="212" t="s">
        <v>742</v>
      </c>
      <c r="D42" s="211" t="s">
        <v>69</v>
      </c>
      <c r="E42" s="212" t="s">
        <v>70</v>
      </c>
      <c r="F42" s="211" t="s">
        <v>71</v>
      </c>
      <c r="G42" s="212" t="s">
        <v>23</v>
      </c>
      <c r="H42" s="212" t="s">
        <v>1530</v>
      </c>
      <c r="I42" s="212">
        <v>201409</v>
      </c>
      <c r="J42" s="213">
        <v>1203.8</v>
      </c>
      <c r="K42" s="171">
        <f t="shared" si="3"/>
        <v>9</v>
      </c>
      <c r="L42" s="214">
        <v>2.23333E-3</v>
      </c>
      <c r="M42" s="213">
        <f t="shared" si="4"/>
        <v>24.2</v>
      </c>
      <c r="N42" s="213">
        <f t="shared" si="5"/>
        <v>32.26</v>
      </c>
      <c r="O42" s="14"/>
      <c r="P42" s="210" t="str">
        <f>VLOOKUP(C42,'WO Descriptions'!$A$5:$D$345,4)</f>
        <v>Service/Yard Line Replacement (SLRP): Company Crew.  Immediate response - replacement single unprotected steel or copper  (Lee's Summit - East Region)</v>
      </c>
    </row>
    <row r="43" spans="1:16" ht="30" outlineLevel="2">
      <c r="A43" s="211" t="s">
        <v>66</v>
      </c>
      <c r="B43" s="212" t="s">
        <v>743</v>
      </c>
      <c r="C43" s="212" t="s">
        <v>744</v>
      </c>
      <c r="D43" s="211" t="s">
        <v>745</v>
      </c>
      <c r="E43" s="212" t="s">
        <v>746</v>
      </c>
      <c r="F43" s="211" t="s">
        <v>80</v>
      </c>
      <c r="G43" s="212" t="s">
        <v>23</v>
      </c>
      <c r="H43" s="212" t="s">
        <v>1530</v>
      </c>
      <c r="I43" s="212">
        <v>201409</v>
      </c>
      <c r="J43" s="213">
        <v>47053.64</v>
      </c>
      <c r="K43" s="171">
        <f t="shared" si="3"/>
        <v>9</v>
      </c>
      <c r="L43" s="214">
        <v>2.23333E-3</v>
      </c>
      <c r="M43" s="213">
        <f t="shared" si="4"/>
        <v>945.78</v>
      </c>
      <c r="N43" s="213">
        <f t="shared" si="5"/>
        <v>1261.04</v>
      </c>
      <c r="O43" s="14"/>
      <c r="P43" s="210" t="str">
        <f>VLOOKUP(C43,'WO Descriptions'!$A$5:$D$345,4)</f>
        <v>Service/Yard Line Replacement (SLRP): Contract Crew.  Modified Block by Block - Planned replacement of unprotected steel or copper  (Kansas City - Central Region)</v>
      </c>
    </row>
    <row r="44" spans="1:16" ht="30" outlineLevel="2">
      <c r="A44" s="211" t="s">
        <v>66</v>
      </c>
      <c r="B44" s="212" t="s">
        <v>747</v>
      </c>
      <c r="C44" s="212" t="s">
        <v>748</v>
      </c>
      <c r="D44" s="211" t="s">
        <v>78</v>
      </c>
      <c r="E44" s="212" t="s">
        <v>749</v>
      </c>
      <c r="F44" s="211" t="s">
        <v>80</v>
      </c>
      <c r="G44" s="212" t="s">
        <v>23</v>
      </c>
      <c r="H44" s="212" t="s">
        <v>1530</v>
      </c>
      <c r="I44" s="212">
        <v>201409</v>
      </c>
      <c r="J44" s="213">
        <v>103995.5</v>
      </c>
      <c r="K44" s="171">
        <f t="shared" si="3"/>
        <v>9</v>
      </c>
      <c r="L44" s="214">
        <v>2.23333E-3</v>
      </c>
      <c r="M44" s="213">
        <f t="shared" si="4"/>
        <v>2090.31</v>
      </c>
      <c r="N44" s="213">
        <f t="shared" si="5"/>
        <v>2787.08</v>
      </c>
      <c r="O44" s="14"/>
      <c r="P44" s="210" t="str">
        <f>VLOOKUP(C44,'WO Descriptions'!$A$5:$D$345,4)</f>
        <v>Service/Yard Line Replacement (SLRP): Contract Crew.  Modified Block by Block - Planned replacement of unprotected steel or copper  (Joplin - South Region)</v>
      </c>
    </row>
    <row r="45" spans="1:16" ht="30" outlineLevel="2">
      <c r="A45" s="211" t="s">
        <v>66</v>
      </c>
      <c r="B45" s="212" t="s">
        <v>750</v>
      </c>
      <c r="C45" s="212" t="s">
        <v>751</v>
      </c>
      <c r="D45" s="211" t="s">
        <v>78</v>
      </c>
      <c r="E45" s="212" t="s">
        <v>752</v>
      </c>
      <c r="F45" s="211" t="s">
        <v>80</v>
      </c>
      <c r="G45" s="212" t="s">
        <v>23</v>
      </c>
      <c r="H45" s="212" t="s">
        <v>1530</v>
      </c>
      <c r="I45" s="212">
        <v>201409</v>
      </c>
      <c r="J45" s="213">
        <v>-0.62</v>
      </c>
      <c r="K45" s="171">
        <f t="shared" si="3"/>
        <v>9</v>
      </c>
      <c r="L45" s="214">
        <v>2.23333E-3</v>
      </c>
      <c r="M45" s="213">
        <f t="shared" si="4"/>
        <v>-0.01</v>
      </c>
      <c r="N45" s="213">
        <f t="shared" si="5"/>
        <v>-0.02</v>
      </c>
      <c r="O45" s="14"/>
      <c r="P45" s="210" t="str">
        <f>VLOOKUP(C45,'WO Descriptions'!$A$5:$D$345,4)</f>
        <v>Service/Yard Line Replacement (SLRP): Contract Crew.  Modified Block by Block - Planned replacement of unprotected steel or copper  (St. Joseph)</v>
      </c>
    </row>
    <row r="46" spans="1:16" ht="30" outlineLevel="2">
      <c r="A46" s="211" t="s">
        <v>1584</v>
      </c>
      <c r="B46" s="212" t="s">
        <v>1615</v>
      </c>
      <c r="C46" s="212" t="s">
        <v>1616</v>
      </c>
      <c r="D46" s="211" t="s">
        <v>1593</v>
      </c>
      <c r="E46" s="212" t="s">
        <v>1617</v>
      </c>
      <c r="F46" s="211" t="s">
        <v>1590</v>
      </c>
      <c r="G46" s="212" t="s">
        <v>23</v>
      </c>
      <c r="H46" s="212" t="s">
        <v>1530</v>
      </c>
      <c r="I46" s="212">
        <v>201409</v>
      </c>
      <c r="J46" s="213">
        <v>13225.13</v>
      </c>
      <c r="K46" s="171">
        <f t="shared" si="3"/>
        <v>9</v>
      </c>
      <c r="L46" s="214">
        <v>2.0333333000000001E-3</v>
      </c>
      <c r="M46" s="213">
        <f t="shared" si="4"/>
        <v>242.02</v>
      </c>
      <c r="N46" s="213">
        <f t="shared" si="5"/>
        <v>322.69</v>
      </c>
      <c r="O46" s="14"/>
      <c r="P46" s="210" t="str">
        <f>VLOOKUP(C46,'WO Descriptions'!$A$5:$D$345,4)</f>
        <v>Service/Yard Line Replacement (SLRP): Contract Crew.  Modified Block by Block - Planned replacement of unprotected steel or copper  (St. Joseph)</v>
      </c>
    </row>
    <row r="47" spans="1:16" ht="30" outlineLevel="2">
      <c r="A47" s="211" t="s">
        <v>66</v>
      </c>
      <c r="B47" s="212" t="s">
        <v>753</v>
      </c>
      <c r="C47" s="212" t="s">
        <v>754</v>
      </c>
      <c r="D47" s="211" t="s">
        <v>206</v>
      </c>
      <c r="E47" s="212" t="s">
        <v>755</v>
      </c>
      <c r="F47" s="211" t="s">
        <v>97</v>
      </c>
      <c r="G47" s="212" t="s">
        <v>23</v>
      </c>
      <c r="H47" s="212" t="s">
        <v>1530</v>
      </c>
      <c r="I47" s="212">
        <v>201409</v>
      </c>
      <c r="J47" s="213">
        <v>7053.44</v>
      </c>
      <c r="K47" s="171">
        <f t="shared" si="3"/>
        <v>9</v>
      </c>
      <c r="L47" s="214">
        <v>2.23333E-3</v>
      </c>
      <c r="M47" s="213">
        <f t="shared" si="4"/>
        <v>141.77000000000001</v>
      </c>
      <c r="N47" s="213">
        <f t="shared" si="5"/>
        <v>189.03</v>
      </c>
      <c r="O47" s="14"/>
      <c r="P47" s="210" t="str">
        <f>VLOOKUP(C47,'WO Descriptions'!$A$5:$D$345,4)</f>
        <v>Service/Yard Line Replacement (SLRP): Company Crew.  Service/yard line replacement - Material Charges Only  (Lee's Summit - East Region)</v>
      </c>
    </row>
    <row r="48" spans="1:16" ht="30" outlineLevel="2">
      <c r="A48" s="211" t="s">
        <v>66</v>
      </c>
      <c r="B48" s="212" t="s">
        <v>67</v>
      </c>
      <c r="C48" s="212" t="s">
        <v>68</v>
      </c>
      <c r="D48" s="211" t="s">
        <v>69</v>
      </c>
      <c r="E48" s="212" t="s">
        <v>70</v>
      </c>
      <c r="F48" s="211" t="s">
        <v>71</v>
      </c>
      <c r="G48" s="212" t="s">
        <v>23</v>
      </c>
      <c r="H48" s="212" t="s">
        <v>1530</v>
      </c>
      <c r="I48" s="212">
        <v>201410</v>
      </c>
      <c r="J48" s="213">
        <v>0</v>
      </c>
      <c r="K48" s="171">
        <f t="shared" si="3"/>
        <v>8</v>
      </c>
      <c r="L48" s="214">
        <v>2.23333E-3</v>
      </c>
      <c r="M48" s="213">
        <f t="shared" si="4"/>
        <v>0</v>
      </c>
      <c r="N48" s="213">
        <f t="shared" si="5"/>
        <v>0</v>
      </c>
      <c r="O48" s="14"/>
      <c r="P48" s="210" t="str">
        <f>VLOOKUP(C48,'WO Descriptions'!$A$5:$D$345,4)</f>
        <v>Service/Yard Line Replacement (SLRP): Company Crew.  Immediate response - replacement single unprotected steel or copper  (Independence - East Region)</v>
      </c>
    </row>
    <row r="49" spans="1:16" ht="30" outlineLevel="2">
      <c r="A49" s="211" t="s">
        <v>66</v>
      </c>
      <c r="B49" s="212" t="s">
        <v>72</v>
      </c>
      <c r="C49" s="212" t="s">
        <v>73</v>
      </c>
      <c r="D49" s="211" t="s">
        <v>74</v>
      </c>
      <c r="E49" s="212" t="s">
        <v>75</v>
      </c>
      <c r="F49" s="211" t="s">
        <v>71</v>
      </c>
      <c r="G49" s="212" t="s">
        <v>23</v>
      </c>
      <c r="H49" s="212" t="s">
        <v>1530</v>
      </c>
      <c r="I49" s="212">
        <v>201410</v>
      </c>
      <c r="J49" s="213">
        <v>170646.25</v>
      </c>
      <c r="K49" s="171">
        <f t="shared" si="3"/>
        <v>8</v>
      </c>
      <c r="L49" s="214">
        <v>2.23333E-3</v>
      </c>
      <c r="M49" s="213">
        <f t="shared" si="4"/>
        <v>3048.88</v>
      </c>
      <c r="N49" s="213">
        <f t="shared" si="5"/>
        <v>4573.3100000000004</v>
      </c>
      <c r="O49" s="14"/>
      <c r="P49" s="210" t="str">
        <f>VLOOKUP(C49,'WO Descriptions'!$A$5:$D$345,4)</f>
        <v>Service/Yard Line Replacement (SLRP): Company Crew.  Immediate response - replacement single unprotected steel or copper  (Kansas City - Central Region)</v>
      </c>
    </row>
    <row r="50" spans="1:16" ht="30" outlineLevel="2">
      <c r="A50" s="211" t="s">
        <v>66</v>
      </c>
      <c r="B50" s="212" t="s">
        <v>81</v>
      </c>
      <c r="C50" s="212" t="s">
        <v>82</v>
      </c>
      <c r="D50" s="211" t="s">
        <v>83</v>
      </c>
      <c r="E50" s="212" t="s">
        <v>84</v>
      </c>
      <c r="F50" s="211" t="s">
        <v>85</v>
      </c>
      <c r="G50" s="212" t="s">
        <v>23</v>
      </c>
      <c r="H50" s="212" t="s">
        <v>1530</v>
      </c>
      <c r="I50" s="212">
        <v>201410</v>
      </c>
      <c r="J50" s="213">
        <v>28628.69</v>
      </c>
      <c r="K50" s="171">
        <f t="shared" si="3"/>
        <v>8</v>
      </c>
      <c r="L50" s="214">
        <v>2.23333E-3</v>
      </c>
      <c r="M50" s="213">
        <f t="shared" si="4"/>
        <v>511.5</v>
      </c>
      <c r="N50" s="213">
        <f t="shared" si="5"/>
        <v>767.25</v>
      </c>
      <c r="O50" s="14"/>
      <c r="P50" s="210" t="str">
        <f>VLOOKUP(C50,'WO Descriptions'!$A$5:$D$345,4)</f>
        <v>Service/Yard Line Replacement (SLRP): Contract Crew.  Block by Block - Planned replacement of all unprotected steel or copper in a single block.  (Kansas City - Central Region)</v>
      </c>
    </row>
    <row r="51" spans="1:16" ht="30" outlineLevel="2">
      <c r="A51" s="211" t="s">
        <v>66</v>
      </c>
      <c r="B51" s="212" t="s">
        <v>90</v>
      </c>
      <c r="C51" s="212" t="s">
        <v>91</v>
      </c>
      <c r="D51" s="211" t="s">
        <v>78</v>
      </c>
      <c r="E51" s="212" t="s">
        <v>92</v>
      </c>
      <c r="F51" s="211" t="s">
        <v>80</v>
      </c>
      <c r="G51" s="212" t="s">
        <v>23</v>
      </c>
      <c r="H51" s="212" t="s">
        <v>1530</v>
      </c>
      <c r="I51" s="212">
        <v>201410</v>
      </c>
      <c r="J51" s="213">
        <v>7587.08</v>
      </c>
      <c r="K51" s="171">
        <f t="shared" si="3"/>
        <v>8</v>
      </c>
      <c r="L51" s="214">
        <v>2.23333E-3</v>
      </c>
      <c r="M51" s="213">
        <f t="shared" si="4"/>
        <v>135.56</v>
      </c>
      <c r="N51" s="213">
        <f t="shared" si="5"/>
        <v>203.33</v>
      </c>
      <c r="O51" s="14"/>
      <c r="P51" s="210" t="str">
        <f>VLOOKUP(C51,'WO Descriptions'!$A$5:$D$345,4)</f>
        <v>Service/Yard Line Replacement (SLRP): Company Crew.  Modified Block by Block - Planned replacement of all unprotected steel or copper in a single block.  (Monett - South Region)</v>
      </c>
    </row>
    <row r="52" spans="1:16" ht="30" outlineLevel="2">
      <c r="A52" s="211" t="s">
        <v>1584</v>
      </c>
      <c r="B52" s="212" t="s">
        <v>1586</v>
      </c>
      <c r="C52" s="212" t="s">
        <v>1587</v>
      </c>
      <c r="D52" s="211" t="s">
        <v>1588</v>
      </c>
      <c r="E52" s="212" t="s">
        <v>1589</v>
      </c>
      <c r="F52" s="211" t="s">
        <v>1590</v>
      </c>
      <c r="G52" s="212" t="s">
        <v>23</v>
      </c>
      <c r="H52" s="212" t="s">
        <v>1530</v>
      </c>
      <c r="I52" s="212">
        <v>201410</v>
      </c>
      <c r="J52" s="213">
        <v>10750.98</v>
      </c>
      <c r="K52" s="171">
        <f t="shared" si="3"/>
        <v>8</v>
      </c>
      <c r="L52" s="214">
        <v>2.0333333000000001E-3</v>
      </c>
      <c r="M52" s="213">
        <f t="shared" si="4"/>
        <v>174.88</v>
      </c>
      <c r="N52" s="213">
        <f t="shared" si="5"/>
        <v>262.32</v>
      </c>
      <c r="O52" s="14"/>
      <c r="P52" s="210" t="str">
        <f>VLOOKUP(C52,'WO Descriptions'!$A$5:$D$345,4)</f>
        <v>Service/Yard Line Replacement (SLRP): Company Crew.  Modified Block by Block - Planned replacement of all unprotected steel or copper in a single block.  (Monett - South Region)</v>
      </c>
    </row>
    <row r="53" spans="1:16" outlineLevel="2">
      <c r="A53" s="211" t="s">
        <v>66</v>
      </c>
      <c r="B53" s="212" t="s">
        <v>192</v>
      </c>
      <c r="C53" s="212" t="s">
        <v>193</v>
      </c>
      <c r="D53" s="211" t="s">
        <v>194</v>
      </c>
      <c r="E53" s="212" t="s">
        <v>195</v>
      </c>
      <c r="F53" s="211" t="s">
        <v>196</v>
      </c>
      <c r="G53" s="212" t="s">
        <v>23</v>
      </c>
      <c r="H53" s="212" t="s">
        <v>1530</v>
      </c>
      <c r="I53" s="212">
        <v>201410</v>
      </c>
      <c r="J53" s="213">
        <v>100.15</v>
      </c>
      <c r="K53" s="171">
        <f t="shared" si="3"/>
        <v>8</v>
      </c>
      <c r="L53" s="214">
        <v>2.23333E-3</v>
      </c>
      <c r="M53" s="213">
        <f t="shared" si="4"/>
        <v>1.79</v>
      </c>
      <c r="N53" s="213">
        <f t="shared" si="5"/>
        <v>2.68</v>
      </c>
      <c r="O53" s="14"/>
      <c r="P53" s="210" t="str">
        <f>VLOOKUP(C53,'WO Descriptions'!$A$5:$D$345,4)</f>
        <v>Line Locates - Service Line Replacements Only (Kansas City - Central Region)</v>
      </c>
    </row>
    <row r="54" spans="1:16" ht="30" outlineLevel="2">
      <c r="A54" s="211" t="s">
        <v>1584</v>
      </c>
      <c r="B54" s="212" t="s">
        <v>1591</v>
      </c>
      <c r="C54" s="212" t="s">
        <v>1592</v>
      </c>
      <c r="D54" s="211" t="s">
        <v>1593</v>
      </c>
      <c r="E54" s="212" t="s">
        <v>1594</v>
      </c>
      <c r="F54" s="211" t="s">
        <v>1590</v>
      </c>
      <c r="G54" s="212" t="s">
        <v>23</v>
      </c>
      <c r="H54" s="212" t="s">
        <v>1530</v>
      </c>
      <c r="I54" s="212">
        <v>201410</v>
      </c>
      <c r="J54" s="213">
        <v>2397.15</v>
      </c>
      <c r="K54" s="171">
        <f t="shared" si="3"/>
        <v>8</v>
      </c>
      <c r="L54" s="214">
        <v>2.0333333000000001E-3</v>
      </c>
      <c r="M54" s="213">
        <f t="shared" si="4"/>
        <v>38.99</v>
      </c>
      <c r="N54" s="213">
        <f t="shared" si="5"/>
        <v>58.49</v>
      </c>
      <c r="O54" s="14"/>
      <c r="P54" s="210" t="str">
        <f>VLOOKUP(C54,'WO Descriptions'!$A$5:$D$345,4)</f>
        <v>Service/Yard Line Replacement (SLRP): Company Crew.  Immediate response - replacement single unprotected steel or copper  (Monett - South Region)</v>
      </c>
    </row>
    <row r="55" spans="1:16" ht="30" outlineLevel="2">
      <c r="A55" s="211" t="s">
        <v>1584</v>
      </c>
      <c r="B55" s="212" t="s">
        <v>1595</v>
      </c>
      <c r="C55" s="212" t="s">
        <v>1596</v>
      </c>
      <c r="D55" s="211" t="s">
        <v>1593</v>
      </c>
      <c r="E55" s="212" t="s">
        <v>1597</v>
      </c>
      <c r="F55" s="211" t="s">
        <v>1590</v>
      </c>
      <c r="G55" s="212" t="s">
        <v>23</v>
      </c>
      <c r="H55" s="212" t="s">
        <v>1530</v>
      </c>
      <c r="I55" s="212">
        <v>201410</v>
      </c>
      <c r="J55" s="213">
        <v>26051.41</v>
      </c>
      <c r="K55" s="171">
        <f t="shared" si="3"/>
        <v>8</v>
      </c>
      <c r="L55" s="214">
        <v>2.0333333000000001E-3</v>
      </c>
      <c r="M55" s="213">
        <f t="shared" si="4"/>
        <v>423.77</v>
      </c>
      <c r="N55" s="213">
        <f t="shared" si="5"/>
        <v>635.65</v>
      </c>
      <c r="O55" s="14"/>
      <c r="P55" s="210" t="str">
        <f>VLOOKUP(C55,'WO Descriptions'!$A$5:$D$345,4)</f>
        <v>Service/Yard Line Replacement (SLRP): Company Crew.  Immediate response - replacement single unprotected steel or copper  (Monett - South Region)</v>
      </c>
    </row>
    <row r="56" spans="1:16" ht="30" outlineLevel="2">
      <c r="A56" s="211" t="s">
        <v>66</v>
      </c>
      <c r="B56" s="212" t="s">
        <v>200</v>
      </c>
      <c r="C56" s="212" t="s">
        <v>201</v>
      </c>
      <c r="D56" s="211" t="s">
        <v>202</v>
      </c>
      <c r="E56" s="212" t="s">
        <v>203</v>
      </c>
      <c r="F56" s="211" t="s">
        <v>80</v>
      </c>
      <c r="G56" s="212" t="s">
        <v>23</v>
      </c>
      <c r="H56" s="212" t="s">
        <v>1530</v>
      </c>
      <c r="I56" s="212">
        <v>201410</v>
      </c>
      <c r="J56" s="213">
        <v>64057.599999999999</v>
      </c>
      <c r="K56" s="171">
        <f t="shared" si="3"/>
        <v>8</v>
      </c>
      <c r="L56" s="214">
        <v>2.23333E-3</v>
      </c>
      <c r="M56" s="213">
        <f t="shared" si="4"/>
        <v>1144.49</v>
      </c>
      <c r="N56" s="213">
        <f t="shared" si="5"/>
        <v>1716.74</v>
      </c>
      <c r="O56" s="14"/>
      <c r="P56" s="210" t="str">
        <f>VLOOKUP(C56,'WO Descriptions'!$A$5:$D$345,4)</f>
        <v>Service/Yard Line Replacement (SLRP): Company Crew.  Modified Block by Block - Planned replacement of all unprotected steel or copper in a single block.  (Kansas City - Central Region)</v>
      </c>
    </row>
    <row r="57" spans="1:16" ht="30" outlineLevel="2">
      <c r="A57" s="211" t="s">
        <v>1584</v>
      </c>
      <c r="B57" s="212" t="s">
        <v>1598</v>
      </c>
      <c r="C57" s="212" t="s">
        <v>1599</v>
      </c>
      <c r="D57" s="211" t="s">
        <v>1600</v>
      </c>
      <c r="E57" s="212" t="s">
        <v>1601</v>
      </c>
      <c r="F57" s="211" t="s">
        <v>1590</v>
      </c>
      <c r="G57" s="212" t="s">
        <v>23</v>
      </c>
      <c r="H57" s="212" t="s">
        <v>1530</v>
      </c>
      <c r="I57" s="212">
        <v>201410</v>
      </c>
      <c r="J57" s="213">
        <v>8169.02</v>
      </c>
      <c r="K57" s="171">
        <f t="shared" si="3"/>
        <v>8</v>
      </c>
      <c r="L57" s="214">
        <v>2.0333333000000001E-3</v>
      </c>
      <c r="M57" s="213">
        <f t="shared" si="4"/>
        <v>132.88</v>
      </c>
      <c r="N57" s="213">
        <f t="shared" si="5"/>
        <v>199.32</v>
      </c>
      <c r="O57" s="14"/>
      <c r="P57" s="210" t="str">
        <f>VLOOKUP(C57,'WO Descriptions'!$A$5:$D$345,4)</f>
        <v>Service/Yard Line Replacement (SLRP): Contract Crew.  Block by Block - Planned replacement of all unprotected steel or copper in a single block.  (Joplin - South Region)</v>
      </c>
    </row>
    <row r="58" spans="1:16" ht="30" outlineLevel="2">
      <c r="A58" s="211" t="s">
        <v>66</v>
      </c>
      <c r="B58" s="212" t="s">
        <v>226</v>
      </c>
      <c r="C58" s="212" t="s">
        <v>227</v>
      </c>
      <c r="D58" s="211" t="s">
        <v>78</v>
      </c>
      <c r="E58" s="212" t="s">
        <v>228</v>
      </c>
      <c r="F58" s="211" t="s">
        <v>80</v>
      </c>
      <c r="G58" s="212" t="s">
        <v>23</v>
      </c>
      <c r="H58" s="212" t="s">
        <v>1530</v>
      </c>
      <c r="I58" s="212">
        <v>201410</v>
      </c>
      <c r="J58" s="213">
        <v>955.76</v>
      </c>
      <c r="K58" s="171">
        <f t="shared" si="3"/>
        <v>8</v>
      </c>
      <c r="L58" s="214">
        <v>2.23333E-3</v>
      </c>
      <c r="M58" s="213">
        <f t="shared" si="4"/>
        <v>17.079999999999998</v>
      </c>
      <c r="N58" s="213">
        <f t="shared" si="5"/>
        <v>25.61</v>
      </c>
      <c r="O58" s="14"/>
      <c r="P58" s="210" t="str">
        <f>VLOOKUP(C58,'WO Descriptions'!$A$5:$D$345,4)</f>
        <v>Service/Yard Line Replacement (SLRP): Company Crew.  Modified Block by Block - Planned replacement of all unprotected steel or copper in a single block.  (Joplin - South Region)</v>
      </c>
    </row>
    <row r="59" spans="1:16" ht="30" outlineLevel="2">
      <c r="A59" s="211" t="s">
        <v>66</v>
      </c>
      <c r="B59" s="212" t="s">
        <v>229</v>
      </c>
      <c r="C59" s="212" t="s">
        <v>230</v>
      </c>
      <c r="D59" s="211" t="s">
        <v>78</v>
      </c>
      <c r="E59" s="212" t="s">
        <v>231</v>
      </c>
      <c r="F59" s="211" t="s">
        <v>80</v>
      </c>
      <c r="G59" s="212" t="s">
        <v>23</v>
      </c>
      <c r="H59" s="212" t="s">
        <v>1530</v>
      </c>
      <c r="I59" s="212">
        <v>201410</v>
      </c>
      <c r="J59" s="213">
        <v>7523.71</v>
      </c>
      <c r="K59" s="171">
        <f t="shared" si="3"/>
        <v>8</v>
      </c>
      <c r="L59" s="214">
        <v>2.23333E-3</v>
      </c>
      <c r="M59" s="213">
        <f t="shared" si="4"/>
        <v>134.41999999999999</v>
      </c>
      <c r="N59" s="213">
        <f t="shared" si="5"/>
        <v>201.64</v>
      </c>
      <c r="O59" s="14"/>
      <c r="P59" s="210" t="str">
        <f>VLOOKUP(C59,'WO Descriptions'!$A$5:$D$345,4)</f>
        <v>Service/Yard Line Replacement (SLRP): Company Crew.  Modified Block by Block - Planned replacement of all unprotected steel or copper in a single block.  (Lee's Summit - East Region)</v>
      </c>
    </row>
    <row r="60" spans="1:16" ht="30" outlineLevel="2">
      <c r="A60" s="211" t="s">
        <v>66</v>
      </c>
      <c r="B60" s="212" t="s">
        <v>371</v>
      </c>
      <c r="C60" s="212" t="s">
        <v>372</v>
      </c>
      <c r="D60" s="211" t="s">
        <v>88</v>
      </c>
      <c r="E60" s="212" t="s">
        <v>373</v>
      </c>
      <c r="F60" s="211" t="s">
        <v>85</v>
      </c>
      <c r="G60" s="212" t="s">
        <v>23</v>
      </c>
      <c r="H60" s="212" t="s">
        <v>1530</v>
      </c>
      <c r="I60" s="212">
        <v>201410</v>
      </c>
      <c r="J60" s="213">
        <v>13638.55</v>
      </c>
      <c r="K60" s="171">
        <f t="shared" si="3"/>
        <v>8</v>
      </c>
      <c r="L60" s="214">
        <v>2.23333E-3</v>
      </c>
      <c r="M60" s="213">
        <f t="shared" si="4"/>
        <v>243.68</v>
      </c>
      <c r="N60" s="213">
        <f t="shared" si="5"/>
        <v>365.51</v>
      </c>
      <c r="O60" s="14"/>
      <c r="P60" s="210" t="str">
        <f>VLOOKUP(C60,'WO Descriptions'!$A$5:$D$345,4)</f>
        <v>Service/Yard Line Replacement (SLRP): Contract Crew.  Block by Block - Planned replacement of all unprotected steel or copper in a single block.  (Lee's Summit - East Region)</v>
      </c>
    </row>
    <row r="61" spans="1:16" ht="30" outlineLevel="2">
      <c r="A61" s="211" t="s">
        <v>66</v>
      </c>
      <c r="B61" s="212" t="s">
        <v>374</v>
      </c>
      <c r="C61" s="212" t="s">
        <v>375</v>
      </c>
      <c r="D61" s="211" t="s">
        <v>376</v>
      </c>
      <c r="E61" s="212" t="s">
        <v>377</v>
      </c>
      <c r="F61" s="211" t="s">
        <v>378</v>
      </c>
      <c r="G61" s="212" t="s">
        <v>23</v>
      </c>
      <c r="H61" s="212" t="s">
        <v>1530</v>
      </c>
      <c r="I61" s="212">
        <v>201410</v>
      </c>
      <c r="J61" s="213">
        <v>18639.88</v>
      </c>
      <c r="K61" s="171">
        <f t="shared" si="3"/>
        <v>8</v>
      </c>
      <c r="L61" s="214">
        <v>2.23333E-3</v>
      </c>
      <c r="M61" s="213">
        <f t="shared" si="4"/>
        <v>333.03</v>
      </c>
      <c r="N61" s="213">
        <f t="shared" si="5"/>
        <v>499.55</v>
      </c>
      <c r="O61" s="14"/>
      <c r="P61" s="210" t="str">
        <f>VLOOKUP(C61,'WO Descriptions'!$A$5:$D$345,4)</f>
        <v>Service/Yard Line Replacement (SLRP): Contract Crew.  Service/yard line replacement - Material Charges Only  (Joplin - South Region)</v>
      </c>
    </row>
    <row r="62" spans="1:16" ht="30" outlineLevel="2">
      <c r="A62" s="211" t="s">
        <v>66</v>
      </c>
      <c r="B62" s="212" t="s">
        <v>379</v>
      </c>
      <c r="C62" s="212" t="s">
        <v>380</v>
      </c>
      <c r="D62" s="211" t="s">
        <v>381</v>
      </c>
      <c r="E62" s="212" t="s">
        <v>382</v>
      </c>
      <c r="F62" s="211" t="s">
        <v>212</v>
      </c>
      <c r="G62" s="212" t="s">
        <v>23</v>
      </c>
      <c r="H62" s="212" t="s">
        <v>1530</v>
      </c>
      <c r="I62" s="212">
        <v>201410</v>
      </c>
      <c r="J62" s="213">
        <v>44071.92</v>
      </c>
      <c r="K62" s="171">
        <f t="shared" si="3"/>
        <v>8</v>
      </c>
      <c r="L62" s="214">
        <v>2.23333E-3</v>
      </c>
      <c r="M62" s="213">
        <f t="shared" si="4"/>
        <v>787.42</v>
      </c>
      <c r="N62" s="213">
        <f t="shared" si="5"/>
        <v>1181.1300000000001</v>
      </c>
      <c r="O62" s="14"/>
      <c r="P62" s="210" t="str">
        <f>VLOOKUP(C62,'WO Descriptions'!$A$5:$D$345,4)</f>
        <v>Service/Yard Line Replacement (SLRP): Contract Crew.  Immediate response - replacement single unprotected steel or copper  (Kansas City - Central Region)</v>
      </c>
    </row>
    <row r="63" spans="1:16" ht="30" outlineLevel="2">
      <c r="A63" s="211" t="s">
        <v>66</v>
      </c>
      <c r="B63" s="212" t="s">
        <v>383</v>
      </c>
      <c r="C63" s="212" t="s">
        <v>384</v>
      </c>
      <c r="D63" s="211" t="s">
        <v>385</v>
      </c>
      <c r="E63" s="212" t="s">
        <v>386</v>
      </c>
      <c r="F63" s="211" t="s">
        <v>387</v>
      </c>
      <c r="G63" s="212" t="s">
        <v>23</v>
      </c>
      <c r="H63" s="212" t="s">
        <v>1530</v>
      </c>
      <c r="I63" s="212">
        <v>201410</v>
      </c>
      <c r="J63" s="213">
        <v>183813.51</v>
      </c>
      <c r="K63" s="171">
        <f t="shared" si="3"/>
        <v>8</v>
      </c>
      <c r="L63" s="214">
        <v>2.23333E-3</v>
      </c>
      <c r="M63" s="213">
        <f t="shared" si="4"/>
        <v>3284.13</v>
      </c>
      <c r="N63" s="213">
        <f t="shared" si="5"/>
        <v>4926.1899999999996</v>
      </c>
      <c r="O63" s="14"/>
      <c r="P63" s="210" t="str">
        <f>VLOOKUP(C63,'WO Descriptions'!$A$5:$D$345,4)</f>
        <v>Replacement and/or removal of existing protected steel or plastic (Kansas City - Central Region)</v>
      </c>
    </row>
    <row r="64" spans="1:16" outlineLevel="2">
      <c r="A64" s="211" t="s">
        <v>66</v>
      </c>
      <c r="B64" s="212" t="s">
        <v>388</v>
      </c>
      <c r="C64" s="212" t="s">
        <v>389</v>
      </c>
      <c r="D64" s="211" t="s">
        <v>385</v>
      </c>
      <c r="E64" s="212" t="s">
        <v>390</v>
      </c>
      <c r="F64" s="211" t="s">
        <v>387</v>
      </c>
      <c r="G64" s="212" t="s">
        <v>23</v>
      </c>
      <c r="H64" s="212" t="s">
        <v>1530</v>
      </c>
      <c r="I64" s="212">
        <v>201410</v>
      </c>
      <c r="J64" s="213">
        <v>30625.17</v>
      </c>
      <c r="K64" s="171">
        <f t="shared" si="3"/>
        <v>8</v>
      </c>
      <c r="L64" s="214">
        <v>2.23333E-3</v>
      </c>
      <c r="M64" s="213">
        <f t="shared" si="4"/>
        <v>547.16999999999996</v>
      </c>
      <c r="N64" s="213">
        <f t="shared" si="5"/>
        <v>820.75</v>
      </c>
      <c r="O64" s="14"/>
      <c r="P64" s="210" t="str">
        <f>VLOOKUP(C64,'WO Descriptions'!$A$5:$D$345,4)</f>
        <v>Replacement and/or removal of existing protected steel or plastic (Lee's Summit - East Region)</v>
      </c>
    </row>
    <row r="65" spans="1:16" ht="30" outlineLevel="2">
      <c r="A65" s="211" t="s">
        <v>1584</v>
      </c>
      <c r="B65" s="212" t="s">
        <v>1605</v>
      </c>
      <c r="C65" s="212" t="s">
        <v>1606</v>
      </c>
      <c r="D65" s="211" t="s">
        <v>1607</v>
      </c>
      <c r="E65" s="212" t="s">
        <v>1608</v>
      </c>
      <c r="F65" s="211" t="s">
        <v>1590</v>
      </c>
      <c r="G65" s="212" t="s">
        <v>23</v>
      </c>
      <c r="H65" s="212" t="s">
        <v>1530</v>
      </c>
      <c r="I65" s="212">
        <v>201410</v>
      </c>
      <c r="J65" s="213">
        <v>18008.71</v>
      </c>
      <c r="K65" s="171">
        <f t="shared" si="3"/>
        <v>8</v>
      </c>
      <c r="L65" s="214">
        <v>2.0333333000000001E-3</v>
      </c>
      <c r="M65" s="213">
        <f t="shared" si="4"/>
        <v>292.94</v>
      </c>
      <c r="N65" s="213">
        <f t="shared" si="5"/>
        <v>439.41</v>
      </c>
      <c r="O65" s="14"/>
      <c r="P65" s="210" t="str">
        <f>VLOOKUP(C65,'WO Descriptions'!$A$5:$D$345,4)</f>
        <v>Service/Yard Line Replacement (SLRP): Contract Crew.  Service/yard line replacement - Material Charges Only  (Kansas City - Central Region)</v>
      </c>
    </row>
    <row r="66" spans="1:16" ht="30" outlineLevel="2">
      <c r="A66" s="211" t="s">
        <v>66</v>
      </c>
      <c r="B66" s="212" t="s">
        <v>496</v>
      </c>
      <c r="C66" s="212" t="s">
        <v>497</v>
      </c>
      <c r="D66" s="211" t="s">
        <v>376</v>
      </c>
      <c r="E66" s="212" t="s">
        <v>498</v>
      </c>
      <c r="F66" s="211" t="s">
        <v>378</v>
      </c>
      <c r="G66" s="212" t="s">
        <v>23</v>
      </c>
      <c r="H66" s="212" t="s">
        <v>1530</v>
      </c>
      <c r="I66" s="212">
        <v>201410</v>
      </c>
      <c r="J66" s="213">
        <v>86678.53</v>
      </c>
      <c r="K66" s="171">
        <f t="shared" si="3"/>
        <v>8</v>
      </c>
      <c r="L66" s="214">
        <v>2.23333E-3</v>
      </c>
      <c r="M66" s="213">
        <f t="shared" si="4"/>
        <v>1548.65</v>
      </c>
      <c r="N66" s="213">
        <f t="shared" si="5"/>
        <v>2322.98</v>
      </c>
      <c r="O66" s="14"/>
      <c r="P66" s="210" t="str">
        <f>VLOOKUP(C66,'WO Descriptions'!$A$5:$D$345,4)</f>
        <v>Service/Yard Line Replacement (SLRP): Contract Crew.  Service/yard line replacement - Material Charges Only  (Lee's Summit - East Region)</v>
      </c>
    </row>
    <row r="67" spans="1:16" outlineLevel="2">
      <c r="A67" s="211" t="s">
        <v>66</v>
      </c>
      <c r="B67" s="212" t="s">
        <v>499</v>
      </c>
      <c r="C67" s="212" t="s">
        <v>500</v>
      </c>
      <c r="D67" s="211" t="s">
        <v>385</v>
      </c>
      <c r="E67" s="212" t="s">
        <v>501</v>
      </c>
      <c r="F67" s="211" t="s">
        <v>387</v>
      </c>
      <c r="G67" s="212" t="s">
        <v>23</v>
      </c>
      <c r="H67" s="212" t="s">
        <v>1530</v>
      </c>
      <c r="I67" s="212">
        <v>201410</v>
      </c>
      <c r="J67" s="213">
        <v>41073.32</v>
      </c>
      <c r="K67" s="171">
        <f t="shared" si="3"/>
        <v>8</v>
      </c>
      <c r="L67" s="214">
        <v>2.23333E-3</v>
      </c>
      <c r="M67" s="213">
        <f t="shared" si="4"/>
        <v>733.84</v>
      </c>
      <c r="N67" s="213">
        <f t="shared" si="5"/>
        <v>1100.76</v>
      </c>
      <c r="O67" s="14"/>
      <c r="P67" s="210" t="str">
        <f>VLOOKUP(C67,'WO Descriptions'!$A$5:$D$345,4)</f>
        <v>Replacement and/or removal of existing protected steel or plastic (Joplin - South Region)</v>
      </c>
    </row>
    <row r="68" spans="1:16" ht="30" outlineLevel="2">
      <c r="A68" s="211" t="s">
        <v>66</v>
      </c>
      <c r="B68" s="212" t="s">
        <v>595</v>
      </c>
      <c r="C68" s="212" t="s">
        <v>596</v>
      </c>
      <c r="D68" s="211" t="s">
        <v>597</v>
      </c>
      <c r="E68" s="212" t="s">
        <v>598</v>
      </c>
      <c r="F68" s="211" t="s">
        <v>212</v>
      </c>
      <c r="G68" s="212" t="s">
        <v>23</v>
      </c>
      <c r="H68" s="212" t="s">
        <v>1530</v>
      </c>
      <c r="I68" s="212">
        <v>201410</v>
      </c>
      <c r="J68" s="213">
        <v>100421.51</v>
      </c>
      <c r="K68" s="171">
        <f t="shared" si="3"/>
        <v>8</v>
      </c>
      <c r="L68" s="214">
        <v>2.23333E-3</v>
      </c>
      <c r="M68" s="213">
        <f t="shared" si="4"/>
        <v>1794.19</v>
      </c>
      <c r="N68" s="213">
        <f t="shared" si="5"/>
        <v>2691.29</v>
      </c>
      <c r="O68" s="14"/>
      <c r="P68" s="210" t="str">
        <f>VLOOKUP(C68,'WO Descriptions'!$A$5:$D$345,4)</f>
        <v>Service/Yard Line Replacement (SLRP): Contract Crew.  Immediate response - replacement single unprotected steel or copper  (Lee's Summit - East Region)</v>
      </c>
    </row>
    <row r="69" spans="1:16" outlineLevel="2">
      <c r="A69" s="211" t="s">
        <v>66</v>
      </c>
      <c r="B69" s="212" t="s">
        <v>599</v>
      </c>
      <c r="C69" s="212" t="s">
        <v>600</v>
      </c>
      <c r="D69" s="211" t="s">
        <v>385</v>
      </c>
      <c r="E69" s="212" t="s">
        <v>601</v>
      </c>
      <c r="F69" s="211" t="s">
        <v>387</v>
      </c>
      <c r="G69" s="212" t="s">
        <v>23</v>
      </c>
      <c r="H69" s="212" t="s">
        <v>1530</v>
      </c>
      <c r="I69" s="212">
        <v>201410</v>
      </c>
      <c r="J69" s="213">
        <v>5829.85</v>
      </c>
      <c r="K69" s="171">
        <f t="shared" ref="K69:K100" si="6">VLOOKUP(I69,$T$7:$U$15,2)</f>
        <v>8</v>
      </c>
      <c r="L69" s="214">
        <v>2.23333E-3</v>
      </c>
      <c r="M69" s="213">
        <f t="shared" ref="M69:M100" si="7">ROUND(J69*K69*L69,2)</f>
        <v>104.16</v>
      </c>
      <c r="N69" s="213">
        <f t="shared" ref="N69:N100" si="8">ROUND(J69*L69*12,2)</f>
        <v>156.24</v>
      </c>
      <c r="O69" s="14"/>
      <c r="P69" s="210" t="str">
        <f>VLOOKUP(C69,'WO Descriptions'!$A$5:$D$345,4)</f>
        <v>Replacement and/or removal of existing protected steel or plastic (St. Joseph)</v>
      </c>
    </row>
    <row r="70" spans="1:16" ht="45" outlineLevel="2">
      <c r="A70" s="211" t="s">
        <v>1584</v>
      </c>
      <c r="B70" s="212" t="s">
        <v>1612</v>
      </c>
      <c r="C70" s="212" t="s">
        <v>1613</v>
      </c>
      <c r="D70" s="211" t="s">
        <v>1588</v>
      </c>
      <c r="E70" s="212" t="s">
        <v>1614</v>
      </c>
      <c r="F70" s="211" t="s">
        <v>1590</v>
      </c>
      <c r="G70" s="212" t="s">
        <v>23</v>
      </c>
      <c r="H70" s="212" t="s">
        <v>1530</v>
      </c>
      <c r="I70" s="212">
        <v>201410</v>
      </c>
      <c r="J70" s="213">
        <v>434.13</v>
      </c>
      <c r="K70" s="171">
        <f t="shared" si="6"/>
        <v>8</v>
      </c>
      <c r="L70" s="214">
        <v>2.0333333000000001E-3</v>
      </c>
      <c r="M70" s="213">
        <f t="shared" si="7"/>
        <v>7.06</v>
      </c>
      <c r="N70" s="213">
        <f t="shared" si="8"/>
        <v>10.59</v>
      </c>
      <c r="O70" s="14"/>
      <c r="P70" s="210" t="str">
        <f>VLOOKUP(C70,'WO Descriptions'!$A$5:$D$345,4)</f>
        <v>Approved by: Ken Thomas on 07/01/2013,  Replace 45' of 12in PBS wo unknown with 36' of 12in PCS due to leak on the gate valve. Pressure system C-175KCLS. Job was completed on 3-15-2013.</v>
      </c>
    </row>
    <row r="71" spans="1:16" ht="30" outlineLevel="2">
      <c r="A71" s="211" t="s">
        <v>66</v>
      </c>
      <c r="B71" s="212" t="s">
        <v>671</v>
      </c>
      <c r="C71" s="212" t="s">
        <v>672</v>
      </c>
      <c r="D71" s="211" t="s">
        <v>206</v>
      </c>
      <c r="E71" s="212" t="s">
        <v>673</v>
      </c>
      <c r="F71" s="211" t="s">
        <v>97</v>
      </c>
      <c r="G71" s="212" t="s">
        <v>23</v>
      </c>
      <c r="H71" s="212" t="s">
        <v>1530</v>
      </c>
      <c r="I71" s="212">
        <v>201410</v>
      </c>
      <c r="J71" s="213">
        <v>-743.2</v>
      </c>
      <c r="K71" s="171">
        <f t="shared" si="6"/>
        <v>8</v>
      </c>
      <c r="L71" s="214">
        <v>2.23333E-3</v>
      </c>
      <c r="M71" s="213">
        <f t="shared" si="7"/>
        <v>-13.28</v>
      </c>
      <c r="N71" s="213">
        <f t="shared" si="8"/>
        <v>-19.920000000000002</v>
      </c>
      <c r="O71" s="14"/>
      <c r="P71" s="210" t="str">
        <f>VLOOKUP(C71,'WO Descriptions'!$A$5:$D$345,4)</f>
        <v>Service/Yard Line Replacement (SLRP): Company Crew.  Service/yard line replacement - Material Charges Only  (Joplin - South Region)</v>
      </c>
    </row>
    <row r="72" spans="1:16" outlineLevel="2">
      <c r="A72" s="211" t="s">
        <v>66</v>
      </c>
      <c r="B72" s="212" t="s">
        <v>674</v>
      </c>
      <c r="C72" s="212" t="s">
        <v>675</v>
      </c>
      <c r="D72" s="211" t="s">
        <v>385</v>
      </c>
      <c r="E72" s="212" t="s">
        <v>676</v>
      </c>
      <c r="F72" s="211" t="s">
        <v>387</v>
      </c>
      <c r="G72" s="212" t="s">
        <v>23</v>
      </c>
      <c r="H72" s="212" t="s">
        <v>1530</v>
      </c>
      <c r="I72" s="212">
        <v>201410</v>
      </c>
      <c r="J72" s="213">
        <v>14213.17</v>
      </c>
      <c r="K72" s="171">
        <f t="shared" si="6"/>
        <v>8</v>
      </c>
      <c r="L72" s="214">
        <v>2.23333E-3</v>
      </c>
      <c r="M72" s="213">
        <f t="shared" si="7"/>
        <v>253.94</v>
      </c>
      <c r="N72" s="213">
        <f t="shared" si="8"/>
        <v>380.91</v>
      </c>
      <c r="O72" s="14"/>
      <c r="P72" s="210" t="str">
        <f>VLOOKUP(C72,'WO Descriptions'!$A$5:$D$345,4)</f>
        <v>Replacement and/or removal of existing protected steel or plastic (Monett - South Region)</v>
      </c>
    </row>
    <row r="73" spans="1:16" ht="30" outlineLevel="2">
      <c r="A73" s="211" t="s">
        <v>66</v>
      </c>
      <c r="B73" s="212" t="s">
        <v>743</v>
      </c>
      <c r="C73" s="212" t="s">
        <v>744</v>
      </c>
      <c r="D73" s="211" t="s">
        <v>745</v>
      </c>
      <c r="E73" s="212" t="s">
        <v>746</v>
      </c>
      <c r="F73" s="211" t="s">
        <v>80</v>
      </c>
      <c r="G73" s="212" t="s">
        <v>23</v>
      </c>
      <c r="H73" s="212" t="s">
        <v>1530</v>
      </c>
      <c r="I73" s="212">
        <v>201410</v>
      </c>
      <c r="J73" s="213">
        <v>49038.54</v>
      </c>
      <c r="K73" s="171">
        <f t="shared" si="6"/>
        <v>8</v>
      </c>
      <c r="L73" s="214">
        <v>2.23333E-3</v>
      </c>
      <c r="M73" s="213">
        <f t="shared" si="7"/>
        <v>876.15</v>
      </c>
      <c r="N73" s="213">
        <f t="shared" si="8"/>
        <v>1314.23</v>
      </c>
      <c r="O73" s="14"/>
      <c r="P73" s="210" t="str">
        <f>VLOOKUP(C73,'WO Descriptions'!$A$5:$D$345,4)</f>
        <v>Service/Yard Line Replacement (SLRP): Contract Crew.  Modified Block by Block - Planned replacement of unprotected steel or copper  (Kansas City - Central Region)</v>
      </c>
    </row>
    <row r="74" spans="1:16" ht="30" outlineLevel="2">
      <c r="A74" s="211" t="s">
        <v>66</v>
      </c>
      <c r="B74" s="212" t="s">
        <v>747</v>
      </c>
      <c r="C74" s="212" t="s">
        <v>748</v>
      </c>
      <c r="D74" s="211" t="s">
        <v>78</v>
      </c>
      <c r="E74" s="212" t="s">
        <v>749</v>
      </c>
      <c r="F74" s="211" t="s">
        <v>80</v>
      </c>
      <c r="G74" s="212" t="s">
        <v>23</v>
      </c>
      <c r="H74" s="212" t="s">
        <v>1530</v>
      </c>
      <c r="I74" s="212">
        <v>201410</v>
      </c>
      <c r="J74" s="213">
        <v>26052.94</v>
      </c>
      <c r="K74" s="171">
        <f t="shared" si="6"/>
        <v>8</v>
      </c>
      <c r="L74" s="214">
        <v>2.23333E-3</v>
      </c>
      <c r="M74" s="213">
        <f t="shared" si="7"/>
        <v>465.48</v>
      </c>
      <c r="N74" s="213">
        <f t="shared" si="8"/>
        <v>698.22</v>
      </c>
      <c r="O74" s="14"/>
      <c r="P74" s="210" t="str">
        <f>VLOOKUP(C74,'WO Descriptions'!$A$5:$D$345,4)</f>
        <v>Service/Yard Line Replacement (SLRP): Contract Crew.  Modified Block by Block - Planned replacement of unprotected steel or copper  (Joplin - South Region)</v>
      </c>
    </row>
    <row r="75" spans="1:16" ht="30" outlineLevel="2">
      <c r="A75" s="211" t="s">
        <v>1584</v>
      </c>
      <c r="B75" s="212" t="s">
        <v>1615</v>
      </c>
      <c r="C75" s="212" t="s">
        <v>1616</v>
      </c>
      <c r="D75" s="211" t="s">
        <v>1593</v>
      </c>
      <c r="E75" s="212" t="s">
        <v>1617</v>
      </c>
      <c r="F75" s="211" t="s">
        <v>1590</v>
      </c>
      <c r="G75" s="212" t="s">
        <v>23</v>
      </c>
      <c r="H75" s="212" t="s">
        <v>1530</v>
      </c>
      <c r="I75" s="212">
        <v>201410</v>
      </c>
      <c r="J75" s="213">
        <v>4029.73</v>
      </c>
      <c r="K75" s="171">
        <f t="shared" si="6"/>
        <v>8</v>
      </c>
      <c r="L75" s="214">
        <v>2.0333333000000001E-3</v>
      </c>
      <c r="M75" s="213">
        <f t="shared" si="7"/>
        <v>65.55</v>
      </c>
      <c r="N75" s="213">
        <f t="shared" si="8"/>
        <v>98.33</v>
      </c>
      <c r="O75" s="14"/>
      <c r="P75" s="210" t="str">
        <f>VLOOKUP(C75,'WO Descriptions'!$A$5:$D$345,4)</f>
        <v>Service/Yard Line Replacement (SLRP): Contract Crew.  Modified Block by Block - Planned replacement of unprotected steel or copper  (St. Joseph)</v>
      </c>
    </row>
    <row r="76" spans="1:16" ht="30" outlineLevel="2">
      <c r="A76" s="211" t="s">
        <v>66</v>
      </c>
      <c r="B76" s="212" t="s">
        <v>753</v>
      </c>
      <c r="C76" s="212" t="s">
        <v>754</v>
      </c>
      <c r="D76" s="211" t="s">
        <v>206</v>
      </c>
      <c r="E76" s="212" t="s">
        <v>755</v>
      </c>
      <c r="F76" s="211" t="s">
        <v>97</v>
      </c>
      <c r="G76" s="212" t="s">
        <v>23</v>
      </c>
      <c r="H76" s="212" t="s">
        <v>1530</v>
      </c>
      <c r="I76" s="212">
        <v>201410</v>
      </c>
      <c r="J76" s="213">
        <v>6651.75</v>
      </c>
      <c r="K76" s="171">
        <f t="shared" si="6"/>
        <v>8</v>
      </c>
      <c r="L76" s="214">
        <v>2.23333E-3</v>
      </c>
      <c r="M76" s="213">
        <f t="shared" si="7"/>
        <v>118.84</v>
      </c>
      <c r="N76" s="213">
        <f t="shared" si="8"/>
        <v>178.27</v>
      </c>
      <c r="O76" s="14"/>
      <c r="P76" s="210" t="str">
        <f>VLOOKUP(C76,'WO Descriptions'!$A$5:$D$345,4)</f>
        <v>Service/Yard Line Replacement (SLRP): Company Crew.  Service/yard line replacement - Material Charges Only  (Lee's Summit - East Region)</v>
      </c>
    </row>
    <row r="77" spans="1:16" ht="30" outlineLevel="2">
      <c r="A77" s="211" t="s">
        <v>66</v>
      </c>
      <c r="B77" s="212" t="s">
        <v>72</v>
      </c>
      <c r="C77" s="212" t="s">
        <v>73</v>
      </c>
      <c r="D77" s="211" t="s">
        <v>74</v>
      </c>
      <c r="E77" s="212" t="s">
        <v>75</v>
      </c>
      <c r="F77" s="211" t="s">
        <v>71</v>
      </c>
      <c r="G77" s="212" t="s">
        <v>23</v>
      </c>
      <c r="H77" s="212" t="s">
        <v>1530</v>
      </c>
      <c r="I77" s="212">
        <v>201411</v>
      </c>
      <c r="J77" s="213">
        <v>75040.75</v>
      </c>
      <c r="K77" s="171">
        <f t="shared" si="6"/>
        <v>7</v>
      </c>
      <c r="L77" s="214">
        <v>2.23333E-3</v>
      </c>
      <c r="M77" s="213">
        <f t="shared" si="7"/>
        <v>1173.1400000000001</v>
      </c>
      <c r="N77" s="213">
        <f t="shared" si="8"/>
        <v>2011.09</v>
      </c>
      <c r="O77" s="14"/>
      <c r="P77" s="210" t="str">
        <f>VLOOKUP(C77,'WO Descriptions'!$A$5:$D$345,4)</f>
        <v>Service/Yard Line Replacement (SLRP): Company Crew.  Immediate response - replacement single unprotected steel or copper  (Kansas City - Central Region)</v>
      </c>
    </row>
    <row r="78" spans="1:16" ht="30" outlineLevel="2">
      <c r="A78" s="211" t="s">
        <v>66</v>
      </c>
      <c r="B78" s="212" t="s">
        <v>81</v>
      </c>
      <c r="C78" s="212" t="s">
        <v>82</v>
      </c>
      <c r="D78" s="211" t="s">
        <v>83</v>
      </c>
      <c r="E78" s="212" t="s">
        <v>84</v>
      </c>
      <c r="F78" s="211" t="s">
        <v>85</v>
      </c>
      <c r="G78" s="212" t="s">
        <v>23</v>
      </c>
      <c r="H78" s="212" t="s">
        <v>1530</v>
      </c>
      <c r="I78" s="212">
        <v>201411</v>
      </c>
      <c r="J78" s="213">
        <v>18288.689999999999</v>
      </c>
      <c r="K78" s="171">
        <f t="shared" si="6"/>
        <v>7</v>
      </c>
      <c r="L78" s="214">
        <v>2.23333E-3</v>
      </c>
      <c r="M78" s="213">
        <f t="shared" si="7"/>
        <v>285.91000000000003</v>
      </c>
      <c r="N78" s="213">
        <f t="shared" si="8"/>
        <v>490.14</v>
      </c>
      <c r="O78" s="14"/>
      <c r="P78" s="210" t="str">
        <f>VLOOKUP(C78,'WO Descriptions'!$A$5:$D$345,4)</f>
        <v>Service/Yard Line Replacement (SLRP): Contract Crew.  Block by Block - Planned replacement of all unprotected steel or copper in a single block.  (Kansas City - Central Region)</v>
      </c>
    </row>
    <row r="79" spans="1:16" ht="30" outlineLevel="2">
      <c r="A79" s="211" t="s">
        <v>66</v>
      </c>
      <c r="B79" s="212" t="s">
        <v>90</v>
      </c>
      <c r="C79" s="212" t="s">
        <v>91</v>
      </c>
      <c r="D79" s="211" t="s">
        <v>78</v>
      </c>
      <c r="E79" s="212" t="s">
        <v>92</v>
      </c>
      <c r="F79" s="211" t="s">
        <v>80</v>
      </c>
      <c r="G79" s="212" t="s">
        <v>23</v>
      </c>
      <c r="H79" s="212" t="s">
        <v>1530</v>
      </c>
      <c r="I79" s="212">
        <v>201411</v>
      </c>
      <c r="J79" s="213">
        <v>25805.41</v>
      </c>
      <c r="K79" s="171">
        <f t="shared" si="6"/>
        <v>7</v>
      </c>
      <c r="L79" s="214">
        <v>2.23333E-3</v>
      </c>
      <c r="M79" s="213">
        <f t="shared" si="7"/>
        <v>403.42</v>
      </c>
      <c r="N79" s="213">
        <f t="shared" si="8"/>
        <v>691.58</v>
      </c>
      <c r="O79" s="14"/>
      <c r="P79" s="210" t="str">
        <f>VLOOKUP(C79,'WO Descriptions'!$A$5:$D$345,4)</f>
        <v>Service/Yard Line Replacement (SLRP): Company Crew.  Modified Block by Block - Planned replacement of all unprotected steel or copper in a single block.  (Monett - South Region)</v>
      </c>
    </row>
    <row r="80" spans="1:16" ht="30" outlineLevel="2">
      <c r="A80" s="211" t="s">
        <v>1584</v>
      </c>
      <c r="B80" s="212" t="s">
        <v>1586</v>
      </c>
      <c r="C80" s="212" t="s">
        <v>1587</v>
      </c>
      <c r="D80" s="211" t="s">
        <v>1588</v>
      </c>
      <c r="E80" s="212" t="s">
        <v>1589</v>
      </c>
      <c r="F80" s="211" t="s">
        <v>1590</v>
      </c>
      <c r="G80" s="212" t="s">
        <v>23</v>
      </c>
      <c r="H80" s="212" t="s">
        <v>1530</v>
      </c>
      <c r="I80" s="212">
        <v>201411</v>
      </c>
      <c r="J80" s="213">
        <v>3556.67</v>
      </c>
      <c r="K80" s="171">
        <f t="shared" si="6"/>
        <v>7</v>
      </c>
      <c r="L80" s="214">
        <v>2.0333333000000001E-3</v>
      </c>
      <c r="M80" s="213">
        <f t="shared" si="7"/>
        <v>50.62</v>
      </c>
      <c r="N80" s="213">
        <f t="shared" si="8"/>
        <v>86.78</v>
      </c>
      <c r="O80" s="14"/>
      <c r="P80" s="210" t="str">
        <f>VLOOKUP(C80,'WO Descriptions'!$A$5:$D$345,4)</f>
        <v>Service/Yard Line Replacement (SLRP): Company Crew.  Modified Block by Block - Planned replacement of all unprotected steel or copper in a single block.  (Monett - South Region)</v>
      </c>
    </row>
    <row r="81" spans="1:16" outlineLevel="2">
      <c r="A81" s="211" t="s">
        <v>66</v>
      </c>
      <c r="B81" s="212" t="s">
        <v>192</v>
      </c>
      <c r="C81" s="212" t="s">
        <v>193</v>
      </c>
      <c r="D81" s="211" t="s">
        <v>194</v>
      </c>
      <c r="E81" s="212" t="s">
        <v>195</v>
      </c>
      <c r="F81" s="211" t="s">
        <v>196</v>
      </c>
      <c r="G81" s="212" t="s">
        <v>23</v>
      </c>
      <c r="H81" s="212" t="s">
        <v>1530</v>
      </c>
      <c r="I81" s="212">
        <v>201411</v>
      </c>
      <c r="J81" s="213">
        <v>-2.78</v>
      </c>
      <c r="K81" s="171">
        <f t="shared" si="6"/>
        <v>7</v>
      </c>
      <c r="L81" s="214">
        <v>2.23333E-3</v>
      </c>
      <c r="M81" s="213">
        <f t="shared" si="7"/>
        <v>-0.04</v>
      </c>
      <c r="N81" s="213">
        <f t="shared" si="8"/>
        <v>-7.0000000000000007E-2</v>
      </c>
      <c r="O81" s="14"/>
      <c r="P81" s="210" t="str">
        <f>VLOOKUP(C81,'WO Descriptions'!$A$5:$D$345,4)</f>
        <v>Line Locates - Service Line Replacements Only (Kansas City - Central Region)</v>
      </c>
    </row>
    <row r="82" spans="1:16" ht="30" outlineLevel="2">
      <c r="A82" s="211" t="s">
        <v>66</v>
      </c>
      <c r="B82" s="212" t="s">
        <v>197</v>
      </c>
      <c r="C82" s="212" t="s">
        <v>198</v>
      </c>
      <c r="D82" s="211" t="s">
        <v>69</v>
      </c>
      <c r="E82" s="212" t="s">
        <v>199</v>
      </c>
      <c r="F82" s="211" t="s">
        <v>71</v>
      </c>
      <c r="G82" s="212" t="s">
        <v>23</v>
      </c>
      <c r="H82" s="212" t="s">
        <v>1530</v>
      </c>
      <c r="I82" s="212">
        <v>201411</v>
      </c>
      <c r="J82" s="213">
        <v>-444.19</v>
      </c>
      <c r="K82" s="171">
        <f t="shared" si="6"/>
        <v>7</v>
      </c>
      <c r="L82" s="214">
        <v>2.23333E-3</v>
      </c>
      <c r="M82" s="213">
        <f t="shared" si="7"/>
        <v>-6.94</v>
      </c>
      <c r="N82" s="213">
        <f t="shared" si="8"/>
        <v>-11.9</v>
      </c>
      <c r="O82" s="14"/>
      <c r="P82" s="210" t="str">
        <f>VLOOKUP(C82,'WO Descriptions'!$A$5:$D$345,4)</f>
        <v>Service/Yard Line Replacement (SLRP): Company Crew.  Immediate response - replacement single unprotected steel or copper  (Monett - South Region)</v>
      </c>
    </row>
    <row r="83" spans="1:16" ht="30" outlineLevel="2">
      <c r="A83" s="211" t="s">
        <v>1584</v>
      </c>
      <c r="B83" s="212" t="s">
        <v>1591</v>
      </c>
      <c r="C83" s="212" t="s">
        <v>1592</v>
      </c>
      <c r="D83" s="211" t="s">
        <v>1593</v>
      </c>
      <c r="E83" s="212" t="s">
        <v>1594</v>
      </c>
      <c r="F83" s="211" t="s">
        <v>1590</v>
      </c>
      <c r="G83" s="212" t="s">
        <v>23</v>
      </c>
      <c r="H83" s="212" t="s">
        <v>1530</v>
      </c>
      <c r="I83" s="212">
        <v>201411</v>
      </c>
      <c r="J83" s="213">
        <v>-65.48</v>
      </c>
      <c r="K83" s="171">
        <f t="shared" si="6"/>
        <v>7</v>
      </c>
      <c r="L83" s="214">
        <v>2.0333333000000001E-3</v>
      </c>
      <c r="M83" s="213">
        <f t="shared" si="7"/>
        <v>-0.93</v>
      </c>
      <c r="N83" s="213">
        <f t="shared" si="8"/>
        <v>-1.6</v>
      </c>
      <c r="O83" s="14"/>
      <c r="P83" s="210" t="str">
        <f>VLOOKUP(C83,'WO Descriptions'!$A$5:$D$345,4)</f>
        <v>Service/Yard Line Replacement (SLRP): Company Crew.  Immediate response - replacement single unprotected steel or copper  (Monett - South Region)</v>
      </c>
    </row>
    <row r="84" spans="1:16" ht="30" outlineLevel="2">
      <c r="A84" s="211" t="s">
        <v>1584</v>
      </c>
      <c r="B84" s="212" t="s">
        <v>1595</v>
      </c>
      <c r="C84" s="212" t="s">
        <v>1596</v>
      </c>
      <c r="D84" s="211" t="s">
        <v>1593</v>
      </c>
      <c r="E84" s="212" t="s">
        <v>1597</v>
      </c>
      <c r="F84" s="211" t="s">
        <v>1590</v>
      </c>
      <c r="G84" s="212" t="s">
        <v>23</v>
      </c>
      <c r="H84" s="212" t="s">
        <v>1530</v>
      </c>
      <c r="I84" s="212">
        <v>201411</v>
      </c>
      <c r="J84" s="213">
        <v>12942.18</v>
      </c>
      <c r="K84" s="171">
        <f t="shared" si="6"/>
        <v>7</v>
      </c>
      <c r="L84" s="214">
        <v>2.0333333000000001E-3</v>
      </c>
      <c r="M84" s="213">
        <f t="shared" si="7"/>
        <v>184.21</v>
      </c>
      <c r="N84" s="213">
        <f t="shared" si="8"/>
        <v>315.79000000000002</v>
      </c>
      <c r="O84" s="14"/>
      <c r="P84" s="210" t="str">
        <f>VLOOKUP(C84,'WO Descriptions'!$A$5:$D$345,4)</f>
        <v>Service/Yard Line Replacement (SLRP): Company Crew.  Immediate response - replacement single unprotected steel or copper  (Monett - South Region)</v>
      </c>
    </row>
    <row r="85" spans="1:16" ht="30" outlineLevel="2">
      <c r="A85" s="211" t="s">
        <v>66</v>
      </c>
      <c r="B85" s="212" t="s">
        <v>200</v>
      </c>
      <c r="C85" s="212" t="s">
        <v>201</v>
      </c>
      <c r="D85" s="211" t="s">
        <v>202</v>
      </c>
      <c r="E85" s="212" t="s">
        <v>203</v>
      </c>
      <c r="F85" s="211" t="s">
        <v>80</v>
      </c>
      <c r="G85" s="212" t="s">
        <v>23</v>
      </c>
      <c r="H85" s="212" t="s">
        <v>1530</v>
      </c>
      <c r="I85" s="212">
        <v>201411</v>
      </c>
      <c r="J85" s="213">
        <v>8450.75</v>
      </c>
      <c r="K85" s="171">
        <f t="shared" si="6"/>
        <v>7</v>
      </c>
      <c r="L85" s="214">
        <v>2.23333E-3</v>
      </c>
      <c r="M85" s="213">
        <f t="shared" si="7"/>
        <v>132.11000000000001</v>
      </c>
      <c r="N85" s="213">
        <f t="shared" si="8"/>
        <v>226.48</v>
      </c>
      <c r="O85" s="14"/>
      <c r="P85" s="210" t="str">
        <f>VLOOKUP(C85,'WO Descriptions'!$A$5:$D$345,4)</f>
        <v>Service/Yard Line Replacement (SLRP): Company Crew.  Modified Block by Block - Planned replacement of all unprotected steel or copper in a single block.  (Kansas City - Central Region)</v>
      </c>
    </row>
    <row r="86" spans="1:16" ht="30" outlineLevel="2">
      <c r="A86" s="211" t="s">
        <v>66</v>
      </c>
      <c r="B86" s="212" t="s">
        <v>223</v>
      </c>
      <c r="C86" s="212" t="s">
        <v>224</v>
      </c>
      <c r="D86" s="211" t="s">
        <v>88</v>
      </c>
      <c r="E86" s="212" t="s">
        <v>225</v>
      </c>
      <c r="F86" s="211" t="s">
        <v>85</v>
      </c>
      <c r="G86" s="212" t="s">
        <v>23</v>
      </c>
      <c r="H86" s="212" t="s">
        <v>1530</v>
      </c>
      <c r="I86" s="212">
        <v>201411</v>
      </c>
      <c r="J86" s="213">
        <v>-864.28</v>
      </c>
      <c r="K86" s="171">
        <f t="shared" si="6"/>
        <v>7</v>
      </c>
      <c r="L86" s="214">
        <v>2.23333E-3</v>
      </c>
      <c r="M86" s="213">
        <f t="shared" si="7"/>
        <v>-13.51</v>
      </c>
      <c r="N86" s="213">
        <f t="shared" si="8"/>
        <v>-23.16</v>
      </c>
      <c r="O86" s="14"/>
      <c r="P86" s="210" t="str">
        <f>VLOOKUP(C86,'WO Descriptions'!$A$5:$D$345,4)</f>
        <v>Service/Yard Line Replacement (SLRP): Contract Crew.  Block by Block - Planned replacement of all unprotected steel or copper in a single block.  (Joplin - South Region)</v>
      </c>
    </row>
    <row r="87" spans="1:16" ht="30" outlineLevel="2">
      <c r="A87" s="211" t="s">
        <v>1584</v>
      </c>
      <c r="B87" s="212" t="s">
        <v>1598</v>
      </c>
      <c r="C87" s="212" t="s">
        <v>1599</v>
      </c>
      <c r="D87" s="211" t="s">
        <v>1600</v>
      </c>
      <c r="E87" s="212" t="s">
        <v>1601</v>
      </c>
      <c r="F87" s="211" t="s">
        <v>1590</v>
      </c>
      <c r="G87" s="212" t="s">
        <v>23</v>
      </c>
      <c r="H87" s="212" t="s">
        <v>1530</v>
      </c>
      <c r="I87" s="212">
        <v>201411</v>
      </c>
      <c r="J87" s="213">
        <v>7279.43</v>
      </c>
      <c r="K87" s="171">
        <f t="shared" si="6"/>
        <v>7</v>
      </c>
      <c r="L87" s="214">
        <v>2.0333333000000001E-3</v>
      </c>
      <c r="M87" s="213">
        <f t="shared" si="7"/>
        <v>103.61</v>
      </c>
      <c r="N87" s="213">
        <f t="shared" si="8"/>
        <v>177.62</v>
      </c>
      <c r="O87" s="14"/>
      <c r="P87" s="210" t="str">
        <f>VLOOKUP(C87,'WO Descriptions'!$A$5:$D$345,4)</f>
        <v>Service/Yard Line Replacement (SLRP): Contract Crew.  Block by Block - Planned replacement of all unprotected steel or copper in a single block.  (Joplin - South Region)</v>
      </c>
    </row>
    <row r="88" spans="1:16" ht="30" outlineLevel="2">
      <c r="A88" s="211" t="s">
        <v>66</v>
      </c>
      <c r="B88" s="212" t="s">
        <v>226</v>
      </c>
      <c r="C88" s="212" t="s">
        <v>227</v>
      </c>
      <c r="D88" s="211" t="s">
        <v>78</v>
      </c>
      <c r="E88" s="212" t="s">
        <v>228</v>
      </c>
      <c r="F88" s="211" t="s">
        <v>80</v>
      </c>
      <c r="G88" s="212" t="s">
        <v>23</v>
      </c>
      <c r="H88" s="212" t="s">
        <v>1530</v>
      </c>
      <c r="I88" s="212">
        <v>201411</v>
      </c>
      <c r="J88" s="213">
        <v>-783.88</v>
      </c>
      <c r="K88" s="171">
        <f t="shared" si="6"/>
        <v>7</v>
      </c>
      <c r="L88" s="214">
        <v>2.23333E-3</v>
      </c>
      <c r="M88" s="213">
        <f t="shared" si="7"/>
        <v>-12.25</v>
      </c>
      <c r="N88" s="213">
        <f t="shared" si="8"/>
        <v>-21.01</v>
      </c>
      <c r="O88" s="14"/>
      <c r="P88" s="210" t="str">
        <f>VLOOKUP(C88,'WO Descriptions'!$A$5:$D$345,4)</f>
        <v>Service/Yard Line Replacement (SLRP): Company Crew.  Modified Block by Block - Planned replacement of all unprotected steel or copper in a single block.  (Joplin - South Region)</v>
      </c>
    </row>
    <row r="89" spans="1:16" ht="30" outlineLevel="2">
      <c r="A89" s="211" t="s">
        <v>66</v>
      </c>
      <c r="B89" s="212" t="s">
        <v>229</v>
      </c>
      <c r="C89" s="212" t="s">
        <v>230</v>
      </c>
      <c r="D89" s="211" t="s">
        <v>78</v>
      </c>
      <c r="E89" s="212" t="s">
        <v>231</v>
      </c>
      <c r="F89" s="211" t="s">
        <v>80</v>
      </c>
      <c r="G89" s="212" t="s">
        <v>23</v>
      </c>
      <c r="H89" s="212" t="s">
        <v>1530</v>
      </c>
      <c r="I89" s="212">
        <v>201411</v>
      </c>
      <c r="J89" s="213">
        <v>-3450.23</v>
      </c>
      <c r="K89" s="171">
        <f t="shared" si="6"/>
        <v>7</v>
      </c>
      <c r="L89" s="214">
        <v>2.23333E-3</v>
      </c>
      <c r="M89" s="213">
        <f t="shared" si="7"/>
        <v>-53.94</v>
      </c>
      <c r="N89" s="213">
        <f t="shared" si="8"/>
        <v>-92.47</v>
      </c>
      <c r="O89" s="14"/>
      <c r="P89" s="210" t="str">
        <f>VLOOKUP(C89,'WO Descriptions'!$A$5:$D$345,4)</f>
        <v>Service/Yard Line Replacement (SLRP): Company Crew.  Modified Block by Block - Planned replacement of all unprotected steel or copper in a single block.  (Lee's Summit - East Region)</v>
      </c>
    </row>
    <row r="90" spans="1:16" ht="30" outlineLevel="2">
      <c r="A90" s="211" t="s">
        <v>66</v>
      </c>
      <c r="B90" s="212" t="s">
        <v>371</v>
      </c>
      <c r="C90" s="212" t="s">
        <v>372</v>
      </c>
      <c r="D90" s="211" t="s">
        <v>88</v>
      </c>
      <c r="E90" s="212" t="s">
        <v>373</v>
      </c>
      <c r="F90" s="211" t="s">
        <v>85</v>
      </c>
      <c r="G90" s="212" t="s">
        <v>23</v>
      </c>
      <c r="H90" s="212" t="s">
        <v>1530</v>
      </c>
      <c r="I90" s="212">
        <v>201411</v>
      </c>
      <c r="J90" s="213">
        <v>-288.35000000000002</v>
      </c>
      <c r="K90" s="171">
        <f t="shared" si="6"/>
        <v>7</v>
      </c>
      <c r="L90" s="214">
        <v>2.23333E-3</v>
      </c>
      <c r="M90" s="213">
        <f t="shared" si="7"/>
        <v>-4.51</v>
      </c>
      <c r="N90" s="213">
        <f t="shared" si="8"/>
        <v>-7.73</v>
      </c>
      <c r="O90" s="14"/>
      <c r="P90" s="210" t="str">
        <f>VLOOKUP(C90,'WO Descriptions'!$A$5:$D$345,4)</f>
        <v>Service/Yard Line Replacement (SLRP): Contract Crew.  Block by Block - Planned replacement of all unprotected steel or copper in a single block.  (Lee's Summit - East Region)</v>
      </c>
    </row>
    <row r="91" spans="1:16" ht="30" outlineLevel="2">
      <c r="A91" s="211" t="s">
        <v>66</v>
      </c>
      <c r="B91" s="212" t="s">
        <v>374</v>
      </c>
      <c r="C91" s="212" t="s">
        <v>375</v>
      </c>
      <c r="D91" s="211" t="s">
        <v>376</v>
      </c>
      <c r="E91" s="212" t="s">
        <v>377</v>
      </c>
      <c r="F91" s="211" t="s">
        <v>378</v>
      </c>
      <c r="G91" s="212" t="s">
        <v>23</v>
      </c>
      <c r="H91" s="212" t="s">
        <v>1530</v>
      </c>
      <c r="I91" s="212">
        <v>201411</v>
      </c>
      <c r="J91" s="213">
        <v>-119.93</v>
      </c>
      <c r="K91" s="171">
        <f t="shared" si="6"/>
        <v>7</v>
      </c>
      <c r="L91" s="214">
        <v>2.23333E-3</v>
      </c>
      <c r="M91" s="213">
        <f t="shared" si="7"/>
        <v>-1.87</v>
      </c>
      <c r="N91" s="213">
        <f t="shared" si="8"/>
        <v>-3.21</v>
      </c>
      <c r="O91" s="14"/>
      <c r="P91" s="210" t="str">
        <f>VLOOKUP(C91,'WO Descriptions'!$A$5:$D$345,4)</f>
        <v>Service/Yard Line Replacement (SLRP): Contract Crew.  Service/yard line replacement - Material Charges Only  (Joplin - South Region)</v>
      </c>
    </row>
    <row r="92" spans="1:16" ht="30" outlineLevel="2">
      <c r="A92" s="211" t="s">
        <v>66</v>
      </c>
      <c r="B92" s="212" t="s">
        <v>379</v>
      </c>
      <c r="C92" s="212" t="s">
        <v>380</v>
      </c>
      <c r="D92" s="211" t="s">
        <v>381</v>
      </c>
      <c r="E92" s="212" t="s">
        <v>382</v>
      </c>
      <c r="F92" s="211" t="s">
        <v>212</v>
      </c>
      <c r="G92" s="212" t="s">
        <v>23</v>
      </c>
      <c r="H92" s="212" t="s">
        <v>1530</v>
      </c>
      <c r="I92" s="212">
        <v>201411</v>
      </c>
      <c r="J92" s="213">
        <v>8632.84</v>
      </c>
      <c r="K92" s="171">
        <f t="shared" si="6"/>
        <v>7</v>
      </c>
      <c r="L92" s="214">
        <v>2.23333E-3</v>
      </c>
      <c r="M92" s="213">
        <f t="shared" si="7"/>
        <v>134.96</v>
      </c>
      <c r="N92" s="213">
        <f t="shared" si="8"/>
        <v>231.36</v>
      </c>
      <c r="O92" s="14"/>
      <c r="P92" s="210" t="str">
        <f>VLOOKUP(C92,'WO Descriptions'!$A$5:$D$345,4)</f>
        <v>Service/Yard Line Replacement (SLRP): Contract Crew.  Immediate response - replacement single unprotected steel or copper  (Kansas City - Central Region)</v>
      </c>
    </row>
    <row r="93" spans="1:16" ht="30" outlineLevel="2">
      <c r="A93" s="211" t="s">
        <v>66</v>
      </c>
      <c r="B93" s="212" t="s">
        <v>383</v>
      </c>
      <c r="C93" s="212" t="s">
        <v>384</v>
      </c>
      <c r="D93" s="211" t="s">
        <v>385</v>
      </c>
      <c r="E93" s="212" t="s">
        <v>386</v>
      </c>
      <c r="F93" s="211" t="s">
        <v>387</v>
      </c>
      <c r="G93" s="212" t="s">
        <v>23</v>
      </c>
      <c r="H93" s="212" t="s">
        <v>1530</v>
      </c>
      <c r="I93" s="212">
        <v>201411</v>
      </c>
      <c r="J93" s="213">
        <v>112142.79</v>
      </c>
      <c r="K93" s="171">
        <f t="shared" si="6"/>
        <v>7</v>
      </c>
      <c r="L93" s="214">
        <v>2.23333E-3</v>
      </c>
      <c r="M93" s="213">
        <f t="shared" si="7"/>
        <v>1753.16</v>
      </c>
      <c r="N93" s="213">
        <f t="shared" si="8"/>
        <v>3005.42</v>
      </c>
      <c r="O93" s="14"/>
      <c r="P93" s="210" t="str">
        <f>VLOOKUP(C93,'WO Descriptions'!$A$5:$D$345,4)</f>
        <v>Replacement and/or removal of existing protected steel or plastic (Kansas City - Central Region)</v>
      </c>
    </row>
    <row r="94" spans="1:16" outlineLevel="2">
      <c r="A94" s="211" t="s">
        <v>66</v>
      </c>
      <c r="B94" s="212" t="s">
        <v>388</v>
      </c>
      <c r="C94" s="212" t="s">
        <v>389</v>
      </c>
      <c r="D94" s="211" t="s">
        <v>385</v>
      </c>
      <c r="E94" s="212" t="s">
        <v>390</v>
      </c>
      <c r="F94" s="211" t="s">
        <v>387</v>
      </c>
      <c r="G94" s="212" t="s">
        <v>23</v>
      </c>
      <c r="H94" s="212" t="s">
        <v>1530</v>
      </c>
      <c r="I94" s="212">
        <v>201411</v>
      </c>
      <c r="J94" s="213">
        <v>8594.43</v>
      </c>
      <c r="K94" s="171">
        <f t="shared" si="6"/>
        <v>7</v>
      </c>
      <c r="L94" s="214">
        <v>2.23333E-3</v>
      </c>
      <c r="M94" s="213">
        <f t="shared" si="7"/>
        <v>134.36000000000001</v>
      </c>
      <c r="N94" s="213">
        <f t="shared" si="8"/>
        <v>230.33</v>
      </c>
      <c r="O94" s="14"/>
      <c r="P94" s="210" t="str">
        <f>VLOOKUP(C94,'WO Descriptions'!$A$5:$D$345,4)</f>
        <v>Replacement and/or removal of existing protected steel or plastic (Lee's Summit - East Region)</v>
      </c>
    </row>
    <row r="95" spans="1:16" ht="30" outlineLevel="2">
      <c r="A95" s="211" t="s">
        <v>66</v>
      </c>
      <c r="B95" s="212" t="s">
        <v>489</v>
      </c>
      <c r="C95" s="212" t="s">
        <v>490</v>
      </c>
      <c r="D95" s="211" t="s">
        <v>491</v>
      </c>
      <c r="E95" s="212" t="s">
        <v>492</v>
      </c>
      <c r="F95" s="211" t="s">
        <v>378</v>
      </c>
      <c r="G95" s="212" t="s">
        <v>23</v>
      </c>
      <c r="H95" s="212" t="s">
        <v>1530</v>
      </c>
      <c r="I95" s="212">
        <v>201411</v>
      </c>
      <c r="J95" s="213">
        <v>2182.83</v>
      </c>
      <c r="K95" s="171">
        <f t="shared" si="6"/>
        <v>7</v>
      </c>
      <c r="L95" s="214">
        <v>2.23333E-3</v>
      </c>
      <c r="M95" s="213">
        <f t="shared" si="7"/>
        <v>34.119999999999997</v>
      </c>
      <c r="N95" s="213">
        <f t="shared" si="8"/>
        <v>58.5</v>
      </c>
      <c r="O95" s="14"/>
      <c r="P95" s="210" t="str">
        <f>VLOOKUP(C95,'WO Descriptions'!$A$5:$D$345,4)</f>
        <v>Service/Yard Line Replacement (SLRP): Contract Crew.  Service/yard line replacement - Material Charges Only  (Kansas City - Central Region)</v>
      </c>
    </row>
    <row r="96" spans="1:16" ht="30" outlineLevel="2">
      <c r="A96" s="211" t="s">
        <v>1584</v>
      </c>
      <c r="B96" s="212" t="s">
        <v>1605</v>
      </c>
      <c r="C96" s="212" t="s">
        <v>1606</v>
      </c>
      <c r="D96" s="211" t="s">
        <v>1607</v>
      </c>
      <c r="E96" s="212" t="s">
        <v>1608</v>
      </c>
      <c r="F96" s="211" t="s">
        <v>1590</v>
      </c>
      <c r="G96" s="212" t="s">
        <v>23</v>
      </c>
      <c r="H96" s="212" t="s">
        <v>1530</v>
      </c>
      <c r="I96" s="212">
        <v>201411</v>
      </c>
      <c r="J96" s="213">
        <v>13521.65</v>
      </c>
      <c r="K96" s="171">
        <f t="shared" si="6"/>
        <v>7</v>
      </c>
      <c r="L96" s="214">
        <v>2.0333333000000001E-3</v>
      </c>
      <c r="M96" s="213">
        <f t="shared" si="7"/>
        <v>192.46</v>
      </c>
      <c r="N96" s="213">
        <f t="shared" si="8"/>
        <v>329.93</v>
      </c>
      <c r="O96" s="14"/>
      <c r="P96" s="210" t="str">
        <f>VLOOKUP(C96,'WO Descriptions'!$A$5:$D$345,4)</f>
        <v>Service/Yard Line Replacement (SLRP): Contract Crew.  Service/yard line replacement - Material Charges Only  (Kansas City - Central Region)</v>
      </c>
    </row>
    <row r="97" spans="1:16" ht="30" outlineLevel="2">
      <c r="A97" s="211" t="s">
        <v>66</v>
      </c>
      <c r="B97" s="212" t="s">
        <v>496</v>
      </c>
      <c r="C97" s="212" t="s">
        <v>497</v>
      </c>
      <c r="D97" s="211" t="s">
        <v>376</v>
      </c>
      <c r="E97" s="212" t="s">
        <v>498</v>
      </c>
      <c r="F97" s="211" t="s">
        <v>378</v>
      </c>
      <c r="G97" s="212" t="s">
        <v>23</v>
      </c>
      <c r="H97" s="212" t="s">
        <v>1530</v>
      </c>
      <c r="I97" s="212">
        <v>201411</v>
      </c>
      <c r="J97" s="213">
        <v>467</v>
      </c>
      <c r="K97" s="171">
        <f t="shared" si="6"/>
        <v>7</v>
      </c>
      <c r="L97" s="214">
        <v>2.23333E-3</v>
      </c>
      <c r="M97" s="213">
        <f t="shared" si="7"/>
        <v>7.3</v>
      </c>
      <c r="N97" s="213">
        <f t="shared" si="8"/>
        <v>12.52</v>
      </c>
      <c r="O97" s="14"/>
      <c r="P97" s="210" t="str">
        <f>VLOOKUP(C97,'WO Descriptions'!$A$5:$D$345,4)</f>
        <v>Service/Yard Line Replacement (SLRP): Contract Crew.  Service/yard line replacement - Material Charges Only  (Lee's Summit - East Region)</v>
      </c>
    </row>
    <row r="98" spans="1:16" outlineLevel="2">
      <c r="A98" s="211" t="s">
        <v>66</v>
      </c>
      <c r="B98" s="212" t="s">
        <v>499</v>
      </c>
      <c r="C98" s="212" t="s">
        <v>500</v>
      </c>
      <c r="D98" s="211" t="s">
        <v>385</v>
      </c>
      <c r="E98" s="212" t="s">
        <v>501</v>
      </c>
      <c r="F98" s="211" t="s">
        <v>387</v>
      </c>
      <c r="G98" s="212" t="s">
        <v>23</v>
      </c>
      <c r="H98" s="212" t="s">
        <v>1530</v>
      </c>
      <c r="I98" s="212">
        <v>201411</v>
      </c>
      <c r="J98" s="213">
        <v>14235.91</v>
      </c>
      <c r="K98" s="171">
        <f t="shared" si="6"/>
        <v>7</v>
      </c>
      <c r="L98" s="214">
        <v>2.23333E-3</v>
      </c>
      <c r="M98" s="213">
        <f t="shared" si="7"/>
        <v>222.55</v>
      </c>
      <c r="N98" s="213">
        <f t="shared" si="8"/>
        <v>381.52</v>
      </c>
      <c r="O98" s="14"/>
      <c r="P98" s="210" t="str">
        <f>VLOOKUP(C98,'WO Descriptions'!$A$5:$D$345,4)</f>
        <v>Replacement and/or removal of existing protected steel or plastic (Joplin - South Region)</v>
      </c>
    </row>
    <row r="99" spans="1:16" ht="30" outlineLevel="2">
      <c r="A99" s="211" t="s">
        <v>66</v>
      </c>
      <c r="B99" s="212" t="s">
        <v>595</v>
      </c>
      <c r="C99" s="212" t="s">
        <v>596</v>
      </c>
      <c r="D99" s="211" t="s">
        <v>597</v>
      </c>
      <c r="E99" s="212" t="s">
        <v>598</v>
      </c>
      <c r="F99" s="211" t="s">
        <v>212</v>
      </c>
      <c r="G99" s="212" t="s">
        <v>23</v>
      </c>
      <c r="H99" s="212" t="s">
        <v>1530</v>
      </c>
      <c r="I99" s="212">
        <v>201411</v>
      </c>
      <c r="J99" s="213">
        <v>46466.6</v>
      </c>
      <c r="K99" s="171">
        <f t="shared" si="6"/>
        <v>7</v>
      </c>
      <c r="L99" s="214">
        <v>2.23333E-3</v>
      </c>
      <c r="M99" s="213">
        <f t="shared" si="7"/>
        <v>726.43</v>
      </c>
      <c r="N99" s="213">
        <f t="shared" si="8"/>
        <v>1245.3</v>
      </c>
      <c r="O99" s="14"/>
      <c r="P99" s="210" t="str">
        <f>VLOOKUP(C99,'WO Descriptions'!$A$5:$D$345,4)</f>
        <v>Service/Yard Line Replacement (SLRP): Contract Crew.  Immediate response - replacement single unprotected steel or copper  (Lee's Summit - East Region)</v>
      </c>
    </row>
    <row r="100" spans="1:16" outlineLevel="2">
      <c r="A100" s="211" t="s">
        <v>66</v>
      </c>
      <c r="B100" s="212" t="s">
        <v>599</v>
      </c>
      <c r="C100" s="212" t="s">
        <v>600</v>
      </c>
      <c r="D100" s="211" t="s">
        <v>385</v>
      </c>
      <c r="E100" s="212" t="s">
        <v>601</v>
      </c>
      <c r="F100" s="211" t="s">
        <v>387</v>
      </c>
      <c r="G100" s="212" t="s">
        <v>23</v>
      </c>
      <c r="H100" s="212" t="s">
        <v>1530</v>
      </c>
      <c r="I100" s="212">
        <v>201411</v>
      </c>
      <c r="J100" s="213">
        <v>5494.87</v>
      </c>
      <c r="K100" s="171">
        <f t="shared" si="6"/>
        <v>7</v>
      </c>
      <c r="L100" s="214">
        <v>2.23333E-3</v>
      </c>
      <c r="M100" s="213">
        <f t="shared" si="7"/>
        <v>85.9</v>
      </c>
      <c r="N100" s="213">
        <f t="shared" si="8"/>
        <v>147.26</v>
      </c>
      <c r="O100" s="14"/>
      <c r="P100" s="210" t="str">
        <f>VLOOKUP(C100,'WO Descriptions'!$A$5:$D$345,4)</f>
        <v>Replacement and/or removal of existing protected steel or plastic (St. Joseph)</v>
      </c>
    </row>
    <row r="101" spans="1:16" ht="45" outlineLevel="2">
      <c r="A101" s="211" t="s">
        <v>1584</v>
      </c>
      <c r="B101" s="212" t="s">
        <v>1612</v>
      </c>
      <c r="C101" s="212" t="s">
        <v>1613</v>
      </c>
      <c r="D101" s="211" t="s">
        <v>1588</v>
      </c>
      <c r="E101" s="212" t="s">
        <v>1614</v>
      </c>
      <c r="F101" s="211" t="s">
        <v>1590</v>
      </c>
      <c r="G101" s="212" t="s">
        <v>23</v>
      </c>
      <c r="H101" s="212" t="s">
        <v>1530</v>
      </c>
      <c r="I101" s="212">
        <v>201411</v>
      </c>
      <c r="J101" s="213">
        <v>425.66</v>
      </c>
      <c r="K101" s="171">
        <f t="shared" ref="K101:K132" si="9">VLOOKUP(I101,$T$7:$U$15,2)</f>
        <v>7</v>
      </c>
      <c r="L101" s="214">
        <v>2.0333333000000001E-3</v>
      </c>
      <c r="M101" s="213">
        <f t="shared" ref="M101:M132" si="10">ROUND(J101*K101*L101,2)</f>
        <v>6.06</v>
      </c>
      <c r="N101" s="213">
        <f t="shared" ref="N101:N132" si="11">ROUND(J101*L101*12,2)</f>
        <v>10.39</v>
      </c>
      <c r="O101" s="14"/>
      <c r="P101" s="210" t="str">
        <f>VLOOKUP(C101,'WO Descriptions'!$A$5:$D$345,4)</f>
        <v>Approved by: Ken Thomas on 07/01/2013,  Replace 45' of 12in PBS wo unknown with 36' of 12in PCS due to leak on the gate valve. Pressure system C-175KCLS. Job was completed on 3-15-2013.</v>
      </c>
    </row>
    <row r="102" spans="1:16" ht="30" outlineLevel="2">
      <c r="A102" s="211" t="s">
        <v>66</v>
      </c>
      <c r="B102" s="212" t="s">
        <v>671</v>
      </c>
      <c r="C102" s="212" t="s">
        <v>672</v>
      </c>
      <c r="D102" s="211" t="s">
        <v>206</v>
      </c>
      <c r="E102" s="212" t="s">
        <v>673</v>
      </c>
      <c r="F102" s="211" t="s">
        <v>97</v>
      </c>
      <c r="G102" s="212" t="s">
        <v>23</v>
      </c>
      <c r="H102" s="212" t="s">
        <v>1530</v>
      </c>
      <c r="I102" s="212">
        <v>201411</v>
      </c>
      <c r="J102" s="213">
        <v>20.29</v>
      </c>
      <c r="K102" s="171">
        <f t="shared" si="9"/>
        <v>7</v>
      </c>
      <c r="L102" s="214">
        <v>2.23333E-3</v>
      </c>
      <c r="M102" s="213">
        <f t="shared" si="10"/>
        <v>0.32</v>
      </c>
      <c r="N102" s="213">
        <f t="shared" si="11"/>
        <v>0.54</v>
      </c>
      <c r="O102" s="14"/>
      <c r="P102" s="210" t="str">
        <f>VLOOKUP(C102,'WO Descriptions'!$A$5:$D$345,4)</f>
        <v>Service/Yard Line Replacement (SLRP): Company Crew.  Service/yard line replacement - Material Charges Only  (Joplin - South Region)</v>
      </c>
    </row>
    <row r="103" spans="1:16" outlineLevel="2">
      <c r="A103" s="211" t="s">
        <v>66</v>
      </c>
      <c r="B103" s="212" t="s">
        <v>674</v>
      </c>
      <c r="C103" s="212" t="s">
        <v>675</v>
      </c>
      <c r="D103" s="211" t="s">
        <v>385</v>
      </c>
      <c r="E103" s="212" t="s">
        <v>676</v>
      </c>
      <c r="F103" s="211" t="s">
        <v>387</v>
      </c>
      <c r="G103" s="212" t="s">
        <v>23</v>
      </c>
      <c r="H103" s="212" t="s">
        <v>1530</v>
      </c>
      <c r="I103" s="212">
        <v>201411</v>
      </c>
      <c r="J103" s="213">
        <v>-5090.0600000000004</v>
      </c>
      <c r="K103" s="171">
        <f t="shared" si="9"/>
        <v>7</v>
      </c>
      <c r="L103" s="214">
        <v>2.23333E-3</v>
      </c>
      <c r="M103" s="213">
        <f t="shared" si="10"/>
        <v>-79.569999999999993</v>
      </c>
      <c r="N103" s="213">
        <f t="shared" si="11"/>
        <v>-136.41</v>
      </c>
      <c r="O103" s="14"/>
      <c r="P103" s="210" t="str">
        <f>VLOOKUP(C103,'WO Descriptions'!$A$5:$D$345,4)</f>
        <v>Replacement and/or removal of existing protected steel or plastic (Monett - South Region)</v>
      </c>
    </row>
    <row r="104" spans="1:16" ht="30" outlineLevel="2">
      <c r="A104" s="211" t="s">
        <v>66</v>
      </c>
      <c r="B104" s="212" t="s">
        <v>741</v>
      </c>
      <c r="C104" s="212" t="s">
        <v>742</v>
      </c>
      <c r="D104" s="211" t="s">
        <v>69</v>
      </c>
      <c r="E104" s="212" t="s">
        <v>70</v>
      </c>
      <c r="F104" s="211" t="s">
        <v>71</v>
      </c>
      <c r="G104" s="212" t="s">
        <v>23</v>
      </c>
      <c r="H104" s="212" t="s">
        <v>1530</v>
      </c>
      <c r="I104" s="212">
        <v>201411</v>
      </c>
      <c r="J104" s="213">
        <v>-127.08</v>
      </c>
      <c r="K104" s="171">
        <f t="shared" si="9"/>
        <v>7</v>
      </c>
      <c r="L104" s="214">
        <v>2.23333E-3</v>
      </c>
      <c r="M104" s="213">
        <f t="shared" si="10"/>
        <v>-1.99</v>
      </c>
      <c r="N104" s="213">
        <f t="shared" si="11"/>
        <v>-3.41</v>
      </c>
      <c r="O104" s="14"/>
      <c r="P104" s="210" t="str">
        <f>VLOOKUP(C104,'WO Descriptions'!$A$5:$D$345,4)</f>
        <v>Service/Yard Line Replacement (SLRP): Company Crew.  Immediate response - replacement single unprotected steel or copper  (Lee's Summit - East Region)</v>
      </c>
    </row>
    <row r="105" spans="1:16" ht="30" outlineLevel="2">
      <c r="A105" s="211" t="s">
        <v>66</v>
      </c>
      <c r="B105" s="212" t="s">
        <v>743</v>
      </c>
      <c r="C105" s="212" t="s">
        <v>744</v>
      </c>
      <c r="D105" s="211" t="s">
        <v>745</v>
      </c>
      <c r="E105" s="212" t="s">
        <v>746</v>
      </c>
      <c r="F105" s="211" t="s">
        <v>80</v>
      </c>
      <c r="G105" s="212" t="s">
        <v>23</v>
      </c>
      <c r="H105" s="212" t="s">
        <v>1530</v>
      </c>
      <c r="I105" s="212">
        <v>201411</v>
      </c>
      <c r="J105" s="213">
        <v>8037.46</v>
      </c>
      <c r="K105" s="171">
        <f t="shared" si="9"/>
        <v>7</v>
      </c>
      <c r="L105" s="214">
        <v>2.23333E-3</v>
      </c>
      <c r="M105" s="213">
        <f t="shared" si="10"/>
        <v>125.65</v>
      </c>
      <c r="N105" s="213">
        <f t="shared" si="11"/>
        <v>215.4</v>
      </c>
      <c r="O105" s="14"/>
      <c r="P105" s="210" t="str">
        <f>VLOOKUP(C105,'WO Descriptions'!$A$5:$D$345,4)</f>
        <v>Service/Yard Line Replacement (SLRP): Contract Crew.  Modified Block by Block - Planned replacement of unprotected steel or copper  (Kansas City - Central Region)</v>
      </c>
    </row>
    <row r="106" spans="1:16" ht="30" outlineLevel="2">
      <c r="A106" s="211" t="s">
        <v>66</v>
      </c>
      <c r="B106" s="212" t="s">
        <v>747</v>
      </c>
      <c r="C106" s="212" t="s">
        <v>748</v>
      </c>
      <c r="D106" s="211" t="s">
        <v>78</v>
      </c>
      <c r="E106" s="212" t="s">
        <v>749</v>
      </c>
      <c r="F106" s="211" t="s">
        <v>80</v>
      </c>
      <c r="G106" s="212" t="s">
        <v>23</v>
      </c>
      <c r="H106" s="212" t="s">
        <v>1530</v>
      </c>
      <c r="I106" s="212">
        <v>201411</v>
      </c>
      <c r="J106" s="213">
        <v>-983.36</v>
      </c>
      <c r="K106" s="171">
        <f t="shared" si="9"/>
        <v>7</v>
      </c>
      <c r="L106" s="214">
        <v>2.23333E-3</v>
      </c>
      <c r="M106" s="213">
        <f t="shared" si="10"/>
        <v>-15.37</v>
      </c>
      <c r="N106" s="213">
        <f t="shared" si="11"/>
        <v>-26.35</v>
      </c>
      <c r="O106" s="14"/>
      <c r="P106" s="210" t="str">
        <f>VLOOKUP(C106,'WO Descriptions'!$A$5:$D$345,4)</f>
        <v>Service/Yard Line Replacement (SLRP): Contract Crew.  Modified Block by Block - Planned replacement of unprotected steel or copper  (Joplin - South Region)</v>
      </c>
    </row>
    <row r="107" spans="1:16" ht="30" outlineLevel="2">
      <c r="A107" s="211" t="s">
        <v>1584</v>
      </c>
      <c r="B107" s="212" t="s">
        <v>1615</v>
      </c>
      <c r="C107" s="212" t="s">
        <v>1616</v>
      </c>
      <c r="D107" s="211" t="s">
        <v>1593</v>
      </c>
      <c r="E107" s="212" t="s">
        <v>1617</v>
      </c>
      <c r="F107" s="211" t="s">
        <v>1590</v>
      </c>
      <c r="G107" s="212" t="s">
        <v>23</v>
      </c>
      <c r="H107" s="212" t="s">
        <v>1530</v>
      </c>
      <c r="I107" s="212">
        <v>201411</v>
      </c>
      <c r="J107" s="213">
        <v>4.0199999999999996</v>
      </c>
      <c r="K107" s="171">
        <f t="shared" si="9"/>
        <v>7</v>
      </c>
      <c r="L107" s="214">
        <v>2.0333333000000001E-3</v>
      </c>
      <c r="M107" s="213">
        <f t="shared" si="10"/>
        <v>0.06</v>
      </c>
      <c r="N107" s="213">
        <f t="shared" si="11"/>
        <v>0.1</v>
      </c>
      <c r="O107" s="14"/>
      <c r="P107" s="210" t="str">
        <f>VLOOKUP(C107,'WO Descriptions'!$A$5:$D$345,4)</f>
        <v>Service/Yard Line Replacement (SLRP): Contract Crew.  Modified Block by Block - Planned replacement of unprotected steel or copper  (St. Joseph)</v>
      </c>
    </row>
    <row r="108" spans="1:16" ht="30" outlineLevel="2">
      <c r="A108" s="211" t="s">
        <v>66</v>
      </c>
      <c r="B108" s="212" t="s">
        <v>753</v>
      </c>
      <c r="C108" s="212" t="s">
        <v>754</v>
      </c>
      <c r="D108" s="211" t="s">
        <v>206</v>
      </c>
      <c r="E108" s="212" t="s">
        <v>755</v>
      </c>
      <c r="F108" s="211" t="s">
        <v>97</v>
      </c>
      <c r="G108" s="212" t="s">
        <v>23</v>
      </c>
      <c r="H108" s="212" t="s">
        <v>1530</v>
      </c>
      <c r="I108" s="212">
        <v>201411</v>
      </c>
      <c r="J108" s="213">
        <v>8010.12</v>
      </c>
      <c r="K108" s="171">
        <f t="shared" si="9"/>
        <v>7</v>
      </c>
      <c r="L108" s="214">
        <v>2.23333E-3</v>
      </c>
      <c r="M108" s="213">
        <f t="shared" si="10"/>
        <v>125.22</v>
      </c>
      <c r="N108" s="213">
        <f t="shared" si="11"/>
        <v>214.67</v>
      </c>
      <c r="O108" s="14"/>
      <c r="P108" s="210" t="str">
        <f>VLOOKUP(C108,'WO Descriptions'!$A$5:$D$345,4)</f>
        <v>Service/Yard Line Replacement (SLRP): Company Crew.  Service/yard line replacement - Material Charges Only  (Lee's Summit - East Region)</v>
      </c>
    </row>
    <row r="109" spans="1:16" ht="30" outlineLevel="2">
      <c r="A109" s="211" t="s">
        <v>66</v>
      </c>
      <c r="B109" s="212" t="s">
        <v>72</v>
      </c>
      <c r="C109" s="212" t="s">
        <v>73</v>
      </c>
      <c r="D109" s="211" t="s">
        <v>74</v>
      </c>
      <c r="E109" s="212" t="s">
        <v>75</v>
      </c>
      <c r="F109" s="211" t="s">
        <v>71</v>
      </c>
      <c r="G109" s="212" t="s">
        <v>23</v>
      </c>
      <c r="H109" s="212" t="s">
        <v>1530</v>
      </c>
      <c r="I109" s="212">
        <v>201412</v>
      </c>
      <c r="J109" s="213">
        <v>137868.63</v>
      </c>
      <c r="K109" s="171">
        <f t="shared" si="9"/>
        <v>6</v>
      </c>
      <c r="L109" s="214">
        <v>2.23333E-3</v>
      </c>
      <c r="M109" s="213">
        <f t="shared" si="10"/>
        <v>1847.44</v>
      </c>
      <c r="N109" s="213">
        <f t="shared" si="11"/>
        <v>3694.87</v>
      </c>
      <c r="O109" s="14"/>
      <c r="P109" s="210" t="str">
        <f>VLOOKUP(C109,'WO Descriptions'!$A$5:$D$345,4)</f>
        <v>Service/Yard Line Replacement (SLRP): Company Crew.  Immediate response - replacement single unprotected steel or copper  (Kansas City - Central Region)</v>
      </c>
    </row>
    <row r="110" spans="1:16" ht="30" outlineLevel="2">
      <c r="A110" s="211" t="s">
        <v>66</v>
      </c>
      <c r="B110" s="212" t="s">
        <v>81</v>
      </c>
      <c r="C110" s="212" t="s">
        <v>82</v>
      </c>
      <c r="D110" s="211" t="s">
        <v>83</v>
      </c>
      <c r="E110" s="212" t="s">
        <v>84</v>
      </c>
      <c r="F110" s="211" t="s">
        <v>85</v>
      </c>
      <c r="G110" s="212" t="s">
        <v>23</v>
      </c>
      <c r="H110" s="212" t="s">
        <v>1530</v>
      </c>
      <c r="I110" s="212">
        <v>201412</v>
      </c>
      <c r="J110" s="213">
        <v>21637.919999999998</v>
      </c>
      <c r="K110" s="171">
        <f t="shared" si="9"/>
        <v>6</v>
      </c>
      <c r="L110" s="214">
        <v>2.23333E-3</v>
      </c>
      <c r="M110" s="213">
        <f t="shared" si="10"/>
        <v>289.95</v>
      </c>
      <c r="N110" s="213">
        <f t="shared" si="11"/>
        <v>579.9</v>
      </c>
      <c r="O110" s="14"/>
      <c r="P110" s="210" t="str">
        <f>VLOOKUP(C110,'WO Descriptions'!$A$5:$D$345,4)</f>
        <v>Service/Yard Line Replacement (SLRP): Contract Crew.  Block by Block - Planned replacement of all unprotected steel or copper in a single block.  (Kansas City - Central Region)</v>
      </c>
    </row>
    <row r="111" spans="1:16" ht="30" outlineLevel="2">
      <c r="A111" s="211" t="s">
        <v>66</v>
      </c>
      <c r="B111" s="212" t="s">
        <v>90</v>
      </c>
      <c r="C111" s="212" t="s">
        <v>91</v>
      </c>
      <c r="D111" s="211" t="s">
        <v>78</v>
      </c>
      <c r="E111" s="212" t="s">
        <v>92</v>
      </c>
      <c r="F111" s="211" t="s">
        <v>80</v>
      </c>
      <c r="G111" s="212" t="s">
        <v>23</v>
      </c>
      <c r="H111" s="212" t="s">
        <v>1530</v>
      </c>
      <c r="I111" s="212">
        <v>201412</v>
      </c>
      <c r="J111" s="213">
        <v>11747.82</v>
      </c>
      <c r="K111" s="171">
        <f t="shared" si="9"/>
        <v>6</v>
      </c>
      <c r="L111" s="214">
        <v>2.23333E-3</v>
      </c>
      <c r="M111" s="213">
        <f t="shared" si="10"/>
        <v>157.41999999999999</v>
      </c>
      <c r="N111" s="213">
        <f t="shared" si="11"/>
        <v>314.83999999999997</v>
      </c>
      <c r="O111" s="14"/>
      <c r="P111" s="210" t="str">
        <f>VLOOKUP(C111,'WO Descriptions'!$A$5:$D$345,4)</f>
        <v>Service/Yard Line Replacement (SLRP): Company Crew.  Modified Block by Block - Planned replacement of all unprotected steel or copper in a single block.  (Monett - South Region)</v>
      </c>
    </row>
    <row r="112" spans="1:16" ht="30" outlineLevel="2">
      <c r="A112" s="211" t="s">
        <v>1584</v>
      </c>
      <c r="B112" s="212" t="s">
        <v>1586</v>
      </c>
      <c r="C112" s="212" t="s">
        <v>1587</v>
      </c>
      <c r="D112" s="211" t="s">
        <v>1588</v>
      </c>
      <c r="E112" s="212" t="s">
        <v>1589</v>
      </c>
      <c r="F112" s="211" t="s">
        <v>1590</v>
      </c>
      <c r="G112" s="212" t="s">
        <v>23</v>
      </c>
      <c r="H112" s="212" t="s">
        <v>1530</v>
      </c>
      <c r="I112" s="212">
        <v>201412</v>
      </c>
      <c r="J112" s="213">
        <v>2193.1</v>
      </c>
      <c r="K112" s="171">
        <f t="shared" si="9"/>
        <v>6</v>
      </c>
      <c r="L112" s="214">
        <v>2.0333333000000001E-3</v>
      </c>
      <c r="M112" s="213">
        <f t="shared" si="10"/>
        <v>26.76</v>
      </c>
      <c r="N112" s="213">
        <f t="shared" si="11"/>
        <v>53.51</v>
      </c>
      <c r="O112" s="14"/>
      <c r="P112" s="210" t="str">
        <f>VLOOKUP(C112,'WO Descriptions'!$A$5:$D$345,4)</f>
        <v>Service/Yard Line Replacement (SLRP): Company Crew.  Modified Block by Block - Planned replacement of all unprotected steel or copper in a single block.  (Monett - South Region)</v>
      </c>
    </row>
    <row r="113" spans="1:16" outlineLevel="2">
      <c r="A113" s="211" t="s">
        <v>66</v>
      </c>
      <c r="B113" s="212" t="s">
        <v>192</v>
      </c>
      <c r="C113" s="212" t="s">
        <v>193</v>
      </c>
      <c r="D113" s="211" t="s">
        <v>194</v>
      </c>
      <c r="E113" s="212" t="s">
        <v>195</v>
      </c>
      <c r="F113" s="211" t="s">
        <v>196</v>
      </c>
      <c r="G113" s="212" t="s">
        <v>23</v>
      </c>
      <c r="H113" s="212" t="s">
        <v>1530</v>
      </c>
      <c r="I113" s="212">
        <v>201412</v>
      </c>
      <c r="J113" s="213">
        <v>-8.64</v>
      </c>
      <c r="K113" s="171">
        <f t="shared" si="9"/>
        <v>6</v>
      </c>
      <c r="L113" s="214">
        <v>2.23333E-3</v>
      </c>
      <c r="M113" s="213">
        <f t="shared" si="10"/>
        <v>-0.12</v>
      </c>
      <c r="N113" s="213">
        <f t="shared" si="11"/>
        <v>-0.23</v>
      </c>
      <c r="O113" s="14"/>
      <c r="P113" s="210" t="str">
        <f>VLOOKUP(C113,'WO Descriptions'!$A$5:$D$345,4)</f>
        <v>Line Locates - Service Line Replacements Only (Kansas City - Central Region)</v>
      </c>
    </row>
    <row r="114" spans="1:16" ht="30" outlineLevel="2">
      <c r="A114" s="211" t="s">
        <v>66</v>
      </c>
      <c r="B114" s="212" t="s">
        <v>197</v>
      </c>
      <c r="C114" s="212" t="s">
        <v>198</v>
      </c>
      <c r="D114" s="211" t="s">
        <v>69</v>
      </c>
      <c r="E114" s="212" t="s">
        <v>199</v>
      </c>
      <c r="F114" s="211" t="s">
        <v>71</v>
      </c>
      <c r="G114" s="212" t="s">
        <v>23</v>
      </c>
      <c r="H114" s="212" t="s">
        <v>1530</v>
      </c>
      <c r="I114" s="212">
        <v>201412</v>
      </c>
      <c r="J114" s="213">
        <v>28.04</v>
      </c>
      <c r="K114" s="171">
        <f t="shared" si="9"/>
        <v>6</v>
      </c>
      <c r="L114" s="214">
        <v>2.23333E-3</v>
      </c>
      <c r="M114" s="213">
        <f t="shared" si="10"/>
        <v>0.38</v>
      </c>
      <c r="N114" s="213">
        <f t="shared" si="11"/>
        <v>0.75</v>
      </c>
      <c r="O114" s="14"/>
      <c r="P114" s="210" t="str">
        <f>VLOOKUP(C114,'WO Descriptions'!$A$5:$D$345,4)</f>
        <v>Service/Yard Line Replacement (SLRP): Company Crew.  Immediate response - replacement single unprotected steel or copper  (Monett - South Region)</v>
      </c>
    </row>
    <row r="115" spans="1:16" ht="30" outlineLevel="2">
      <c r="A115" s="211" t="s">
        <v>1584</v>
      </c>
      <c r="B115" s="212" t="s">
        <v>1591</v>
      </c>
      <c r="C115" s="212" t="s">
        <v>1592</v>
      </c>
      <c r="D115" s="211" t="s">
        <v>1593</v>
      </c>
      <c r="E115" s="212" t="s">
        <v>1594</v>
      </c>
      <c r="F115" s="211" t="s">
        <v>1590</v>
      </c>
      <c r="G115" s="212" t="s">
        <v>23</v>
      </c>
      <c r="H115" s="212" t="s">
        <v>1530</v>
      </c>
      <c r="I115" s="212">
        <v>201412</v>
      </c>
      <c r="J115" s="213">
        <v>-207.19</v>
      </c>
      <c r="K115" s="171">
        <f t="shared" si="9"/>
        <v>6</v>
      </c>
      <c r="L115" s="214">
        <v>2.0333333000000001E-3</v>
      </c>
      <c r="M115" s="213">
        <f t="shared" si="10"/>
        <v>-2.5299999999999998</v>
      </c>
      <c r="N115" s="213">
        <f t="shared" si="11"/>
        <v>-5.0599999999999996</v>
      </c>
      <c r="O115" s="14"/>
      <c r="P115" s="210" t="str">
        <f>VLOOKUP(C115,'WO Descriptions'!$A$5:$D$345,4)</f>
        <v>Service/Yard Line Replacement (SLRP): Company Crew.  Immediate response - replacement single unprotected steel or copper  (Monett - South Region)</v>
      </c>
    </row>
    <row r="116" spans="1:16" ht="30" outlineLevel="2">
      <c r="A116" s="211" t="s">
        <v>1584</v>
      </c>
      <c r="B116" s="212" t="s">
        <v>1595</v>
      </c>
      <c r="C116" s="212" t="s">
        <v>1596</v>
      </c>
      <c r="D116" s="211" t="s">
        <v>1593</v>
      </c>
      <c r="E116" s="212" t="s">
        <v>1597</v>
      </c>
      <c r="F116" s="211" t="s">
        <v>1590</v>
      </c>
      <c r="G116" s="212" t="s">
        <v>23</v>
      </c>
      <c r="H116" s="212" t="s">
        <v>1530</v>
      </c>
      <c r="I116" s="212">
        <v>201412</v>
      </c>
      <c r="J116" s="213">
        <v>24376.35</v>
      </c>
      <c r="K116" s="171">
        <f t="shared" si="9"/>
        <v>6</v>
      </c>
      <c r="L116" s="214">
        <v>2.0333333000000001E-3</v>
      </c>
      <c r="M116" s="213">
        <f t="shared" si="10"/>
        <v>297.39</v>
      </c>
      <c r="N116" s="213">
        <f t="shared" si="11"/>
        <v>594.78</v>
      </c>
      <c r="O116" s="14"/>
      <c r="P116" s="210" t="str">
        <f>VLOOKUP(C116,'WO Descriptions'!$A$5:$D$345,4)</f>
        <v>Service/Yard Line Replacement (SLRP): Company Crew.  Immediate response - replacement single unprotected steel or copper  (Monett - South Region)</v>
      </c>
    </row>
    <row r="117" spans="1:16" ht="30" outlineLevel="2">
      <c r="A117" s="211" t="s">
        <v>66</v>
      </c>
      <c r="B117" s="212" t="s">
        <v>200</v>
      </c>
      <c r="C117" s="212" t="s">
        <v>201</v>
      </c>
      <c r="D117" s="211" t="s">
        <v>202</v>
      </c>
      <c r="E117" s="212" t="s">
        <v>203</v>
      </c>
      <c r="F117" s="211" t="s">
        <v>80</v>
      </c>
      <c r="G117" s="212" t="s">
        <v>23</v>
      </c>
      <c r="H117" s="212" t="s">
        <v>1530</v>
      </c>
      <c r="I117" s="212">
        <v>201412</v>
      </c>
      <c r="J117" s="213">
        <v>23427.599999999999</v>
      </c>
      <c r="K117" s="171">
        <f t="shared" si="9"/>
        <v>6</v>
      </c>
      <c r="L117" s="214">
        <v>2.23333E-3</v>
      </c>
      <c r="M117" s="213">
        <f t="shared" si="10"/>
        <v>313.93</v>
      </c>
      <c r="N117" s="213">
        <f t="shared" si="11"/>
        <v>627.86</v>
      </c>
      <c r="O117" s="14"/>
      <c r="P117" s="210" t="str">
        <f>VLOOKUP(C117,'WO Descriptions'!$A$5:$D$345,4)</f>
        <v>Service/Yard Line Replacement (SLRP): Company Crew.  Modified Block by Block - Planned replacement of all unprotected steel or copper in a single block.  (Kansas City - Central Region)</v>
      </c>
    </row>
    <row r="118" spans="1:16" ht="30" outlineLevel="2">
      <c r="A118" s="211" t="s">
        <v>66</v>
      </c>
      <c r="B118" s="212" t="s">
        <v>223</v>
      </c>
      <c r="C118" s="212" t="s">
        <v>224</v>
      </c>
      <c r="D118" s="211" t="s">
        <v>88</v>
      </c>
      <c r="E118" s="212" t="s">
        <v>225</v>
      </c>
      <c r="F118" s="211" t="s">
        <v>85</v>
      </c>
      <c r="G118" s="212" t="s">
        <v>23</v>
      </c>
      <c r="H118" s="212" t="s">
        <v>1530</v>
      </c>
      <c r="I118" s="212">
        <v>201412</v>
      </c>
      <c r="J118" s="213">
        <v>18.05</v>
      </c>
      <c r="K118" s="171">
        <f t="shared" si="9"/>
        <v>6</v>
      </c>
      <c r="L118" s="214">
        <v>2.23333E-3</v>
      </c>
      <c r="M118" s="213">
        <f t="shared" si="10"/>
        <v>0.24</v>
      </c>
      <c r="N118" s="213">
        <f t="shared" si="11"/>
        <v>0.48</v>
      </c>
      <c r="O118" s="14"/>
      <c r="P118" s="210" t="str">
        <f>VLOOKUP(C118,'WO Descriptions'!$A$5:$D$345,4)</f>
        <v>Service/Yard Line Replacement (SLRP): Contract Crew.  Block by Block - Planned replacement of all unprotected steel or copper in a single block.  (Joplin - South Region)</v>
      </c>
    </row>
    <row r="119" spans="1:16" ht="30" outlineLevel="2">
      <c r="A119" s="211" t="s">
        <v>1584</v>
      </c>
      <c r="B119" s="212" t="s">
        <v>1598</v>
      </c>
      <c r="C119" s="212" t="s">
        <v>1599</v>
      </c>
      <c r="D119" s="211" t="s">
        <v>1600</v>
      </c>
      <c r="E119" s="212" t="s">
        <v>1601</v>
      </c>
      <c r="F119" s="211" t="s">
        <v>1590</v>
      </c>
      <c r="G119" s="212" t="s">
        <v>23</v>
      </c>
      <c r="H119" s="212" t="s">
        <v>1530</v>
      </c>
      <c r="I119" s="212">
        <v>201412</v>
      </c>
      <c r="J119" s="213">
        <v>23241.21</v>
      </c>
      <c r="K119" s="171">
        <f t="shared" si="9"/>
        <v>6</v>
      </c>
      <c r="L119" s="214">
        <v>2.0333333000000001E-3</v>
      </c>
      <c r="M119" s="213">
        <f t="shared" si="10"/>
        <v>283.54000000000002</v>
      </c>
      <c r="N119" s="213">
        <f t="shared" si="11"/>
        <v>567.09</v>
      </c>
      <c r="O119" s="14"/>
      <c r="P119" s="210" t="str">
        <f>VLOOKUP(C119,'WO Descriptions'!$A$5:$D$345,4)</f>
        <v>Service/Yard Line Replacement (SLRP): Contract Crew.  Block by Block - Planned replacement of all unprotected steel or copper in a single block.  (Joplin - South Region)</v>
      </c>
    </row>
    <row r="120" spans="1:16" ht="30" outlineLevel="2">
      <c r="A120" s="211" t="s">
        <v>66</v>
      </c>
      <c r="B120" s="212" t="s">
        <v>226</v>
      </c>
      <c r="C120" s="212" t="s">
        <v>227</v>
      </c>
      <c r="D120" s="211" t="s">
        <v>78</v>
      </c>
      <c r="E120" s="212" t="s">
        <v>228</v>
      </c>
      <c r="F120" s="211" t="s">
        <v>80</v>
      </c>
      <c r="G120" s="212" t="s">
        <v>23</v>
      </c>
      <c r="H120" s="212" t="s">
        <v>1530</v>
      </c>
      <c r="I120" s="212">
        <v>201412</v>
      </c>
      <c r="J120" s="213">
        <v>148.91</v>
      </c>
      <c r="K120" s="171">
        <f t="shared" si="9"/>
        <v>6</v>
      </c>
      <c r="L120" s="214">
        <v>2.23333E-3</v>
      </c>
      <c r="M120" s="213">
        <f t="shared" si="10"/>
        <v>2</v>
      </c>
      <c r="N120" s="213">
        <f t="shared" si="11"/>
        <v>3.99</v>
      </c>
      <c r="O120" s="14"/>
      <c r="P120" s="210" t="str">
        <f>VLOOKUP(C120,'WO Descriptions'!$A$5:$D$345,4)</f>
        <v>Service/Yard Line Replacement (SLRP): Company Crew.  Modified Block by Block - Planned replacement of all unprotected steel or copper in a single block.  (Joplin - South Region)</v>
      </c>
    </row>
    <row r="121" spans="1:16" ht="30" outlineLevel="2">
      <c r="A121" s="211" t="s">
        <v>66</v>
      </c>
      <c r="B121" s="212" t="s">
        <v>229</v>
      </c>
      <c r="C121" s="212" t="s">
        <v>230</v>
      </c>
      <c r="D121" s="211" t="s">
        <v>78</v>
      </c>
      <c r="E121" s="212" t="s">
        <v>231</v>
      </c>
      <c r="F121" s="211" t="s">
        <v>80</v>
      </c>
      <c r="G121" s="212" t="s">
        <v>23</v>
      </c>
      <c r="H121" s="212" t="s">
        <v>1530</v>
      </c>
      <c r="I121" s="212">
        <v>201412</v>
      </c>
      <c r="J121" s="213">
        <v>4761.8599999999997</v>
      </c>
      <c r="K121" s="171">
        <f t="shared" si="9"/>
        <v>6</v>
      </c>
      <c r="L121" s="214">
        <v>2.23333E-3</v>
      </c>
      <c r="M121" s="213">
        <f t="shared" si="10"/>
        <v>63.81</v>
      </c>
      <c r="N121" s="213">
        <f t="shared" si="11"/>
        <v>127.62</v>
      </c>
      <c r="O121" s="14"/>
      <c r="P121" s="210" t="str">
        <f>VLOOKUP(C121,'WO Descriptions'!$A$5:$D$345,4)</f>
        <v>Service/Yard Line Replacement (SLRP): Company Crew.  Modified Block by Block - Planned replacement of all unprotected steel or copper in a single block.  (Lee's Summit - East Region)</v>
      </c>
    </row>
    <row r="122" spans="1:16" ht="30" outlineLevel="2">
      <c r="A122" s="211" t="s">
        <v>66</v>
      </c>
      <c r="B122" s="212" t="s">
        <v>371</v>
      </c>
      <c r="C122" s="212" t="s">
        <v>372</v>
      </c>
      <c r="D122" s="211" t="s">
        <v>88</v>
      </c>
      <c r="E122" s="212" t="s">
        <v>373</v>
      </c>
      <c r="F122" s="211" t="s">
        <v>85</v>
      </c>
      <c r="G122" s="212" t="s">
        <v>23</v>
      </c>
      <c r="H122" s="212" t="s">
        <v>1530</v>
      </c>
      <c r="I122" s="212">
        <v>201412</v>
      </c>
      <c r="J122" s="213">
        <v>2148.71</v>
      </c>
      <c r="K122" s="171">
        <f t="shared" si="9"/>
        <v>6</v>
      </c>
      <c r="L122" s="214">
        <v>2.23333E-3</v>
      </c>
      <c r="M122" s="213">
        <f t="shared" si="10"/>
        <v>28.79</v>
      </c>
      <c r="N122" s="213">
        <f t="shared" si="11"/>
        <v>57.59</v>
      </c>
      <c r="O122" s="14"/>
      <c r="P122" s="210" t="str">
        <f>VLOOKUP(C122,'WO Descriptions'!$A$5:$D$345,4)</f>
        <v>Service/Yard Line Replacement (SLRP): Contract Crew.  Block by Block - Planned replacement of all unprotected steel or copper in a single block.  (Lee's Summit - East Region)</v>
      </c>
    </row>
    <row r="123" spans="1:16" ht="30" outlineLevel="2">
      <c r="A123" s="211" t="s">
        <v>66</v>
      </c>
      <c r="B123" s="212" t="s">
        <v>374</v>
      </c>
      <c r="C123" s="212" t="s">
        <v>375</v>
      </c>
      <c r="D123" s="211" t="s">
        <v>376</v>
      </c>
      <c r="E123" s="212" t="s">
        <v>377</v>
      </c>
      <c r="F123" s="211" t="s">
        <v>378</v>
      </c>
      <c r="G123" s="212" t="s">
        <v>23</v>
      </c>
      <c r="H123" s="212" t="s">
        <v>1530</v>
      </c>
      <c r="I123" s="212">
        <v>201412</v>
      </c>
      <c r="J123" s="213">
        <v>1572.18</v>
      </c>
      <c r="K123" s="171">
        <f t="shared" si="9"/>
        <v>6</v>
      </c>
      <c r="L123" s="214">
        <v>2.23333E-3</v>
      </c>
      <c r="M123" s="213">
        <f t="shared" si="10"/>
        <v>21.07</v>
      </c>
      <c r="N123" s="213">
        <f t="shared" si="11"/>
        <v>42.13</v>
      </c>
      <c r="O123" s="14"/>
      <c r="P123" s="210" t="str">
        <f>VLOOKUP(C123,'WO Descriptions'!$A$5:$D$345,4)</f>
        <v>Service/Yard Line Replacement (SLRP): Contract Crew.  Service/yard line replacement - Material Charges Only  (Joplin - South Region)</v>
      </c>
    </row>
    <row r="124" spans="1:16" ht="30" outlineLevel="2">
      <c r="A124" s="211" t="s">
        <v>66</v>
      </c>
      <c r="B124" s="212" t="s">
        <v>379</v>
      </c>
      <c r="C124" s="212" t="s">
        <v>380</v>
      </c>
      <c r="D124" s="211" t="s">
        <v>381</v>
      </c>
      <c r="E124" s="212" t="s">
        <v>382</v>
      </c>
      <c r="F124" s="211" t="s">
        <v>212</v>
      </c>
      <c r="G124" s="212" t="s">
        <v>23</v>
      </c>
      <c r="H124" s="212" t="s">
        <v>1530</v>
      </c>
      <c r="I124" s="212">
        <v>201412</v>
      </c>
      <c r="J124" s="213">
        <v>-3419.01</v>
      </c>
      <c r="K124" s="171">
        <f t="shared" si="9"/>
        <v>6</v>
      </c>
      <c r="L124" s="214">
        <v>2.23333E-3</v>
      </c>
      <c r="M124" s="213">
        <f t="shared" si="10"/>
        <v>-45.81</v>
      </c>
      <c r="N124" s="213">
        <f t="shared" si="11"/>
        <v>-91.63</v>
      </c>
      <c r="O124" s="14"/>
      <c r="P124" s="210" t="str">
        <f>VLOOKUP(C124,'WO Descriptions'!$A$5:$D$345,4)</f>
        <v>Service/Yard Line Replacement (SLRP): Contract Crew.  Immediate response - replacement single unprotected steel or copper  (Kansas City - Central Region)</v>
      </c>
    </row>
    <row r="125" spans="1:16" ht="30" outlineLevel="2">
      <c r="A125" s="211" t="s">
        <v>66</v>
      </c>
      <c r="B125" s="212" t="s">
        <v>383</v>
      </c>
      <c r="C125" s="212" t="s">
        <v>384</v>
      </c>
      <c r="D125" s="211" t="s">
        <v>385</v>
      </c>
      <c r="E125" s="212" t="s">
        <v>386</v>
      </c>
      <c r="F125" s="211" t="s">
        <v>387</v>
      </c>
      <c r="G125" s="212" t="s">
        <v>23</v>
      </c>
      <c r="H125" s="212" t="s">
        <v>1530</v>
      </c>
      <c r="I125" s="212">
        <v>201412</v>
      </c>
      <c r="J125" s="213">
        <v>155294.04</v>
      </c>
      <c r="K125" s="171">
        <f t="shared" si="9"/>
        <v>6</v>
      </c>
      <c r="L125" s="214">
        <v>2.23333E-3</v>
      </c>
      <c r="M125" s="213">
        <f t="shared" si="10"/>
        <v>2080.94</v>
      </c>
      <c r="N125" s="213">
        <f t="shared" si="11"/>
        <v>4161.87</v>
      </c>
      <c r="O125" s="14"/>
      <c r="P125" s="210" t="str">
        <f>VLOOKUP(C125,'WO Descriptions'!$A$5:$D$345,4)</f>
        <v>Replacement and/or removal of existing protected steel or plastic (Kansas City - Central Region)</v>
      </c>
    </row>
    <row r="126" spans="1:16" outlineLevel="2">
      <c r="A126" s="211" t="s">
        <v>66</v>
      </c>
      <c r="B126" s="212" t="s">
        <v>388</v>
      </c>
      <c r="C126" s="212" t="s">
        <v>389</v>
      </c>
      <c r="D126" s="211" t="s">
        <v>385</v>
      </c>
      <c r="E126" s="212" t="s">
        <v>390</v>
      </c>
      <c r="F126" s="211" t="s">
        <v>387</v>
      </c>
      <c r="G126" s="212" t="s">
        <v>23</v>
      </c>
      <c r="H126" s="212" t="s">
        <v>1530</v>
      </c>
      <c r="I126" s="212">
        <v>201412</v>
      </c>
      <c r="J126" s="213">
        <v>24453.55</v>
      </c>
      <c r="K126" s="171">
        <f t="shared" si="9"/>
        <v>6</v>
      </c>
      <c r="L126" s="214">
        <v>2.23333E-3</v>
      </c>
      <c r="M126" s="213">
        <f t="shared" si="10"/>
        <v>327.68</v>
      </c>
      <c r="N126" s="213">
        <f t="shared" si="11"/>
        <v>655.35</v>
      </c>
      <c r="O126" s="14"/>
      <c r="P126" s="210" t="str">
        <f>VLOOKUP(C126,'WO Descriptions'!$A$5:$D$345,4)</f>
        <v>Replacement and/or removal of existing protected steel or plastic (Lee's Summit - East Region)</v>
      </c>
    </row>
    <row r="127" spans="1:16" ht="30" outlineLevel="2">
      <c r="A127" s="211" t="s">
        <v>66</v>
      </c>
      <c r="B127" s="212" t="s">
        <v>489</v>
      </c>
      <c r="C127" s="212" t="s">
        <v>490</v>
      </c>
      <c r="D127" s="211" t="s">
        <v>491</v>
      </c>
      <c r="E127" s="212" t="s">
        <v>492</v>
      </c>
      <c r="F127" s="211" t="s">
        <v>378</v>
      </c>
      <c r="G127" s="212" t="s">
        <v>23</v>
      </c>
      <c r="H127" s="212" t="s">
        <v>1530</v>
      </c>
      <c r="I127" s="212">
        <v>201412</v>
      </c>
      <c r="J127" s="213">
        <v>-341.38</v>
      </c>
      <c r="K127" s="171">
        <f t="shared" si="9"/>
        <v>6</v>
      </c>
      <c r="L127" s="214">
        <v>2.23333E-3</v>
      </c>
      <c r="M127" s="213">
        <f t="shared" si="10"/>
        <v>-4.57</v>
      </c>
      <c r="N127" s="213">
        <f t="shared" si="11"/>
        <v>-9.15</v>
      </c>
      <c r="O127" s="14"/>
      <c r="P127" s="210" t="str">
        <f>VLOOKUP(C127,'WO Descriptions'!$A$5:$D$345,4)</f>
        <v>Service/Yard Line Replacement (SLRP): Contract Crew.  Service/yard line replacement - Material Charges Only  (Kansas City - Central Region)</v>
      </c>
    </row>
    <row r="128" spans="1:16" ht="30" outlineLevel="2">
      <c r="A128" s="211" t="s">
        <v>1584</v>
      </c>
      <c r="B128" s="212" t="s">
        <v>1605</v>
      </c>
      <c r="C128" s="212" t="s">
        <v>1606</v>
      </c>
      <c r="D128" s="211" t="s">
        <v>1607</v>
      </c>
      <c r="E128" s="212" t="s">
        <v>1608</v>
      </c>
      <c r="F128" s="211" t="s">
        <v>1590</v>
      </c>
      <c r="G128" s="212" t="s">
        <v>23</v>
      </c>
      <c r="H128" s="212" t="s">
        <v>1530</v>
      </c>
      <c r="I128" s="212">
        <v>201412</v>
      </c>
      <c r="J128" s="213">
        <v>11008.76</v>
      </c>
      <c r="K128" s="171">
        <f t="shared" si="9"/>
        <v>6</v>
      </c>
      <c r="L128" s="214">
        <v>2.0333333000000001E-3</v>
      </c>
      <c r="M128" s="213">
        <f t="shared" si="10"/>
        <v>134.31</v>
      </c>
      <c r="N128" s="213">
        <f t="shared" si="11"/>
        <v>268.61</v>
      </c>
      <c r="O128" s="14"/>
      <c r="P128" s="210" t="str">
        <f>VLOOKUP(C128,'WO Descriptions'!$A$5:$D$345,4)</f>
        <v>Service/Yard Line Replacement (SLRP): Contract Crew.  Service/yard line replacement - Material Charges Only  (Kansas City - Central Region)</v>
      </c>
    </row>
    <row r="129" spans="1:16" ht="30" outlineLevel="2">
      <c r="A129" s="211" t="s">
        <v>66</v>
      </c>
      <c r="B129" s="212" t="s">
        <v>496</v>
      </c>
      <c r="C129" s="212" t="s">
        <v>497</v>
      </c>
      <c r="D129" s="211" t="s">
        <v>376</v>
      </c>
      <c r="E129" s="212" t="s">
        <v>498</v>
      </c>
      <c r="F129" s="211" t="s">
        <v>378</v>
      </c>
      <c r="G129" s="212" t="s">
        <v>23</v>
      </c>
      <c r="H129" s="212" t="s">
        <v>1530</v>
      </c>
      <c r="I129" s="212">
        <v>201412</v>
      </c>
      <c r="J129" s="213">
        <v>44688.62</v>
      </c>
      <c r="K129" s="171">
        <f t="shared" si="9"/>
        <v>6</v>
      </c>
      <c r="L129" s="214">
        <v>2.23333E-3</v>
      </c>
      <c r="M129" s="213">
        <f t="shared" si="10"/>
        <v>598.83000000000004</v>
      </c>
      <c r="N129" s="213">
        <f t="shared" si="11"/>
        <v>1197.6500000000001</v>
      </c>
      <c r="O129" s="14"/>
      <c r="P129" s="210" t="str">
        <f>VLOOKUP(C129,'WO Descriptions'!$A$5:$D$345,4)</f>
        <v>Service/Yard Line Replacement (SLRP): Contract Crew.  Service/yard line replacement - Material Charges Only  (Lee's Summit - East Region)</v>
      </c>
    </row>
    <row r="130" spans="1:16" outlineLevel="2">
      <c r="A130" s="211" t="s">
        <v>66</v>
      </c>
      <c r="B130" s="212" t="s">
        <v>499</v>
      </c>
      <c r="C130" s="212" t="s">
        <v>500</v>
      </c>
      <c r="D130" s="211" t="s">
        <v>385</v>
      </c>
      <c r="E130" s="212" t="s">
        <v>501</v>
      </c>
      <c r="F130" s="211" t="s">
        <v>387</v>
      </c>
      <c r="G130" s="212" t="s">
        <v>23</v>
      </c>
      <c r="H130" s="212" t="s">
        <v>1530</v>
      </c>
      <c r="I130" s="212">
        <v>201412</v>
      </c>
      <c r="J130" s="213">
        <v>-1460.39</v>
      </c>
      <c r="K130" s="171">
        <f t="shared" si="9"/>
        <v>6</v>
      </c>
      <c r="L130" s="214">
        <v>2.23333E-3</v>
      </c>
      <c r="M130" s="213">
        <f t="shared" si="10"/>
        <v>-19.57</v>
      </c>
      <c r="N130" s="213">
        <f t="shared" si="11"/>
        <v>-39.14</v>
      </c>
      <c r="O130" s="14"/>
      <c r="P130" s="210" t="str">
        <f>VLOOKUP(C130,'WO Descriptions'!$A$5:$D$345,4)</f>
        <v>Replacement and/or removal of existing protected steel or plastic (Joplin - South Region)</v>
      </c>
    </row>
    <row r="131" spans="1:16" outlineLevel="2">
      <c r="A131" s="211" t="s">
        <v>66</v>
      </c>
      <c r="B131" s="212" t="s">
        <v>1027</v>
      </c>
      <c r="C131" s="212" t="s">
        <v>1028</v>
      </c>
      <c r="D131" s="211" t="s">
        <v>194</v>
      </c>
      <c r="E131" s="212" t="s">
        <v>1029</v>
      </c>
      <c r="F131" s="211" t="s">
        <v>196</v>
      </c>
      <c r="G131" s="212" t="s">
        <v>23</v>
      </c>
      <c r="H131" s="212" t="s">
        <v>1530</v>
      </c>
      <c r="I131" s="212">
        <v>201412</v>
      </c>
      <c r="J131" s="213">
        <v>463.42</v>
      </c>
      <c r="K131" s="171">
        <f t="shared" si="9"/>
        <v>6</v>
      </c>
      <c r="L131" s="214">
        <v>2.23333E-3</v>
      </c>
      <c r="M131" s="213">
        <f t="shared" si="10"/>
        <v>6.21</v>
      </c>
      <c r="N131" s="213">
        <f t="shared" si="11"/>
        <v>12.42</v>
      </c>
      <c r="O131" s="14"/>
      <c r="P131" s="210" t="str">
        <f>VLOOKUP(C131,'WO Descriptions'!$A$5:$D$345,4)</f>
        <v>Line Locates - Service Line Replacements Only (Lee's Summit - South Region)</v>
      </c>
    </row>
    <row r="132" spans="1:16" ht="30" outlineLevel="2">
      <c r="A132" s="211" t="s">
        <v>66</v>
      </c>
      <c r="B132" s="212" t="s">
        <v>595</v>
      </c>
      <c r="C132" s="212" t="s">
        <v>596</v>
      </c>
      <c r="D132" s="211" t="s">
        <v>597</v>
      </c>
      <c r="E132" s="212" t="s">
        <v>598</v>
      </c>
      <c r="F132" s="211" t="s">
        <v>212</v>
      </c>
      <c r="G132" s="212" t="s">
        <v>23</v>
      </c>
      <c r="H132" s="212" t="s">
        <v>1530</v>
      </c>
      <c r="I132" s="212">
        <v>201412</v>
      </c>
      <c r="J132" s="213">
        <v>24356.41</v>
      </c>
      <c r="K132" s="171">
        <f t="shared" si="9"/>
        <v>6</v>
      </c>
      <c r="L132" s="214">
        <v>2.23333E-3</v>
      </c>
      <c r="M132" s="213">
        <f t="shared" si="10"/>
        <v>326.38</v>
      </c>
      <c r="N132" s="213">
        <f t="shared" si="11"/>
        <v>652.75</v>
      </c>
      <c r="O132" s="14"/>
      <c r="P132" s="210" t="str">
        <f>VLOOKUP(C132,'WO Descriptions'!$A$5:$D$345,4)</f>
        <v>Service/Yard Line Replacement (SLRP): Contract Crew.  Immediate response - replacement single unprotected steel or copper  (Lee's Summit - East Region)</v>
      </c>
    </row>
    <row r="133" spans="1:16" outlineLevel="2">
      <c r="A133" s="211" t="s">
        <v>66</v>
      </c>
      <c r="B133" s="212" t="s">
        <v>599</v>
      </c>
      <c r="C133" s="212" t="s">
        <v>600</v>
      </c>
      <c r="D133" s="211" t="s">
        <v>385</v>
      </c>
      <c r="E133" s="212" t="s">
        <v>601</v>
      </c>
      <c r="F133" s="211" t="s">
        <v>387</v>
      </c>
      <c r="G133" s="212" t="s">
        <v>23</v>
      </c>
      <c r="H133" s="212" t="s">
        <v>1530</v>
      </c>
      <c r="I133" s="212">
        <v>201412</v>
      </c>
      <c r="J133" s="213">
        <v>5423.03</v>
      </c>
      <c r="K133" s="171">
        <f t="shared" ref="K133:K203" si="12">VLOOKUP(I133,$T$7:$U$15,2)</f>
        <v>6</v>
      </c>
      <c r="L133" s="214">
        <v>2.23333E-3</v>
      </c>
      <c r="M133" s="213">
        <f t="shared" ref="M133:M142" si="13">ROUND(J133*K133*L133,2)</f>
        <v>72.67</v>
      </c>
      <c r="N133" s="213">
        <f t="shared" ref="N133:N142" si="14">ROUND(J133*L133*12,2)</f>
        <v>145.34</v>
      </c>
      <c r="O133" s="14"/>
      <c r="P133" s="210" t="str">
        <f>VLOOKUP(C133,'WO Descriptions'!$A$5:$D$345,4)</f>
        <v>Replacement and/or removal of existing protected steel or plastic (St. Joseph)</v>
      </c>
    </row>
    <row r="134" spans="1:16" ht="45" outlineLevel="2">
      <c r="A134" s="211" t="s">
        <v>1584</v>
      </c>
      <c r="B134" s="212" t="s">
        <v>1612</v>
      </c>
      <c r="C134" s="212" t="s">
        <v>1613</v>
      </c>
      <c r="D134" s="211" t="s">
        <v>1588</v>
      </c>
      <c r="E134" s="212" t="s">
        <v>1614</v>
      </c>
      <c r="F134" s="211" t="s">
        <v>1590</v>
      </c>
      <c r="G134" s="212" t="s">
        <v>23</v>
      </c>
      <c r="H134" s="212" t="s">
        <v>1530</v>
      </c>
      <c r="I134" s="212">
        <v>201412</v>
      </c>
      <c r="J134" s="213">
        <v>332.2</v>
      </c>
      <c r="K134" s="171">
        <f t="shared" si="12"/>
        <v>6</v>
      </c>
      <c r="L134" s="214">
        <v>2.0333333000000001E-3</v>
      </c>
      <c r="M134" s="213">
        <f t="shared" si="13"/>
        <v>4.05</v>
      </c>
      <c r="N134" s="213">
        <f t="shared" si="14"/>
        <v>8.11</v>
      </c>
      <c r="O134" s="14"/>
      <c r="P134" s="210" t="str">
        <f>VLOOKUP(C134,'WO Descriptions'!$A$5:$D$345,4)</f>
        <v>Approved by: Ken Thomas on 07/01/2013,  Replace 45' of 12in PBS wo unknown with 36' of 12in PCS due to leak on the gate valve. Pressure system C-175KCLS. Job was completed on 3-15-2013.</v>
      </c>
    </row>
    <row r="135" spans="1:16" ht="30" outlineLevel="2">
      <c r="A135" s="211" t="s">
        <v>66</v>
      </c>
      <c r="B135" s="212" t="s">
        <v>671</v>
      </c>
      <c r="C135" s="212" t="s">
        <v>672</v>
      </c>
      <c r="D135" s="211" t="s">
        <v>206</v>
      </c>
      <c r="E135" s="212" t="s">
        <v>673</v>
      </c>
      <c r="F135" s="211" t="s">
        <v>97</v>
      </c>
      <c r="G135" s="212" t="s">
        <v>23</v>
      </c>
      <c r="H135" s="212" t="s">
        <v>1530</v>
      </c>
      <c r="I135" s="212">
        <v>201412</v>
      </c>
      <c r="J135" s="213">
        <v>64.27</v>
      </c>
      <c r="K135" s="171">
        <f t="shared" si="12"/>
        <v>6</v>
      </c>
      <c r="L135" s="214">
        <v>2.23333E-3</v>
      </c>
      <c r="M135" s="213">
        <f t="shared" si="13"/>
        <v>0.86</v>
      </c>
      <c r="N135" s="213">
        <f t="shared" si="14"/>
        <v>1.72</v>
      </c>
      <c r="O135" s="14"/>
      <c r="P135" s="210" t="str">
        <f>VLOOKUP(C135,'WO Descriptions'!$A$5:$D$345,4)</f>
        <v>Service/Yard Line Replacement (SLRP): Company Crew.  Service/yard line replacement - Material Charges Only  (Joplin - South Region)</v>
      </c>
    </row>
    <row r="136" spans="1:16" outlineLevel="2">
      <c r="A136" s="211" t="s">
        <v>66</v>
      </c>
      <c r="B136" s="212" t="s">
        <v>674</v>
      </c>
      <c r="C136" s="212" t="s">
        <v>675</v>
      </c>
      <c r="D136" s="211" t="s">
        <v>385</v>
      </c>
      <c r="E136" s="212" t="s">
        <v>676</v>
      </c>
      <c r="F136" s="211" t="s">
        <v>387</v>
      </c>
      <c r="G136" s="212" t="s">
        <v>23</v>
      </c>
      <c r="H136" s="212" t="s">
        <v>1530</v>
      </c>
      <c r="I136" s="212">
        <v>201412</v>
      </c>
      <c r="J136" s="213">
        <v>4755.1000000000004</v>
      </c>
      <c r="K136" s="171">
        <f t="shared" si="12"/>
        <v>6</v>
      </c>
      <c r="L136" s="214">
        <v>2.23333E-3</v>
      </c>
      <c r="M136" s="213">
        <f t="shared" si="13"/>
        <v>63.72</v>
      </c>
      <c r="N136" s="213">
        <f t="shared" si="14"/>
        <v>127.44</v>
      </c>
      <c r="O136" s="14"/>
      <c r="P136" s="210" t="str">
        <f>VLOOKUP(C136,'WO Descriptions'!$A$5:$D$345,4)</f>
        <v>Replacement and/or removal of existing protected steel or plastic (Monett - South Region)</v>
      </c>
    </row>
    <row r="137" spans="1:16" ht="30" outlineLevel="2">
      <c r="A137" s="211" t="s">
        <v>66</v>
      </c>
      <c r="B137" s="212" t="s">
        <v>741</v>
      </c>
      <c r="C137" s="212" t="s">
        <v>742</v>
      </c>
      <c r="D137" s="211" t="s">
        <v>69</v>
      </c>
      <c r="E137" s="212" t="s">
        <v>70</v>
      </c>
      <c r="F137" s="211" t="s">
        <v>71</v>
      </c>
      <c r="G137" s="212" t="s">
        <v>23</v>
      </c>
      <c r="H137" s="212" t="s">
        <v>1530</v>
      </c>
      <c r="I137" s="212">
        <v>201412</v>
      </c>
      <c r="J137" s="213">
        <v>8.01</v>
      </c>
      <c r="K137" s="171">
        <f t="shared" si="12"/>
        <v>6</v>
      </c>
      <c r="L137" s="214">
        <v>2.23333E-3</v>
      </c>
      <c r="M137" s="213">
        <f t="shared" si="13"/>
        <v>0.11</v>
      </c>
      <c r="N137" s="213">
        <f t="shared" si="14"/>
        <v>0.21</v>
      </c>
      <c r="O137" s="14"/>
      <c r="P137" s="210" t="str">
        <f>VLOOKUP(C137,'WO Descriptions'!$A$5:$D$345,4)</f>
        <v>Service/Yard Line Replacement (SLRP): Company Crew.  Immediate response - replacement single unprotected steel or copper  (Lee's Summit - East Region)</v>
      </c>
    </row>
    <row r="138" spans="1:16" ht="30" outlineLevel="2">
      <c r="A138" s="211" t="s">
        <v>66</v>
      </c>
      <c r="B138" s="212" t="s">
        <v>743</v>
      </c>
      <c r="C138" s="212" t="s">
        <v>744</v>
      </c>
      <c r="D138" s="211" t="s">
        <v>745</v>
      </c>
      <c r="E138" s="212" t="s">
        <v>746</v>
      </c>
      <c r="F138" s="211" t="s">
        <v>80</v>
      </c>
      <c r="G138" s="212" t="s">
        <v>23</v>
      </c>
      <c r="H138" s="212" t="s">
        <v>1530</v>
      </c>
      <c r="I138" s="212">
        <v>201412</v>
      </c>
      <c r="J138" s="213">
        <v>-3814.16</v>
      </c>
      <c r="K138" s="171">
        <f t="shared" si="12"/>
        <v>6</v>
      </c>
      <c r="L138" s="214">
        <v>2.23333E-3</v>
      </c>
      <c r="M138" s="213">
        <f t="shared" si="13"/>
        <v>-51.11</v>
      </c>
      <c r="N138" s="213">
        <f t="shared" si="14"/>
        <v>-102.22</v>
      </c>
      <c r="O138" s="14"/>
      <c r="P138" s="210" t="str">
        <f>VLOOKUP(C138,'WO Descriptions'!$A$5:$D$345,4)</f>
        <v>Service/Yard Line Replacement (SLRP): Contract Crew.  Modified Block by Block - Planned replacement of unprotected steel or copper  (Kansas City - Central Region)</v>
      </c>
    </row>
    <row r="139" spans="1:16" ht="30" outlineLevel="2">
      <c r="A139" s="211" t="s">
        <v>66</v>
      </c>
      <c r="B139" s="212" t="s">
        <v>747</v>
      </c>
      <c r="C139" s="212" t="s">
        <v>748</v>
      </c>
      <c r="D139" s="211" t="s">
        <v>78</v>
      </c>
      <c r="E139" s="212" t="s">
        <v>749</v>
      </c>
      <c r="F139" s="211" t="s">
        <v>80</v>
      </c>
      <c r="G139" s="212" t="s">
        <v>23</v>
      </c>
      <c r="H139" s="212" t="s">
        <v>1530</v>
      </c>
      <c r="I139" s="212">
        <v>201412</v>
      </c>
      <c r="J139" s="213">
        <v>8776.2099999999991</v>
      </c>
      <c r="K139" s="171">
        <f t="shared" si="12"/>
        <v>6</v>
      </c>
      <c r="L139" s="214">
        <v>2.23333E-3</v>
      </c>
      <c r="M139" s="213">
        <f t="shared" si="13"/>
        <v>117.6</v>
      </c>
      <c r="N139" s="213">
        <f t="shared" si="14"/>
        <v>235.2</v>
      </c>
      <c r="O139" s="14"/>
      <c r="P139" s="210" t="str">
        <f>VLOOKUP(C139,'WO Descriptions'!$A$5:$D$345,4)</f>
        <v>Service/Yard Line Replacement (SLRP): Contract Crew.  Modified Block by Block - Planned replacement of unprotected steel or copper  (Joplin - South Region)</v>
      </c>
    </row>
    <row r="140" spans="1:16" ht="30" outlineLevel="2">
      <c r="A140" s="211" t="s">
        <v>66</v>
      </c>
      <c r="B140" s="212" t="s">
        <v>750</v>
      </c>
      <c r="C140" s="212" t="s">
        <v>751</v>
      </c>
      <c r="D140" s="211" t="s">
        <v>78</v>
      </c>
      <c r="E140" s="212" t="s">
        <v>752</v>
      </c>
      <c r="F140" s="211" t="s">
        <v>80</v>
      </c>
      <c r="G140" s="212" t="s">
        <v>23</v>
      </c>
      <c r="H140" s="212" t="s">
        <v>1530</v>
      </c>
      <c r="I140" s="212">
        <v>201412</v>
      </c>
      <c r="J140" s="213">
        <v>48.78</v>
      </c>
      <c r="K140" s="171">
        <f t="shared" si="12"/>
        <v>6</v>
      </c>
      <c r="L140" s="214">
        <v>2.23333E-3</v>
      </c>
      <c r="M140" s="213">
        <f t="shared" si="13"/>
        <v>0.65</v>
      </c>
      <c r="N140" s="213">
        <f t="shared" si="14"/>
        <v>1.31</v>
      </c>
      <c r="O140" s="14"/>
      <c r="P140" s="210" t="str">
        <f>VLOOKUP(C140,'WO Descriptions'!$A$5:$D$345,4)</f>
        <v>Service/Yard Line Replacement (SLRP): Contract Crew.  Modified Block by Block - Planned replacement of unprotected steel or copper  (St. Joseph)</v>
      </c>
    </row>
    <row r="141" spans="1:16" ht="30" outlineLevel="2">
      <c r="A141" s="211" t="s">
        <v>1584</v>
      </c>
      <c r="B141" s="212" t="s">
        <v>1615</v>
      </c>
      <c r="C141" s="212" t="s">
        <v>1616</v>
      </c>
      <c r="D141" s="211" t="s">
        <v>1593</v>
      </c>
      <c r="E141" s="212" t="s">
        <v>1617</v>
      </c>
      <c r="F141" s="211" t="s">
        <v>1590</v>
      </c>
      <c r="G141" s="212" t="s">
        <v>23</v>
      </c>
      <c r="H141" s="212" t="s">
        <v>1530</v>
      </c>
      <c r="I141" s="212">
        <v>201412</v>
      </c>
      <c r="J141" s="213">
        <v>-275.81</v>
      </c>
      <c r="K141" s="171">
        <f t="shared" si="12"/>
        <v>6</v>
      </c>
      <c r="L141" s="214">
        <v>2.0333333000000001E-3</v>
      </c>
      <c r="M141" s="213">
        <f t="shared" si="13"/>
        <v>-3.36</v>
      </c>
      <c r="N141" s="213">
        <f t="shared" si="14"/>
        <v>-6.73</v>
      </c>
      <c r="O141" s="14"/>
      <c r="P141" s="210" t="str">
        <f>VLOOKUP(C141,'WO Descriptions'!$A$5:$D$345,4)</f>
        <v>Service/Yard Line Replacement (SLRP): Contract Crew.  Modified Block by Block - Planned replacement of unprotected steel or copper  (St. Joseph)</v>
      </c>
    </row>
    <row r="142" spans="1:16" ht="30" outlineLevel="2">
      <c r="A142" s="211" t="s">
        <v>66</v>
      </c>
      <c r="B142" s="212" t="s">
        <v>753</v>
      </c>
      <c r="C142" s="212" t="s">
        <v>754</v>
      </c>
      <c r="D142" s="211" t="s">
        <v>206</v>
      </c>
      <c r="E142" s="212" t="s">
        <v>755</v>
      </c>
      <c r="F142" s="211" t="s">
        <v>97</v>
      </c>
      <c r="G142" s="212" t="s">
        <v>23</v>
      </c>
      <c r="H142" s="212" t="s">
        <v>1530</v>
      </c>
      <c r="I142" s="212">
        <v>201412</v>
      </c>
      <c r="J142" s="213">
        <v>2824.7</v>
      </c>
      <c r="K142" s="171">
        <f t="shared" si="12"/>
        <v>6</v>
      </c>
      <c r="L142" s="214">
        <v>2.23333E-3</v>
      </c>
      <c r="M142" s="213">
        <f t="shared" si="13"/>
        <v>37.85</v>
      </c>
      <c r="N142" s="213">
        <f t="shared" si="14"/>
        <v>75.7</v>
      </c>
      <c r="O142" s="14"/>
      <c r="P142" s="210" t="str">
        <f>VLOOKUP(C142,'WO Descriptions'!$A$5:$D$384,4)</f>
        <v>Service/Yard Line Replacement (SLRP): Company Crew.  Service/yard line replacement - Material Charges Only  (Lee's Summit - East Region)</v>
      </c>
    </row>
    <row r="143" spans="1:16" ht="30" outlineLevel="2">
      <c r="A143" s="223" t="s">
        <v>66</v>
      </c>
      <c r="B143" s="250" t="s">
        <v>72</v>
      </c>
      <c r="C143" s="250" t="s">
        <v>73</v>
      </c>
      <c r="D143" s="223" t="s">
        <v>74</v>
      </c>
      <c r="E143" s="250" t="s">
        <v>75</v>
      </c>
      <c r="F143" s="223" t="s">
        <v>71</v>
      </c>
      <c r="G143" s="250" t="s">
        <v>23</v>
      </c>
      <c r="H143" s="250" t="s">
        <v>1530</v>
      </c>
      <c r="I143" s="250">
        <v>201501</v>
      </c>
      <c r="J143" s="251">
        <v>102428.46</v>
      </c>
      <c r="K143" s="171">
        <f t="shared" si="12"/>
        <v>5</v>
      </c>
      <c r="L143" s="253">
        <v>2.23333E-3</v>
      </c>
      <c r="M143" s="251">
        <f t="shared" ref="M143:M175" si="15">ROUND(J143*K143*L143,2)</f>
        <v>1143.78</v>
      </c>
      <c r="N143" s="251">
        <f t="shared" ref="N143:N175" si="16">ROUND(J143*L143*12,2)</f>
        <v>2745.08</v>
      </c>
      <c r="O143" s="223"/>
      <c r="P143" s="210" t="str">
        <f>VLOOKUP(C143,'WO Descriptions'!$A$5:$D$384,4)</f>
        <v>Service/Yard Line Replacement (SLRP): Company Crew.  Immediate response - replacement single unprotected steel or copper  (Kansas City - Central Region)</v>
      </c>
    </row>
    <row r="144" spans="1:16" ht="30" outlineLevel="2">
      <c r="A144" s="223" t="s">
        <v>66</v>
      </c>
      <c r="B144" s="250" t="s">
        <v>81</v>
      </c>
      <c r="C144" s="250" t="s">
        <v>82</v>
      </c>
      <c r="D144" s="223" t="s">
        <v>83</v>
      </c>
      <c r="E144" s="250" t="s">
        <v>84</v>
      </c>
      <c r="F144" s="223" t="s">
        <v>85</v>
      </c>
      <c r="G144" s="250" t="s">
        <v>23</v>
      </c>
      <c r="H144" s="250" t="s">
        <v>1530</v>
      </c>
      <c r="I144" s="250">
        <v>201501</v>
      </c>
      <c r="J144" s="251">
        <v>7579.37</v>
      </c>
      <c r="K144" s="171">
        <f t="shared" si="12"/>
        <v>5</v>
      </c>
      <c r="L144" s="253">
        <v>2.23333E-3</v>
      </c>
      <c r="M144" s="251">
        <f t="shared" si="15"/>
        <v>84.64</v>
      </c>
      <c r="N144" s="251">
        <f t="shared" si="16"/>
        <v>203.13</v>
      </c>
      <c r="O144" s="223"/>
      <c r="P144" s="210" t="str">
        <f>VLOOKUP(C144,'WO Descriptions'!$A$5:$D$384,4)</f>
        <v>Service/Yard Line Replacement (SLRP): Contract Crew.  Block by Block - Planned replacement of all unprotected steel or copper in a single block.  (Kansas City - Central Region)</v>
      </c>
    </row>
    <row r="145" spans="1:16" ht="30" outlineLevel="2">
      <c r="A145" s="223" t="s">
        <v>66</v>
      </c>
      <c r="B145" s="250" t="s">
        <v>90</v>
      </c>
      <c r="C145" s="250" t="s">
        <v>91</v>
      </c>
      <c r="D145" s="223" t="s">
        <v>78</v>
      </c>
      <c r="E145" s="250" t="s">
        <v>92</v>
      </c>
      <c r="F145" s="223" t="s">
        <v>80</v>
      </c>
      <c r="G145" s="250" t="s">
        <v>23</v>
      </c>
      <c r="H145" s="250" t="s">
        <v>1530</v>
      </c>
      <c r="I145" s="250">
        <v>201501</v>
      </c>
      <c r="J145" s="251">
        <v>-1588.73</v>
      </c>
      <c r="K145" s="171">
        <f t="shared" si="12"/>
        <v>5</v>
      </c>
      <c r="L145" s="253">
        <v>2.23333E-3</v>
      </c>
      <c r="M145" s="251">
        <f t="shared" si="15"/>
        <v>-17.739999999999998</v>
      </c>
      <c r="N145" s="251">
        <f t="shared" si="16"/>
        <v>-42.58</v>
      </c>
      <c r="O145" s="223"/>
      <c r="P145" s="210" t="str">
        <f>VLOOKUP(C145,'WO Descriptions'!$A$5:$D$384,4)</f>
        <v>Service/Yard Line Replacement (SLRP): Company Crew.  Modified Block by Block - Planned replacement of all unprotected steel or copper in a single block.  (Monett - South Region)</v>
      </c>
    </row>
    <row r="146" spans="1:16" ht="30" outlineLevel="2">
      <c r="A146" s="223" t="s">
        <v>1584</v>
      </c>
      <c r="B146" s="250" t="s">
        <v>1586</v>
      </c>
      <c r="C146" s="250" t="s">
        <v>1587</v>
      </c>
      <c r="D146" s="223" t="s">
        <v>1588</v>
      </c>
      <c r="E146" s="250" t="s">
        <v>1589</v>
      </c>
      <c r="F146" s="223" t="s">
        <v>1590</v>
      </c>
      <c r="G146" s="250" t="s">
        <v>23</v>
      </c>
      <c r="H146" s="250" t="s">
        <v>1530</v>
      </c>
      <c r="I146" s="250">
        <v>201501</v>
      </c>
      <c r="J146" s="251">
        <v>2733.2</v>
      </c>
      <c r="K146" s="171">
        <f t="shared" si="12"/>
        <v>5</v>
      </c>
      <c r="L146" s="253">
        <v>2.0333333000000001E-3</v>
      </c>
      <c r="M146" s="251">
        <f t="shared" si="15"/>
        <v>27.79</v>
      </c>
      <c r="N146" s="251">
        <f t="shared" si="16"/>
        <v>66.69</v>
      </c>
      <c r="O146" s="223"/>
      <c r="P146" s="210" t="str">
        <f>VLOOKUP(C146,'WO Descriptions'!$A$5:$D$384,4)</f>
        <v>Service/Yard Line Replacement (SLRP): Company Crew.  Modified Block by Block - Planned replacement of all unprotected steel or copper in a single block.  (Monett - South Region)</v>
      </c>
    </row>
    <row r="147" spans="1:16" outlineLevel="2">
      <c r="A147" s="223" t="s">
        <v>66</v>
      </c>
      <c r="B147" s="250" t="s">
        <v>192</v>
      </c>
      <c r="C147" s="250" t="s">
        <v>193</v>
      </c>
      <c r="D147" s="223" t="s">
        <v>194</v>
      </c>
      <c r="E147" s="250" t="s">
        <v>195</v>
      </c>
      <c r="F147" s="223" t="s">
        <v>196</v>
      </c>
      <c r="G147" s="250" t="s">
        <v>23</v>
      </c>
      <c r="H147" s="250" t="s">
        <v>1530</v>
      </c>
      <c r="I147" s="250">
        <v>201501</v>
      </c>
      <c r="J147" s="251">
        <v>-0.37</v>
      </c>
      <c r="K147" s="171">
        <f t="shared" si="12"/>
        <v>5</v>
      </c>
      <c r="L147" s="253">
        <v>2.23333E-3</v>
      </c>
      <c r="M147" s="251">
        <f t="shared" si="15"/>
        <v>0</v>
      </c>
      <c r="N147" s="251">
        <f t="shared" si="16"/>
        <v>-0.01</v>
      </c>
      <c r="O147" s="223"/>
      <c r="P147" s="210" t="str">
        <f>VLOOKUP(C147,'WO Descriptions'!$A$5:$D$384,4)</f>
        <v>Line Locates - Service Line Replacements Only (Kansas City - Central Region)</v>
      </c>
    </row>
    <row r="148" spans="1:16" ht="30" outlineLevel="2">
      <c r="A148" s="223" t="s">
        <v>66</v>
      </c>
      <c r="B148" s="250" t="s">
        <v>197</v>
      </c>
      <c r="C148" s="250" t="s">
        <v>198</v>
      </c>
      <c r="D148" s="223" t="s">
        <v>69</v>
      </c>
      <c r="E148" s="250" t="s">
        <v>199</v>
      </c>
      <c r="F148" s="223" t="s">
        <v>71</v>
      </c>
      <c r="G148" s="250" t="s">
        <v>23</v>
      </c>
      <c r="H148" s="250" t="s">
        <v>1530</v>
      </c>
      <c r="I148" s="250">
        <v>201501</v>
      </c>
      <c r="J148" s="251">
        <v>5773.19</v>
      </c>
      <c r="K148" s="171">
        <f t="shared" si="12"/>
        <v>5</v>
      </c>
      <c r="L148" s="253">
        <v>2.23333E-3</v>
      </c>
      <c r="M148" s="251">
        <f t="shared" si="15"/>
        <v>64.47</v>
      </c>
      <c r="N148" s="251">
        <f t="shared" si="16"/>
        <v>154.72</v>
      </c>
      <c r="O148" s="223"/>
      <c r="P148" s="210" t="str">
        <f>VLOOKUP(C148,'WO Descriptions'!$A$5:$D$384,4)</f>
        <v>Service/Yard Line Replacement (SLRP): Company Crew.  Immediate response - replacement single unprotected steel or copper  (Monett - South Region)</v>
      </c>
    </row>
    <row r="149" spans="1:16" ht="30" outlineLevel="2">
      <c r="A149" s="223" t="s">
        <v>1584</v>
      </c>
      <c r="B149" s="250" t="s">
        <v>1591</v>
      </c>
      <c r="C149" s="250" t="s">
        <v>1592</v>
      </c>
      <c r="D149" s="223" t="s">
        <v>1593</v>
      </c>
      <c r="E149" s="250" t="s">
        <v>1594</v>
      </c>
      <c r="F149" s="223" t="s">
        <v>1590</v>
      </c>
      <c r="G149" s="250" t="s">
        <v>23</v>
      </c>
      <c r="H149" s="250" t="s">
        <v>1530</v>
      </c>
      <c r="I149" s="250">
        <v>201501</v>
      </c>
      <c r="J149" s="251">
        <v>-9.6</v>
      </c>
      <c r="K149" s="171">
        <f t="shared" si="12"/>
        <v>5</v>
      </c>
      <c r="L149" s="253">
        <v>2.0333333000000001E-3</v>
      </c>
      <c r="M149" s="251">
        <f t="shared" si="15"/>
        <v>-0.1</v>
      </c>
      <c r="N149" s="251">
        <f t="shared" si="16"/>
        <v>-0.23</v>
      </c>
      <c r="O149" s="223"/>
      <c r="P149" s="210" t="str">
        <f>VLOOKUP(C149,'WO Descriptions'!$A$5:$D$384,4)</f>
        <v>Service/Yard Line Replacement (SLRP): Company Crew.  Immediate response - replacement single unprotected steel or copper  (Monett - South Region)</v>
      </c>
    </row>
    <row r="150" spans="1:16" ht="30" outlineLevel="2">
      <c r="A150" s="223" t="s">
        <v>1584</v>
      </c>
      <c r="B150" s="250" t="s">
        <v>1595</v>
      </c>
      <c r="C150" s="250" t="s">
        <v>1596</v>
      </c>
      <c r="D150" s="223" t="s">
        <v>1593</v>
      </c>
      <c r="E150" s="250" t="s">
        <v>1597</v>
      </c>
      <c r="F150" s="223" t="s">
        <v>1590</v>
      </c>
      <c r="G150" s="250" t="s">
        <v>23</v>
      </c>
      <c r="H150" s="250" t="s">
        <v>1530</v>
      </c>
      <c r="I150" s="250">
        <v>201501</v>
      </c>
      <c r="J150" s="251">
        <v>16802.72</v>
      </c>
      <c r="K150" s="171">
        <f t="shared" si="12"/>
        <v>5</v>
      </c>
      <c r="L150" s="253">
        <v>2.0333333000000001E-3</v>
      </c>
      <c r="M150" s="251">
        <f t="shared" si="15"/>
        <v>170.83</v>
      </c>
      <c r="N150" s="251">
        <f t="shared" si="16"/>
        <v>409.99</v>
      </c>
      <c r="O150" s="223"/>
      <c r="P150" s="210" t="str">
        <f>VLOOKUP(C150,'WO Descriptions'!$A$5:$D$384,4)</f>
        <v>Service/Yard Line Replacement (SLRP): Company Crew.  Immediate response - replacement single unprotected steel or copper  (Monett - South Region)</v>
      </c>
    </row>
    <row r="151" spans="1:16" ht="30" outlineLevel="2">
      <c r="A151" s="223" t="s">
        <v>66</v>
      </c>
      <c r="B151" s="250" t="s">
        <v>200</v>
      </c>
      <c r="C151" s="250" t="s">
        <v>201</v>
      </c>
      <c r="D151" s="223" t="s">
        <v>202</v>
      </c>
      <c r="E151" s="250" t="s">
        <v>203</v>
      </c>
      <c r="F151" s="223" t="s">
        <v>80</v>
      </c>
      <c r="G151" s="250" t="s">
        <v>23</v>
      </c>
      <c r="H151" s="250" t="s">
        <v>1530</v>
      </c>
      <c r="I151" s="250">
        <v>201501</v>
      </c>
      <c r="J151" s="251">
        <v>12021.72</v>
      </c>
      <c r="K151" s="171">
        <f t="shared" si="12"/>
        <v>5</v>
      </c>
      <c r="L151" s="253">
        <v>2.23333E-3</v>
      </c>
      <c r="M151" s="251">
        <f t="shared" si="15"/>
        <v>134.24</v>
      </c>
      <c r="N151" s="251">
        <f t="shared" si="16"/>
        <v>322.18</v>
      </c>
      <c r="O151" s="223"/>
      <c r="P151" s="210" t="str">
        <f>VLOOKUP(C151,'WO Descriptions'!$A$5:$D$384,4)</f>
        <v>Service/Yard Line Replacement (SLRP): Company Crew.  Modified Block by Block - Planned replacement of all unprotected steel or copper in a single block.  (Kansas City - Central Region)</v>
      </c>
    </row>
    <row r="152" spans="1:16" ht="30" outlineLevel="2">
      <c r="A152" s="223" t="s">
        <v>66</v>
      </c>
      <c r="B152" s="250" t="s">
        <v>223</v>
      </c>
      <c r="C152" s="250" t="s">
        <v>224</v>
      </c>
      <c r="D152" s="223" t="s">
        <v>88</v>
      </c>
      <c r="E152" s="250" t="s">
        <v>225</v>
      </c>
      <c r="F152" s="223" t="s">
        <v>85</v>
      </c>
      <c r="G152" s="250" t="s">
        <v>23</v>
      </c>
      <c r="H152" s="250" t="s">
        <v>1530</v>
      </c>
      <c r="I152" s="250">
        <v>201501</v>
      </c>
      <c r="J152" s="251">
        <v>33.119999999999997</v>
      </c>
      <c r="K152" s="171">
        <f t="shared" si="12"/>
        <v>5</v>
      </c>
      <c r="L152" s="253">
        <v>2.23333E-3</v>
      </c>
      <c r="M152" s="251">
        <f t="shared" si="15"/>
        <v>0.37</v>
      </c>
      <c r="N152" s="251">
        <f t="shared" si="16"/>
        <v>0.89</v>
      </c>
      <c r="O152" s="223"/>
      <c r="P152" s="210" t="str">
        <f>VLOOKUP(C152,'WO Descriptions'!$A$5:$D$384,4)</f>
        <v>Service/Yard Line Replacement (SLRP): Contract Crew.  Block by Block - Planned replacement of all unprotected steel or copper in a single block.  (Joplin - South Region)</v>
      </c>
    </row>
    <row r="153" spans="1:16" ht="30" outlineLevel="2">
      <c r="A153" s="223" t="s">
        <v>1584</v>
      </c>
      <c r="B153" s="250" t="s">
        <v>1598</v>
      </c>
      <c r="C153" s="250" t="s">
        <v>1599</v>
      </c>
      <c r="D153" s="223" t="s">
        <v>1600</v>
      </c>
      <c r="E153" s="250" t="s">
        <v>1601</v>
      </c>
      <c r="F153" s="223" t="s">
        <v>1590</v>
      </c>
      <c r="G153" s="250" t="s">
        <v>23</v>
      </c>
      <c r="H153" s="250" t="s">
        <v>1530</v>
      </c>
      <c r="I153" s="250">
        <v>201501</v>
      </c>
      <c r="J153" s="251">
        <v>-1490</v>
      </c>
      <c r="K153" s="171">
        <f t="shared" si="12"/>
        <v>5</v>
      </c>
      <c r="L153" s="253">
        <v>2.0333333000000001E-3</v>
      </c>
      <c r="M153" s="251">
        <f t="shared" si="15"/>
        <v>-15.15</v>
      </c>
      <c r="N153" s="251">
        <f t="shared" si="16"/>
        <v>-36.36</v>
      </c>
      <c r="O153" s="223"/>
      <c r="P153" s="210" t="str">
        <f>VLOOKUP(C153,'WO Descriptions'!$A$5:$D$384,4)</f>
        <v>Service/Yard Line Replacement (SLRP): Contract Crew.  Block by Block - Planned replacement of all unprotected steel or copper in a single block.  (Joplin - South Region)</v>
      </c>
    </row>
    <row r="154" spans="1:16" ht="30" outlineLevel="2">
      <c r="A154" s="223" t="s">
        <v>66</v>
      </c>
      <c r="B154" s="250" t="s">
        <v>226</v>
      </c>
      <c r="C154" s="250" t="s">
        <v>227</v>
      </c>
      <c r="D154" s="223" t="s">
        <v>78</v>
      </c>
      <c r="E154" s="250" t="s">
        <v>228</v>
      </c>
      <c r="F154" s="223" t="s">
        <v>80</v>
      </c>
      <c r="G154" s="250" t="s">
        <v>23</v>
      </c>
      <c r="H154" s="250" t="s">
        <v>1530</v>
      </c>
      <c r="I154" s="250">
        <v>201501</v>
      </c>
      <c r="J154" s="251">
        <v>17.399999999999999</v>
      </c>
      <c r="K154" s="171">
        <f t="shared" si="12"/>
        <v>5</v>
      </c>
      <c r="L154" s="253">
        <v>2.23333E-3</v>
      </c>
      <c r="M154" s="251">
        <f t="shared" si="15"/>
        <v>0.19</v>
      </c>
      <c r="N154" s="251">
        <f t="shared" si="16"/>
        <v>0.47</v>
      </c>
      <c r="O154" s="223"/>
      <c r="P154" s="210" t="str">
        <f>VLOOKUP(C154,'WO Descriptions'!$A$5:$D$384,4)</f>
        <v>Service/Yard Line Replacement (SLRP): Company Crew.  Modified Block by Block - Planned replacement of all unprotected steel or copper in a single block.  (Joplin - South Region)</v>
      </c>
    </row>
    <row r="155" spans="1:16" ht="30" outlineLevel="2">
      <c r="A155" s="223" t="s">
        <v>66</v>
      </c>
      <c r="B155" s="250" t="s">
        <v>229</v>
      </c>
      <c r="C155" s="250" t="s">
        <v>230</v>
      </c>
      <c r="D155" s="223" t="s">
        <v>78</v>
      </c>
      <c r="E155" s="250" t="s">
        <v>231</v>
      </c>
      <c r="F155" s="223" t="s">
        <v>80</v>
      </c>
      <c r="G155" s="250" t="s">
        <v>23</v>
      </c>
      <c r="H155" s="250" t="s">
        <v>1530</v>
      </c>
      <c r="I155" s="250">
        <v>201501</v>
      </c>
      <c r="J155" s="251">
        <v>519.49</v>
      </c>
      <c r="K155" s="171">
        <f t="shared" si="12"/>
        <v>5</v>
      </c>
      <c r="L155" s="253">
        <v>2.23333E-3</v>
      </c>
      <c r="M155" s="251">
        <f t="shared" si="15"/>
        <v>5.8</v>
      </c>
      <c r="N155" s="251">
        <f t="shared" si="16"/>
        <v>13.92</v>
      </c>
      <c r="O155" s="223"/>
      <c r="P155" s="210" t="str">
        <f>VLOOKUP(C155,'WO Descriptions'!$A$5:$D$384,4)</f>
        <v>Service/Yard Line Replacement (SLRP): Company Crew.  Modified Block by Block - Planned replacement of all unprotected steel or copper in a single block.  (Lee's Summit - East Region)</v>
      </c>
    </row>
    <row r="156" spans="1:16" ht="30" outlineLevel="2">
      <c r="A156" s="223" t="s">
        <v>66</v>
      </c>
      <c r="B156" s="250" t="s">
        <v>371</v>
      </c>
      <c r="C156" s="250" t="s">
        <v>372</v>
      </c>
      <c r="D156" s="223" t="s">
        <v>88</v>
      </c>
      <c r="E156" s="250" t="s">
        <v>373</v>
      </c>
      <c r="F156" s="223" t="s">
        <v>85</v>
      </c>
      <c r="G156" s="250" t="s">
        <v>23</v>
      </c>
      <c r="H156" s="250" t="s">
        <v>1530</v>
      </c>
      <c r="I156" s="250">
        <v>201501</v>
      </c>
      <c r="J156" s="251">
        <v>-66.13</v>
      </c>
      <c r="K156" s="171">
        <f t="shared" si="12"/>
        <v>5</v>
      </c>
      <c r="L156" s="253">
        <v>2.23333E-3</v>
      </c>
      <c r="M156" s="251">
        <f t="shared" si="15"/>
        <v>-0.74</v>
      </c>
      <c r="N156" s="251">
        <f t="shared" si="16"/>
        <v>-1.77</v>
      </c>
      <c r="O156" s="223"/>
      <c r="P156" s="210" t="str">
        <f>VLOOKUP(C156,'WO Descriptions'!$A$5:$D$384,4)</f>
        <v>Service/Yard Line Replacement (SLRP): Contract Crew.  Block by Block - Planned replacement of all unprotected steel or copper in a single block.  (Lee's Summit - East Region)</v>
      </c>
    </row>
    <row r="157" spans="1:16" ht="30" outlineLevel="2">
      <c r="A157" s="223" t="s">
        <v>66</v>
      </c>
      <c r="B157" s="250" t="s">
        <v>374</v>
      </c>
      <c r="C157" s="250" t="s">
        <v>375</v>
      </c>
      <c r="D157" s="223" t="s">
        <v>376</v>
      </c>
      <c r="E157" s="250" t="s">
        <v>377</v>
      </c>
      <c r="F157" s="223" t="s">
        <v>378</v>
      </c>
      <c r="G157" s="250" t="s">
        <v>23</v>
      </c>
      <c r="H157" s="250" t="s">
        <v>1530</v>
      </c>
      <c r="I157" s="250">
        <v>201501</v>
      </c>
      <c r="J157" s="251">
        <v>9578.3799999999992</v>
      </c>
      <c r="K157" s="171">
        <f t="shared" si="12"/>
        <v>5</v>
      </c>
      <c r="L157" s="253">
        <v>2.23333E-3</v>
      </c>
      <c r="M157" s="251">
        <f t="shared" si="15"/>
        <v>106.96</v>
      </c>
      <c r="N157" s="251">
        <f t="shared" si="16"/>
        <v>256.7</v>
      </c>
      <c r="O157" s="223"/>
      <c r="P157" s="210" t="str">
        <f>VLOOKUP(C157,'WO Descriptions'!$A$5:$D$384,4)</f>
        <v>Service/Yard Line Replacement (SLRP): Contract Crew.  Service/yard line replacement - Material Charges Only  (Joplin - South Region)</v>
      </c>
    </row>
    <row r="158" spans="1:16" ht="30" outlineLevel="2">
      <c r="A158" s="223" t="s">
        <v>66</v>
      </c>
      <c r="B158" s="250" t="s">
        <v>379</v>
      </c>
      <c r="C158" s="250" t="s">
        <v>380</v>
      </c>
      <c r="D158" s="223" t="s">
        <v>381</v>
      </c>
      <c r="E158" s="250" t="s">
        <v>382</v>
      </c>
      <c r="F158" s="223" t="s">
        <v>212</v>
      </c>
      <c r="G158" s="250" t="s">
        <v>23</v>
      </c>
      <c r="H158" s="250" t="s">
        <v>1530</v>
      </c>
      <c r="I158" s="250">
        <v>201501</v>
      </c>
      <c r="J158" s="251">
        <v>-219.89</v>
      </c>
      <c r="K158" s="171">
        <f t="shared" si="12"/>
        <v>5</v>
      </c>
      <c r="L158" s="253">
        <v>2.23333E-3</v>
      </c>
      <c r="M158" s="251">
        <f t="shared" si="15"/>
        <v>-2.46</v>
      </c>
      <c r="N158" s="251">
        <f t="shared" si="16"/>
        <v>-5.89</v>
      </c>
      <c r="O158" s="223"/>
      <c r="P158" s="210" t="str">
        <f>VLOOKUP(C158,'WO Descriptions'!$A$5:$D$384,4)</f>
        <v>Service/Yard Line Replacement (SLRP): Contract Crew.  Immediate response - replacement single unprotected steel or copper  (Kansas City - Central Region)</v>
      </c>
    </row>
    <row r="159" spans="1:16" ht="30" outlineLevel="2">
      <c r="A159" s="223" t="s">
        <v>66</v>
      </c>
      <c r="B159" s="250" t="s">
        <v>383</v>
      </c>
      <c r="C159" s="250" t="s">
        <v>384</v>
      </c>
      <c r="D159" s="223" t="s">
        <v>385</v>
      </c>
      <c r="E159" s="250" t="s">
        <v>386</v>
      </c>
      <c r="F159" s="223" t="s">
        <v>387</v>
      </c>
      <c r="G159" s="250" t="s">
        <v>23</v>
      </c>
      <c r="H159" s="250" t="s">
        <v>1530</v>
      </c>
      <c r="I159" s="250">
        <v>201501</v>
      </c>
      <c r="J159" s="251">
        <v>193116.77</v>
      </c>
      <c r="K159" s="171">
        <f t="shared" si="12"/>
        <v>5</v>
      </c>
      <c r="L159" s="253">
        <v>2.23333E-3</v>
      </c>
      <c r="M159" s="251">
        <f t="shared" si="15"/>
        <v>2156.4699999999998</v>
      </c>
      <c r="N159" s="251">
        <f t="shared" si="16"/>
        <v>5175.5200000000004</v>
      </c>
      <c r="O159" s="223"/>
      <c r="P159" s="210" t="str">
        <f>VLOOKUP(C159,'WO Descriptions'!$A$5:$D$384,4)</f>
        <v>Replacement and/or removal of existing protected steel or plastic (Kansas City - Central Region)</v>
      </c>
    </row>
    <row r="160" spans="1:16" outlineLevel="2">
      <c r="A160" s="223" t="s">
        <v>66</v>
      </c>
      <c r="B160" s="250" t="s">
        <v>388</v>
      </c>
      <c r="C160" s="250" t="s">
        <v>389</v>
      </c>
      <c r="D160" s="223" t="s">
        <v>385</v>
      </c>
      <c r="E160" s="250" t="s">
        <v>390</v>
      </c>
      <c r="F160" s="223" t="s">
        <v>387</v>
      </c>
      <c r="G160" s="250" t="s">
        <v>23</v>
      </c>
      <c r="H160" s="250" t="s">
        <v>1530</v>
      </c>
      <c r="I160" s="250">
        <v>201501</v>
      </c>
      <c r="J160" s="251">
        <v>11491.29</v>
      </c>
      <c r="K160" s="171">
        <f t="shared" si="12"/>
        <v>5</v>
      </c>
      <c r="L160" s="253">
        <v>2.23333E-3</v>
      </c>
      <c r="M160" s="251">
        <f t="shared" si="15"/>
        <v>128.32</v>
      </c>
      <c r="N160" s="251">
        <f t="shared" si="16"/>
        <v>307.97000000000003</v>
      </c>
      <c r="O160" s="223"/>
      <c r="P160" s="210" t="str">
        <f>VLOOKUP(C160,'WO Descriptions'!$A$5:$D$384,4)</f>
        <v>Replacement and/or removal of existing protected steel or plastic (Lee's Summit - East Region)</v>
      </c>
    </row>
    <row r="161" spans="1:16" ht="30" outlineLevel="2">
      <c r="A161" s="223" t="s">
        <v>66</v>
      </c>
      <c r="B161" s="250" t="s">
        <v>489</v>
      </c>
      <c r="C161" s="250" t="s">
        <v>490</v>
      </c>
      <c r="D161" s="223" t="s">
        <v>491</v>
      </c>
      <c r="E161" s="250" t="s">
        <v>492</v>
      </c>
      <c r="F161" s="223" t="s">
        <v>378</v>
      </c>
      <c r="G161" s="250" t="s">
        <v>23</v>
      </c>
      <c r="H161" s="250" t="s">
        <v>1530</v>
      </c>
      <c r="I161" s="250">
        <v>201501</v>
      </c>
      <c r="J161" s="251">
        <v>-23.83</v>
      </c>
      <c r="K161" s="171">
        <f t="shared" si="12"/>
        <v>5</v>
      </c>
      <c r="L161" s="253">
        <v>2.23333E-3</v>
      </c>
      <c r="M161" s="251">
        <f t="shared" si="15"/>
        <v>-0.27</v>
      </c>
      <c r="N161" s="251">
        <f t="shared" si="16"/>
        <v>-0.64</v>
      </c>
      <c r="O161" s="223"/>
      <c r="P161" s="210" t="str">
        <f>VLOOKUP(C161,'WO Descriptions'!$A$5:$D$384,4)</f>
        <v>Service/Yard Line Replacement (SLRP): Contract Crew.  Service/yard line replacement - Material Charges Only  (Kansas City - Central Region)</v>
      </c>
    </row>
    <row r="162" spans="1:16" ht="30" outlineLevel="2">
      <c r="A162" s="223" t="s">
        <v>1584</v>
      </c>
      <c r="B162" s="250" t="s">
        <v>1605</v>
      </c>
      <c r="C162" s="250" t="s">
        <v>1606</v>
      </c>
      <c r="D162" s="223" t="s">
        <v>1607</v>
      </c>
      <c r="E162" s="250" t="s">
        <v>1608</v>
      </c>
      <c r="F162" s="223" t="s">
        <v>1590</v>
      </c>
      <c r="G162" s="250" t="s">
        <v>23</v>
      </c>
      <c r="H162" s="250" t="s">
        <v>1530</v>
      </c>
      <c r="I162" s="250">
        <v>201501</v>
      </c>
      <c r="J162" s="251">
        <v>9477.2199999999993</v>
      </c>
      <c r="K162" s="171">
        <f t="shared" si="12"/>
        <v>5</v>
      </c>
      <c r="L162" s="253">
        <v>2.0333333000000001E-3</v>
      </c>
      <c r="M162" s="251">
        <f t="shared" si="15"/>
        <v>96.35</v>
      </c>
      <c r="N162" s="251">
        <f t="shared" si="16"/>
        <v>231.24</v>
      </c>
      <c r="O162" s="223"/>
      <c r="P162" s="210" t="str">
        <f>VLOOKUP(C162,'WO Descriptions'!$A$5:$D$384,4)</f>
        <v>Service/Yard Line Replacement (SLRP): Contract Crew.  Service/yard line replacement - Material Charges Only  (Kansas City - Central Region)</v>
      </c>
    </row>
    <row r="163" spans="1:16" ht="30" outlineLevel="2">
      <c r="A163" s="223" t="s">
        <v>66</v>
      </c>
      <c r="B163" s="250" t="s">
        <v>496</v>
      </c>
      <c r="C163" s="250" t="s">
        <v>497</v>
      </c>
      <c r="D163" s="223" t="s">
        <v>376</v>
      </c>
      <c r="E163" s="250" t="s">
        <v>498</v>
      </c>
      <c r="F163" s="223" t="s">
        <v>378</v>
      </c>
      <c r="G163" s="250" t="s">
        <v>23</v>
      </c>
      <c r="H163" s="250" t="s">
        <v>1530</v>
      </c>
      <c r="I163" s="250">
        <v>201501</v>
      </c>
      <c r="J163" s="251">
        <v>44122.37</v>
      </c>
      <c r="K163" s="171">
        <f t="shared" si="12"/>
        <v>5</v>
      </c>
      <c r="L163" s="253">
        <v>2.23333E-3</v>
      </c>
      <c r="M163" s="251">
        <f t="shared" si="15"/>
        <v>492.7</v>
      </c>
      <c r="N163" s="251">
        <f t="shared" si="16"/>
        <v>1182.48</v>
      </c>
      <c r="O163" s="223"/>
      <c r="P163" s="210" t="str">
        <f>VLOOKUP(C163,'WO Descriptions'!$A$5:$D$384,4)</f>
        <v>Service/Yard Line Replacement (SLRP): Contract Crew.  Service/yard line replacement - Material Charges Only  (Lee's Summit - East Region)</v>
      </c>
    </row>
    <row r="164" spans="1:16" outlineLevel="2">
      <c r="A164" s="223" t="s">
        <v>66</v>
      </c>
      <c r="B164" s="250" t="s">
        <v>499</v>
      </c>
      <c r="C164" s="250" t="s">
        <v>500</v>
      </c>
      <c r="D164" s="223" t="s">
        <v>385</v>
      </c>
      <c r="E164" s="250" t="s">
        <v>501</v>
      </c>
      <c r="F164" s="223" t="s">
        <v>387</v>
      </c>
      <c r="G164" s="250" t="s">
        <v>23</v>
      </c>
      <c r="H164" s="250" t="s">
        <v>1530</v>
      </c>
      <c r="I164" s="250">
        <v>201501</v>
      </c>
      <c r="J164" s="251">
        <v>10676.26</v>
      </c>
      <c r="K164" s="171">
        <f t="shared" si="12"/>
        <v>5</v>
      </c>
      <c r="L164" s="253">
        <v>2.23333E-3</v>
      </c>
      <c r="M164" s="251">
        <f t="shared" si="15"/>
        <v>119.22</v>
      </c>
      <c r="N164" s="251">
        <f t="shared" si="16"/>
        <v>286.12</v>
      </c>
      <c r="O164" s="223"/>
      <c r="P164" s="210" t="str">
        <f>VLOOKUP(C164,'WO Descriptions'!$A$5:$D$384,4)</f>
        <v>Replacement and/or removal of existing protected steel or plastic (Joplin - South Region)</v>
      </c>
    </row>
    <row r="165" spans="1:16" ht="30" outlineLevel="2">
      <c r="A165" s="223" t="s">
        <v>66</v>
      </c>
      <c r="B165" s="250" t="s">
        <v>595</v>
      </c>
      <c r="C165" s="250" t="s">
        <v>596</v>
      </c>
      <c r="D165" s="223" t="s">
        <v>597</v>
      </c>
      <c r="E165" s="250" t="s">
        <v>598</v>
      </c>
      <c r="F165" s="223" t="s">
        <v>212</v>
      </c>
      <c r="G165" s="250" t="s">
        <v>23</v>
      </c>
      <c r="H165" s="250" t="s">
        <v>1530</v>
      </c>
      <c r="I165" s="250">
        <v>201501</v>
      </c>
      <c r="J165" s="251">
        <v>-6763.69</v>
      </c>
      <c r="K165" s="171">
        <f t="shared" si="12"/>
        <v>5</v>
      </c>
      <c r="L165" s="253">
        <v>2.23333E-3</v>
      </c>
      <c r="M165" s="251">
        <f t="shared" si="15"/>
        <v>-75.53</v>
      </c>
      <c r="N165" s="251">
        <f t="shared" si="16"/>
        <v>-181.27</v>
      </c>
      <c r="O165" s="223"/>
      <c r="P165" s="210" t="str">
        <f>VLOOKUP(C165,'WO Descriptions'!$A$5:$D$384,4)</f>
        <v>Service/Yard Line Replacement (SLRP): Contract Crew.  Immediate response - replacement single unprotected steel or copper  (Lee's Summit - East Region)</v>
      </c>
    </row>
    <row r="166" spans="1:16" outlineLevel="2">
      <c r="A166" s="223" t="s">
        <v>66</v>
      </c>
      <c r="B166" s="250" t="s">
        <v>599</v>
      </c>
      <c r="C166" s="250" t="s">
        <v>600</v>
      </c>
      <c r="D166" s="223" t="s">
        <v>385</v>
      </c>
      <c r="E166" s="250" t="s">
        <v>601</v>
      </c>
      <c r="F166" s="223" t="s">
        <v>387</v>
      </c>
      <c r="G166" s="250" t="s">
        <v>23</v>
      </c>
      <c r="H166" s="250" t="s">
        <v>1530</v>
      </c>
      <c r="I166" s="250">
        <v>201501</v>
      </c>
      <c r="J166" s="251">
        <v>12791.08</v>
      </c>
      <c r="K166" s="171">
        <f t="shared" si="12"/>
        <v>5</v>
      </c>
      <c r="L166" s="253">
        <v>2.23333E-3</v>
      </c>
      <c r="M166" s="251">
        <f t="shared" si="15"/>
        <v>142.83000000000001</v>
      </c>
      <c r="N166" s="251">
        <f t="shared" si="16"/>
        <v>342.8</v>
      </c>
      <c r="O166" s="223"/>
      <c r="P166" s="210" t="str">
        <f>VLOOKUP(C166,'WO Descriptions'!$A$5:$D$384,4)</f>
        <v>Replacement and/or removal of existing protected steel or plastic (St. Joseph)</v>
      </c>
    </row>
    <row r="167" spans="1:16" ht="45" outlineLevel="2">
      <c r="A167" s="223" t="s">
        <v>1584</v>
      </c>
      <c r="B167" s="250" t="s">
        <v>1612</v>
      </c>
      <c r="C167" s="250" t="s">
        <v>1613</v>
      </c>
      <c r="D167" s="223" t="s">
        <v>1588</v>
      </c>
      <c r="E167" s="250" t="s">
        <v>1614</v>
      </c>
      <c r="F167" s="223" t="s">
        <v>1590</v>
      </c>
      <c r="G167" s="250" t="s">
        <v>23</v>
      </c>
      <c r="H167" s="250" t="s">
        <v>1530</v>
      </c>
      <c r="I167" s="250">
        <v>201501</v>
      </c>
      <c r="J167" s="251">
        <v>77.61</v>
      </c>
      <c r="K167" s="171">
        <f t="shared" si="12"/>
        <v>5</v>
      </c>
      <c r="L167" s="253">
        <v>2.0333333000000001E-3</v>
      </c>
      <c r="M167" s="251">
        <f t="shared" si="15"/>
        <v>0.79</v>
      </c>
      <c r="N167" s="251">
        <f t="shared" si="16"/>
        <v>1.89</v>
      </c>
      <c r="O167" s="223"/>
      <c r="P167" s="210" t="str">
        <f>VLOOKUP(C167,'WO Descriptions'!$A$5:$D$384,4)</f>
        <v>Approved by: Ken Thomas on 07/01/2013,  Replace 45' of 12in PBS wo unknown with 36' of 12in PCS due to leak on the gate valve. Pressure system C-175KCLS. Job was completed on 3-15-2013.</v>
      </c>
    </row>
    <row r="168" spans="1:16" ht="30" outlineLevel="2">
      <c r="A168" s="223" t="s">
        <v>66</v>
      </c>
      <c r="B168" s="250" t="s">
        <v>671</v>
      </c>
      <c r="C168" s="250" t="s">
        <v>672</v>
      </c>
      <c r="D168" s="223" t="s">
        <v>206</v>
      </c>
      <c r="E168" s="250" t="s">
        <v>673</v>
      </c>
      <c r="F168" s="223" t="s">
        <v>97</v>
      </c>
      <c r="G168" s="250" t="s">
        <v>23</v>
      </c>
      <c r="H168" s="250" t="s">
        <v>1530</v>
      </c>
      <c r="I168" s="250">
        <v>201501</v>
      </c>
      <c r="J168" s="251">
        <v>2.98</v>
      </c>
      <c r="K168" s="171">
        <f t="shared" si="12"/>
        <v>5</v>
      </c>
      <c r="L168" s="253">
        <v>2.23333E-3</v>
      </c>
      <c r="M168" s="251">
        <f t="shared" si="15"/>
        <v>0.03</v>
      </c>
      <c r="N168" s="251">
        <f t="shared" si="16"/>
        <v>0.08</v>
      </c>
      <c r="O168" s="223"/>
      <c r="P168" s="210" t="str">
        <f>VLOOKUP(C168,'WO Descriptions'!$A$5:$D$384,4)</f>
        <v>Service/Yard Line Replacement (SLRP): Company Crew.  Service/yard line replacement - Material Charges Only  (Joplin - South Region)</v>
      </c>
    </row>
    <row r="169" spans="1:16" outlineLevel="2">
      <c r="A169" s="223" t="s">
        <v>66</v>
      </c>
      <c r="B169" s="250" t="s">
        <v>674</v>
      </c>
      <c r="C169" s="250" t="s">
        <v>675</v>
      </c>
      <c r="D169" s="223" t="s">
        <v>385</v>
      </c>
      <c r="E169" s="250" t="s">
        <v>676</v>
      </c>
      <c r="F169" s="223" t="s">
        <v>387</v>
      </c>
      <c r="G169" s="250" t="s">
        <v>23</v>
      </c>
      <c r="H169" s="250" t="s">
        <v>1530</v>
      </c>
      <c r="I169" s="250">
        <v>201501</v>
      </c>
      <c r="J169" s="251">
        <v>2657.85</v>
      </c>
      <c r="K169" s="171">
        <f t="shared" si="12"/>
        <v>5</v>
      </c>
      <c r="L169" s="253">
        <v>2.23333E-3</v>
      </c>
      <c r="M169" s="251">
        <f t="shared" si="15"/>
        <v>29.68</v>
      </c>
      <c r="N169" s="251">
        <f t="shared" si="16"/>
        <v>71.23</v>
      </c>
      <c r="O169" s="223"/>
      <c r="P169" s="210" t="str">
        <f>VLOOKUP(C169,'WO Descriptions'!$A$5:$D$384,4)</f>
        <v>Replacement and/or removal of existing protected steel or plastic (Monett - South Region)</v>
      </c>
    </row>
    <row r="170" spans="1:16" ht="30" outlineLevel="2">
      <c r="A170" s="223" t="s">
        <v>66</v>
      </c>
      <c r="B170" s="250" t="s">
        <v>741</v>
      </c>
      <c r="C170" s="250" t="s">
        <v>742</v>
      </c>
      <c r="D170" s="223" t="s">
        <v>69</v>
      </c>
      <c r="E170" s="250" t="s">
        <v>70</v>
      </c>
      <c r="F170" s="223" t="s">
        <v>71</v>
      </c>
      <c r="G170" s="250" t="s">
        <v>23</v>
      </c>
      <c r="H170" s="250" t="s">
        <v>1530</v>
      </c>
      <c r="I170" s="250">
        <v>201501</v>
      </c>
      <c r="J170" s="251">
        <v>13974.22</v>
      </c>
      <c r="K170" s="171">
        <f t="shared" si="12"/>
        <v>5</v>
      </c>
      <c r="L170" s="253">
        <v>2.23333E-3</v>
      </c>
      <c r="M170" s="251">
        <f t="shared" si="15"/>
        <v>156.05000000000001</v>
      </c>
      <c r="N170" s="251">
        <f t="shared" si="16"/>
        <v>374.51</v>
      </c>
      <c r="O170" s="223"/>
      <c r="P170" s="210" t="str">
        <f>VLOOKUP(C170,'WO Descriptions'!$A$5:$D$384,4)</f>
        <v>Service/Yard Line Replacement (SLRP): Company Crew.  Immediate response - replacement single unprotected steel or copper  (Lee's Summit - East Region)</v>
      </c>
    </row>
    <row r="171" spans="1:16" ht="30" outlineLevel="2">
      <c r="A171" s="223" t="s">
        <v>66</v>
      </c>
      <c r="B171" s="250" t="s">
        <v>743</v>
      </c>
      <c r="C171" s="250" t="s">
        <v>744</v>
      </c>
      <c r="D171" s="223" t="s">
        <v>745</v>
      </c>
      <c r="E171" s="250" t="s">
        <v>746</v>
      </c>
      <c r="F171" s="223" t="s">
        <v>80</v>
      </c>
      <c r="G171" s="250" t="s">
        <v>23</v>
      </c>
      <c r="H171" s="250" t="s">
        <v>1530</v>
      </c>
      <c r="I171" s="250">
        <v>201501</v>
      </c>
      <c r="J171" s="251">
        <v>-3499.89</v>
      </c>
      <c r="K171" s="171">
        <f t="shared" si="12"/>
        <v>5</v>
      </c>
      <c r="L171" s="253">
        <v>2.23333E-3</v>
      </c>
      <c r="M171" s="251">
        <f t="shared" si="15"/>
        <v>-39.08</v>
      </c>
      <c r="N171" s="251">
        <f t="shared" si="16"/>
        <v>-93.8</v>
      </c>
      <c r="O171" s="223"/>
      <c r="P171" s="210" t="str">
        <f>VLOOKUP(C171,'WO Descriptions'!$A$5:$D$384,4)</f>
        <v>Service/Yard Line Replacement (SLRP): Contract Crew.  Modified Block by Block - Planned replacement of unprotected steel or copper  (Kansas City - Central Region)</v>
      </c>
    </row>
    <row r="172" spans="1:16" ht="30" outlineLevel="2">
      <c r="A172" s="223" t="s">
        <v>66</v>
      </c>
      <c r="B172" s="250" t="s">
        <v>747</v>
      </c>
      <c r="C172" s="250" t="s">
        <v>748</v>
      </c>
      <c r="D172" s="223" t="s">
        <v>78</v>
      </c>
      <c r="E172" s="250" t="s">
        <v>749</v>
      </c>
      <c r="F172" s="223" t="s">
        <v>80</v>
      </c>
      <c r="G172" s="250" t="s">
        <v>23</v>
      </c>
      <c r="H172" s="250" t="s">
        <v>1530</v>
      </c>
      <c r="I172" s="250">
        <v>201501</v>
      </c>
      <c r="J172" s="251">
        <v>4715.0600000000004</v>
      </c>
      <c r="K172" s="171">
        <f t="shared" si="12"/>
        <v>5</v>
      </c>
      <c r="L172" s="253">
        <v>2.23333E-3</v>
      </c>
      <c r="M172" s="251">
        <f t="shared" si="15"/>
        <v>52.65</v>
      </c>
      <c r="N172" s="251">
        <f t="shared" si="16"/>
        <v>126.36</v>
      </c>
      <c r="O172" s="223"/>
      <c r="P172" s="210" t="str">
        <f>VLOOKUP(C172,'WO Descriptions'!$A$5:$D$384,4)</f>
        <v>Service/Yard Line Replacement (SLRP): Contract Crew.  Modified Block by Block - Planned replacement of unprotected steel or copper  (Joplin - South Region)</v>
      </c>
    </row>
    <row r="173" spans="1:16" ht="30" outlineLevel="2">
      <c r="A173" s="223" t="s">
        <v>66</v>
      </c>
      <c r="B173" s="250" t="s">
        <v>750</v>
      </c>
      <c r="C173" s="250" t="s">
        <v>751</v>
      </c>
      <c r="D173" s="223" t="s">
        <v>78</v>
      </c>
      <c r="E173" s="250" t="s">
        <v>752</v>
      </c>
      <c r="F173" s="223" t="s">
        <v>80</v>
      </c>
      <c r="G173" s="250" t="s">
        <v>23</v>
      </c>
      <c r="H173" s="250" t="s">
        <v>1530</v>
      </c>
      <c r="I173" s="250">
        <v>201501</v>
      </c>
      <c r="J173" s="251">
        <v>-0.14000000000000001</v>
      </c>
      <c r="K173" s="171">
        <f t="shared" si="12"/>
        <v>5</v>
      </c>
      <c r="L173" s="253">
        <v>2.23333E-3</v>
      </c>
      <c r="M173" s="251">
        <f t="shared" si="15"/>
        <v>0</v>
      </c>
      <c r="N173" s="251">
        <f t="shared" si="16"/>
        <v>0</v>
      </c>
      <c r="O173" s="223"/>
      <c r="P173" s="210" t="str">
        <f>VLOOKUP(C173,'WO Descriptions'!$A$5:$D$384,4)</f>
        <v>Service/Yard Line Replacement (SLRP): Contract Crew.  Modified Block by Block - Planned replacement of unprotected steel or copper  (St. Joseph)</v>
      </c>
    </row>
    <row r="174" spans="1:16" ht="30" outlineLevel="2">
      <c r="A174" s="223" t="s">
        <v>1584</v>
      </c>
      <c r="B174" s="250" t="s">
        <v>1615</v>
      </c>
      <c r="C174" s="250" t="s">
        <v>1616</v>
      </c>
      <c r="D174" s="223" t="s">
        <v>1593</v>
      </c>
      <c r="E174" s="250" t="s">
        <v>1617</v>
      </c>
      <c r="F174" s="223" t="s">
        <v>1590</v>
      </c>
      <c r="G174" s="250" t="s">
        <v>23</v>
      </c>
      <c r="H174" s="250" t="s">
        <v>1530</v>
      </c>
      <c r="I174" s="250">
        <v>201501</v>
      </c>
      <c r="J174" s="251">
        <v>1643.72</v>
      </c>
      <c r="K174" s="171">
        <f t="shared" si="12"/>
        <v>5</v>
      </c>
      <c r="L174" s="253">
        <v>2.0333333000000001E-3</v>
      </c>
      <c r="M174" s="251">
        <f t="shared" si="15"/>
        <v>16.71</v>
      </c>
      <c r="N174" s="251">
        <f t="shared" si="16"/>
        <v>40.11</v>
      </c>
      <c r="O174" s="223"/>
      <c r="P174" s="210" t="str">
        <f>VLOOKUP(C174,'WO Descriptions'!$A$5:$D$384,4)</f>
        <v>Service/Yard Line Replacement (SLRP): Contract Crew.  Modified Block by Block - Planned replacement of unprotected steel or copper  (St. Joseph)</v>
      </c>
    </row>
    <row r="175" spans="1:16" ht="30" outlineLevel="2">
      <c r="A175" s="223" t="s">
        <v>66</v>
      </c>
      <c r="B175" s="250" t="s">
        <v>753</v>
      </c>
      <c r="C175" s="250" t="s">
        <v>754</v>
      </c>
      <c r="D175" s="223" t="s">
        <v>206</v>
      </c>
      <c r="E175" s="250" t="s">
        <v>755</v>
      </c>
      <c r="F175" s="223" t="s">
        <v>97</v>
      </c>
      <c r="G175" s="250" t="s">
        <v>23</v>
      </c>
      <c r="H175" s="250" t="s">
        <v>1530</v>
      </c>
      <c r="I175" s="250">
        <v>201501</v>
      </c>
      <c r="J175" s="251">
        <v>1328.5</v>
      </c>
      <c r="K175" s="171">
        <f t="shared" si="12"/>
        <v>5</v>
      </c>
      <c r="L175" s="253">
        <v>2.23333E-3</v>
      </c>
      <c r="M175" s="251">
        <f t="shared" si="15"/>
        <v>14.83</v>
      </c>
      <c r="N175" s="251">
        <f t="shared" si="16"/>
        <v>35.6</v>
      </c>
      <c r="O175" s="223"/>
      <c r="P175" s="210" t="str">
        <f>VLOOKUP(C175,'WO Descriptions'!$A$5:$D$384,4)</f>
        <v>Service/Yard Line Replacement (SLRP): Company Crew.  Service/yard line replacement - Material Charges Only  (Lee's Summit - East Region)</v>
      </c>
    </row>
    <row r="176" spans="1:16" ht="30" outlineLevel="2">
      <c r="A176" s="223" t="s">
        <v>66</v>
      </c>
      <c r="B176" s="250" t="s">
        <v>72</v>
      </c>
      <c r="C176" s="250" t="s">
        <v>73</v>
      </c>
      <c r="D176" s="223" t="s">
        <v>74</v>
      </c>
      <c r="E176" s="250" t="s">
        <v>75</v>
      </c>
      <c r="F176" s="223" t="s">
        <v>71</v>
      </c>
      <c r="G176" s="250" t="s">
        <v>23</v>
      </c>
      <c r="H176" s="250" t="s">
        <v>1530</v>
      </c>
      <c r="I176" s="250">
        <v>201502</v>
      </c>
      <c r="J176" s="251">
        <v>77105.95</v>
      </c>
      <c r="K176" s="171">
        <f t="shared" si="12"/>
        <v>4</v>
      </c>
      <c r="L176" s="253">
        <v>2.23333E-3</v>
      </c>
      <c r="M176" s="251">
        <f>ROUND(J176*K176*L176,2)</f>
        <v>688.81</v>
      </c>
      <c r="N176" s="251">
        <f>ROUND(J176*L176*12,2)</f>
        <v>2066.44</v>
      </c>
      <c r="O176" s="223"/>
      <c r="P176" s="210" t="str">
        <f>VLOOKUP(C176,'WO Descriptions'!$A$5:$D$384,4)</f>
        <v>Service/Yard Line Replacement (SLRP): Company Crew.  Immediate response - replacement single unprotected steel or copper  (Kansas City - Central Region)</v>
      </c>
    </row>
    <row r="177" spans="1:16" ht="30" outlineLevel="2">
      <c r="A177" s="223" t="s">
        <v>66</v>
      </c>
      <c r="B177" s="250" t="s">
        <v>81</v>
      </c>
      <c r="C177" s="250" t="s">
        <v>82</v>
      </c>
      <c r="D177" s="223" t="s">
        <v>83</v>
      </c>
      <c r="E177" s="250" t="s">
        <v>84</v>
      </c>
      <c r="F177" s="223" t="s">
        <v>85</v>
      </c>
      <c r="G177" s="250" t="s">
        <v>23</v>
      </c>
      <c r="H177" s="250" t="s">
        <v>1530</v>
      </c>
      <c r="I177" s="250">
        <v>201502</v>
      </c>
      <c r="J177" s="251">
        <v>21115.64</v>
      </c>
      <c r="K177" s="171">
        <f t="shared" si="12"/>
        <v>4</v>
      </c>
      <c r="L177" s="253">
        <v>2.23333E-3</v>
      </c>
      <c r="M177" s="251">
        <f t="shared" ref="M177:M178" si="17">ROUND(J177*K177*L177,2)</f>
        <v>188.63</v>
      </c>
      <c r="N177" s="251">
        <f t="shared" ref="N177:N203" si="18">ROUND(J177*L177*12,2)</f>
        <v>565.9</v>
      </c>
      <c r="O177" s="223"/>
      <c r="P177" s="210" t="str">
        <f>VLOOKUP(C177,'WO Descriptions'!$A$5:$D$384,4)</f>
        <v>Service/Yard Line Replacement (SLRP): Contract Crew.  Block by Block - Planned replacement of all unprotected steel or copper in a single block.  (Kansas City - Central Region)</v>
      </c>
    </row>
    <row r="178" spans="1:16" ht="30" outlineLevel="2">
      <c r="A178" s="223" t="s">
        <v>66</v>
      </c>
      <c r="B178" s="250" t="s">
        <v>90</v>
      </c>
      <c r="C178" s="250" t="s">
        <v>91</v>
      </c>
      <c r="D178" s="223" t="s">
        <v>78</v>
      </c>
      <c r="E178" s="250" t="s">
        <v>92</v>
      </c>
      <c r="F178" s="223" t="s">
        <v>80</v>
      </c>
      <c r="G178" s="250" t="s">
        <v>23</v>
      </c>
      <c r="H178" s="250" t="s">
        <v>1530</v>
      </c>
      <c r="I178" s="250">
        <v>201502</v>
      </c>
      <c r="J178" s="251">
        <v>16080.97</v>
      </c>
      <c r="K178" s="171">
        <f t="shared" si="12"/>
        <v>4</v>
      </c>
      <c r="L178" s="253">
        <v>2.23333E-3</v>
      </c>
      <c r="M178" s="251">
        <f t="shared" si="17"/>
        <v>143.66</v>
      </c>
      <c r="N178" s="251">
        <f t="shared" si="18"/>
        <v>430.97</v>
      </c>
      <c r="O178" s="223"/>
      <c r="P178" s="210" t="str">
        <f>VLOOKUP(C178,'WO Descriptions'!$A$5:$D$384,4)</f>
        <v>Service/Yard Line Replacement (SLRP): Company Crew.  Modified Block by Block - Planned replacement of all unprotected steel or copper in a single block.  (Monett - South Region)</v>
      </c>
    </row>
    <row r="179" spans="1:16" outlineLevel="2">
      <c r="A179" s="223" t="s">
        <v>66</v>
      </c>
      <c r="B179" s="250" t="s">
        <v>192</v>
      </c>
      <c r="C179" s="250" t="s">
        <v>193</v>
      </c>
      <c r="D179" s="223" t="s">
        <v>194</v>
      </c>
      <c r="E179" s="250" t="s">
        <v>195</v>
      </c>
      <c r="F179" s="223" t="s">
        <v>196</v>
      </c>
      <c r="G179" s="250" t="s">
        <v>23</v>
      </c>
      <c r="H179" s="250" t="s">
        <v>1530</v>
      </c>
      <c r="I179" s="250">
        <v>201502</v>
      </c>
      <c r="J179" s="251">
        <v>-0.87</v>
      </c>
      <c r="K179" s="171">
        <f t="shared" si="12"/>
        <v>4</v>
      </c>
      <c r="L179" s="253">
        <v>2.23333E-3</v>
      </c>
      <c r="M179" s="251">
        <f t="shared" ref="M179:M203" si="19">ROUND(J179*K179*L179,2)</f>
        <v>-0.01</v>
      </c>
      <c r="N179" s="251">
        <f t="shared" si="18"/>
        <v>-0.02</v>
      </c>
      <c r="O179" s="223"/>
      <c r="P179" s="210" t="str">
        <f>VLOOKUP(C179,'WO Descriptions'!$A$5:$D$384,4)</f>
        <v>Line Locates - Service Line Replacements Only (Kansas City - Central Region)</v>
      </c>
    </row>
    <row r="180" spans="1:16" outlineLevel="2">
      <c r="A180" s="223" t="s">
        <v>66</v>
      </c>
      <c r="B180" s="250" t="s">
        <v>2250</v>
      </c>
      <c r="C180" s="250" t="s">
        <v>2251</v>
      </c>
      <c r="D180" s="223" t="s">
        <v>194</v>
      </c>
      <c r="E180" s="250" t="s">
        <v>195</v>
      </c>
      <c r="F180" s="223" t="s">
        <v>196</v>
      </c>
      <c r="G180" s="250" t="s">
        <v>23</v>
      </c>
      <c r="H180" s="250" t="s">
        <v>1530</v>
      </c>
      <c r="I180" s="250">
        <v>201502</v>
      </c>
      <c r="J180" s="251">
        <v>1767.23</v>
      </c>
      <c r="K180" s="171">
        <f t="shared" si="12"/>
        <v>4</v>
      </c>
      <c r="L180" s="253">
        <v>2.23333E-3</v>
      </c>
      <c r="M180" s="251">
        <f t="shared" si="19"/>
        <v>15.79</v>
      </c>
      <c r="N180" s="251">
        <f t="shared" si="18"/>
        <v>47.36</v>
      </c>
      <c r="O180" s="223"/>
      <c r="P180" s="210" t="str">
        <f>VLOOKUP(C180,'WO Descriptions'!$A$5:$D$384,4)</f>
        <v>Line Locates - Service Line Replacements Only (Kansas City - Central Region)</v>
      </c>
    </row>
    <row r="181" spans="1:16" ht="30" outlineLevel="2">
      <c r="A181" s="223" t="s">
        <v>66</v>
      </c>
      <c r="B181" s="250" t="s">
        <v>197</v>
      </c>
      <c r="C181" s="250" t="s">
        <v>198</v>
      </c>
      <c r="D181" s="223" t="s">
        <v>69</v>
      </c>
      <c r="E181" s="250" t="s">
        <v>199</v>
      </c>
      <c r="F181" s="223" t="s">
        <v>71</v>
      </c>
      <c r="G181" s="250" t="s">
        <v>23</v>
      </c>
      <c r="H181" s="250" t="s">
        <v>1530</v>
      </c>
      <c r="I181" s="250">
        <v>201502</v>
      </c>
      <c r="J181" s="251">
        <v>16558.93</v>
      </c>
      <c r="K181" s="171">
        <f t="shared" si="12"/>
        <v>4</v>
      </c>
      <c r="L181" s="253">
        <v>2.23333E-3</v>
      </c>
      <c r="M181" s="251">
        <f t="shared" si="19"/>
        <v>147.93</v>
      </c>
      <c r="N181" s="251">
        <f t="shared" si="18"/>
        <v>443.78</v>
      </c>
      <c r="O181" s="223"/>
      <c r="P181" s="210" t="str">
        <f>VLOOKUP(C181,'WO Descriptions'!$A$5:$D$384,4)</f>
        <v>Service/Yard Line Replacement (SLRP): Company Crew.  Immediate response - replacement single unprotected steel or copper  (Monett - South Region)</v>
      </c>
    </row>
    <row r="182" spans="1:16" ht="30" outlineLevel="2">
      <c r="A182" s="223" t="s">
        <v>66</v>
      </c>
      <c r="B182" s="250" t="s">
        <v>200</v>
      </c>
      <c r="C182" s="250" t="s">
        <v>201</v>
      </c>
      <c r="D182" s="223" t="s">
        <v>202</v>
      </c>
      <c r="E182" s="250" t="s">
        <v>203</v>
      </c>
      <c r="F182" s="223" t="s">
        <v>80</v>
      </c>
      <c r="G182" s="250" t="s">
        <v>23</v>
      </c>
      <c r="H182" s="250" t="s">
        <v>1530</v>
      </c>
      <c r="I182" s="250">
        <v>201502</v>
      </c>
      <c r="J182" s="251">
        <v>6597.97</v>
      </c>
      <c r="K182" s="171">
        <f t="shared" si="12"/>
        <v>4</v>
      </c>
      <c r="L182" s="253">
        <v>2.23333E-3</v>
      </c>
      <c r="M182" s="251">
        <f t="shared" si="19"/>
        <v>58.94</v>
      </c>
      <c r="N182" s="251">
        <f t="shared" si="18"/>
        <v>176.83</v>
      </c>
      <c r="O182" s="223"/>
      <c r="P182" s="210" t="str">
        <f>VLOOKUP(C182,'WO Descriptions'!$A$5:$D$384,4)</f>
        <v>Service/Yard Line Replacement (SLRP): Company Crew.  Modified Block by Block - Planned replacement of all unprotected steel or copper in a single block.  (Kansas City - Central Region)</v>
      </c>
    </row>
    <row r="183" spans="1:16" ht="30" outlineLevel="2">
      <c r="A183" s="223" t="s">
        <v>66</v>
      </c>
      <c r="B183" s="250" t="s">
        <v>223</v>
      </c>
      <c r="C183" s="250" t="s">
        <v>224</v>
      </c>
      <c r="D183" s="223" t="s">
        <v>88</v>
      </c>
      <c r="E183" s="250" t="s">
        <v>225</v>
      </c>
      <c r="F183" s="223" t="s">
        <v>85</v>
      </c>
      <c r="G183" s="250" t="s">
        <v>23</v>
      </c>
      <c r="H183" s="250" t="s">
        <v>1530</v>
      </c>
      <c r="I183" s="250">
        <v>201502</v>
      </c>
      <c r="J183" s="251">
        <v>780.81</v>
      </c>
      <c r="K183" s="171">
        <f t="shared" si="12"/>
        <v>4</v>
      </c>
      <c r="L183" s="253">
        <v>2.23333E-3</v>
      </c>
      <c r="M183" s="251">
        <f t="shared" si="19"/>
        <v>6.98</v>
      </c>
      <c r="N183" s="251">
        <f t="shared" si="18"/>
        <v>20.93</v>
      </c>
      <c r="O183" s="223"/>
      <c r="P183" s="210" t="str">
        <f>VLOOKUP(C183,'WO Descriptions'!$A$5:$D$384,4)</f>
        <v>Service/Yard Line Replacement (SLRP): Contract Crew.  Block by Block - Planned replacement of all unprotected steel or copper in a single block.  (Joplin - South Region)</v>
      </c>
    </row>
    <row r="184" spans="1:16" ht="30" outlineLevel="2">
      <c r="A184" s="223" t="s">
        <v>66</v>
      </c>
      <c r="B184" s="250" t="s">
        <v>226</v>
      </c>
      <c r="C184" s="250" t="s">
        <v>227</v>
      </c>
      <c r="D184" s="223" t="s">
        <v>78</v>
      </c>
      <c r="E184" s="250" t="s">
        <v>228</v>
      </c>
      <c r="F184" s="223" t="s">
        <v>80</v>
      </c>
      <c r="G184" s="250" t="s">
        <v>23</v>
      </c>
      <c r="H184" s="250" t="s">
        <v>1530</v>
      </c>
      <c r="I184" s="250">
        <v>201502</v>
      </c>
      <c r="J184" s="251">
        <v>-31.08</v>
      </c>
      <c r="K184" s="171">
        <f t="shared" si="12"/>
        <v>4</v>
      </c>
      <c r="L184" s="253">
        <v>2.23333E-3</v>
      </c>
      <c r="M184" s="251">
        <f t="shared" si="19"/>
        <v>-0.28000000000000003</v>
      </c>
      <c r="N184" s="251">
        <f t="shared" si="18"/>
        <v>-0.83</v>
      </c>
      <c r="O184" s="223"/>
      <c r="P184" s="210" t="str">
        <f>VLOOKUP(C184,'WO Descriptions'!$A$5:$D$384,4)</f>
        <v>Service/Yard Line Replacement (SLRP): Company Crew.  Modified Block by Block - Planned replacement of all unprotected steel or copper in a single block.  (Joplin - South Region)</v>
      </c>
    </row>
    <row r="185" spans="1:16" ht="30" outlineLevel="2">
      <c r="A185" s="223" t="s">
        <v>66</v>
      </c>
      <c r="B185" s="250" t="s">
        <v>229</v>
      </c>
      <c r="C185" s="250" t="s">
        <v>230</v>
      </c>
      <c r="D185" s="223" t="s">
        <v>78</v>
      </c>
      <c r="E185" s="250" t="s">
        <v>231</v>
      </c>
      <c r="F185" s="223" t="s">
        <v>80</v>
      </c>
      <c r="G185" s="250" t="s">
        <v>23</v>
      </c>
      <c r="H185" s="250" t="s">
        <v>1530</v>
      </c>
      <c r="I185" s="250">
        <v>201502</v>
      </c>
      <c r="J185" s="251">
        <v>-507.92</v>
      </c>
      <c r="K185" s="171">
        <f t="shared" si="12"/>
        <v>4</v>
      </c>
      <c r="L185" s="253">
        <v>2.23333E-3</v>
      </c>
      <c r="M185" s="251">
        <f t="shared" si="19"/>
        <v>-4.54</v>
      </c>
      <c r="N185" s="251">
        <f t="shared" si="18"/>
        <v>-13.61</v>
      </c>
      <c r="O185" s="223"/>
      <c r="P185" s="210" t="str">
        <f>VLOOKUP(C185,'WO Descriptions'!$A$5:$D$384,4)</f>
        <v>Service/Yard Line Replacement (SLRP): Company Crew.  Modified Block by Block - Planned replacement of all unprotected steel or copper in a single block.  (Lee's Summit - East Region)</v>
      </c>
    </row>
    <row r="186" spans="1:16" ht="30" outlineLevel="2">
      <c r="A186" s="223" t="s">
        <v>66</v>
      </c>
      <c r="B186" s="250" t="s">
        <v>2252</v>
      </c>
      <c r="C186" s="250" t="s">
        <v>2253</v>
      </c>
      <c r="D186" s="223" t="s">
        <v>589</v>
      </c>
      <c r="E186" s="250" t="s">
        <v>2254</v>
      </c>
      <c r="F186" s="223" t="s">
        <v>591</v>
      </c>
      <c r="G186" s="250" t="s">
        <v>23</v>
      </c>
      <c r="H186" s="250" t="s">
        <v>1530</v>
      </c>
      <c r="I186" s="250">
        <v>201502</v>
      </c>
      <c r="J186" s="251">
        <v>7194.54</v>
      </c>
      <c r="K186" s="171">
        <f t="shared" si="12"/>
        <v>4</v>
      </c>
      <c r="L186" s="253">
        <v>2.23333E-3</v>
      </c>
      <c r="M186" s="251">
        <f t="shared" si="19"/>
        <v>64.27</v>
      </c>
      <c r="N186" s="251">
        <f t="shared" si="18"/>
        <v>192.81</v>
      </c>
      <c r="O186" s="223"/>
      <c r="P186" s="210" t="str">
        <f>VLOOKUP(C186,'WO Descriptions'!$A$5:$D$384,4)</f>
        <v>Service/Yard Line Replacement (SLRP): Company Crew.  Modified Block by Block - Planned replacement of all unprotected steel or copper in a single block.  (Lee's Summit - East Region)</v>
      </c>
    </row>
    <row r="187" spans="1:16" ht="30" outlineLevel="2">
      <c r="A187" s="223" t="s">
        <v>66</v>
      </c>
      <c r="B187" s="250" t="s">
        <v>371</v>
      </c>
      <c r="C187" s="250" t="s">
        <v>372</v>
      </c>
      <c r="D187" s="223" t="s">
        <v>88</v>
      </c>
      <c r="E187" s="250" t="s">
        <v>373</v>
      </c>
      <c r="F187" s="223" t="s">
        <v>85</v>
      </c>
      <c r="G187" s="250" t="s">
        <v>23</v>
      </c>
      <c r="H187" s="250" t="s">
        <v>1530</v>
      </c>
      <c r="I187" s="250">
        <v>201502</v>
      </c>
      <c r="J187" s="251">
        <v>11468.81</v>
      </c>
      <c r="K187" s="171">
        <f t="shared" si="12"/>
        <v>4</v>
      </c>
      <c r="L187" s="253">
        <v>2.23333E-3</v>
      </c>
      <c r="M187" s="251">
        <f t="shared" si="19"/>
        <v>102.45</v>
      </c>
      <c r="N187" s="251">
        <f t="shared" si="18"/>
        <v>307.36</v>
      </c>
      <c r="O187" s="223"/>
      <c r="P187" s="210" t="str">
        <f>VLOOKUP(C187,'WO Descriptions'!$A$5:$D$384,4)</f>
        <v>Service/Yard Line Replacement (SLRP): Contract Crew.  Block by Block - Planned replacement of all unprotected steel or copper in a single block.  (Lee's Summit - East Region)</v>
      </c>
    </row>
    <row r="188" spans="1:16" ht="30" outlineLevel="2">
      <c r="A188" s="223" t="s">
        <v>66</v>
      </c>
      <c r="B188" s="250" t="s">
        <v>374</v>
      </c>
      <c r="C188" s="250" t="s">
        <v>375</v>
      </c>
      <c r="D188" s="223" t="s">
        <v>376</v>
      </c>
      <c r="E188" s="250" t="s">
        <v>377</v>
      </c>
      <c r="F188" s="223" t="s">
        <v>378</v>
      </c>
      <c r="G188" s="250" t="s">
        <v>23</v>
      </c>
      <c r="H188" s="250" t="s">
        <v>1530</v>
      </c>
      <c r="I188" s="250">
        <v>201502</v>
      </c>
      <c r="J188" s="251">
        <v>1496.68</v>
      </c>
      <c r="K188" s="171">
        <f t="shared" si="12"/>
        <v>4</v>
      </c>
      <c r="L188" s="253">
        <v>2.23333E-3</v>
      </c>
      <c r="M188" s="251">
        <f t="shared" si="19"/>
        <v>13.37</v>
      </c>
      <c r="N188" s="251">
        <f t="shared" si="18"/>
        <v>40.11</v>
      </c>
      <c r="O188" s="223"/>
      <c r="P188" s="210" t="str">
        <f>VLOOKUP(C188,'WO Descriptions'!$A$5:$D$384,4)</f>
        <v>Service/Yard Line Replacement (SLRP): Contract Crew.  Service/yard line replacement - Material Charges Only  (Joplin - South Region)</v>
      </c>
    </row>
    <row r="189" spans="1:16" ht="30" outlineLevel="2">
      <c r="A189" s="223" t="s">
        <v>66</v>
      </c>
      <c r="B189" s="250" t="s">
        <v>379</v>
      </c>
      <c r="C189" s="250" t="s">
        <v>380</v>
      </c>
      <c r="D189" s="223" t="s">
        <v>381</v>
      </c>
      <c r="E189" s="250" t="s">
        <v>382</v>
      </c>
      <c r="F189" s="223" t="s">
        <v>212</v>
      </c>
      <c r="G189" s="250" t="s">
        <v>23</v>
      </c>
      <c r="H189" s="250" t="s">
        <v>1530</v>
      </c>
      <c r="I189" s="250">
        <v>201502</v>
      </c>
      <c r="J189" s="251">
        <v>20813.990000000002</v>
      </c>
      <c r="K189" s="171">
        <f t="shared" si="12"/>
        <v>4</v>
      </c>
      <c r="L189" s="253">
        <v>2.23333E-3</v>
      </c>
      <c r="M189" s="251">
        <f t="shared" si="19"/>
        <v>185.94</v>
      </c>
      <c r="N189" s="251">
        <f t="shared" si="18"/>
        <v>557.80999999999995</v>
      </c>
      <c r="O189" s="223"/>
      <c r="P189" s="210" t="str">
        <f>VLOOKUP(C189,'WO Descriptions'!$A$5:$D$384,4)</f>
        <v>Service/Yard Line Replacement (SLRP): Contract Crew.  Immediate response - replacement single unprotected steel or copper  (Kansas City - Central Region)</v>
      </c>
    </row>
    <row r="190" spans="1:16" ht="30" outlineLevel="2">
      <c r="A190" s="223" t="s">
        <v>66</v>
      </c>
      <c r="B190" s="250" t="s">
        <v>383</v>
      </c>
      <c r="C190" s="250" t="s">
        <v>384</v>
      </c>
      <c r="D190" s="223" t="s">
        <v>385</v>
      </c>
      <c r="E190" s="250" t="s">
        <v>386</v>
      </c>
      <c r="F190" s="223" t="s">
        <v>387</v>
      </c>
      <c r="G190" s="250" t="s">
        <v>23</v>
      </c>
      <c r="H190" s="250" t="s">
        <v>1530</v>
      </c>
      <c r="I190" s="250">
        <v>201502</v>
      </c>
      <c r="J190" s="251">
        <v>135568.03</v>
      </c>
      <c r="K190" s="171">
        <f t="shared" si="12"/>
        <v>4</v>
      </c>
      <c r="L190" s="253">
        <v>2.23333E-3</v>
      </c>
      <c r="M190" s="251">
        <f t="shared" si="19"/>
        <v>1211.07</v>
      </c>
      <c r="N190" s="251">
        <f t="shared" si="18"/>
        <v>3633.22</v>
      </c>
      <c r="O190" s="223"/>
      <c r="P190" s="210" t="str">
        <f>VLOOKUP(C190,'WO Descriptions'!$A$5:$D$384,4)</f>
        <v>Replacement and/or removal of existing protected steel or plastic (Kansas City - Central Region)</v>
      </c>
    </row>
    <row r="191" spans="1:16" outlineLevel="2">
      <c r="A191" s="223" t="s">
        <v>66</v>
      </c>
      <c r="B191" s="250" t="s">
        <v>388</v>
      </c>
      <c r="C191" s="250" t="s">
        <v>389</v>
      </c>
      <c r="D191" s="223" t="s">
        <v>385</v>
      </c>
      <c r="E191" s="250" t="s">
        <v>390</v>
      </c>
      <c r="F191" s="223" t="s">
        <v>387</v>
      </c>
      <c r="G191" s="250" t="s">
        <v>23</v>
      </c>
      <c r="H191" s="250" t="s">
        <v>1530</v>
      </c>
      <c r="I191" s="250">
        <v>201502</v>
      </c>
      <c r="J191" s="251">
        <v>21410.28</v>
      </c>
      <c r="K191" s="171">
        <f t="shared" si="12"/>
        <v>4</v>
      </c>
      <c r="L191" s="253">
        <v>2.23333E-3</v>
      </c>
      <c r="M191" s="251">
        <f t="shared" si="19"/>
        <v>191.26</v>
      </c>
      <c r="N191" s="251">
        <f t="shared" si="18"/>
        <v>573.79</v>
      </c>
      <c r="O191" s="223"/>
      <c r="P191" s="210" t="str">
        <f>VLOOKUP(C191,'WO Descriptions'!$A$5:$D$384,4)</f>
        <v>Replacement and/or removal of existing protected steel or plastic (Lee's Summit - East Region)</v>
      </c>
    </row>
    <row r="192" spans="1:16" ht="30" outlineLevel="2">
      <c r="A192" s="223" t="s">
        <v>66</v>
      </c>
      <c r="B192" s="250" t="s">
        <v>489</v>
      </c>
      <c r="C192" s="250" t="s">
        <v>490</v>
      </c>
      <c r="D192" s="223" t="s">
        <v>491</v>
      </c>
      <c r="E192" s="250" t="s">
        <v>492</v>
      </c>
      <c r="F192" s="223" t="s">
        <v>378</v>
      </c>
      <c r="G192" s="250" t="s">
        <v>23</v>
      </c>
      <c r="H192" s="250" t="s">
        <v>1530</v>
      </c>
      <c r="I192" s="250">
        <v>201502</v>
      </c>
      <c r="J192" s="251">
        <v>-72.19</v>
      </c>
      <c r="K192" s="171">
        <f t="shared" si="12"/>
        <v>4</v>
      </c>
      <c r="L192" s="253">
        <v>2.23333E-3</v>
      </c>
      <c r="M192" s="251">
        <f t="shared" si="19"/>
        <v>-0.64</v>
      </c>
      <c r="N192" s="251">
        <f t="shared" si="18"/>
        <v>-1.93</v>
      </c>
      <c r="O192" s="223"/>
      <c r="P192" s="210" t="str">
        <f>VLOOKUP(C192,'WO Descriptions'!$A$5:$D$384,4)</f>
        <v>Service/Yard Line Replacement (SLRP): Contract Crew.  Service/yard line replacement - Material Charges Only  (Kansas City - Central Region)</v>
      </c>
    </row>
    <row r="193" spans="1:16" ht="30" outlineLevel="2">
      <c r="A193" s="223" t="s">
        <v>66</v>
      </c>
      <c r="B193" s="250" t="s">
        <v>496</v>
      </c>
      <c r="C193" s="250" t="s">
        <v>497</v>
      </c>
      <c r="D193" s="223" t="s">
        <v>376</v>
      </c>
      <c r="E193" s="250" t="s">
        <v>498</v>
      </c>
      <c r="F193" s="223" t="s">
        <v>378</v>
      </c>
      <c r="G193" s="250" t="s">
        <v>23</v>
      </c>
      <c r="H193" s="250" t="s">
        <v>1530</v>
      </c>
      <c r="I193" s="250">
        <v>201502</v>
      </c>
      <c r="J193" s="251">
        <v>49045.33</v>
      </c>
      <c r="K193" s="171">
        <f t="shared" si="12"/>
        <v>4</v>
      </c>
      <c r="L193" s="253">
        <v>2.23333E-3</v>
      </c>
      <c r="M193" s="251">
        <f t="shared" si="19"/>
        <v>438.14</v>
      </c>
      <c r="N193" s="251">
        <f t="shared" si="18"/>
        <v>1314.41</v>
      </c>
      <c r="O193" s="223"/>
      <c r="P193" s="210" t="str">
        <f>VLOOKUP(C193,'WO Descriptions'!$A$5:$D$384,4)</f>
        <v>Service/Yard Line Replacement (SLRP): Contract Crew.  Service/yard line replacement - Material Charges Only  (Lee's Summit - East Region)</v>
      </c>
    </row>
    <row r="194" spans="1:16" outlineLevel="2">
      <c r="A194" s="223" t="s">
        <v>66</v>
      </c>
      <c r="B194" s="250" t="s">
        <v>499</v>
      </c>
      <c r="C194" s="250" t="s">
        <v>500</v>
      </c>
      <c r="D194" s="223" t="s">
        <v>385</v>
      </c>
      <c r="E194" s="250" t="s">
        <v>501</v>
      </c>
      <c r="F194" s="223" t="s">
        <v>387</v>
      </c>
      <c r="G194" s="250" t="s">
        <v>23</v>
      </c>
      <c r="H194" s="250" t="s">
        <v>1530</v>
      </c>
      <c r="I194" s="250">
        <v>201502</v>
      </c>
      <c r="J194" s="251">
        <v>20994.25</v>
      </c>
      <c r="K194" s="171">
        <f t="shared" si="12"/>
        <v>4</v>
      </c>
      <c r="L194" s="253">
        <v>2.23333E-3</v>
      </c>
      <c r="M194" s="251">
        <f t="shared" si="19"/>
        <v>187.55</v>
      </c>
      <c r="N194" s="251">
        <f t="shared" si="18"/>
        <v>562.65</v>
      </c>
      <c r="O194" s="223"/>
      <c r="P194" s="210" t="str">
        <f>VLOOKUP(C194,'WO Descriptions'!$A$5:$D$384,4)</f>
        <v>Replacement and/or removal of existing protected steel or plastic (Joplin - South Region)</v>
      </c>
    </row>
    <row r="195" spans="1:16" ht="30" outlineLevel="2">
      <c r="A195" s="223" t="s">
        <v>66</v>
      </c>
      <c r="B195" s="250" t="s">
        <v>595</v>
      </c>
      <c r="C195" s="250" t="s">
        <v>596</v>
      </c>
      <c r="D195" s="223" t="s">
        <v>597</v>
      </c>
      <c r="E195" s="250" t="s">
        <v>598</v>
      </c>
      <c r="F195" s="223" t="s">
        <v>212</v>
      </c>
      <c r="G195" s="250" t="s">
        <v>23</v>
      </c>
      <c r="H195" s="250" t="s">
        <v>1530</v>
      </c>
      <c r="I195" s="250">
        <v>201502</v>
      </c>
      <c r="J195" s="251">
        <v>69364.84</v>
      </c>
      <c r="K195" s="171">
        <f t="shared" si="12"/>
        <v>4</v>
      </c>
      <c r="L195" s="253">
        <v>2.23333E-3</v>
      </c>
      <c r="M195" s="251">
        <f t="shared" si="19"/>
        <v>619.66</v>
      </c>
      <c r="N195" s="251">
        <f t="shared" si="18"/>
        <v>1858.97</v>
      </c>
      <c r="O195" s="223"/>
      <c r="P195" s="210" t="str">
        <f>VLOOKUP(C195,'WO Descriptions'!$A$5:$D$384,4)</f>
        <v>Service/Yard Line Replacement (SLRP): Contract Crew.  Immediate response - replacement single unprotected steel or copper  (Lee's Summit - East Region)</v>
      </c>
    </row>
    <row r="196" spans="1:16" outlineLevel="2">
      <c r="A196" s="223" t="s">
        <v>66</v>
      </c>
      <c r="B196" s="250" t="s">
        <v>599</v>
      </c>
      <c r="C196" s="250" t="s">
        <v>600</v>
      </c>
      <c r="D196" s="223" t="s">
        <v>385</v>
      </c>
      <c r="E196" s="250" t="s">
        <v>601</v>
      </c>
      <c r="F196" s="223" t="s">
        <v>387</v>
      </c>
      <c r="G196" s="250" t="s">
        <v>23</v>
      </c>
      <c r="H196" s="250" t="s">
        <v>1530</v>
      </c>
      <c r="I196" s="250">
        <v>201502</v>
      </c>
      <c r="J196" s="251">
        <v>-3148.9</v>
      </c>
      <c r="K196" s="171">
        <f t="shared" si="12"/>
        <v>4</v>
      </c>
      <c r="L196" s="253">
        <v>2.23333E-3</v>
      </c>
      <c r="M196" s="251">
        <f t="shared" si="19"/>
        <v>-28.13</v>
      </c>
      <c r="N196" s="251">
        <f t="shared" si="18"/>
        <v>-84.39</v>
      </c>
      <c r="O196" s="223"/>
      <c r="P196" s="210" t="str">
        <f>VLOOKUP(C196,'WO Descriptions'!$A$5:$D$384,4)</f>
        <v>Replacement and/or removal of existing protected steel or plastic (St. Joseph)</v>
      </c>
    </row>
    <row r="197" spans="1:16" ht="30" outlineLevel="2">
      <c r="A197" s="223" t="s">
        <v>66</v>
      </c>
      <c r="B197" s="250" t="s">
        <v>671</v>
      </c>
      <c r="C197" s="250" t="s">
        <v>672</v>
      </c>
      <c r="D197" s="223" t="s">
        <v>206</v>
      </c>
      <c r="E197" s="250" t="s">
        <v>673</v>
      </c>
      <c r="F197" s="223" t="s">
        <v>97</v>
      </c>
      <c r="G197" s="250" t="s">
        <v>23</v>
      </c>
      <c r="H197" s="250" t="s">
        <v>1530</v>
      </c>
      <c r="I197" s="250">
        <v>201502</v>
      </c>
      <c r="J197" s="251">
        <v>6.38</v>
      </c>
      <c r="K197" s="171">
        <f t="shared" si="12"/>
        <v>4</v>
      </c>
      <c r="L197" s="253">
        <v>2.23333E-3</v>
      </c>
      <c r="M197" s="251">
        <f t="shared" si="19"/>
        <v>0.06</v>
      </c>
      <c r="N197" s="251">
        <f t="shared" si="18"/>
        <v>0.17</v>
      </c>
      <c r="O197" s="223"/>
      <c r="P197" s="210" t="str">
        <f>VLOOKUP(C197,'WO Descriptions'!$A$5:$D$384,4)</f>
        <v>Service/Yard Line Replacement (SLRP): Company Crew.  Service/yard line replacement - Material Charges Only  (Joplin - South Region)</v>
      </c>
    </row>
    <row r="198" spans="1:16" outlineLevel="2">
      <c r="A198" s="223" t="s">
        <v>66</v>
      </c>
      <c r="B198" s="250" t="s">
        <v>674</v>
      </c>
      <c r="C198" s="250" t="s">
        <v>675</v>
      </c>
      <c r="D198" s="223" t="s">
        <v>385</v>
      </c>
      <c r="E198" s="250" t="s">
        <v>676</v>
      </c>
      <c r="F198" s="223" t="s">
        <v>387</v>
      </c>
      <c r="G198" s="250" t="s">
        <v>23</v>
      </c>
      <c r="H198" s="250" t="s">
        <v>1530</v>
      </c>
      <c r="I198" s="250">
        <v>201502</v>
      </c>
      <c r="J198" s="251">
        <v>10309.6</v>
      </c>
      <c r="K198" s="171">
        <f t="shared" si="12"/>
        <v>4</v>
      </c>
      <c r="L198" s="253">
        <v>2.23333E-3</v>
      </c>
      <c r="M198" s="251">
        <f t="shared" si="19"/>
        <v>92.1</v>
      </c>
      <c r="N198" s="251">
        <f t="shared" si="18"/>
        <v>276.3</v>
      </c>
      <c r="O198" s="223"/>
      <c r="P198" s="210" t="str">
        <f>VLOOKUP(C198,'WO Descriptions'!$A$5:$D$384,4)</f>
        <v>Replacement and/or removal of existing protected steel or plastic (Monett - South Region)</v>
      </c>
    </row>
    <row r="199" spans="1:16" ht="30" outlineLevel="2">
      <c r="A199" s="223" t="s">
        <v>66</v>
      </c>
      <c r="B199" s="250" t="s">
        <v>741</v>
      </c>
      <c r="C199" s="250" t="s">
        <v>742</v>
      </c>
      <c r="D199" s="223" t="s">
        <v>69</v>
      </c>
      <c r="E199" s="250" t="s">
        <v>70</v>
      </c>
      <c r="F199" s="223" t="s">
        <v>71</v>
      </c>
      <c r="G199" s="250" t="s">
        <v>23</v>
      </c>
      <c r="H199" s="250" t="s">
        <v>1530</v>
      </c>
      <c r="I199" s="250">
        <v>201502</v>
      </c>
      <c r="J199" s="251">
        <v>-1571.16</v>
      </c>
      <c r="K199" s="171">
        <f t="shared" si="12"/>
        <v>4</v>
      </c>
      <c r="L199" s="253">
        <v>2.23333E-3</v>
      </c>
      <c r="M199" s="251">
        <f t="shared" si="19"/>
        <v>-14.04</v>
      </c>
      <c r="N199" s="251">
        <f t="shared" si="18"/>
        <v>-42.11</v>
      </c>
      <c r="O199" s="223"/>
      <c r="P199" s="210" t="str">
        <f>VLOOKUP(C199,'WO Descriptions'!$A$5:$D$384,4)</f>
        <v>Service/Yard Line Replacement (SLRP): Company Crew.  Immediate response - replacement single unprotected steel or copper  (Lee's Summit - East Region)</v>
      </c>
    </row>
    <row r="200" spans="1:16" ht="30" outlineLevel="2">
      <c r="A200" s="223" t="s">
        <v>66</v>
      </c>
      <c r="B200" s="250" t="s">
        <v>743</v>
      </c>
      <c r="C200" s="250" t="s">
        <v>744</v>
      </c>
      <c r="D200" s="223" t="s">
        <v>745</v>
      </c>
      <c r="E200" s="250" t="s">
        <v>746</v>
      </c>
      <c r="F200" s="223" t="s">
        <v>80</v>
      </c>
      <c r="G200" s="250" t="s">
        <v>23</v>
      </c>
      <c r="H200" s="250" t="s">
        <v>1530</v>
      </c>
      <c r="I200" s="250">
        <v>201502</v>
      </c>
      <c r="J200" s="251">
        <v>-487.55</v>
      </c>
      <c r="K200" s="171">
        <f t="shared" si="12"/>
        <v>4</v>
      </c>
      <c r="L200" s="253">
        <v>2.23333E-3</v>
      </c>
      <c r="M200" s="251">
        <f t="shared" si="19"/>
        <v>-4.3600000000000003</v>
      </c>
      <c r="N200" s="251">
        <f t="shared" si="18"/>
        <v>-13.07</v>
      </c>
      <c r="O200" s="223"/>
      <c r="P200" s="210" t="str">
        <f>VLOOKUP(C200,'WO Descriptions'!$A$5:$D$384,4)</f>
        <v>Service/Yard Line Replacement (SLRP): Contract Crew.  Modified Block by Block - Planned replacement of unprotected steel or copper  (Kansas City - Central Region)</v>
      </c>
    </row>
    <row r="201" spans="1:16" ht="30" outlineLevel="2">
      <c r="A201" s="223" t="s">
        <v>66</v>
      </c>
      <c r="B201" s="250" t="s">
        <v>747</v>
      </c>
      <c r="C201" s="250" t="s">
        <v>748</v>
      </c>
      <c r="D201" s="223" t="s">
        <v>78</v>
      </c>
      <c r="E201" s="250" t="s">
        <v>749</v>
      </c>
      <c r="F201" s="223" t="s">
        <v>80</v>
      </c>
      <c r="G201" s="250" t="s">
        <v>23</v>
      </c>
      <c r="H201" s="250" t="s">
        <v>1530</v>
      </c>
      <c r="I201" s="250">
        <v>201502</v>
      </c>
      <c r="J201" s="251">
        <v>3541.36</v>
      </c>
      <c r="K201" s="171">
        <f t="shared" si="12"/>
        <v>4</v>
      </c>
      <c r="L201" s="253">
        <v>2.23333E-3</v>
      </c>
      <c r="M201" s="251">
        <f t="shared" si="19"/>
        <v>31.64</v>
      </c>
      <c r="N201" s="251">
        <f t="shared" si="18"/>
        <v>94.91</v>
      </c>
      <c r="O201" s="223"/>
      <c r="P201" s="210" t="str">
        <f>VLOOKUP(C201,'WO Descriptions'!$A$5:$D$384,4)</f>
        <v>Service/Yard Line Replacement (SLRP): Contract Crew.  Modified Block by Block - Planned replacement of unprotected steel or copper  (Joplin - South Region)</v>
      </c>
    </row>
    <row r="202" spans="1:16" ht="30" outlineLevel="2">
      <c r="A202" s="223" t="s">
        <v>66</v>
      </c>
      <c r="B202" s="250" t="s">
        <v>750</v>
      </c>
      <c r="C202" s="250" t="s">
        <v>751</v>
      </c>
      <c r="D202" s="223" t="s">
        <v>78</v>
      </c>
      <c r="E202" s="250" t="s">
        <v>752</v>
      </c>
      <c r="F202" s="223" t="s">
        <v>80</v>
      </c>
      <c r="G202" s="250" t="s">
        <v>23</v>
      </c>
      <c r="H202" s="250" t="s">
        <v>1530</v>
      </c>
      <c r="I202" s="250">
        <v>201502</v>
      </c>
      <c r="J202" s="251">
        <v>-0.45</v>
      </c>
      <c r="K202" s="171">
        <f t="shared" si="12"/>
        <v>4</v>
      </c>
      <c r="L202" s="253">
        <v>2.23333E-3</v>
      </c>
      <c r="M202" s="251">
        <f t="shared" si="19"/>
        <v>0</v>
      </c>
      <c r="N202" s="251">
        <f t="shared" si="18"/>
        <v>-0.01</v>
      </c>
      <c r="O202" s="223"/>
      <c r="P202" s="210" t="str">
        <f>VLOOKUP(C202,'WO Descriptions'!$A$5:$D$384,4)</f>
        <v>Service/Yard Line Replacement (SLRP): Contract Crew.  Modified Block by Block - Planned replacement of unprotected steel or copper  (St. Joseph)</v>
      </c>
    </row>
    <row r="203" spans="1:16" ht="30" outlineLevel="2">
      <c r="A203" s="223" t="s">
        <v>66</v>
      </c>
      <c r="B203" s="250" t="s">
        <v>753</v>
      </c>
      <c r="C203" s="250" t="s">
        <v>754</v>
      </c>
      <c r="D203" s="223" t="s">
        <v>206</v>
      </c>
      <c r="E203" s="250" t="s">
        <v>755</v>
      </c>
      <c r="F203" s="223" t="s">
        <v>97</v>
      </c>
      <c r="G203" s="250" t="s">
        <v>23</v>
      </c>
      <c r="H203" s="250" t="s">
        <v>1530</v>
      </c>
      <c r="I203" s="250">
        <v>201502</v>
      </c>
      <c r="J203" s="251">
        <v>5789.58</v>
      </c>
      <c r="K203" s="171">
        <f t="shared" si="12"/>
        <v>4</v>
      </c>
      <c r="L203" s="253">
        <v>2.23333E-3</v>
      </c>
      <c r="M203" s="251">
        <f t="shared" si="19"/>
        <v>51.72</v>
      </c>
      <c r="N203" s="251">
        <f t="shared" si="18"/>
        <v>155.16</v>
      </c>
      <c r="O203" s="223"/>
      <c r="P203" s="210" t="str">
        <f>VLOOKUP(C203,'WO Descriptions'!$A$5:$D$384,4)</f>
        <v>Service/Yard Line Replacement (SLRP): Company Crew.  Service/yard line replacement - Material Charges Only  (Lee's Summit - East Region)</v>
      </c>
    </row>
    <row r="204" spans="1:16" outlineLevel="2">
      <c r="A204" s="211"/>
      <c r="B204" s="212"/>
      <c r="C204" s="212"/>
      <c r="D204" s="211"/>
      <c r="E204" s="212"/>
      <c r="F204" s="211"/>
      <c r="G204" s="212"/>
      <c r="H204" s="212"/>
      <c r="I204" s="212"/>
      <c r="J204" s="213"/>
      <c r="K204" s="171"/>
      <c r="L204" s="214"/>
      <c r="M204" s="213"/>
      <c r="N204" s="213"/>
      <c r="O204" s="14"/>
      <c r="P204" s="210"/>
    </row>
    <row r="205" spans="1:16" outlineLevel="1">
      <c r="A205" s="14"/>
      <c r="B205" s="15"/>
      <c r="C205" s="15"/>
      <c r="D205" s="14"/>
      <c r="E205" s="15"/>
      <c r="F205" s="14"/>
      <c r="G205" s="15"/>
      <c r="H205" s="69" t="s">
        <v>1532</v>
      </c>
      <c r="I205" s="15"/>
      <c r="J205" s="16">
        <f>SUBTOTAL(9,J5:J204)</f>
        <v>4089100.5300000012</v>
      </c>
      <c r="K205" s="171"/>
      <c r="L205" s="17"/>
      <c r="M205" s="16">
        <f>SUBTOTAL(9,M5:M204)</f>
        <v>64906.510000000038</v>
      </c>
      <c r="N205" s="16">
        <f>SUBTOTAL(9,N5:N204)</f>
        <v>108870.18999999997</v>
      </c>
      <c r="O205" s="14"/>
      <c r="P205" s="210"/>
    </row>
    <row r="206" spans="1:16" outlineLevel="2">
      <c r="A206" s="18" t="s">
        <v>217</v>
      </c>
      <c r="B206" s="15" t="s">
        <v>218</v>
      </c>
      <c r="C206" s="15" t="s">
        <v>219</v>
      </c>
      <c r="D206" s="14" t="s">
        <v>220</v>
      </c>
      <c r="E206" s="15" t="s">
        <v>221</v>
      </c>
      <c r="F206" s="14" t="s">
        <v>222</v>
      </c>
      <c r="G206" s="15" t="s">
        <v>23</v>
      </c>
      <c r="H206" s="15" t="s">
        <v>1524</v>
      </c>
      <c r="I206" s="15">
        <v>201409</v>
      </c>
      <c r="J206" s="16">
        <v>120417.26</v>
      </c>
      <c r="K206" s="171">
        <f t="shared" ref="K206:K211" si="20">VLOOKUP(I206,$T$7:$U$15,2)</f>
        <v>9</v>
      </c>
      <c r="L206" s="17">
        <v>1.4833299999999999E-3</v>
      </c>
      <c r="M206" s="16">
        <f>ROUND(J206*K206*L206,2)</f>
        <v>1607.57</v>
      </c>
      <c r="N206" s="16">
        <f>ROUND(J206*L206*12,2)</f>
        <v>2143.42</v>
      </c>
      <c r="O206" s="14"/>
      <c r="P206" s="210" t="str">
        <f>VLOOKUP(C206,'WO Descriptions'!$A$5:$D$384,4)</f>
        <v>Project Type:B</v>
      </c>
    </row>
    <row r="207" spans="1:16" outlineLevel="2">
      <c r="A207" s="18" t="s">
        <v>217</v>
      </c>
      <c r="B207" s="15" t="s">
        <v>218</v>
      </c>
      <c r="C207" s="15" t="s">
        <v>219</v>
      </c>
      <c r="D207" s="14" t="s">
        <v>220</v>
      </c>
      <c r="E207" s="15" t="s">
        <v>221</v>
      </c>
      <c r="F207" s="14" t="s">
        <v>222</v>
      </c>
      <c r="G207" s="15" t="s">
        <v>23</v>
      </c>
      <c r="H207" s="15" t="s">
        <v>1524</v>
      </c>
      <c r="I207" s="15">
        <v>201410</v>
      </c>
      <c r="J207" s="16">
        <v>70665.899999999994</v>
      </c>
      <c r="K207" s="171">
        <f t="shared" si="20"/>
        <v>8</v>
      </c>
      <c r="L207" s="17">
        <v>1.4833299999999999E-3</v>
      </c>
      <c r="M207" s="16">
        <f>ROUND(J207*K207*L207,2)</f>
        <v>838.57</v>
      </c>
      <c r="N207" s="16">
        <f>ROUND(J207*L207*12,2)</f>
        <v>1257.8499999999999</v>
      </c>
      <c r="O207" s="14"/>
      <c r="P207" s="210" t="str">
        <f>VLOOKUP(C207,'WO Descriptions'!$A$5:$D$384,4)</f>
        <v>Project Type:B</v>
      </c>
    </row>
    <row r="208" spans="1:16" outlineLevel="2">
      <c r="A208" s="18" t="s">
        <v>217</v>
      </c>
      <c r="B208" s="15" t="s">
        <v>218</v>
      </c>
      <c r="C208" s="15" t="s">
        <v>219</v>
      </c>
      <c r="D208" s="14" t="s">
        <v>220</v>
      </c>
      <c r="E208" s="15" t="s">
        <v>221</v>
      </c>
      <c r="F208" s="14" t="s">
        <v>222</v>
      </c>
      <c r="G208" s="15" t="s">
        <v>23</v>
      </c>
      <c r="H208" s="15" t="s">
        <v>1524</v>
      </c>
      <c r="I208" s="15">
        <v>201411</v>
      </c>
      <c r="J208" s="16">
        <v>63472.43</v>
      </c>
      <c r="K208" s="171">
        <f t="shared" si="20"/>
        <v>7</v>
      </c>
      <c r="L208" s="17">
        <v>1.4833299999999999E-3</v>
      </c>
      <c r="M208" s="16">
        <f>ROUND(J208*K208*L208,2)</f>
        <v>659.05</v>
      </c>
      <c r="N208" s="16">
        <f>ROUND(J208*L208*12,2)</f>
        <v>1129.81</v>
      </c>
      <c r="O208" s="14"/>
      <c r="P208" s="210" t="str">
        <f>VLOOKUP(C208,'WO Descriptions'!$A$5:$D$384,4)</f>
        <v>Project Type:B</v>
      </c>
    </row>
    <row r="209" spans="1:16" outlineLevel="2">
      <c r="A209" s="14" t="s">
        <v>217</v>
      </c>
      <c r="B209" s="15" t="s">
        <v>218</v>
      </c>
      <c r="C209" s="15" t="s">
        <v>219</v>
      </c>
      <c r="D209" s="14" t="s">
        <v>220</v>
      </c>
      <c r="E209" s="15" t="s">
        <v>221</v>
      </c>
      <c r="F209" s="14" t="s">
        <v>222</v>
      </c>
      <c r="G209" s="15" t="s">
        <v>23</v>
      </c>
      <c r="H209" s="15" t="s">
        <v>1524</v>
      </c>
      <c r="I209" s="15">
        <v>201412</v>
      </c>
      <c r="J209" s="16">
        <v>30904.42</v>
      </c>
      <c r="K209" s="171">
        <f t="shared" si="20"/>
        <v>6</v>
      </c>
      <c r="L209" s="17">
        <v>1.4833299999999999E-3</v>
      </c>
      <c r="M209" s="16">
        <f>ROUND(J209*K209*L209,2)</f>
        <v>275.05</v>
      </c>
      <c r="N209" s="16">
        <f>ROUND(J209*L209*12,2)</f>
        <v>550.1</v>
      </c>
      <c r="O209" s="14"/>
      <c r="P209" s="210" t="str">
        <f>VLOOKUP(C209,'WO Descriptions'!$A$5:$D$384,4)</f>
        <v>Project Type:B</v>
      </c>
    </row>
    <row r="210" spans="1:16" outlineLevel="2">
      <c r="A210" s="223" t="s">
        <v>217</v>
      </c>
      <c r="B210" s="250" t="s">
        <v>218</v>
      </c>
      <c r="C210" s="250" t="s">
        <v>219</v>
      </c>
      <c r="D210" s="223" t="s">
        <v>220</v>
      </c>
      <c r="E210" s="250" t="s">
        <v>221</v>
      </c>
      <c r="F210" s="223" t="s">
        <v>222</v>
      </c>
      <c r="G210" s="250" t="s">
        <v>23</v>
      </c>
      <c r="H210" s="250" t="s">
        <v>1524</v>
      </c>
      <c r="I210" s="250">
        <v>201501</v>
      </c>
      <c r="J210" s="251">
        <v>45692.63</v>
      </c>
      <c r="K210" s="171">
        <f t="shared" si="20"/>
        <v>5</v>
      </c>
      <c r="L210" s="253">
        <v>1.4833299999999999E-3</v>
      </c>
      <c r="M210" s="251">
        <f>ROUND(J210*K210*L210,2)</f>
        <v>338.89</v>
      </c>
      <c r="N210" s="251">
        <f>ROUND(J210*L210*12,2)</f>
        <v>813.33</v>
      </c>
      <c r="O210" s="14"/>
      <c r="P210" s="210" t="str">
        <f>VLOOKUP(C210,'WO Descriptions'!$A$5:$D$384,4)</f>
        <v>Project Type:B</v>
      </c>
    </row>
    <row r="211" spans="1:16" outlineLevel="2">
      <c r="A211" s="223" t="s">
        <v>217</v>
      </c>
      <c r="B211" s="250" t="s">
        <v>218</v>
      </c>
      <c r="C211" s="250" t="s">
        <v>219</v>
      </c>
      <c r="D211" s="223" t="s">
        <v>220</v>
      </c>
      <c r="E211" s="250" t="s">
        <v>221</v>
      </c>
      <c r="F211" s="223" t="s">
        <v>222</v>
      </c>
      <c r="G211" s="250" t="s">
        <v>23</v>
      </c>
      <c r="H211" s="250" t="s">
        <v>1524</v>
      </c>
      <c r="I211" s="250">
        <v>201502</v>
      </c>
      <c r="J211" s="251">
        <v>56481.21</v>
      </c>
      <c r="K211" s="171">
        <f t="shared" si="20"/>
        <v>4</v>
      </c>
      <c r="L211" s="253">
        <v>1.4833299999999999E-3</v>
      </c>
      <c r="M211" s="251">
        <f t="shared" ref="M211" si="21">ROUND(J211*K211*L211,2)</f>
        <v>335.12</v>
      </c>
      <c r="N211" s="251">
        <f t="shared" ref="N211" si="22">ROUND(J211*L211*12,2)</f>
        <v>1005.36</v>
      </c>
      <c r="O211" s="223"/>
      <c r="P211" s="210" t="str">
        <f>VLOOKUP(C211,'WO Descriptions'!$A$5:$D$384,4)</f>
        <v>Project Type:B</v>
      </c>
    </row>
    <row r="212" spans="1:16" outlineLevel="2">
      <c r="A212" s="14"/>
      <c r="B212" s="15"/>
      <c r="C212" s="15"/>
      <c r="D212" s="14"/>
      <c r="E212" s="15"/>
      <c r="F212" s="14"/>
      <c r="G212" s="15"/>
      <c r="H212" s="15"/>
      <c r="I212" s="15"/>
      <c r="J212" s="16"/>
      <c r="K212" s="171"/>
      <c r="L212" s="17"/>
      <c r="M212" s="16"/>
      <c r="N212" s="16"/>
      <c r="O212" s="14"/>
      <c r="P212" s="210"/>
    </row>
    <row r="213" spans="1:16" outlineLevel="1">
      <c r="A213" s="14"/>
      <c r="B213" s="15"/>
      <c r="C213" s="15"/>
      <c r="D213" s="14"/>
      <c r="E213" s="15"/>
      <c r="F213" s="14"/>
      <c r="G213" s="15"/>
      <c r="H213" s="69" t="s">
        <v>1533</v>
      </c>
      <c r="I213" s="15"/>
      <c r="J213" s="16">
        <f>SUBTOTAL(9,J206:J212)</f>
        <v>387633.85</v>
      </c>
      <c r="K213" s="171"/>
      <c r="L213" s="17"/>
      <c r="M213" s="16">
        <f>SUBTOTAL(9,M206:M212)</f>
        <v>4054.2499999999995</v>
      </c>
      <c r="N213" s="16">
        <f>SUBTOTAL(9,N206:N212)</f>
        <v>6899.87</v>
      </c>
      <c r="O213" s="14"/>
      <c r="P213" s="210"/>
    </row>
    <row r="214" spans="1:16" ht="45" outlineLevel="2">
      <c r="A214" s="14" t="s">
        <v>17</v>
      </c>
      <c r="B214" s="15" t="s">
        <v>18</v>
      </c>
      <c r="C214" s="15" t="s">
        <v>19</v>
      </c>
      <c r="D214" s="14" t="s">
        <v>20</v>
      </c>
      <c r="E214" s="15" t="s">
        <v>21</v>
      </c>
      <c r="F214" s="14" t="s">
        <v>22</v>
      </c>
      <c r="G214" s="15" t="s">
        <v>23</v>
      </c>
      <c r="H214" s="15" t="s">
        <v>1525</v>
      </c>
      <c r="I214" s="15">
        <v>201409</v>
      </c>
      <c r="J214" s="16">
        <v>-607.88</v>
      </c>
      <c r="K214" s="171">
        <f t="shared" ref="K214:K277" si="23">VLOOKUP(I214,$T$7:$U$15,2)</f>
        <v>9</v>
      </c>
      <c r="L214" s="17">
        <v>1.4833299999999999E-3</v>
      </c>
      <c r="M214" s="16">
        <f t="shared" ref="M214:M277" si="24">ROUND(J214*K214*L214,2)</f>
        <v>-8.1199999999999992</v>
      </c>
      <c r="N214" s="16">
        <f t="shared" ref="N214:N277" si="25">ROUND(J214*L214*12,2)</f>
        <v>-10.82</v>
      </c>
      <c r="O214" s="14"/>
      <c r="P214" s="210" t="str">
        <f>VLOOKUP(C214,'WO Descriptions'!$A$5:$D$345,4)</f>
        <v>Approved by: Kevin Driskell on 12/31/2013,  ISRS To replace 24ft of 1.5" CU main at Cypress and E 43rd St. Main is on the C-009 pressure system with a MOP=15psig and a MAOP=16psig. See attached sheet for the work order numbers, length, size and type of main to be abandoned.</v>
      </c>
    </row>
    <row r="215" spans="1:16" ht="30" outlineLevel="2">
      <c r="A215" s="14" t="s">
        <v>17</v>
      </c>
      <c r="B215" s="15" t="s">
        <v>24</v>
      </c>
      <c r="C215" s="15" t="s">
        <v>25</v>
      </c>
      <c r="D215" s="14" t="s">
        <v>26</v>
      </c>
      <c r="E215" s="15" t="s">
        <v>27</v>
      </c>
      <c r="F215" s="14" t="s">
        <v>28</v>
      </c>
      <c r="G215" s="15" t="s">
        <v>23</v>
      </c>
      <c r="H215" s="15" t="s">
        <v>1525</v>
      </c>
      <c r="I215" s="15">
        <v>201409</v>
      </c>
      <c r="J215" s="16">
        <v>2.6</v>
      </c>
      <c r="K215" s="171">
        <f t="shared" si="23"/>
        <v>9</v>
      </c>
      <c r="L215" s="17">
        <v>1.4833299999999999E-3</v>
      </c>
      <c r="M215" s="16">
        <f t="shared" si="24"/>
        <v>0.03</v>
      </c>
      <c r="N215" s="16">
        <f t="shared" si="25"/>
        <v>0.05</v>
      </c>
      <c r="O215" s="14"/>
      <c r="P215" s="210" t="str">
        <f>VLOOKUP(C215,'WO Descriptions'!$A$5:$D$345,4)</f>
        <v>Approved by: Ralph Janes on 11/07/2013,  Replace and abandon 10' - 2in pcs main (WO 642656) that was damaged by third party drilling in a power pole.</v>
      </c>
    </row>
    <row r="216" spans="1:16" ht="45" outlineLevel="2">
      <c r="A216" s="14" t="s">
        <v>17</v>
      </c>
      <c r="B216" s="15" t="s">
        <v>29</v>
      </c>
      <c r="C216" s="15" t="s">
        <v>30</v>
      </c>
      <c r="D216" s="14" t="s">
        <v>31</v>
      </c>
      <c r="E216" s="15" t="s">
        <v>32</v>
      </c>
      <c r="F216" s="14" t="s">
        <v>22</v>
      </c>
      <c r="G216" s="15" t="s">
        <v>23</v>
      </c>
      <c r="H216" s="15" t="s">
        <v>1525</v>
      </c>
      <c r="I216" s="15">
        <v>201409</v>
      </c>
      <c r="J216" s="16">
        <v>-49.61</v>
      </c>
      <c r="K216" s="171">
        <f t="shared" si="23"/>
        <v>9</v>
      </c>
      <c r="L216" s="17">
        <v>1.4833299999999999E-3</v>
      </c>
      <c r="M216" s="16">
        <f t="shared" si="24"/>
        <v>-0.66</v>
      </c>
      <c r="N216" s="16">
        <f t="shared" si="25"/>
        <v>-0.88</v>
      </c>
      <c r="O216" s="14"/>
      <c r="P216" s="210" t="str">
        <f>VLOOKUP(C216,'WO Descriptions'!$A$5:$D$345,4)</f>
        <v>Approved by: Galen Shoemaker on 09/23/2013,  To replace 20ft of 4in BS (JO9B) and 5ft of 2in CS (JO9B) and 5ft of 2in CS (65-4958) with 2in CS due to leakage and poor condition of main. MOP=30# MAOP=31# SYSTEM=S-6 TEST=100#</v>
      </c>
    </row>
    <row r="217" spans="1:16" ht="45" outlineLevel="2">
      <c r="A217" s="14" t="s">
        <v>17</v>
      </c>
      <c r="B217" s="15" t="s">
        <v>33</v>
      </c>
      <c r="C217" s="15" t="s">
        <v>34</v>
      </c>
      <c r="D217" s="14" t="s">
        <v>35</v>
      </c>
      <c r="E217" s="15" t="s">
        <v>36</v>
      </c>
      <c r="F217" s="14" t="s">
        <v>22</v>
      </c>
      <c r="G217" s="15" t="s">
        <v>23</v>
      </c>
      <c r="H217" s="15" t="s">
        <v>1525</v>
      </c>
      <c r="I217" s="15">
        <v>201409</v>
      </c>
      <c r="J217" s="16">
        <v>-133.36000000000001</v>
      </c>
      <c r="K217" s="171">
        <f t="shared" si="23"/>
        <v>9</v>
      </c>
      <c r="L217" s="17">
        <v>1.4833299999999999E-3</v>
      </c>
      <c r="M217" s="16">
        <f t="shared" si="24"/>
        <v>-1.78</v>
      </c>
      <c r="N217" s="16">
        <f t="shared" si="25"/>
        <v>-2.37</v>
      </c>
      <c r="O217" s="14"/>
      <c r="P217" s="210" t="str">
        <f>VLOOKUP(C217,'WO Descriptions'!$A$5:$D$345,4)</f>
        <v>Approved by: Gary Williams on 07/22/2013,  This work order is necessary to replace 600ft-4in bs main (WO#6580) with 4in pe main (WO#13-2796) due to low reads. Pressure System C-01 Pressure .88.</v>
      </c>
    </row>
    <row r="218" spans="1:16" ht="30" outlineLevel="2">
      <c r="A218" s="14" t="s">
        <v>17</v>
      </c>
      <c r="B218" s="15" t="s">
        <v>42</v>
      </c>
      <c r="C218" s="15" t="s">
        <v>43</v>
      </c>
      <c r="D218" s="14" t="s">
        <v>44</v>
      </c>
      <c r="E218" s="15" t="s">
        <v>45</v>
      </c>
      <c r="F218" s="14" t="s">
        <v>22</v>
      </c>
      <c r="G218" s="15" t="s">
        <v>23</v>
      </c>
      <c r="H218" s="15" t="s">
        <v>1525</v>
      </c>
      <c r="I218" s="15">
        <v>201409</v>
      </c>
      <c r="J218" s="16">
        <v>7.45</v>
      </c>
      <c r="K218" s="171">
        <f t="shared" si="23"/>
        <v>9</v>
      </c>
      <c r="L218" s="17">
        <v>1.4833299999999999E-3</v>
      </c>
      <c r="M218" s="16">
        <f t="shared" si="24"/>
        <v>0.1</v>
      </c>
      <c r="N218" s="16">
        <f t="shared" si="25"/>
        <v>0.13</v>
      </c>
      <c r="O218" s="14"/>
      <c r="P218" s="210" t="str">
        <f>VLOOKUP(C218,'WO Descriptions'!$A$5:$D$345,4)</f>
        <v>Approved by: Kevin Driskell on 09/23/2013,  Replace 2" PBS with 12' of 2" thin film steel due to leak.  Abandon 8' of 2" PBS (WO I333).  Work done by MGE crew.  MOP=15#, MAOP=15#</v>
      </c>
    </row>
    <row r="219" spans="1:16" ht="60" outlineLevel="2">
      <c r="A219" s="14" t="s">
        <v>17</v>
      </c>
      <c r="B219" s="15" t="s">
        <v>46</v>
      </c>
      <c r="C219" s="15" t="s">
        <v>47</v>
      </c>
      <c r="D219" s="14" t="s">
        <v>48</v>
      </c>
      <c r="E219" s="15" t="s">
        <v>49</v>
      </c>
      <c r="F219" s="14" t="s">
        <v>22</v>
      </c>
      <c r="G219" s="15" t="s">
        <v>23</v>
      </c>
      <c r="H219" s="15" t="s">
        <v>1525</v>
      </c>
      <c r="I219" s="15">
        <v>201409</v>
      </c>
      <c r="J219" s="16">
        <v>20.05</v>
      </c>
      <c r="K219" s="171">
        <f t="shared" si="23"/>
        <v>9</v>
      </c>
      <c r="L219" s="17">
        <v>1.4833299999999999E-3</v>
      </c>
      <c r="M219" s="16">
        <f t="shared" si="24"/>
        <v>0.27</v>
      </c>
      <c r="N219" s="16">
        <f t="shared" si="25"/>
        <v>0.36</v>
      </c>
      <c r="O219" s="14"/>
      <c r="P219" s="210" t="str">
        <f>VLOOKUP(C219,'WO Descriptions'!$A$5:$D$345,4)</f>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
    </row>
    <row r="220" spans="1:16" ht="60" outlineLevel="2">
      <c r="A220" s="14" t="s">
        <v>17</v>
      </c>
      <c r="B220" s="15" t="s">
        <v>63</v>
      </c>
      <c r="C220" s="15" t="s">
        <v>64</v>
      </c>
      <c r="D220" s="14" t="s">
        <v>65</v>
      </c>
      <c r="E220" s="15" t="s">
        <v>32</v>
      </c>
      <c r="F220" s="14" t="s">
        <v>22</v>
      </c>
      <c r="G220" s="15" t="s">
        <v>23</v>
      </c>
      <c r="H220" s="15" t="s">
        <v>1525</v>
      </c>
      <c r="I220" s="15">
        <v>201409</v>
      </c>
      <c r="J220" s="16">
        <v>3.2</v>
      </c>
      <c r="K220" s="171">
        <f t="shared" si="23"/>
        <v>9</v>
      </c>
      <c r="L220" s="17">
        <v>1.4833299999999999E-3</v>
      </c>
      <c r="M220" s="16">
        <f t="shared" si="24"/>
        <v>0.04</v>
      </c>
      <c r="N220" s="16">
        <f t="shared" si="25"/>
        <v>0.06</v>
      </c>
      <c r="O220" s="14"/>
      <c r="P220" s="210" t="str">
        <f>VLOOKUP(C220,'WO Descriptions'!$A$5:$D$345,4)</f>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
    </row>
    <row r="221" spans="1:16" ht="45" outlineLevel="2">
      <c r="A221" s="14" t="s">
        <v>17</v>
      </c>
      <c r="B221" s="15" t="s">
        <v>98</v>
      </c>
      <c r="C221" s="15" t="s">
        <v>99</v>
      </c>
      <c r="D221" s="14" t="s">
        <v>100</v>
      </c>
      <c r="E221" s="15" t="s">
        <v>62</v>
      </c>
      <c r="F221" s="14" t="s">
        <v>22</v>
      </c>
      <c r="G221" s="15" t="s">
        <v>23</v>
      </c>
      <c r="H221" s="15" t="s">
        <v>1525</v>
      </c>
      <c r="I221" s="15">
        <v>201409</v>
      </c>
      <c r="J221" s="16">
        <v>0.32</v>
      </c>
      <c r="K221" s="171">
        <f t="shared" si="23"/>
        <v>9</v>
      </c>
      <c r="L221" s="17">
        <v>1.4833299999999999E-3</v>
      </c>
      <c r="M221" s="16">
        <f t="shared" si="24"/>
        <v>0</v>
      </c>
      <c r="N221" s="16">
        <f t="shared" si="25"/>
        <v>0.01</v>
      </c>
      <c r="O221" s="14"/>
      <c r="P221" s="210" t="str">
        <f>VLOOKUP(C221,'WO Descriptions'!$A$5:$D$345,4)</f>
        <v>Approved by: Ralph Janes on 05/01/2013,  Replace and abandon 337' of 2&amp;quot; PBS main (none WO) with 340' of 2&amp;quot; PE. The existing main was isolated and cut off the rectifier by the installation of PE main on WO# 13-2654. (ISRS).</v>
      </c>
    </row>
    <row r="222" spans="1:16" ht="75" outlineLevel="2">
      <c r="A222" s="14" t="s">
        <v>17</v>
      </c>
      <c r="B222" s="15" t="s">
        <v>105</v>
      </c>
      <c r="C222" s="15" t="s">
        <v>106</v>
      </c>
      <c r="D222" s="14" t="s">
        <v>107</v>
      </c>
      <c r="E222" s="15" t="s">
        <v>108</v>
      </c>
      <c r="F222" s="14" t="s">
        <v>28</v>
      </c>
      <c r="G222" s="15" t="s">
        <v>23</v>
      </c>
      <c r="H222" s="15" t="s">
        <v>1525</v>
      </c>
      <c r="I222" s="15">
        <v>201409</v>
      </c>
      <c r="J222" s="16">
        <v>-10120.82</v>
      </c>
      <c r="K222" s="171">
        <f t="shared" si="23"/>
        <v>9</v>
      </c>
      <c r="L222" s="17">
        <v>1.4833299999999999E-3</v>
      </c>
      <c r="M222" s="16">
        <f t="shared" si="24"/>
        <v>-135.11000000000001</v>
      </c>
      <c r="N222" s="16">
        <f t="shared" si="25"/>
        <v>-180.15</v>
      </c>
      <c r="O222" s="14"/>
      <c r="P222" s="210" t="str">
        <f>VLOOKUP(C222,'WO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223" spans="1:16" ht="60" outlineLevel="2">
      <c r="A223" s="14" t="s">
        <v>17</v>
      </c>
      <c r="B223" s="15" t="s">
        <v>109</v>
      </c>
      <c r="C223" s="15" t="s">
        <v>110</v>
      </c>
      <c r="D223" s="14" t="s">
        <v>111</v>
      </c>
      <c r="E223" s="15" t="s">
        <v>112</v>
      </c>
      <c r="F223" s="14" t="s">
        <v>22</v>
      </c>
      <c r="G223" s="15" t="s">
        <v>23</v>
      </c>
      <c r="H223" s="15" t="s">
        <v>1525</v>
      </c>
      <c r="I223" s="15">
        <v>201409</v>
      </c>
      <c r="J223" s="16">
        <v>-30.63</v>
      </c>
      <c r="K223" s="171">
        <f t="shared" si="23"/>
        <v>9</v>
      </c>
      <c r="L223" s="17">
        <v>1.4833299999999999E-3</v>
      </c>
      <c r="M223" s="16">
        <f t="shared" si="24"/>
        <v>-0.41</v>
      </c>
      <c r="N223" s="16">
        <f t="shared" si="25"/>
        <v>-0.55000000000000004</v>
      </c>
      <c r="O223" s="14"/>
      <c r="P223" s="210" t="str">
        <f>VLOOKUP(C223,'WO Descriptions'!$A$5:$D$345,4)</f>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
    </row>
    <row r="224" spans="1:16" ht="105" outlineLevel="2">
      <c r="A224" s="14" t="s">
        <v>17</v>
      </c>
      <c r="B224" s="15" t="s">
        <v>113</v>
      </c>
      <c r="C224" s="15" t="s">
        <v>114</v>
      </c>
      <c r="D224" s="14" t="s">
        <v>115</v>
      </c>
      <c r="E224" s="15" t="s">
        <v>58</v>
      </c>
      <c r="F224" s="14" t="s">
        <v>22</v>
      </c>
      <c r="G224" s="15" t="s">
        <v>23</v>
      </c>
      <c r="H224" s="15" t="s">
        <v>1525</v>
      </c>
      <c r="I224" s="15">
        <v>201409</v>
      </c>
      <c r="J224" s="16">
        <v>-170.7</v>
      </c>
      <c r="K224" s="171">
        <f t="shared" si="23"/>
        <v>9</v>
      </c>
      <c r="L224" s="17">
        <v>1.4833299999999999E-3</v>
      </c>
      <c r="M224" s="16">
        <f t="shared" si="24"/>
        <v>-2.2799999999999998</v>
      </c>
      <c r="N224" s="16">
        <f t="shared" si="25"/>
        <v>-3.04</v>
      </c>
      <c r="O224" s="14"/>
      <c r="P224" s="210" t="str">
        <f>VLOOKUP(C224,'WO Descriptions'!$A$5:$D$345,4)</f>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
    </row>
    <row r="225" spans="1:16" ht="120" outlineLevel="2">
      <c r="A225" s="14" t="s">
        <v>17</v>
      </c>
      <c r="B225" s="15" t="s">
        <v>116</v>
      </c>
      <c r="C225" s="15" t="s">
        <v>117</v>
      </c>
      <c r="D225" s="14" t="s">
        <v>118</v>
      </c>
      <c r="E225" s="15" t="s">
        <v>27</v>
      </c>
      <c r="F225" s="14" t="s">
        <v>28</v>
      </c>
      <c r="G225" s="15" t="s">
        <v>23</v>
      </c>
      <c r="H225" s="15" t="s">
        <v>1525</v>
      </c>
      <c r="I225" s="15">
        <v>201409</v>
      </c>
      <c r="J225" s="16">
        <v>-586.59</v>
      </c>
      <c r="K225" s="171">
        <f t="shared" si="23"/>
        <v>9</v>
      </c>
      <c r="L225" s="17">
        <v>1.4833299999999999E-3</v>
      </c>
      <c r="M225" s="16">
        <f t="shared" si="24"/>
        <v>-7.83</v>
      </c>
      <c r="N225" s="16">
        <f t="shared" si="25"/>
        <v>-10.44</v>
      </c>
      <c r="O225" s="14"/>
      <c r="P225" s="210" t="str">
        <f>VLOOKUP(C225,'WO Descriptions'!$A$5:$D$345,4)</f>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
    </row>
    <row r="226" spans="1:16" ht="90" outlineLevel="2">
      <c r="A226" s="14" t="s">
        <v>17</v>
      </c>
      <c r="B226" s="15" t="s">
        <v>119</v>
      </c>
      <c r="C226" s="15" t="s">
        <v>120</v>
      </c>
      <c r="D226" s="14" t="s">
        <v>121</v>
      </c>
      <c r="E226" s="15" t="s">
        <v>32</v>
      </c>
      <c r="F226" s="14" t="s">
        <v>22</v>
      </c>
      <c r="G226" s="15" t="s">
        <v>23</v>
      </c>
      <c r="H226" s="15" t="s">
        <v>1525</v>
      </c>
      <c r="I226" s="15">
        <v>201409</v>
      </c>
      <c r="J226" s="16">
        <v>-269.26</v>
      </c>
      <c r="K226" s="171">
        <f t="shared" si="23"/>
        <v>9</v>
      </c>
      <c r="L226" s="17">
        <v>1.4833299999999999E-3</v>
      </c>
      <c r="M226" s="16">
        <f t="shared" si="24"/>
        <v>-3.59</v>
      </c>
      <c r="N226" s="16">
        <f t="shared" si="25"/>
        <v>-4.79</v>
      </c>
      <c r="O226" s="14"/>
      <c r="P226" s="210" t="str">
        <f>VLOOKUP(C226,'WO Descriptions'!$A$5:$D$345,4)</f>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
    </row>
    <row r="227" spans="1:16" ht="120" outlineLevel="2">
      <c r="A227" s="14" t="s">
        <v>17</v>
      </c>
      <c r="B227" s="15" t="s">
        <v>122</v>
      </c>
      <c r="C227" s="15" t="s">
        <v>123</v>
      </c>
      <c r="D227" s="14" t="s">
        <v>124</v>
      </c>
      <c r="E227" s="15" t="s">
        <v>125</v>
      </c>
      <c r="F227" s="14" t="s">
        <v>126</v>
      </c>
      <c r="G227" s="15" t="s">
        <v>23</v>
      </c>
      <c r="H227" s="15" t="s">
        <v>1525</v>
      </c>
      <c r="I227" s="15">
        <v>201409</v>
      </c>
      <c r="J227" s="16">
        <v>-131.71</v>
      </c>
      <c r="K227" s="171">
        <f t="shared" si="23"/>
        <v>9</v>
      </c>
      <c r="L227" s="17">
        <v>1.4833299999999999E-3</v>
      </c>
      <c r="M227" s="16">
        <f t="shared" si="24"/>
        <v>-1.76</v>
      </c>
      <c r="N227" s="16">
        <f t="shared" si="25"/>
        <v>-2.34</v>
      </c>
      <c r="O227" s="14"/>
      <c r="P227" s="210" t="str">
        <f>VLOOKUP(C227,'WO Descriptions'!$A$5:$D$345,4)</f>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
    </row>
    <row r="228" spans="1:16" ht="165" outlineLevel="2">
      <c r="A228" s="14" t="s">
        <v>17</v>
      </c>
      <c r="B228" s="15" t="s">
        <v>127</v>
      </c>
      <c r="C228" s="15" t="s">
        <v>128</v>
      </c>
      <c r="D228" s="14" t="s">
        <v>129</v>
      </c>
      <c r="E228" s="15" t="s">
        <v>62</v>
      </c>
      <c r="F228" s="14" t="s">
        <v>22</v>
      </c>
      <c r="G228" s="15" t="s">
        <v>23</v>
      </c>
      <c r="H228" s="15" t="s">
        <v>1525</v>
      </c>
      <c r="I228" s="15">
        <v>201409</v>
      </c>
      <c r="J228" s="16">
        <v>-1334.18</v>
      </c>
      <c r="K228" s="171">
        <f t="shared" si="23"/>
        <v>9</v>
      </c>
      <c r="L228" s="17">
        <v>1.4833299999999999E-3</v>
      </c>
      <c r="M228" s="16">
        <f t="shared" si="24"/>
        <v>-17.809999999999999</v>
      </c>
      <c r="N228" s="16">
        <f t="shared" si="25"/>
        <v>-23.75</v>
      </c>
      <c r="O228" s="14"/>
      <c r="P228" s="210" t="str">
        <f>VLOOKUP(C228,'WO Descriptions'!$A$5:$D$345,4)</f>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
    </row>
    <row r="229" spans="1:16" ht="30" outlineLevel="2">
      <c r="A229" s="14" t="s">
        <v>17</v>
      </c>
      <c r="B229" s="15" t="s">
        <v>130</v>
      </c>
      <c r="C229" s="15" t="s">
        <v>131</v>
      </c>
      <c r="D229" s="14" t="s">
        <v>132</v>
      </c>
      <c r="E229" s="15" t="s">
        <v>36</v>
      </c>
      <c r="F229" s="14" t="s">
        <v>22</v>
      </c>
      <c r="G229" s="15" t="s">
        <v>23</v>
      </c>
      <c r="H229" s="15" t="s">
        <v>1525</v>
      </c>
      <c r="I229" s="15">
        <v>201409</v>
      </c>
      <c r="J229" s="16">
        <v>-317.52</v>
      </c>
      <c r="K229" s="171">
        <f t="shared" si="23"/>
        <v>9</v>
      </c>
      <c r="L229" s="17">
        <v>1.4833299999999999E-3</v>
      </c>
      <c r="M229" s="16">
        <f t="shared" si="24"/>
        <v>-4.24</v>
      </c>
      <c r="N229" s="16">
        <f t="shared" si="25"/>
        <v>-5.65</v>
      </c>
      <c r="O229" s="14"/>
      <c r="P229" s="210" t="str">
        <f>VLOOKUP(C229,'WO Descriptions'!$A$5:$D$345,4)</f>
        <v>Approved by: Gary Williams on 11/15/2013,  REPLACING 377'-4in BARE STEEL MAIN (WO#512) WITH 377'-4in PE (WO#13-2830).PRESSURE SYSTEM C-01.</v>
      </c>
    </row>
    <row r="230" spans="1:16" ht="45" outlineLevel="2">
      <c r="A230" s="14" t="s">
        <v>17</v>
      </c>
      <c r="B230" s="15" t="s">
        <v>143</v>
      </c>
      <c r="C230" s="15" t="s">
        <v>144</v>
      </c>
      <c r="D230" s="14" t="s">
        <v>145</v>
      </c>
      <c r="E230" s="15" t="s">
        <v>62</v>
      </c>
      <c r="F230" s="14" t="s">
        <v>22</v>
      </c>
      <c r="G230" s="15" t="s">
        <v>23</v>
      </c>
      <c r="H230" s="15" t="s">
        <v>1525</v>
      </c>
      <c r="I230" s="15">
        <v>201409</v>
      </c>
      <c r="J230" s="16">
        <v>-515.72</v>
      </c>
      <c r="K230" s="171">
        <f t="shared" si="23"/>
        <v>9</v>
      </c>
      <c r="L230" s="17">
        <v>1.4833299999999999E-3</v>
      </c>
      <c r="M230" s="16">
        <f t="shared" si="24"/>
        <v>-6.88</v>
      </c>
      <c r="N230" s="16">
        <f t="shared" si="25"/>
        <v>-9.18</v>
      </c>
      <c r="O230" s="14"/>
      <c r="P230" s="210" t="str">
        <f>VLOOKUP(C230,'WO Descriptions'!$A$5:$D$345,4)</f>
        <v>Approved by: Ralph Janes on 09/03/2013,  Main to Abandon: 620' of 4in PBS, year 1926,work order 149. Replace with 640' of 4in PE on wo# 13-2920. This section of bare steel main has a history of leakage with several leak clamps installed.  ISRS</v>
      </c>
    </row>
    <row r="231" spans="1:16" ht="45" outlineLevel="2">
      <c r="A231" s="18" t="s">
        <v>17</v>
      </c>
      <c r="B231" s="15" t="s">
        <v>155</v>
      </c>
      <c r="C231" s="15" t="s">
        <v>156</v>
      </c>
      <c r="D231" s="14" t="s">
        <v>157</v>
      </c>
      <c r="E231" s="15" t="s">
        <v>32</v>
      </c>
      <c r="F231" s="14" t="s">
        <v>22</v>
      </c>
      <c r="G231" s="15" t="s">
        <v>23</v>
      </c>
      <c r="H231" s="15" t="s">
        <v>1525</v>
      </c>
      <c r="I231" s="15">
        <v>201409</v>
      </c>
      <c r="J231" s="16">
        <v>-469.08</v>
      </c>
      <c r="K231" s="171">
        <f t="shared" si="23"/>
        <v>9</v>
      </c>
      <c r="L231" s="17">
        <v>1.4833299999999999E-3</v>
      </c>
      <c r="M231" s="16">
        <f t="shared" si="24"/>
        <v>-6.26</v>
      </c>
      <c r="N231" s="16">
        <f t="shared" si="25"/>
        <v>-8.35</v>
      </c>
      <c r="O231" s="14"/>
      <c r="P231" s="210" t="str">
        <f>VLOOKUP(C231,'WO Descriptions'!$A$5:$D$345,4)</f>
        <v>Approved by: Ken Thomas on 11/15/2013,  Abandon 890' - 2' PBS (WO#: A8605) and replace with 890' - 2" PE due to history of leakage. Project Location: McHenry and Main; Pressure System: S-1; MOP: 20 psig; MAOP: 20 psig; Design: 58 psig; Test: 100 psig; ISRS $24.58/ft</v>
      </c>
    </row>
    <row r="232" spans="1:16" outlineLevel="2">
      <c r="A232" s="14" t="s">
        <v>17</v>
      </c>
      <c r="B232" s="15" t="s">
        <v>158</v>
      </c>
      <c r="C232" s="15" t="s">
        <v>159</v>
      </c>
      <c r="D232" s="14" t="s">
        <v>160</v>
      </c>
      <c r="E232" s="15" t="s">
        <v>108</v>
      </c>
      <c r="F232" s="14" t="s">
        <v>28</v>
      </c>
      <c r="G232" s="15" t="s">
        <v>23</v>
      </c>
      <c r="H232" s="15" t="s">
        <v>1525</v>
      </c>
      <c r="I232" s="15">
        <v>201409</v>
      </c>
      <c r="J232" s="16">
        <v>-217.66</v>
      </c>
      <c r="K232" s="171">
        <f t="shared" si="23"/>
        <v>9</v>
      </c>
      <c r="L232" s="17">
        <v>1.4833299999999999E-3</v>
      </c>
      <c r="M232" s="16">
        <f t="shared" si="24"/>
        <v>-2.91</v>
      </c>
      <c r="N232" s="16">
        <f t="shared" si="25"/>
        <v>-3.87</v>
      </c>
      <c r="O232" s="14"/>
      <c r="P232" s="210" t="str">
        <f>VLOOKUP(C232,'WO Descriptions'!$A$5:$D$345,4)</f>
        <v>Approved by: Kevin Driskell on 01/23/2014,  Lay 40'-4in thin film for DRS #758 (WO 14-3282).</v>
      </c>
    </row>
    <row r="233" spans="1:16" ht="60" outlineLevel="2">
      <c r="A233" s="18" t="s">
        <v>17</v>
      </c>
      <c r="B233" s="15" t="s">
        <v>161</v>
      </c>
      <c r="C233" s="15" t="s">
        <v>162</v>
      </c>
      <c r="D233" s="14" t="s">
        <v>163</v>
      </c>
      <c r="E233" s="15" t="s">
        <v>62</v>
      </c>
      <c r="F233" s="14" t="s">
        <v>22</v>
      </c>
      <c r="G233" s="15" t="s">
        <v>23</v>
      </c>
      <c r="H233" s="15" t="s">
        <v>1525</v>
      </c>
      <c r="I233" s="15">
        <v>201409</v>
      </c>
      <c r="J233" s="16">
        <v>-286.58999999999997</v>
      </c>
      <c r="K233" s="171">
        <f t="shared" si="23"/>
        <v>9</v>
      </c>
      <c r="L233" s="17">
        <v>1.4833299999999999E-3</v>
      </c>
      <c r="M233" s="16">
        <f t="shared" si="24"/>
        <v>-3.83</v>
      </c>
      <c r="N233" s="16">
        <f t="shared" si="25"/>
        <v>-5.0999999999999996</v>
      </c>
      <c r="O233" s="14"/>
      <c r="P233" s="210" t="str">
        <f>VLOOKUP(C233,'WO Descriptions'!$A$5:$D$345,4)</f>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
    </row>
    <row r="234" spans="1:16" ht="180" outlineLevel="2">
      <c r="A234" s="18" t="s">
        <v>17</v>
      </c>
      <c r="B234" s="15" t="s">
        <v>170</v>
      </c>
      <c r="C234" s="15" t="s">
        <v>171</v>
      </c>
      <c r="D234" s="14" t="s">
        <v>172</v>
      </c>
      <c r="E234" s="15" t="s">
        <v>62</v>
      </c>
      <c r="F234" s="14" t="s">
        <v>22</v>
      </c>
      <c r="G234" s="15" t="s">
        <v>23</v>
      </c>
      <c r="H234" s="15" t="s">
        <v>1525</v>
      </c>
      <c r="I234" s="15">
        <v>201409</v>
      </c>
      <c r="J234" s="16">
        <v>-3880.74</v>
      </c>
      <c r="K234" s="171">
        <f t="shared" si="23"/>
        <v>9</v>
      </c>
      <c r="L234" s="17">
        <v>1.4833299999999999E-3</v>
      </c>
      <c r="M234" s="16">
        <f t="shared" si="24"/>
        <v>-51.81</v>
      </c>
      <c r="N234" s="16">
        <f t="shared" si="25"/>
        <v>-69.08</v>
      </c>
      <c r="O234" s="14"/>
      <c r="P234" s="210" t="str">
        <f>VLOOKUP(C234,'WO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235" spans="1:16" ht="60" outlineLevel="2">
      <c r="A235" s="18" t="s">
        <v>17</v>
      </c>
      <c r="B235" s="15" t="s">
        <v>173</v>
      </c>
      <c r="C235" s="15" t="s">
        <v>174</v>
      </c>
      <c r="D235" s="14" t="s">
        <v>175</v>
      </c>
      <c r="E235" s="15" t="s">
        <v>176</v>
      </c>
      <c r="F235" s="14" t="s">
        <v>28</v>
      </c>
      <c r="G235" s="15" t="s">
        <v>23</v>
      </c>
      <c r="H235" s="15" t="s">
        <v>1525</v>
      </c>
      <c r="I235" s="15">
        <v>201409</v>
      </c>
      <c r="J235" s="16">
        <v>10.59</v>
      </c>
      <c r="K235" s="171">
        <f t="shared" si="23"/>
        <v>9</v>
      </c>
      <c r="L235" s="17">
        <v>1.4833299999999999E-3</v>
      </c>
      <c r="M235" s="16">
        <f t="shared" si="24"/>
        <v>0.14000000000000001</v>
      </c>
      <c r="N235" s="16">
        <f t="shared" si="25"/>
        <v>0.19</v>
      </c>
      <c r="O235" s="14"/>
      <c r="P235" s="210" t="str">
        <f>VLOOKUP(C235,'WO Descriptions'!$A$5:$D$345,4)</f>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
    </row>
    <row r="236" spans="1:16" ht="30" outlineLevel="2">
      <c r="A236" s="18" t="s">
        <v>17</v>
      </c>
      <c r="B236" s="15" t="s">
        <v>177</v>
      </c>
      <c r="C236" s="15" t="s">
        <v>178</v>
      </c>
      <c r="D236" s="14" t="s">
        <v>179</v>
      </c>
      <c r="E236" s="15" t="s">
        <v>176</v>
      </c>
      <c r="F236" s="14" t="s">
        <v>28</v>
      </c>
      <c r="G236" s="15" t="s">
        <v>23</v>
      </c>
      <c r="H236" s="15" t="s">
        <v>1525</v>
      </c>
      <c r="I236" s="15">
        <v>201409</v>
      </c>
      <c r="J236" s="16">
        <v>28.45</v>
      </c>
      <c r="K236" s="171">
        <f t="shared" si="23"/>
        <v>9</v>
      </c>
      <c r="L236" s="17">
        <v>1.4833299999999999E-3</v>
      </c>
      <c r="M236" s="16">
        <f t="shared" si="24"/>
        <v>0.38</v>
      </c>
      <c r="N236" s="16">
        <f t="shared" si="25"/>
        <v>0.51</v>
      </c>
      <c r="O236" s="14"/>
      <c r="P236" s="210" t="str">
        <f>VLOOKUP(C236,'WO Descriptions'!$A$5:$D$345,4)</f>
        <v>Approved by Galen Shoemaker 9/10/2013.  Manually work order set up due to woes is being changed over.</v>
      </c>
    </row>
    <row r="237" spans="1:16" ht="30" outlineLevel="2">
      <c r="A237" s="18" t="s">
        <v>17</v>
      </c>
      <c r="B237" s="15" t="s">
        <v>186</v>
      </c>
      <c r="C237" s="15" t="s">
        <v>187</v>
      </c>
      <c r="D237" s="14" t="s">
        <v>188</v>
      </c>
      <c r="E237" s="15" t="s">
        <v>108</v>
      </c>
      <c r="F237" s="14" t="s">
        <v>28</v>
      </c>
      <c r="G237" s="15" t="s">
        <v>23</v>
      </c>
      <c r="H237" s="15" t="s">
        <v>1525</v>
      </c>
      <c r="I237" s="15">
        <v>201409</v>
      </c>
      <c r="J237" s="16">
        <v>-23.18</v>
      </c>
      <c r="K237" s="171">
        <f t="shared" si="23"/>
        <v>9</v>
      </c>
      <c r="L237" s="17">
        <v>1.4833299999999999E-3</v>
      </c>
      <c r="M237" s="16">
        <f t="shared" si="24"/>
        <v>-0.31</v>
      </c>
      <c r="N237" s="16">
        <f t="shared" si="25"/>
        <v>-0.41</v>
      </c>
      <c r="O237" s="14"/>
      <c r="P237" s="210" t="str">
        <f>VLOOKUP(C237,'WO Descriptions'!$A$5:$D$345,4)</f>
        <v>Approved by: Kevin Driskell on 01/03/2014,  LAY 26'-4" TF STEEL DUE TO EXISTING GAS MAIN EXPOSED ON HILL.  ABANDONED 18FT-4" PCS(B1476A).</v>
      </c>
    </row>
    <row r="238" spans="1:16" ht="165" outlineLevel="2">
      <c r="A238" s="18" t="s">
        <v>17</v>
      </c>
      <c r="B238" s="15" t="s">
        <v>189</v>
      </c>
      <c r="C238" s="15" t="s">
        <v>190</v>
      </c>
      <c r="D238" s="14" t="s">
        <v>191</v>
      </c>
      <c r="E238" s="15" t="s">
        <v>62</v>
      </c>
      <c r="F238" s="14" t="s">
        <v>22</v>
      </c>
      <c r="G238" s="15" t="s">
        <v>23</v>
      </c>
      <c r="H238" s="15" t="s">
        <v>1525</v>
      </c>
      <c r="I238" s="15">
        <v>201409</v>
      </c>
      <c r="J238" s="16">
        <v>-2735.91</v>
      </c>
      <c r="K238" s="171">
        <f t="shared" si="23"/>
        <v>9</v>
      </c>
      <c r="L238" s="17">
        <v>1.4833299999999999E-3</v>
      </c>
      <c r="M238" s="16">
        <f t="shared" si="24"/>
        <v>-36.520000000000003</v>
      </c>
      <c r="N238" s="16">
        <f t="shared" si="25"/>
        <v>-48.7</v>
      </c>
      <c r="O238" s="14"/>
      <c r="P238" s="210" t="str">
        <f>VLOOKUP(C238,'WO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239" spans="1:16" ht="45" outlineLevel="2">
      <c r="A239" s="18" t="s">
        <v>17</v>
      </c>
      <c r="B239" s="15" t="s">
        <v>213</v>
      </c>
      <c r="C239" s="15" t="s">
        <v>214</v>
      </c>
      <c r="D239" s="14" t="s">
        <v>215</v>
      </c>
      <c r="E239" s="15" t="s">
        <v>216</v>
      </c>
      <c r="F239" s="14" t="s">
        <v>22</v>
      </c>
      <c r="G239" s="15" t="s">
        <v>23</v>
      </c>
      <c r="H239" s="15" t="s">
        <v>1525</v>
      </c>
      <c r="I239" s="15">
        <v>201409</v>
      </c>
      <c r="J239" s="16">
        <v>-587.16999999999996</v>
      </c>
      <c r="K239" s="171">
        <f t="shared" si="23"/>
        <v>9</v>
      </c>
      <c r="L239" s="17">
        <v>1.4833299999999999E-3</v>
      </c>
      <c r="M239" s="16">
        <f t="shared" si="24"/>
        <v>-7.84</v>
      </c>
      <c r="N239" s="16">
        <f t="shared" si="25"/>
        <v>-10.45</v>
      </c>
      <c r="O239" s="14"/>
      <c r="P239" s="210" t="str">
        <f>VLOOKUP(C239,'WO Descriptions'!$A$5:$D$345,4)</f>
        <v>Approved by: Steve Holcomb on 06/06/2013,  Replace 3308' - 3in PBS (WO#: A7180) with 3310' - 4in PE pipe due to history of leakage. Project Location: Murphy Blvd and Main St; Pressure System: C-1; MOP: 58 psig; MAOP: 58 psig; Design: 58 psig; Test: 100 psig; ISRS $29.97/ft</v>
      </c>
    </row>
    <row r="240" spans="1:16" ht="105" outlineLevel="2">
      <c r="A240" s="14" t="s">
        <v>17</v>
      </c>
      <c r="B240" s="15" t="s">
        <v>235</v>
      </c>
      <c r="C240" s="15" t="s">
        <v>236</v>
      </c>
      <c r="D240" s="14" t="s">
        <v>237</v>
      </c>
      <c r="E240" s="15" t="s">
        <v>62</v>
      </c>
      <c r="F240" s="14" t="s">
        <v>22</v>
      </c>
      <c r="G240" s="15" t="s">
        <v>23</v>
      </c>
      <c r="H240" s="15" t="s">
        <v>1525</v>
      </c>
      <c r="I240" s="15">
        <v>201409</v>
      </c>
      <c r="J240" s="16">
        <v>16.510000000000002</v>
      </c>
      <c r="K240" s="171">
        <f t="shared" si="23"/>
        <v>9</v>
      </c>
      <c r="L240" s="17">
        <v>1.4833299999999999E-3</v>
      </c>
      <c r="M240" s="16">
        <f t="shared" si="24"/>
        <v>0.22</v>
      </c>
      <c r="N240" s="16">
        <f t="shared" si="25"/>
        <v>0.28999999999999998</v>
      </c>
      <c r="O240" s="14"/>
      <c r="P240" s="210" t="str">
        <f>VLOOKUP(C240,'WO Descriptions'!$A$5:$D$345,4)</f>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
    </row>
    <row r="241" spans="1:16" ht="75" outlineLevel="2">
      <c r="A241" s="18" t="s">
        <v>17</v>
      </c>
      <c r="B241" s="15" t="s">
        <v>248</v>
      </c>
      <c r="C241" s="15" t="s">
        <v>249</v>
      </c>
      <c r="D241" s="14" t="s">
        <v>250</v>
      </c>
      <c r="E241" s="15" t="s">
        <v>62</v>
      </c>
      <c r="F241" s="14" t="s">
        <v>22</v>
      </c>
      <c r="G241" s="15" t="s">
        <v>23</v>
      </c>
      <c r="H241" s="15" t="s">
        <v>1525</v>
      </c>
      <c r="I241" s="15">
        <v>201409</v>
      </c>
      <c r="J241" s="16">
        <v>-0.82</v>
      </c>
      <c r="K241" s="171">
        <f t="shared" si="23"/>
        <v>9</v>
      </c>
      <c r="L241" s="17">
        <v>1.4833299999999999E-3</v>
      </c>
      <c r="M241" s="16">
        <f t="shared" si="24"/>
        <v>-0.01</v>
      </c>
      <c r="N241" s="16">
        <f t="shared" si="25"/>
        <v>-0.01</v>
      </c>
      <c r="O241" s="14"/>
      <c r="P241" s="210" t="str">
        <f>VLOOKUP(C241,'WO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242" spans="1:16" ht="75" outlineLevel="2">
      <c r="A242" s="18" t="s">
        <v>17</v>
      </c>
      <c r="B242" s="15" t="s">
        <v>251</v>
      </c>
      <c r="C242" s="15" t="s">
        <v>249</v>
      </c>
      <c r="D242" s="14" t="s">
        <v>250</v>
      </c>
      <c r="E242" s="15" t="s">
        <v>62</v>
      </c>
      <c r="F242" s="14" t="s">
        <v>22</v>
      </c>
      <c r="G242" s="15" t="s">
        <v>23</v>
      </c>
      <c r="H242" s="15" t="s">
        <v>1525</v>
      </c>
      <c r="I242" s="15">
        <v>201409</v>
      </c>
      <c r="J242" s="16">
        <v>-735.35</v>
      </c>
      <c r="K242" s="171">
        <f t="shared" si="23"/>
        <v>9</v>
      </c>
      <c r="L242" s="17">
        <v>1.4833299999999999E-3</v>
      </c>
      <c r="M242" s="16">
        <f t="shared" si="24"/>
        <v>-9.82</v>
      </c>
      <c r="N242" s="16">
        <f t="shared" si="25"/>
        <v>-13.09</v>
      </c>
      <c r="O242" s="14"/>
      <c r="P242" s="210" t="str">
        <f>VLOOKUP(C242,'WO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243" spans="1:16" ht="45" outlineLevel="2">
      <c r="A243" s="18" t="s">
        <v>17</v>
      </c>
      <c r="B243" s="15" t="s">
        <v>252</v>
      </c>
      <c r="C243" s="15" t="s">
        <v>253</v>
      </c>
      <c r="D243" s="14" t="s">
        <v>254</v>
      </c>
      <c r="E243" s="15" t="s">
        <v>141</v>
      </c>
      <c r="F243" s="14" t="s">
        <v>142</v>
      </c>
      <c r="G243" s="15" t="s">
        <v>23</v>
      </c>
      <c r="H243" s="15" t="s">
        <v>1525</v>
      </c>
      <c r="I243" s="15">
        <v>201409</v>
      </c>
      <c r="J243" s="16">
        <v>-226.18</v>
      </c>
      <c r="K243" s="171">
        <f t="shared" si="23"/>
        <v>9</v>
      </c>
      <c r="L243" s="17">
        <v>1.4833299999999999E-3</v>
      </c>
      <c r="M243" s="16">
        <f t="shared" si="24"/>
        <v>-3.02</v>
      </c>
      <c r="N243" s="16">
        <f t="shared" si="25"/>
        <v>-4.03</v>
      </c>
      <c r="O243" s="14"/>
      <c r="P243" s="210" t="str">
        <f>VLOOKUP(C243,'WO Descriptions'!$A$5:$D$345,4)</f>
        <v>Approved by: Melvin Burns on 07/28/2013,  Replace 70ft of 4in CI with 4in PE due to broken CI main.  Bag off and Tie-in points should be in greenway to the east of the driveway of 1820 W 38th St.  Tie-over 3 services.  Cost per foot $330.16</v>
      </c>
    </row>
    <row r="244" spans="1:16" ht="60" outlineLevel="2">
      <c r="A244" s="18" t="s">
        <v>17</v>
      </c>
      <c r="B244" s="15" t="s">
        <v>255</v>
      </c>
      <c r="C244" s="15" t="s">
        <v>256</v>
      </c>
      <c r="D244" s="14" t="s">
        <v>257</v>
      </c>
      <c r="E244" s="15" t="s">
        <v>258</v>
      </c>
      <c r="F244" s="14" t="s">
        <v>259</v>
      </c>
      <c r="G244" s="15" t="s">
        <v>23</v>
      </c>
      <c r="H244" s="15" t="s">
        <v>1525</v>
      </c>
      <c r="I244" s="15">
        <v>201409</v>
      </c>
      <c r="J244" s="16">
        <v>-257.27</v>
      </c>
      <c r="K244" s="171">
        <f t="shared" si="23"/>
        <v>9</v>
      </c>
      <c r="L244" s="17">
        <v>1.4833299999999999E-3</v>
      </c>
      <c r="M244" s="16">
        <f t="shared" si="24"/>
        <v>-3.43</v>
      </c>
      <c r="N244" s="16">
        <f t="shared" si="25"/>
        <v>-4.58</v>
      </c>
      <c r="O244" s="14"/>
      <c r="P244" s="210" t="str">
        <f>VLOOKUP(C244,'WO Descriptions'!$A$5:$D$345,4)</f>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
    </row>
    <row r="245" spans="1:16" ht="75" outlineLevel="2">
      <c r="A245" s="18" t="s">
        <v>17</v>
      </c>
      <c r="B245" s="15" t="s">
        <v>260</v>
      </c>
      <c r="C245" s="15" t="s">
        <v>261</v>
      </c>
      <c r="D245" s="14" t="s">
        <v>262</v>
      </c>
      <c r="E245" s="15" t="s">
        <v>258</v>
      </c>
      <c r="F245" s="14" t="s">
        <v>259</v>
      </c>
      <c r="G245" s="15" t="s">
        <v>23</v>
      </c>
      <c r="H245" s="15" t="s">
        <v>1525</v>
      </c>
      <c r="I245" s="15">
        <v>201409</v>
      </c>
      <c r="J245" s="16">
        <v>-264.56</v>
      </c>
      <c r="K245" s="171">
        <f t="shared" si="23"/>
        <v>9</v>
      </c>
      <c r="L245" s="17">
        <v>1.4833299999999999E-3</v>
      </c>
      <c r="M245" s="16">
        <f t="shared" si="24"/>
        <v>-3.53</v>
      </c>
      <c r="N245" s="16">
        <f t="shared" si="25"/>
        <v>-4.71</v>
      </c>
      <c r="O245" s="14"/>
      <c r="P245" s="210" t="str">
        <f>VLOOKUP(C245,'WO Descriptions'!$A$5:$D$345,4)</f>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
    </row>
    <row r="246" spans="1:16" ht="60" outlineLevel="2">
      <c r="A246" s="14" t="s">
        <v>17</v>
      </c>
      <c r="B246" s="15" t="s">
        <v>263</v>
      </c>
      <c r="C246" s="15" t="s">
        <v>264</v>
      </c>
      <c r="D246" s="14" t="s">
        <v>265</v>
      </c>
      <c r="E246" s="15" t="s">
        <v>62</v>
      </c>
      <c r="F246" s="14" t="s">
        <v>22</v>
      </c>
      <c r="G246" s="15" t="s">
        <v>23</v>
      </c>
      <c r="H246" s="15" t="s">
        <v>1525</v>
      </c>
      <c r="I246" s="15">
        <v>201409</v>
      </c>
      <c r="J246" s="16">
        <v>-405.55</v>
      </c>
      <c r="K246" s="171">
        <f t="shared" si="23"/>
        <v>9</v>
      </c>
      <c r="L246" s="17">
        <v>1.4833299999999999E-3</v>
      </c>
      <c r="M246" s="16">
        <f t="shared" si="24"/>
        <v>-5.41</v>
      </c>
      <c r="N246" s="16">
        <f t="shared" si="25"/>
        <v>-7.22</v>
      </c>
      <c r="O246" s="14"/>
      <c r="P246" s="210" t="str">
        <f>VLOOKUP(C246,'WO Descriptions'!$A$5:$D$345,4)</f>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
    </row>
    <row r="247" spans="1:16" ht="75" outlineLevel="2">
      <c r="A247" s="14" t="s">
        <v>17</v>
      </c>
      <c r="B247" s="15" t="s">
        <v>269</v>
      </c>
      <c r="C247" s="15" t="s">
        <v>270</v>
      </c>
      <c r="D247" s="14" t="s">
        <v>271</v>
      </c>
      <c r="E247" s="15" t="s">
        <v>62</v>
      </c>
      <c r="F247" s="14" t="s">
        <v>22</v>
      </c>
      <c r="G247" s="15" t="s">
        <v>23</v>
      </c>
      <c r="H247" s="15" t="s">
        <v>1525</v>
      </c>
      <c r="I247" s="15">
        <v>201409</v>
      </c>
      <c r="J247" s="16">
        <v>0.82</v>
      </c>
      <c r="K247" s="171">
        <f t="shared" si="23"/>
        <v>9</v>
      </c>
      <c r="L247" s="17">
        <v>1.4833299999999999E-3</v>
      </c>
      <c r="M247" s="16">
        <f t="shared" si="24"/>
        <v>0.01</v>
      </c>
      <c r="N247" s="16">
        <f t="shared" si="25"/>
        <v>0.01</v>
      </c>
      <c r="O247" s="14"/>
      <c r="P247" s="210" t="str">
        <f>VLOOKUP(C247,'WO Descriptions'!$A$5:$D$345,4)</f>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
    </row>
    <row r="248" spans="1:16" ht="45" outlineLevel="2">
      <c r="A248" s="14" t="s">
        <v>17</v>
      </c>
      <c r="B248" s="15" t="s">
        <v>272</v>
      </c>
      <c r="C248" s="15" t="s">
        <v>273</v>
      </c>
      <c r="D248" s="14" t="s">
        <v>274</v>
      </c>
      <c r="E248" s="15" t="s">
        <v>36</v>
      </c>
      <c r="F248" s="14" t="s">
        <v>22</v>
      </c>
      <c r="G248" s="15" t="s">
        <v>23</v>
      </c>
      <c r="H248" s="15" t="s">
        <v>1525</v>
      </c>
      <c r="I248" s="15">
        <v>201409</v>
      </c>
      <c r="J248" s="16">
        <v>-319.74</v>
      </c>
      <c r="K248" s="171">
        <f t="shared" si="23"/>
        <v>9</v>
      </c>
      <c r="L248" s="17">
        <v>1.4833299999999999E-3</v>
      </c>
      <c r="M248" s="16">
        <f t="shared" si="24"/>
        <v>-4.2699999999999996</v>
      </c>
      <c r="N248" s="16">
        <f t="shared" si="25"/>
        <v>-5.69</v>
      </c>
      <c r="O248" s="14"/>
      <c r="P248" s="210" t="str">
        <f>VLOOKUP(C248,'WO Descriptions'!$A$5:$D$345,4)</f>
        <v>Approved by: Gary Williams on 03/03/2014,  TO LAY 680FT-4PE MAIN TO REPLACE 666FT-4 BARE STEEL MAIN.Due to other leakage on pipe.Cost per foot:$40.16 MOP:14oz MAOP: 21oz Design MAOP:14oz Test Pressure:100 PSIG.</v>
      </c>
    </row>
    <row r="249" spans="1:16" ht="60" outlineLevel="2">
      <c r="A249" s="14" t="s">
        <v>17</v>
      </c>
      <c r="B249" s="15" t="s">
        <v>287</v>
      </c>
      <c r="C249" s="15" t="s">
        <v>288</v>
      </c>
      <c r="D249" s="14" t="s">
        <v>289</v>
      </c>
      <c r="E249" s="15" t="s">
        <v>21</v>
      </c>
      <c r="F249" s="14" t="s">
        <v>22</v>
      </c>
      <c r="G249" s="15" t="s">
        <v>23</v>
      </c>
      <c r="H249" s="15" t="s">
        <v>1525</v>
      </c>
      <c r="I249" s="15">
        <v>201409</v>
      </c>
      <c r="J249" s="16">
        <v>-258.58</v>
      </c>
      <c r="K249" s="171">
        <f t="shared" si="23"/>
        <v>9</v>
      </c>
      <c r="L249" s="17">
        <v>1.4833299999999999E-3</v>
      </c>
      <c r="M249" s="16">
        <f t="shared" si="24"/>
        <v>-3.45</v>
      </c>
      <c r="N249" s="16">
        <f t="shared" si="25"/>
        <v>-4.5999999999999996</v>
      </c>
      <c r="O249" s="14"/>
      <c r="P249" s="210" t="str">
        <f>VLOOKUP(C249,'WO Descriptions'!$A$5:$D$345,4)</f>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
    </row>
    <row r="250" spans="1:16" ht="60" outlineLevel="2">
      <c r="A250" s="14" t="s">
        <v>17</v>
      </c>
      <c r="B250" s="15" t="s">
        <v>290</v>
      </c>
      <c r="C250" s="15" t="s">
        <v>291</v>
      </c>
      <c r="D250" s="14" t="s">
        <v>292</v>
      </c>
      <c r="E250" s="15" t="s">
        <v>62</v>
      </c>
      <c r="F250" s="14" t="s">
        <v>22</v>
      </c>
      <c r="G250" s="15" t="s">
        <v>23</v>
      </c>
      <c r="H250" s="15" t="s">
        <v>1525</v>
      </c>
      <c r="I250" s="15">
        <v>201409</v>
      </c>
      <c r="J250" s="16">
        <v>-309.68</v>
      </c>
      <c r="K250" s="171">
        <f t="shared" si="23"/>
        <v>9</v>
      </c>
      <c r="L250" s="17">
        <v>1.4833299999999999E-3</v>
      </c>
      <c r="M250" s="16">
        <f t="shared" si="24"/>
        <v>-4.13</v>
      </c>
      <c r="N250" s="16">
        <f t="shared" si="25"/>
        <v>-5.51</v>
      </c>
      <c r="O250" s="14"/>
      <c r="P250" s="210" t="str">
        <f>VLOOKUP(C250,'WO Descriptions'!$A$5:$D$345,4)</f>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
    </row>
    <row r="251" spans="1:16" ht="60" outlineLevel="2">
      <c r="A251" s="14" t="s">
        <v>17</v>
      </c>
      <c r="B251" s="15" t="s">
        <v>293</v>
      </c>
      <c r="C251" s="15" t="s">
        <v>294</v>
      </c>
      <c r="D251" s="14" t="s">
        <v>295</v>
      </c>
      <c r="E251" s="15" t="s">
        <v>296</v>
      </c>
      <c r="F251" s="14" t="s">
        <v>28</v>
      </c>
      <c r="G251" s="15" t="s">
        <v>23</v>
      </c>
      <c r="H251" s="15" t="s">
        <v>1525</v>
      </c>
      <c r="I251" s="15">
        <v>201409</v>
      </c>
      <c r="J251" s="16">
        <v>-79.17</v>
      </c>
      <c r="K251" s="171">
        <f t="shared" si="23"/>
        <v>9</v>
      </c>
      <c r="L251" s="17">
        <v>1.4833299999999999E-3</v>
      </c>
      <c r="M251" s="16">
        <f t="shared" si="24"/>
        <v>-1.06</v>
      </c>
      <c r="N251" s="16">
        <f t="shared" si="25"/>
        <v>-1.41</v>
      </c>
      <c r="O251" s="14"/>
      <c r="P251" s="210" t="str">
        <f>VLOOKUP(C251,'WO Descriptions'!$A$5:$D$345,4)</f>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
    </row>
    <row r="252" spans="1:16" ht="60" outlineLevel="2">
      <c r="A252" s="14" t="s">
        <v>17</v>
      </c>
      <c r="B252" s="15" t="s">
        <v>297</v>
      </c>
      <c r="C252" s="15" t="s">
        <v>298</v>
      </c>
      <c r="D252" s="14" t="s">
        <v>299</v>
      </c>
      <c r="E252" s="15" t="s">
        <v>21</v>
      </c>
      <c r="F252" s="14" t="s">
        <v>22</v>
      </c>
      <c r="G252" s="15" t="s">
        <v>23</v>
      </c>
      <c r="H252" s="15" t="s">
        <v>1525</v>
      </c>
      <c r="I252" s="15">
        <v>201409</v>
      </c>
      <c r="J252" s="16">
        <v>-1027.9100000000001</v>
      </c>
      <c r="K252" s="171">
        <f t="shared" si="23"/>
        <v>9</v>
      </c>
      <c r="L252" s="17">
        <v>1.4833299999999999E-3</v>
      </c>
      <c r="M252" s="16">
        <f t="shared" si="24"/>
        <v>-13.72</v>
      </c>
      <c r="N252" s="16">
        <f t="shared" si="25"/>
        <v>-18.3</v>
      </c>
      <c r="O252" s="14"/>
      <c r="P252" s="210" t="str">
        <f>VLOOKUP(C252,'WO Descriptions'!$A$5:$D$345,4)</f>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
    </row>
    <row r="253" spans="1:16" ht="45" outlineLevel="2">
      <c r="A253" s="14" t="s">
        <v>17</v>
      </c>
      <c r="B253" s="15" t="s">
        <v>300</v>
      </c>
      <c r="C253" s="15" t="s">
        <v>301</v>
      </c>
      <c r="D253" s="14" t="s">
        <v>302</v>
      </c>
      <c r="E253" s="15" t="s">
        <v>141</v>
      </c>
      <c r="F253" s="14" t="s">
        <v>142</v>
      </c>
      <c r="G253" s="15" t="s">
        <v>23</v>
      </c>
      <c r="H253" s="15" t="s">
        <v>1525</v>
      </c>
      <c r="I253" s="15">
        <v>201409</v>
      </c>
      <c r="J253" s="16">
        <v>-683.05</v>
      </c>
      <c r="K253" s="171">
        <f t="shared" si="23"/>
        <v>9</v>
      </c>
      <c r="L253" s="17">
        <v>1.4833299999999999E-3</v>
      </c>
      <c r="M253" s="16">
        <f t="shared" si="24"/>
        <v>-9.1199999999999992</v>
      </c>
      <c r="N253" s="16">
        <f t="shared" si="25"/>
        <v>-12.16</v>
      </c>
      <c r="O253" s="14"/>
      <c r="P253" s="210" t="str">
        <f>VLOOKUP(C253,'WO Descriptions'!$A$5:$D$345,4)</f>
        <v>Approved by: Kevin Driskell on 12/16/2013,  AOR.  Replace 35' of 4in CI with PE main.  CI is in angle of repose due to 12' of parallel excavation next to main.  This project must be completed by Feb 16, 2014.  AOR happened 119' SSCB of 45th Street.  Tie-over 1 service at 4505 Agnes.</v>
      </c>
    </row>
    <row r="254" spans="1:16" ht="45" outlineLevel="2">
      <c r="A254" s="14" t="s">
        <v>17</v>
      </c>
      <c r="B254" s="15" t="s">
        <v>312</v>
      </c>
      <c r="C254" s="15" t="s">
        <v>313</v>
      </c>
      <c r="D254" s="14" t="s">
        <v>314</v>
      </c>
      <c r="E254" s="15" t="s">
        <v>176</v>
      </c>
      <c r="F254" s="14" t="s">
        <v>28</v>
      </c>
      <c r="G254" s="15" t="s">
        <v>23</v>
      </c>
      <c r="H254" s="15" t="s">
        <v>1525</v>
      </c>
      <c r="I254" s="15">
        <v>201409</v>
      </c>
      <c r="J254" s="16">
        <v>5.0199999999999996</v>
      </c>
      <c r="K254" s="171">
        <f t="shared" si="23"/>
        <v>9</v>
      </c>
      <c r="L254" s="17">
        <v>1.4833299999999999E-3</v>
      </c>
      <c r="M254" s="16">
        <f t="shared" si="24"/>
        <v>7.0000000000000007E-2</v>
      </c>
      <c r="N254" s="16">
        <f t="shared" si="25"/>
        <v>0.09</v>
      </c>
      <c r="O254" s="14"/>
      <c r="P254" s="210" t="str">
        <f>VLOOKUP(C254,'WO Descriptions'!$A$5:$D$345,4)</f>
        <v>Approved by: Galen Shoemaker on 10/08/2013,  To replace 5ft of 2in Plastic Main from WO 72-6600 with 2in Plastic to repair a third party damage on leak #13-133. Service was interrupted to five homes and there was loss of blowing gas. MOP=30# MAOP=30# SYSTEM=S-6 TEST=100#</v>
      </c>
    </row>
    <row r="255" spans="1:16" ht="60" outlineLevel="2">
      <c r="A255" s="14" t="s">
        <v>17</v>
      </c>
      <c r="B255" s="15" t="s">
        <v>315</v>
      </c>
      <c r="C255" s="15" t="s">
        <v>316</v>
      </c>
      <c r="D255" s="14" t="s">
        <v>317</v>
      </c>
      <c r="E255" s="15" t="s">
        <v>141</v>
      </c>
      <c r="F255" s="14" t="s">
        <v>142</v>
      </c>
      <c r="G255" s="15" t="s">
        <v>23</v>
      </c>
      <c r="H255" s="15" t="s">
        <v>1525</v>
      </c>
      <c r="I255" s="15">
        <v>201409</v>
      </c>
      <c r="J255" s="16">
        <v>-417.76</v>
      </c>
      <c r="K255" s="171">
        <f t="shared" si="23"/>
        <v>9</v>
      </c>
      <c r="L255" s="17">
        <v>1.4833299999999999E-3</v>
      </c>
      <c r="M255" s="16">
        <f t="shared" si="24"/>
        <v>-5.58</v>
      </c>
      <c r="N255" s="16">
        <f t="shared" si="25"/>
        <v>-7.44</v>
      </c>
      <c r="O255" s="14"/>
      <c r="P255" s="210" t="str">
        <f>VLOOKUP(C255,'WO Descriptions'!$A$5:$D$345,4)</f>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
    </row>
    <row r="256" spans="1:16" ht="45" outlineLevel="2">
      <c r="A256" s="14" t="s">
        <v>17</v>
      </c>
      <c r="B256" s="15" t="s">
        <v>318</v>
      </c>
      <c r="C256" s="15" t="s">
        <v>319</v>
      </c>
      <c r="D256" s="14" t="s">
        <v>320</v>
      </c>
      <c r="E256" s="15" t="s">
        <v>141</v>
      </c>
      <c r="F256" s="14" t="s">
        <v>142</v>
      </c>
      <c r="G256" s="15" t="s">
        <v>23</v>
      </c>
      <c r="H256" s="15" t="s">
        <v>1525</v>
      </c>
      <c r="I256" s="15">
        <v>201409</v>
      </c>
      <c r="J256" s="16">
        <v>-427.59</v>
      </c>
      <c r="K256" s="171">
        <f t="shared" si="23"/>
        <v>9</v>
      </c>
      <c r="L256" s="17">
        <v>1.4833299999999999E-3</v>
      </c>
      <c r="M256" s="16">
        <f t="shared" si="24"/>
        <v>-5.71</v>
      </c>
      <c r="N256" s="16">
        <f t="shared" si="25"/>
        <v>-7.61</v>
      </c>
      <c r="O256" s="14"/>
      <c r="P256" s="210" t="str">
        <f>VLOOKUP(C256,'WO Descriptions'!$A$5:$D$345,4)</f>
        <v>Approved by: Kevin Driskell on 10/15/2013,  AOR.  This job must be completed by Dec 19, 2013.  Replace 6" CI with 30' of 6in PE due to parallel excavation.  Retire 30'-6in CI, WO A1585, year 1926.</v>
      </c>
    </row>
    <row r="257" spans="1:16" ht="105" outlineLevel="2">
      <c r="A257" s="14" t="s">
        <v>17</v>
      </c>
      <c r="B257" s="15" t="s">
        <v>321</v>
      </c>
      <c r="C257" s="15" t="s">
        <v>322</v>
      </c>
      <c r="D257" s="14" t="s">
        <v>323</v>
      </c>
      <c r="E257" s="15" t="s">
        <v>324</v>
      </c>
      <c r="F257" s="14" t="s">
        <v>325</v>
      </c>
      <c r="G257" s="15" t="s">
        <v>23</v>
      </c>
      <c r="H257" s="15" t="s">
        <v>1525</v>
      </c>
      <c r="I257" s="15">
        <v>201409</v>
      </c>
      <c r="J257" s="16">
        <v>-370.12</v>
      </c>
      <c r="K257" s="171">
        <f t="shared" si="23"/>
        <v>9</v>
      </c>
      <c r="L257" s="17">
        <v>1.4833299999999999E-3</v>
      </c>
      <c r="M257" s="16">
        <f t="shared" si="24"/>
        <v>-4.9400000000000004</v>
      </c>
      <c r="N257" s="16">
        <f t="shared" si="25"/>
        <v>-6.59</v>
      </c>
      <c r="O257" s="14"/>
      <c r="P257" s="210" t="str">
        <f>VLOOKUP(C257,'WO Descriptions'!$A$5:$D$345,4)</f>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
    </row>
    <row r="258" spans="1:16" ht="30" outlineLevel="2">
      <c r="A258" s="14" t="s">
        <v>17</v>
      </c>
      <c r="B258" s="15" t="s">
        <v>329</v>
      </c>
      <c r="C258" s="15" t="s">
        <v>330</v>
      </c>
      <c r="D258" s="14" t="s">
        <v>331</v>
      </c>
      <c r="E258" s="15" t="s">
        <v>108</v>
      </c>
      <c r="F258" s="14" t="s">
        <v>28</v>
      </c>
      <c r="G258" s="15" t="s">
        <v>23</v>
      </c>
      <c r="H258" s="15" t="s">
        <v>1525</v>
      </c>
      <c r="I258" s="15">
        <v>201409</v>
      </c>
      <c r="J258" s="16">
        <v>5.61</v>
      </c>
      <c r="K258" s="171">
        <f t="shared" si="23"/>
        <v>9</v>
      </c>
      <c r="L258" s="17">
        <v>1.4833299999999999E-3</v>
      </c>
      <c r="M258" s="16">
        <f t="shared" si="24"/>
        <v>7.0000000000000007E-2</v>
      </c>
      <c r="N258" s="16">
        <f t="shared" si="25"/>
        <v>0.1</v>
      </c>
      <c r="O258" s="14"/>
      <c r="P258" s="210" t="str">
        <f>VLOOKUP(C258,'WO Descriptions'!$A$5:$D$345,4)</f>
        <v>Approved by: Kevin Driskell on 02/28/2014,  Replacement due to to exposed 2" main caused by erosion. Lay 200'-2in PE and retire 307'-2in PE Retire 1973, 73-3024.</v>
      </c>
    </row>
    <row r="259" spans="1:16" ht="60" outlineLevel="2">
      <c r="A259" s="14" t="s">
        <v>17</v>
      </c>
      <c r="B259" s="15" t="s">
        <v>335</v>
      </c>
      <c r="C259" s="15" t="s">
        <v>336</v>
      </c>
      <c r="D259" s="14" t="s">
        <v>337</v>
      </c>
      <c r="E259" s="15" t="s">
        <v>62</v>
      </c>
      <c r="F259" s="14" t="s">
        <v>22</v>
      </c>
      <c r="G259" s="15" t="s">
        <v>23</v>
      </c>
      <c r="H259" s="15" t="s">
        <v>1525</v>
      </c>
      <c r="I259" s="15">
        <v>201409</v>
      </c>
      <c r="J259" s="16">
        <v>-2164.7800000000002</v>
      </c>
      <c r="K259" s="171">
        <f t="shared" si="23"/>
        <v>9</v>
      </c>
      <c r="L259" s="17">
        <v>1.4833299999999999E-3</v>
      </c>
      <c r="M259" s="16">
        <f t="shared" si="24"/>
        <v>-28.9</v>
      </c>
      <c r="N259" s="16">
        <f t="shared" si="25"/>
        <v>-38.53</v>
      </c>
      <c r="O259" s="14"/>
      <c r="P259" s="210" t="str">
        <f>VLOOKUP(C259,'WO Descriptions'!$A$5:$D$345,4)</f>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
    </row>
    <row r="260" spans="1:16" ht="195" outlineLevel="2">
      <c r="A260" s="14" t="s">
        <v>17</v>
      </c>
      <c r="B260" s="15" t="s">
        <v>338</v>
      </c>
      <c r="C260" s="15" t="s">
        <v>339</v>
      </c>
      <c r="D260" s="14" t="s">
        <v>340</v>
      </c>
      <c r="E260" s="15" t="s">
        <v>62</v>
      </c>
      <c r="F260" s="14" t="s">
        <v>22</v>
      </c>
      <c r="G260" s="15" t="s">
        <v>23</v>
      </c>
      <c r="H260" s="15" t="s">
        <v>1525</v>
      </c>
      <c r="I260" s="15">
        <v>201409</v>
      </c>
      <c r="J260" s="16">
        <v>-1152.29</v>
      </c>
      <c r="K260" s="171">
        <f t="shared" si="23"/>
        <v>9</v>
      </c>
      <c r="L260" s="17">
        <v>1.4833299999999999E-3</v>
      </c>
      <c r="M260" s="16">
        <f t="shared" si="24"/>
        <v>-15.38</v>
      </c>
      <c r="N260" s="16">
        <f t="shared" si="25"/>
        <v>-20.51</v>
      </c>
      <c r="O260" s="14"/>
      <c r="P260" s="210" t="str">
        <f>VLOOKUP(C260,'WO Descriptions'!$A$5:$D$345,4)</f>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
    </row>
    <row r="261" spans="1:16" ht="105" outlineLevel="2">
      <c r="A261" s="14" t="s">
        <v>17</v>
      </c>
      <c r="B261" s="15" t="s">
        <v>347</v>
      </c>
      <c r="C261" s="15" t="s">
        <v>348</v>
      </c>
      <c r="D261" s="14" t="s">
        <v>349</v>
      </c>
      <c r="E261" s="15" t="s">
        <v>324</v>
      </c>
      <c r="F261" s="14" t="s">
        <v>325</v>
      </c>
      <c r="G261" s="15" t="s">
        <v>23</v>
      </c>
      <c r="H261" s="15" t="s">
        <v>1525</v>
      </c>
      <c r="I261" s="15">
        <v>201409</v>
      </c>
      <c r="J261" s="16">
        <v>478.42</v>
      </c>
      <c r="K261" s="171">
        <f t="shared" si="23"/>
        <v>9</v>
      </c>
      <c r="L261" s="17">
        <v>1.4833299999999999E-3</v>
      </c>
      <c r="M261" s="16">
        <f t="shared" si="24"/>
        <v>6.39</v>
      </c>
      <c r="N261" s="16">
        <f t="shared" si="25"/>
        <v>8.52</v>
      </c>
      <c r="O261" s="14"/>
      <c r="P261" s="210" t="str">
        <f>VLOOKUP(C261,'WO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62" spans="1:16" ht="30" outlineLevel="2">
      <c r="A262" s="14" t="s">
        <v>17</v>
      </c>
      <c r="B262" s="15" t="s">
        <v>350</v>
      </c>
      <c r="C262" s="15" t="s">
        <v>351</v>
      </c>
      <c r="D262" s="14" t="s">
        <v>352</v>
      </c>
      <c r="E262" s="15" t="s">
        <v>108</v>
      </c>
      <c r="F262" s="14" t="s">
        <v>28</v>
      </c>
      <c r="G262" s="15" t="s">
        <v>23</v>
      </c>
      <c r="H262" s="15" t="s">
        <v>1525</v>
      </c>
      <c r="I262" s="15">
        <v>201409</v>
      </c>
      <c r="J262" s="16">
        <v>8.58</v>
      </c>
      <c r="K262" s="171">
        <f t="shared" si="23"/>
        <v>9</v>
      </c>
      <c r="L262" s="17">
        <v>1.4833299999999999E-3</v>
      </c>
      <c r="M262" s="16">
        <f t="shared" si="24"/>
        <v>0.11</v>
      </c>
      <c r="N262" s="16">
        <f t="shared" si="25"/>
        <v>0.15</v>
      </c>
      <c r="O262" s="14"/>
      <c r="P262" s="210" t="str">
        <f>VLOOKUP(C262,'WO Descriptions'!$A$5:$D$345,4)</f>
        <v>Approved by: Kevin Driskell on 09/18/2013,  Installed welded yoke around leaking dresser and valve. 12' of 2in PCS was installed and 6' of 2in PCS was abandoned.</v>
      </c>
    </row>
    <row r="263" spans="1:16" ht="180" outlineLevel="2">
      <c r="A263" s="14" t="s">
        <v>17</v>
      </c>
      <c r="B263" s="15" t="s">
        <v>353</v>
      </c>
      <c r="C263" s="15" t="s">
        <v>354</v>
      </c>
      <c r="D263" s="14" t="s">
        <v>355</v>
      </c>
      <c r="E263" s="15" t="s">
        <v>62</v>
      </c>
      <c r="F263" s="14" t="s">
        <v>22</v>
      </c>
      <c r="G263" s="15" t="s">
        <v>23</v>
      </c>
      <c r="H263" s="15" t="s">
        <v>1525</v>
      </c>
      <c r="I263" s="15">
        <v>201409</v>
      </c>
      <c r="J263" s="16">
        <v>-1349</v>
      </c>
      <c r="K263" s="171">
        <f t="shared" si="23"/>
        <v>9</v>
      </c>
      <c r="L263" s="17">
        <v>1.4833299999999999E-3</v>
      </c>
      <c r="M263" s="16">
        <f t="shared" si="24"/>
        <v>-18.010000000000002</v>
      </c>
      <c r="N263" s="16">
        <f t="shared" si="25"/>
        <v>-24.01</v>
      </c>
      <c r="O263" s="14"/>
      <c r="P263" s="210" t="str">
        <f>VLOOKUP(C263,'WO Descriptions'!$A$5:$D$345,4)</f>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
    </row>
    <row r="264" spans="1:16" ht="30" outlineLevel="2">
      <c r="A264" s="14" t="s">
        <v>17</v>
      </c>
      <c r="B264" s="15" t="s">
        <v>363</v>
      </c>
      <c r="C264" s="15" t="s">
        <v>364</v>
      </c>
      <c r="D264" s="14" t="s">
        <v>365</v>
      </c>
      <c r="E264" s="15" t="s">
        <v>21</v>
      </c>
      <c r="F264" s="14" t="s">
        <v>22</v>
      </c>
      <c r="G264" s="15" t="s">
        <v>23</v>
      </c>
      <c r="H264" s="15" t="s">
        <v>1525</v>
      </c>
      <c r="I264" s="15">
        <v>201409</v>
      </c>
      <c r="J264" s="16">
        <v>25.47</v>
      </c>
      <c r="K264" s="171">
        <f t="shared" si="23"/>
        <v>9</v>
      </c>
      <c r="L264" s="17">
        <v>1.4833299999999999E-3</v>
      </c>
      <c r="M264" s="16">
        <f t="shared" si="24"/>
        <v>0.34</v>
      </c>
      <c r="N264" s="16">
        <f t="shared" si="25"/>
        <v>0.45</v>
      </c>
      <c r="O264" s="14"/>
      <c r="P264" s="210" t="str">
        <f>VLOOKUP(C264,'WO Descriptions'!$A$5:$D$345,4)</f>
        <v>Approved by: Kevin Driskell on 08/23/2013,  Replace 10' of 2in PBS, original JO A6962C, year 1956 with 10'-2in PCS due to #3 leak at 113th Ter and Jackson.  Gate valve was removed.</v>
      </c>
    </row>
    <row r="265" spans="1:16" ht="60" outlineLevel="2">
      <c r="A265" s="14" t="s">
        <v>17</v>
      </c>
      <c r="B265" s="15" t="s">
        <v>395</v>
      </c>
      <c r="C265" s="15" t="s">
        <v>396</v>
      </c>
      <c r="D265" s="14" t="s">
        <v>397</v>
      </c>
      <c r="E265" s="15" t="s">
        <v>49</v>
      </c>
      <c r="F265" s="14" t="s">
        <v>22</v>
      </c>
      <c r="G265" s="15" t="s">
        <v>23</v>
      </c>
      <c r="H265" s="15" t="s">
        <v>1525</v>
      </c>
      <c r="I265" s="15">
        <v>201409</v>
      </c>
      <c r="J265" s="16">
        <v>-5.66</v>
      </c>
      <c r="K265" s="171">
        <f t="shared" si="23"/>
        <v>9</v>
      </c>
      <c r="L265" s="17">
        <v>1.4833299999999999E-3</v>
      </c>
      <c r="M265" s="16">
        <f t="shared" si="24"/>
        <v>-0.08</v>
      </c>
      <c r="N265" s="16">
        <f t="shared" si="25"/>
        <v>-0.1</v>
      </c>
      <c r="O265" s="14"/>
      <c r="P265" s="210" t="str">
        <f>VLOOKUP(C265,'WO Descriptions'!$A$5:$D$345,4)</f>
        <v>Approved by: Galen Shoemaker on 01/14/2013,  Abandon 148' - 2&amp;quot; PBS (WO#: 29003) and replace with 165' - 2&amp;quot; PE to clear one (1) - #3 leak. Project Location: Mill and Cliborne; Pressure System: C-1; MOP: 39.5 psig; MAOP: 39.5 psig; Design: 58 psig; Test: 100 psig; ISRS $50.24/ft</v>
      </c>
    </row>
    <row r="266" spans="1:16" ht="60" outlineLevel="2">
      <c r="A266" s="14" t="s">
        <v>17</v>
      </c>
      <c r="B266" s="15" t="s">
        <v>404</v>
      </c>
      <c r="C266" s="15" t="s">
        <v>405</v>
      </c>
      <c r="D266" s="14" t="s">
        <v>406</v>
      </c>
      <c r="E266" s="15" t="s">
        <v>58</v>
      </c>
      <c r="F266" s="14" t="s">
        <v>22</v>
      </c>
      <c r="G266" s="15" t="s">
        <v>23</v>
      </c>
      <c r="H266" s="15" t="s">
        <v>1525</v>
      </c>
      <c r="I266" s="15">
        <v>201409</v>
      </c>
      <c r="J266" s="16">
        <v>-346.31</v>
      </c>
      <c r="K266" s="171">
        <f t="shared" si="23"/>
        <v>9</v>
      </c>
      <c r="L266" s="17">
        <v>1.4833299999999999E-3</v>
      </c>
      <c r="M266" s="16">
        <f t="shared" si="24"/>
        <v>-4.62</v>
      </c>
      <c r="N266" s="16">
        <f t="shared" si="25"/>
        <v>-6.16</v>
      </c>
      <c r="O266" s="14"/>
      <c r="P266" s="210" t="str">
        <f>VLOOKUP(C266,'WO Descriptions'!$A$5:$D$345,4)</f>
        <v>Approved by: Galen Shoemaker on 02/18/2013,  Abandon 583' - 2in PBS (WO#: NONE) and replace with 585' - 2in PE to clear 3 - #3 Leaks (Leak No's: 09-0089, 12-0056, 13-0014). Project Location: Poplar and Tennessee; Pressure System: C-1; MOP: 1.50 psig; MAOP: 1.69 psig; Design: 58 psig; Test: 100 psig; ISRS $33.30/ft</v>
      </c>
    </row>
    <row r="267" spans="1:16" ht="135" outlineLevel="2">
      <c r="A267" s="14" t="s">
        <v>17</v>
      </c>
      <c r="B267" s="15" t="s">
        <v>422</v>
      </c>
      <c r="C267" s="15" t="s">
        <v>423</v>
      </c>
      <c r="D267" s="14" t="s">
        <v>424</v>
      </c>
      <c r="E267" s="15" t="s">
        <v>246</v>
      </c>
      <c r="F267" s="14" t="s">
        <v>247</v>
      </c>
      <c r="G267" s="15" t="s">
        <v>23</v>
      </c>
      <c r="H267" s="15" t="s">
        <v>1525</v>
      </c>
      <c r="I267" s="15">
        <v>201409</v>
      </c>
      <c r="J267" s="16">
        <v>-418.81</v>
      </c>
      <c r="K267" s="171">
        <f t="shared" si="23"/>
        <v>9</v>
      </c>
      <c r="L267" s="17">
        <v>1.4833299999999999E-3</v>
      </c>
      <c r="M267" s="16">
        <f t="shared" si="24"/>
        <v>-5.59</v>
      </c>
      <c r="N267" s="16">
        <f t="shared" si="25"/>
        <v>-7.45</v>
      </c>
      <c r="O267" s="14"/>
      <c r="P267" s="210" t="str">
        <f>VLOOKUP(C267,'WO Descriptions'!$A$5:$D$345,4)</f>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
    </row>
    <row r="268" spans="1:16" ht="60" outlineLevel="2">
      <c r="A268" s="14" t="s">
        <v>17</v>
      </c>
      <c r="B268" s="15" t="s">
        <v>428</v>
      </c>
      <c r="C268" s="15" t="s">
        <v>429</v>
      </c>
      <c r="D268" s="14" t="s">
        <v>430</v>
      </c>
      <c r="E268" s="15" t="s">
        <v>32</v>
      </c>
      <c r="F268" s="14" t="s">
        <v>22</v>
      </c>
      <c r="G268" s="15" t="s">
        <v>23</v>
      </c>
      <c r="H268" s="15" t="s">
        <v>1525</v>
      </c>
      <c r="I268" s="15">
        <v>201409</v>
      </c>
      <c r="J268" s="16">
        <v>-61.26</v>
      </c>
      <c r="K268" s="171">
        <f t="shared" si="23"/>
        <v>9</v>
      </c>
      <c r="L268" s="17">
        <v>1.4833299999999999E-3</v>
      </c>
      <c r="M268" s="16">
        <f t="shared" si="24"/>
        <v>-0.82</v>
      </c>
      <c r="N268" s="16">
        <f t="shared" si="25"/>
        <v>-1.0900000000000001</v>
      </c>
      <c r="O268" s="14"/>
      <c r="P268" s="210" t="str">
        <f>VLOOKUP(C268,'WO Descriptions'!$A$5:$D$345,4)</f>
        <v>Approved by: Ken Thomas on 11/15/2013,  Abandon 314' - 2" PBS (WO#'s: 43781, 44486) and replace with 315' - 2" PE due to history of leakage and isolated bare steel. Project Location: Purdy West of Pine; Pressure System: S-1; MOP: 20 psig; MAOP: 20 psig; Design: 58 psig; Test: 100 psig; ISRS $35.77/ft</v>
      </c>
    </row>
    <row r="269" spans="1:16" ht="60" outlineLevel="2">
      <c r="A269" s="14" t="s">
        <v>17</v>
      </c>
      <c r="B269" s="15" t="s">
        <v>431</v>
      </c>
      <c r="C269" s="15" t="s">
        <v>432</v>
      </c>
      <c r="D269" s="14" t="s">
        <v>433</v>
      </c>
      <c r="E269" s="15" t="s">
        <v>258</v>
      </c>
      <c r="F269" s="14" t="s">
        <v>259</v>
      </c>
      <c r="G269" s="15" t="s">
        <v>23</v>
      </c>
      <c r="H269" s="15" t="s">
        <v>1525</v>
      </c>
      <c r="I269" s="15">
        <v>201409</v>
      </c>
      <c r="J269" s="16">
        <v>-175.94</v>
      </c>
      <c r="K269" s="171">
        <f t="shared" si="23"/>
        <v>9</v>
      </c>
      <c r="L269" s="17">
        <v>1.4833299999999999E-3</v>
      </c>
      <c r="M269" s="16">
        <f t="shared" si="24"/>
        <v>-2.35</v>
      </c>
      <c r="N269" s="16">
        <f t="shared" si="25"/>
        <v>-3.13</v>
      </c>
      <c r="O269" s="14"/>
      <c r="P269" s="210" t="str">
        <f>VLOOKUP(C269,'WO Descriptions'!$A$5:$D$345,4)</f>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
    </row>
    <row r="270" spans="1:16" ht="30" outlineLevel="2">
      <c r="A270" s="14" t="s">
        <v>17</v>
      </c>
      <c r="B270" s="15" t="s">
        <v>437</v>
      </c>
      <c r="C270" s="15" t="s">
        <v>438</v>
      </c>
      <c r="D270" s="14" t="s">
        <v>439</v>
      </c>
      <c r="E270" s="15" t="s">
        <v>440</v>
      </c>
      <c r="F270" s="14" t="s">
        <v>28</v>
      </c>
      <c r="G270" s="15" t="s">
        <v>23</v>
      </c>
      <c r="H270" s="15" t="s">
        <v>1525</v>
      </c>
      <c r="I270" s="15">
        <v>201409</v>
      </c>
      <c r="J270" s="16">
        <v>8.2100000000000009</v>
      </c>
      <c r="K270" s="171">
        <f t="shared" si="23"/>
        <v>9</v>
      </c>
      <c r="L270" s="17">
        <v>1.4833299999999999E-3</v>
      </c>
      <c r="M270" s="16">
        <f t="shared" si="24"/>
        <v>0.11</v>
      </c>
      <c r="N270" s="16">
        <f t="shared" si="25"/>
        <v>0.15</v>
      </c>
      <c r="O270" s="14"/>
      <c r="P270" s="210" t="str">
        <f>VLOOKUP(C270,'WO Descriptions'!$A$5:$D$345,4)</f>
        <v>Approved by: Kevin Driskell on 09/05/2013,  Replaced 62' of 2in PCS year 1981(WO# 81-0254) with 62'-2in PE due to leak.</v>
      </c>
    </row>
    <row r="271" spans="1:16" ht="90" outlineLevel="2">
      <c r="A271" s="14" t="s">
        <v>17</v>
      </c>
      <c r="B271" s="15" t="s">
        <v>447</v>
      </c>
      <c r="C271" s="15" t="s">
        <v>448</v>
      </c>
      <c r="D271" s="14" t="s">
        <v>449</v>
      </c>
      <c r="E271" s="15" t="s">
        <v>296</v>
      </c>
      <c r="F271" s="14" t="s">
        <v>28</v>
      </c>
      <c r="G271" s="15" t="s">
        <v>23</v>
      </c>
      <c r="H271" s="15" t="s">
        <v>1525</v>
      </c>
      <c r="I271" s="15">
        <v>201409</v>
      </c>
      <c r="J271" s="16">
        <v>-625.21</v>
      </c>
      <c r="K271" s="171">
        <f t="shared" si="23"/>
        <v>9</v>
      </c>
      <c r="L271" s="17">
        <v>1.4833299999999999E-3</v>
      </c>
      <c r="M271" s="16">
        <f t="shared" si="24"/>
        <v>-8.35</v>
      </c>
      <c r="N271" s="16">
        <f t="shared" si="25"/>
        <v>-11.13</v>
      </c>
      <c r="O271" s="14"/>
      <c r="P271" s="210" t="str">
        <f>VLOOKUP(C271,'WO Descriptions'!$A$5:$D$345,4)</f>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
    </row>
    <row r="272" spans="1:16" ht="30" outlineLevel="2">
      <c r="A272" s="14" t="s">
        <v>17</v>
      </c>
      <c r="B272" s="15" t="s">
        <v>450</v>
      </c>
      <c r="C272" s="15" t="s">
        <v>451</v>
      </c>
      <c r="D272" s="14" t="s">
        <v>452</v>
      </c>
      <c r="E272" s="15" t="s">
        <v>45</v>
      </c>
      <c r="F272" s="14" t="s">
        <v>22</v>
      </c>
      <c r="G272" s="15" t="s">
        <v>23</v>
      </c>
      <c r="H272" s="15" t="s">
        <v>1525</v>
      </c>
      <c r="I272" s="15">
        <v>201409</v>
      </c>
      <c r="J272" s="16">
        <v>-5.2</v>
      </c>
      <c r="K272" s="171">
        <f t="shared" si="23"/>
        <v>9</v>
      </c>
      <c r="L272" s="17">
        <v>1.4833299999999999E-3</v>
      </c>
      <c r="M272" s="16">
        <f t="shared" si="24"/>
        <v>-7.0000000000000007E-2</v>
      </c>
      <c r="N272" s="16">
        <f t="shared" si="25"/>
        <v>-0.09</v>
      </c>
      <c r="O272" s="14"/>
      <c r="P272" s="210" t="str">
        <f>VLOOKUP(C272,'WO Descriptions'!$A$5:$D$345,4)</f>
        <v>Approved by: Gary Williams on 12/16/2013,  LAY 12'-2" PCS ALONG E 92ND ST-EAST OF TENNESSEE AVE.; IN ORDER TO REPAIR LEAK. INSTALL 2" PCS STEEL YOKE.</v>
      </c>
    </row>
    <row r="273" spans="1:16" ht="45" outlineLevel="2">
      <c r="A273" s="14" t="s">
        <v>17</v>
      </c>
      <c r="B273" s="15" t="s">
        <v>456</v>
      </c>
      <c r="C273" s="15" t="s">
        <v>457</v>
      </c>
      <c r="D273" s="14" t="s">
        <v>458</v>
      </c>
      <c r="E273" s="15" t="s">
        <v>21</v>
      </c>
      <c r="F273" s="14" t="s">
        <v>22</v>
      </c>
      <c r="G273" s="15" t="s">
        <v>23</v>
      </c>
      <c r="H273" s="15" t="s">
        <v>1525</v>
      </c>
      <c r="I273" s="15">
        <v>201409</v>
      </c>
      <c r="J273" s="16">
        <v>-591.12</v>
      </c>
      <c r="K273" s="171">
        <f t="shared" si="23"/>
        <v>9</v>
      </c>
      <c r="L273" s="17">
        <v>1.4833299999999999E-3</v>
      </c>
      <c r="M273" s="16">
        <f t="shared" si="24"/>
        <v>-7.89</v>
      </c>
      <c r="N273" s="16">
        <f t="shared" si="25"/>
        <v>-10.52</v>
      </c>
      <c r="O273" s="14"/>
      <c r="P273" s="210" t="str">
        <f>VLOOKUP(C273,'WO Descriptions'!$A$5:$D$345,4)</f>
        <v>Approved by: Kevin Driskell on 12/31/2013,  ISRS. To abandon 60' of 1.5" CU main and replace with 70' of 2" TF main. Main is on the C-3 pressure system with a MOP=25psig and MAOP=25psig. See attached sheet for size, length, type, and work orders of main to be retired.</v>
      </c>
    </row>
    <row r="274" spans="1:16" ht="30" outlineLevel="2">
      <c r="A274" s="14" t="s">
        <v>17</v>
      </c>
      <c r="B274" s="15" t="s">
        <v>471</v>
      </c>
      <c r="C274" s="15" t="s">
        <v>472</v>
      </c>
      <c r="D274" s="14" t="s">
        <v>473</v>
      </c>
      <c r="E274" s="15" t="s">
        <v>27</v>
      </c>
      <c r="F274" s="14" t="s">
        <v>28</v>
      </c>
      <c r="G274" s="15" t="s">
        <v>23</v>
      </c>
      <c r="H274" s="15" t="s">
        <v>1525</v>
      </c>
      <c r="I274" s="15">
        <v>201409</v>
      </c>
      <c r="J274" s="16">
        <v>-48.87</v>
      </c>
      <c r="K274" s="171">
        <f t="shared" si="23"/>
        <v>9</v>
      </c>
      <c r="L274" s="17">
        <v>1.4833299999999999E-3</v>
      </c>
      <c r="M274" s="16">
        <f t="shared" si="24"/>
        <v>-0.65</v>
      </c>
      <c r="N274" s="16">
        <f t="shared" si="25"/>
        <v>-0.87</v>
      </c>
      <c r="O274" s="14"/>
      <c r="P274" s="210" t="str">
        <f>VLOOKUP(C274,'WO Descriptions'!$A$5:$D$345,4)</f>
        <v>Approved by: Ralph Janes on 09/19/2013,  Move drip for odorant tank and tie 8in PCS to 4in PCS down stream with 4' of 4in thin film. Main to abandon: 2' of 4in PCS from wo# A7311A.</v>
      </c>
    </row>
    <row r="275" spans="1:16" ht="60" outlineLevel="2">
      <c r="A275" s="14" t="s">
        <v>17</v>
      </c>
      <c r="B275" s="15" t="s">
        <v>477</v>
      </c>
      <c r="C275" s="15" t="s">
        <v>478</v>
      </c>
      <c r="D275" s="14" t="s">
        <v>479</v>
      </c>
      <c r="E275" s="15" t="s">
        <v>440</v>
      </c>
      <c r="F275" s="14" t="s">
        <v>28</v>
      </c>
      <c r="G275" s="15" t="s">
        <v>23</v>
      </c>
      <c r="H275" s="15" t="s">
        <v>1525</v>
      </c>
      <c r="I275" s="15">
        <v>201409</v>
      </c>
      <c r="J275" s="16">
        <v>-15.86</v>
      </c>
      <c r="K275" s="171">
        <f t="shared" si="23"/>
        <v>9</v>
      </c>
      <c r="L275" s="17">
        <v>1.4833299999999999E-3</v>
      </c>
      <c r="M275" s="16">
        <f t="shared" si="24"/>
        <v>-0.21</v>
      </c>
      <c r="N275" s="16">
        <f t="shared" si="25"/>
        <v>-0.28000000000000003</v>
      </c>
      <c r="O275" s="14"/>
      <c r="P275" s="210" t="str">
        <f>VLOOKUP(C275,'WO Descriptions'!$A$5:$D$345,4)</f>
        <v>Approved by: Kevin Driskell on 02/20/2014,  RELOCATE 4'-2" PLEXCO DUE TO WATER DEPARTMENT SHUTTING OFF BALL VALVE IN ERROR.  MGE DIDN'T WANT WATER DEPARTMENT TO ACCIDENTALLY DO THIS AGAIN; SO REMOVED 3-WAY TEE &amp; BALL VALVE.  ABANDONED 3'-2" PE (98-8159).</v>
      </c>
    </row>
    <row r="276" spans="1:16" ht="45" outlineLevel="2">
      <c r="A276" s="14" t="s">
        <v>17</v>
      </c>
      <c r="B276" s="15" t="s">
        <v>480</v>
      </c>
      <c r="C276" s="15" t="s">
        <v>481</v>
      </c>
      <c r="D276" s="14" t="s">
        <v>482</v>
      </c>
      <c r="E276" s="15" t="s">
        <v>141</v>
      </c>
      <c r="F276" s="14" t="s">
        <v>142</v>
      </c>
      <c r="G276" s="15" t="s">
        <v>23</v>
      </c>
      <c r="H276" s="15" t="s">
        <v>1525</v>
      </c>
      <c r="I276" s="15">
        <v>201409</v>
      </c>
      <c r="J276" s="16">
        <v>-482.88</v>
      </c>
      <c r="K276" s="171">
        <f t="shared" si="23"/>
        <v>9</v>
      </c>
      <c r="L276" s="17">
        <v>1.4833299999999999E-3</v>
      </c>
      <c r="M276" s="16">
        <f t="shared" si="24"/>
        <v>-6.45</v>
      </c>
      <c r="N276" s="16">
        <f t="shared" si="25"/>
        <v>-8.6</v>
      </c>
      <c r="O276" s="14"/>
      <c r="P276" s="210" t="str">
        <f>VLOOKUP(C276,'WO Descriptions'!$A$5:$D$345,4)</f>
        <v>Approved by: Gary Williams on 12/02/2013,  AOR.  Replace 40'-6in CI with 6in PE.  13' of CI was exposed at 2551 Chelsea.  Tie-over two services and replace one service (2553 Chelsea).Retire 35'-6in CI, B30P88; 5'-6in CI, B18P103.</v>
      </c>
    </row>
    <row r="277" spans="1:16" ht="120" outlineLevel="2">
      <c r="A277" s="14" t="s">
        <v>17</v>
      </c>
      <c r="B277" s="15" t="s">
        <v>483</v>
      </c>
      <c r="C277" s="15" t="s">
        <v>484</v>
      </c>
      <c r="D277" s="14" t="s">
        <v>485</v>
      </c>
      <c r="E277" s="15" t="s">
        <v>324</v>
      </c>
      <c r="F277" s="14" t="s">
        <v>325</v>
      </c>
      <c r="G277" s="15" t="s">
        <v>23</v>
      </c>
      <c r="H277" s="15" t="s">
        <v>1525</v>
      </c>
      <c r="I277" s="15">
        <v>201409</v>
      </c>
      <c r="J277" s="16">
        <v>-297.13</v>
      </c>
      <c r="K277" s="171">
        <f t="shared" si="23"/>
        <v>9</v>
      </c>
      <c r="L277" s="17">
        <v>1.4833299999999999E-3</v>
      </c>
      <c r="M277" s="16">
        <f t="shared" si="24"/>
        <v>-3.97</v>
      </c>
      <c r="N277" s="16">
        <f t="shared" si="25"/>
        <v>-5.29</v>
      </c>
      <c r="O277" s="14"/>
      <c r="P277" s="210" t="str">
        <f>VLOOKUP(C277,'WO Descriptions'!$A$5:$D$345,4)</f>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
    </row>
    <row r="278" spans="1:16" ht="45" outlineLevel="2">
      <c r="A278" s="14" t="s">
        <v>17</v>
      </c>
      <c r="B278" s="15" t="s">
        <v>486</v>
      </c>
      <c r="C278" s="15" t="s">
        <v>487</v>
      </c>
      <c r="D278" s="14" t="s">
        <v>488</v>
      </c>
      <c r="E278" s="15" t="s">
        <v>141</v>
      </c>
      <c r="F278" s="14" t="s">
        <v>142</v>
      </c>
      <c r="G278" s="15" t="s">
        <v>23</v>
      </c>
      <c r="H278" s="15" t="s">
        <v>1525</v>
      </c>
      <c r="I278" s="15">
        <v>201409</v>
      </c>
      <c r="J278" s="16">
        <v>-374.06</v>
      </c>
      <c r="K278" s="171">
        <f t="shared" ref="K278:K341" si="26">VLOOKUP(I278,$T$7:$U$15,2)</f>
        <v>9</v>
      </c>
      <c r="L278" s="17">
        <v>1.4833299999999999E-3</v>
      </c>
      <c r="M278" s="16">
        <f t="shared" ref="M278:M341" si="27">ROUND(J278*K278*L278,2)</f>
        <v>-4.99</v>
      </c>
      <c r="N278" s="16">
        <f t="shared" ref="N278:N341" si="28">ROUND(J278*L278*12,2)</f>
        <v>-6.66</v>
      </c>
      <c r="O278" s="14"/>
      <c r="P278" s="210" t="str">
        <f>VLOOKUP(C278,'WO Descriptions'!$A$5:$D$345,4)</f>
        <v>Approved by: Gary Williams on 01/10/2014,  AOR.  This work order must be completed by March 16, 2014.  Replace 40'-6in CI due to parallel excavation.  AOR location: 12' SNC of E 52nd Street.  No services to tie-over.  Retire 44'-6in CI, WO A2610, year 1930.</v>
      </c>
    </row>
    <row r="279" spans="1:16" ht="45" outlineLevel="2">
      <c r="A279" s="14" t="s">
        <v>17</v>
      </c>
      <c r="B279" s="15" t="s">
        <v>493</v>
      </c>
      <c r="C279" s="15" t="s">
        <v>494</v>
      </c>
      <c r="D279" s="14" t="s">
        <v>495</v>
      </c>
      <c r="E279" s="15" t="s">
        <v>62</v>
      </c>
      <c r="F279" s="14" t="s">
        <v>22</v>
      </c>
      <c r="G279" s="15" t="s">
        <v>23</v>
      </c>
      <c r="H279" s="15" t="s">
        <v>1525</v>
      </c>
      <c r="I279" s="15">
        <v>201409</v>
      </c>
      <c r="J279" s="16">
        <v>-24.13</v>
      </c>
      <c r="K279" s="171">
        <f t="shared" si="26"/>
        <v>9</v>
      </c>
      <c r="L279" s="17">
        <v>1.4833299999999999E-3</v>
      </c>
      <c r="M279" s="16">
        <f t="shared" si="27"/>
        <v>-0.32</v>
      </c>
      <c r="N279" s="16">
        <f t="shared" si="28"/>
        <v>-0.43</v>
      </c>
      <c r="O279" s="14"/>
      <c r="P279" s="210" t="str">
        <f>VLOOKUP(C279,'WO Descriptions'!$A$5:$D$345,4)</f>
        <v>Approved by: Ralph Janes on 05/01/2013,  Replace and abandon 75' of 2&amp;quot; PBS (NONE WO) with 75' of 2&amp;quot; PE on WO# 13-2654. The existing main was leaking under 2nd Street (MO Hwy 58). ISRS</v>
      </c>
    </row>
    <row r="280" spans="1:16" ht="90" outlineLevel="2">
      <c r="A280" s="14" t="s">
        <v>17</v>
      </c>
      <c r="B280" s="15" t="s">
        <v>508</v>
      </c>
      <c r="C280" s="15" t="s">
        <v>509</v>
      </c>
      <c r="D280" s="14" t="s">
        <v>510</v>
      </c>
      <c r="E280" s="15" t="s">
        <v>27</v>
      </c>
      <c r="F280" s="14" t="s">
        <v>28</v>
      </c>
      <c r="G280" s="15" t="s">
        <v>23</v>
      </c>
      <c r="H280" s="15" t="s">
        <v>1525</v>
      </c>
      <c r="I280" s="15">
        <v>201409</v>
      </c>
      <c r="J280" s="16">
        <v>-147.01</v>
      </c>
      <c r="K280" s="171">
        <f t="shared" si="26"/>
        <v>9</v>
      </c>
      <c r="L280" s="17">
        <v>1.4833299999999999E-3</v>
      </c>
      <c r="M280" s="16">
        <f t="shared" si="27"/>
        <v>-1.96</v>
      </c>
      <c r="N280" s="16">
        <f t="shared" si="28"/>
        <v>-2.62</v>
      </c>
      <c r="O280" s="14"/>
      <c r="P280" s="210" t="str">
        <f>VLOOKUP(C280,'WO Descriptions'!$A$5:$D$345,4)</f>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
    </row>
    <row r="281" spans="1:16" ht="105" outlineLevel="2">
      <c r="A281" s="14" t="s">
        <v>17</v>
      </c>
      <c r="B281" s="15" t="s">
        <v>511</v>
      </c>
      <c r="C281" s="15" t="s">
        <v>512</v>
      </c>
      <c r="D281" s="14" t="s">
        <v>513</v>
      </c>
      <c r="E281" s="15" t="s">
        <v>324</v>
      </c>
      <c r="F281" s="14" t="s">
        <v>325</v>
      </c>
      <c r="G281" s="15" t="s">
        <v>23</v>
      </c>
      <c r="H281" s="15" t="s">
        <v>1525</v>
      </c>
      <c r="I281" s="15">
        <v>201409</v>
      </c>
      <c r="J281" s="16">
        <v>-818.02</v>
      </c>
      <c r="K281" s="171">
        <f t="shared" si="26"/>
        <v>9</v>
      </c>
      <c r="L281" s="17">
        <v>1.4833299999999999E-3</v>
      </c>
      <c r="M281" s="16">
        <f t="shared" si="27"/>
        <v>-10.92</v>
      </c>
      <c r="N281" s="16">
        <f t="shared" si="28"/>
        <v>-14.56</v>
      </c>
      <c r="O281" s="14"/>
      <c r="P281" s="210" t="str">
        <f>VLOOKUP(C281,'WO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282" spans="1:16" ht="75" outlineLevel="2">
      <c r="A282" s="14" t="s">
        <v>17</v>
      </c>
      <c r="B282" s="15" t="s">
        <v>514</v>
      </c>
      <c r="C282" s="15" t="s">
        <v>515</v>
      </c>
      <c r="D282" s="14" t="s">
        <v>516</v>
      </c>
      <c r="E282" s="15" t="s">
        <v>49</v>
      </c>
      <c r="F282" s="14" t="s">
        <v>22</v>
      </c>
      <c r="G282" s="15" t="s">
        <v>23</v>
      </c>
      <c r="H282" s="15" t="s">
        <v>1525</v>
      </c>
      <c r="I282" s="15">
        <v>201409</v>
      </c>
      <c r="J282" s="16">
        <v>-46.01</v>
      </c>
      <c r="K282" s="171">
        <f t="shared" si="26"/>
        <v>9</v>
      </c>
      <c r="L282" s="17">
        <v>1.4833299999999999E-3</v>
      </c>
      <c r="M282" s="16">
        <f t="shared" si="27"/>
        <v>-0.61</v>
      </c>
      <c r="N282" s="16">
        <f t="shared" si="28"/>
        <v>-0.82</v>
      </c>
      <c r="O282" s="14"/>
      <c r="P282" s="210" t="str">
        <f>VLOOKUP(C282,'WO Descriptions'!$A$5:$D$345,4)</f>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
    </row>
    <row r="283" spans="1:16" ht="105" outlineLevel="2">
      <c r="A283" s="14" t="s">
        <v>17</v>
      </c>
      <c r="B283" s="15" t="s">
        <v>517</v>
      </c>
      <c r="C283" s="15" t="s">
        <v>518</v>
      </c>
      <c r="D283" s="14" t="s">
        <v>519</v>
      </c>
      <c r="E283" s="15" t="s">
        <v>125</v>
      </c>
      <c r="F283" s="14" t="s">
        <v>126</v>
      </c>
      <c r="G283" s="15" t="s">
        <v>23</v>
      </c>
      <c r="H283" s="15" t="s">
        <v>1525</v>
      </c>
      <c r="I283" s="15">
        <v>201409</v>
      </c>
      <c r="J283" s="16">
        <v>-94.11</v>
      </c>
      <c r="K283" s="171">
        <f t="shared" si="26"/>
        <v>9</v>
      </c>
      <c r="L283" s="17">
        <v>1.4833299999999999E-3</v>
      </c>
      <c r="M283" s="16">
        <f t="shared" si="27"/>
        <v>-1.26</v>
      </c>
      <c r="N283" s="16">
        <f t="shared" si="28"/>
        <v>-1.68</v>
      </c>
      <c r="O283" s="14"/>
      <c r="P283" s="210" t="str">
        <f>VLOOKUP(C283,'WO Descriptions'!$A$5:$D$345,4)</f>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
    </row>
    <row r="284" spans="1:16" ht="105" outlineLevel="2">
      <c r="A284" s="14" t="s">
        <v>17</v>
      </c>
      <c r="B284" s="15" t="s">
        <v>520</v>
      </c>
      <c r="C284" s="15" t="s">
        <v>521</v>
      </c>
      <c r="D284" s="14" t="s">
        <v>522</v>
      </c>
      <c r="E284" s="15" t="s">
        <v>125</v>
      </c>
      <c r="F284" s="14" t="s">
        <v>126</v>
      </c>
      <c r="G284" s="15" t="s">
        <v>23</v>
      </c>
      <c r="H284" s="15" t="s">
        <v>1525</v>
      </c>
      <c r="I284" s="15">
        <v>201409</v>
      </c>
      <c r="J284" s="16">
        <v>-89.47</v>
      </c>
      <c r="K284" s="171">
        <f t="shared" si="26"/>
        <v>9</v>
      </c>
      <c r="L284" s="17">
        <v>1.4833299999999999E-3</v>
      </c>
      <c r="M284" s="16">
        <f t="shared" si="27"/>
        <v>-1.19</v>
      </c>
      <c r="N284" s="16">
        <f t="shared" si="28"/>
        <v>-1.59</v>
      </c>
      <c r="O284" s="14"/>
      <c r="P284" s="210" t="str">
        <f>VLOOKUP(C284,'WO Descriptions'!$A$5:$D$345,4)</f>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
    </row>
    <row r="285" spans="1:16" ht="45" outlineLevel="2">
      <c r="A285" s="14" t="s">
        <v>17</v>
      </c>
      <c r="B285" s="15" t="s">
        <v>523</v>
      </c>
      <c r="C285" s="15" t="s">
        <v>524</v>
      </c>
      <c r="D285" s="14" t="s">
        <v>525</v>
      </c>
      <c r="E285" s="15" t="s">
        <v>141</v>
      </c>
      <c r="F285" s="14" t="s">
        <v>142</v>
      </c>
      <c r="G285" s="15" t="s">
        <v>23</v>
      </c>
      <c r="H285" s="15" t="s">
        <v>1525</v>
      </c>
      <c r="I285" s="15">
        <v>201409</v>
      </c>
      <c r="J285" s="16">
        <v>-54.19</v>
      </c>
      <c r="K285" s="171">
        <f t="shared" si="26"/>
        <v>9</v>
      </c>
      <c r="L285" s="17">
        <v>1.4833299999999999E-3</v>
      </c>
      <c r="M285" s="16">
        <f t="shared" si="27"/>
        <v>-0.72</v>
      </c>
      <c r="N285" s="16">
        <f t="shared" si="28"/>
        <v>-0.96</v>
      </c>
      <c r="O285" s="14"/>
      <c r="P285" s="210" t="str">
        <f>VLOOKUP(C285,'WO Descriptions'!$A$5:$D$345,4)</f>
        <v>Approved by: Kevin Driskell on 07/26/2013,  AOR.  Replace 30' of 6in CI with 6in PE due to angle of repose.  Six feet of pipe was exposed at 7027 Agnes. Digtrack ticket TL130990228.  This job must be completed by Oct. 9, 2013.  COST PER FOOT $784.60</v>
      </c>
    </row>
    <row r="286" spans="1:16" ht="60" outlineLevel="2">
      <c r="A286" s="14" t="s">
        <v>17</v>
      </c>
      <c r="B286" s="15" t="s">
        <v>529</v>
      </c>
      <c r="C286" s="15" t="s">
        <v>530</v>
      </c>
      <c r="D286" s="14" t="s">
        <v>531</v>
      </c>
      <c r="E286" s="15" t="s">
        <v>141</v>
      </c>
      <c r="F286" s="14" t="s">
        <v>142</v>
      </c>
      <c r="G286" s="15" t="s">
        <v>23</v>
      </c>
      <c r="H286" s="15" t="s">
        <v>1525</v>
      </c>
      <c r="I286" s="15">
        <v>201409</v>
      </c>
      <c r="J286" s="16">
        <v>-450.77</v>
      </c>
      <c r="K286" s="171">
        <f t="shared" si="26"/>
        <v>9</v>
      </c>
      <c r="L286" s="17">
        <v>1.4833299999999999E-3</v>
      </c>
      <c r="M286" s="16">
        <f t="shared" si="27"/>
        <v>-6.02</v>
      </c>
      <c r="N286" s="16">
        <f t="shared" si="28"/>
        <v>-8.02</v>
      </c>
      <c r="O286" s="14"/>
      <c r="P286" s="210" t="str">
        <f>VLOOKUP(C286,'WO Descriptions'!$A$5:$D$345,4)</f>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
    </row>
    <row r="287" spans="1:16" ht="135" outlineLevel="2">
      <c r="A287" s="14" t="s">
        <v>17</v>
      </c>
      <c r="B287" s="15" t="s">
        <v>532</v>
      </c>
      <c r="C287" s="15" t="s">
        <v>533</v>
      </c>
      <c r="D287" s="14" t="s">
        <v>534</v>
      </c>
      <c r="E287" s="15" t="s">
        <v>535</v>
      </c>
      <c r="F287" s="14" t="s">
        <v>536</v>
      </c>
      <c r="G287" s="15" t="s">
        <v>23</v>
      </c>
      <c r="H287" s="15" t="s">
        <v>1525</v>
      </c>
      <c r="I287" s="15">
        <v>201409</v>
      </c>
      <c r="J287" s="16">
        <v>-650.67999999999995</v>
      </c>
      <c r="K287" s="171">
        <f t="shared" si="26"/>
        <v>9</v>
      </c>
      <c r="L287" s="17">
        <v>1.4833299999999999E-3</v>
      </c>
      <c r="M287" s="16">
        <f t="shared" si="27"/>
        <v>-8.69</v>
      </c>
      <c r="N287" s="16">
        <f t="shared" si="28"/>
        <v>-11.58</v>
      </c>
      <c r="O287" s="14"/>
      <c r="P287" s="210" t="str">
        <f>VLOOKUP(C287,'WO Descriptions'!$A$5:$D$345,4)</f>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
    </row>
    <row r="288" spans="1:16" ht="60" outlineLevel="2">
      <c r="A288" s="14" t="s">
        <v>17</v>
      </c>
      <c r="B288" s="15" t="s">
        <v>540</v>
      </c>
      <c r="C288" s="15" t="s">
        <v>541</v>
      </c>
      <c r="D288" s="14" t="s">
        <v>542</v>
      </c>
      <c r="E288" s="15" t="s">
        <v>216</v>
      </c>
      <c r="F288" s="14" t="s">
        <v>22</v>
      </c>
      <c r="G288" s="15" t="s">
        <v>23</v>
      </c>
      <c r="H288" s="15" t="s">
        <v>1525</v>
      </c>
      <c r="I288" s="15">
        <v>201409</v>
      </c>
      <c r="J288" s="16">
        <v>-127.22</v>
      </c>
      <c r="K288" s="171">
        <f t="shared" si="26"/>
        <v>9</v>
      </c>
      <c r="L288" s="17">
        <v>1.4833299999999999E-3</v>
      </c>
      <c r="M288" s="16">
        <f t="shared" si="27"/>
        <v>-1.7</v>
      </c>
      <c r="N288" s="16">
        <f t="shared" si="28"/>
        <v>-2.2599999999999998</v>
      </c>
      <c r="O288" s="14"/>
      <c r="P288" s="210" t="str">
        <f>VLOOKUP(C288,'WO Descriptions'!$A$5:$D$345,4)</f>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
    </row>
    <row r="289" spans="1:16" ht="90" outlineLevel="2">
      <c r="A289" s="14" t="s">
        <v>17</v>
      </c>
      <c r="B289" s="15" t="s">
        <v>552</v>
      </c>
      <c r="C289" s="15" t="s">
        <v>553</v>
      </c>
      <c r="D289" s="14" t="s">
        <v>554</v>
      </c>
      <c r="E289" s="15" t="s">
        <v>62</v>
      </c>
      <c r="F289" s="14" t="s">
        <v>22</v>
      </c>
      <c r="G289" s="15" t="s">
        <v>23</v>
      </c>
      <c r="H289" s="15" t="s">
        <v>1525</v>
      </c>
      <c r="I289" s="15">
        <v>201409</v>
      </c>
      <c r="J289" s="16">
        <v>-1309.6400000000001</v>
      </c>
      <c r="K289" s="171">
        <f t="shared" si="26"/>
        <v>9</v>
      </c>
      <c r="L289" s="17">
        <v>1.4833299999999999E-3</v>
      </c>
      <c r="M289" s="16">
        <f t="shared" si="27"/>
        <v>-17.48</v>
      </c>
      <c r="N289" s="16">
        <f t="shared" si="28"/>
        <v>-23.31</v>
      </c>
      <c r="O289" s="14"/>
      <c r="P289" s="210" t="str">
        <f>VLOOKUP(C289,'WO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290" spans="1:16" ht="60" outlineLevel="2">
      <c r="A290" s="14" t="s">
        <v>17</v>
      </c>
      <c r="B290" s="15" t="s">
        <v>555</v>
      </c>
      <c r="C290" s="15" t="s">
        <v>556</v>
      </c>
      <c r="D290" s="14" t="s">
        <v>557</v>
      </c>
      <c r="E290" s="15" t="s">
        <v>141</v>
      </c>
      <c r="F290" s="14" t="s">
        <v>142</v>
      </c>
      <c r="G290" s="15" t="s">
        <v>23</v>
      </c>
      <c r="H290" s="15" t="s">
        <v>1525</v>
      </c>
      <c r="I290" s="15">
        <v>201409</v>
      </c>
      <c r="J290" s="16">
        <v>-399.68</v>
      </c>
      <c r="K290" s="171">
        <f t="shared" si="26"/>
        <v>9</v>
      </c>
      <c r="L290" s="17">
        <v>1.4833299999999999E-3</v>
      </c>
      <c r="M290" s="16">
        <f t="shared" si="27"/>
        <v>-5.34</v>
      </c>
      <c r="N290" s="16">
        <f t="shared" si="28"/>
        <v>-7.11</v>
      </c>
      <c r="O290" s="14"/>
      <c r="P290" s="210" t="str">
        <f>VLOOKUP(C290,'WO Descriptions'!$A$5:$D$345,4)</f>
        <v>Approved by: Gary Williams on 03/17/2014,  AOR.  Replace 8in CI with 50'-8in thin film.  Parallel excavation from 256' SSCB to 281' SSCB of 57th.  Bell joint was exposed 277' SSCB of 57th and 6' EECB of Troost.  This job must be completed by May 15, 2014.  Retire 50'-8in CI, N37P44, year 1921.</v>
      </c>
    </row>
    <row r="291" spans="1:16" ht="105" outlineLevel="2">
      <c r="A291" s="14" t="s">
        <v>17</v>
      </c>
      <c r="B291" s="15" t="s">
        <v>568</v>
      </c>
      <c r="C291" s="15" t="s">
        <v>569</v>
      </c>
      <c r="D291" s="14" t="s">
        <v>570</v>
      </c>
      <c r="E291" s="15" t="s">
        <v>324</v>
      </c>
      <c r="F291" s="14" t="s">
        <v>325</v>
      </c>
      <c r="G291" s="15" t="s">
        <v>23</v>
      </c>
      <c r="H291" s="15" t="s">
        <v>1525</v>
      </c>
      <c r="I291" s="15">
        <v>201409</v>
      </c>
      <c r="J291" s="16">
        <v>-124.35</v>
      </c>
      <c r="K291" s="171">
        <f t="shared" si="26"/>
        <v>9</v>
      </c>
      <c r="L291" s="17">
        <v>1.4833299999999999E-3</v>
      </c>
      <c r="M291" s="16">
        <f t="shared" si="27"/>
        <v>-1.66</v>
      </c>
      <c r="N291" s="16">
        <f t="shared" si="28"/>
        <v>-2.21</v>
      </c>
      <c r="O291" s="14"/>
      <c r="P291" s="210" t="str">
        <f>VLOOKUP(C291,'WO Descriptions'!$A$5:$D$345,4)</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row>
    <row r="292" spans="1:16" ht="30" outlineLevel="2">
      <c r="A292" s="14" t="s">
        <v>17</v>
      </c>
      <c r="B292" s="15" t="s">
        <v>571</v>
      </c>
      <c r="C292" s="15" t="s">
        <v>572</v>
      </c>
      <c r="D292" s="14" t="s">
        <v>573</v>
      </c>
      <c r="E292" s="15" t="s">
        <v>574</v>
      </c>
      <c r="F292" s="14" t="s">
        <v>28</v>
      </c>
      <c r="G292" s="15" t="s">
        <v>23</v>
      </c>
      <c r="H292" s="15" t="s">
        <v>1525</v>
      </c>
      <c r="I292" s="15">
        <v>201409</v>
      </c>
      <c r="J292" s="16">
        <v>-89.13</v>
      </c>
      <c r="K292" s="171">
        <f t="shared" si="26"/>
        <v>9</v>
      </c>
      <c r="L292" s="17">
        <v>1.4833299999999999E-3</v>
      </c>
      <c r="M292" s="16">
        <f t="shared" si="27"/>
        <v>-1.19</v>
      </c>
      <c r="N292" s="16">
        <f t="shared" si="28"/>
        <v>-1.59</v>
      </c>
      <c r="O292" s="14"/>
      <c r="P292" s="210" t="str">
        <f>VLOOKUP(C292,'WO Descriptions'!$A$5:$D$345,4)</f>
        <v>Approved by: Ralph Janes on 02/05/2014,  Replace and retire 50' - 2" pcs main (A9142B) which is leaking with 50' - 2" pe.</v>
      </c>
    </row>
    <row r="293" spans="1:16" ht="60" outlineLevel="2">
      <c r="A293" s="14" t="s">
        <v>17</v>
      </c>
      <c r="B293" s="15" t="s">
        <v>575</v>
      </c>
      <c r="C293" s="15" t="s">
        <v>576</v>
      </c>
      <c r="D293" s="14" t="s">
        <v>577</v>
      </c>
      <c r="E293" s="15" t="s">
        <v>462</v>
      </c>
      <c r="F293" s="14" t="s">
        <v>142</v>
      </c>
      <c r="G293" s="15" t="s">
        <v>23</v>
      </c>
      <c r="H293" s="15" t="s">
        <v>1525</v>
      </c>
      <c r="I293" s="15">
        <v>201409</v>
      </c>
      <c r="J293" s="16">
        <v>-34.44</v>
      </c>
      <c r="K293" s="171">
        <f t="shared" si="26"/>
        <v>9</v>
      </c>
      <c r="L293" s="17">
        <v>1.4833299999999999E-3</v>
      </c>
      <c r="M293" s="16">
        <f t="shared" si="27"/>
        <v>-0.46</v>
      </c>
      <c r="N293" s="16">
        <f t="shared" si="28"/>
        <v>-0.61</v>
      </c>
      <c r="O293" s="14"/>
      <c r="P293" s="210" t="str">
        <f>VLOOKUP(C293,'WO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294" spans="1:16" ht="180" outlineLevel="2">
      <c r="A294" s="14" t="s">
        <v>17</v>
      </c>
      <c r="B294" s="15" t="s">
        <v>584</v>
      </c>
      <c r="C294" s="15" t="s">
        <v>585</v>
      </c>
      <c r="D294" s="14" t="s">
        <v>586</v>
      </c>
      <c r="E294" s="15" t="s">
        <v>62</v>
      </c>
      <c r="F294" s="14" t="s">
        <v>22</v>
      </c>
      <c r="G294" s="15" t="s">
        <v>23</v>
      </c>
      <c r="H294" s="15" t="s">
        <v>1525</v>
      </c>
      <c r="I294" s="15">
        <v>201409</v>
      </c>
      <c r="J294" s="16">
        <v>-7974.11</v>
      </c>
      <c r="K294" s="171">
        <f t="shared" si="26"/>
        <v>9</v>
      </c>
      <c r="L294" s="17">
        <v>1.4833299999999999E-3</v>
      </c>
      <c r="M294" s="16">
        <f t="shared" si="27"/>
        <v>-106.45</v>
      </c>
      <c r="N294" s="16">
        <f t="shared" si="28"/>
        <v>-141.94</v>
      </c>
      <c r="O294" s="14"/>
      <c r="P294" s="210" t="str">
        <f>VLOOKUP(C294,'WO Descriptions'!$A$5:$D$345,4)</f>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
    </row>
    <row r="295" spans="1:16" ht="75" outlineLevel="2">
      <c r="A295" s="14" t="s">
        <v>17</v>
      </c>
      <c r="B295" s="15" t="s">
        <v>602</v>
      </c>
      <c r="C295" s="15" t="s">
        <v>603</v>
      </c>
      <c r="D295" s="14" t="s">
        <v>604</v>
      </c>
      <c r="E295" s="15" t="s">
        <v>58</v>
      </c>
      <c r="F295" s="14" t="s">
        <v>22</v>
      </c>
      <c r="G295" s="15" t="s">
        <v>23</v>
      </c>
      <c r="H295" s="15" t="s">
        <v>1525</v>
      </c>
      <c r="I295" s="15">
        <v>201409</v>
      </c>
      <c r="J295" s="16">
        <v>50.89</v>
      </c>
      <c r="K295" s="171">
        <f t="shared" si="26"/>
        <v>9</v>
      </c>
      <c r="L295" s="17">
        <v>1.4833299999999999E-3</v>
      </c>
      <c r="M295" s="16">
        <f t="shared" si="27"/>
        <v>0.68</v>
      </c>
      <c r="N295" s="16">
        <f t="shared" si="28"/>
        <v>0.91</v>
      </c>
      <c r="O295" s="14"/>
      <c r="P295" s="210" t="str">
        <f>VLOOKUP(C295,'WO Descriptions'!$A$5:$D$345,4)</f>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
    </row>
    <row r="296" spans="1:16" ht="180" outlineLevel="2">
      <c r="A296" s="18" t="s">
        <v>17</v>
      </c>
      <c r="B296" s="15" t="s">
        <v>605</v>
      </c>
      <c r="C296" s="15" t="s">
        <v>606</v>
      </c>
      <c r="D296" s="14" t="s">
        <v>607</v>
      </c>
      <c r="E296" s="15" t="s">
        <v>62</v>
      </c>
      <c r="F296" s="14" t="s">
        <v>22</v>
      </c>
      <c r="G296" s="15" t="s">
        <v>23</v>
      </c>
      <c r="H296" s="15" t="s">
        <v>1525</v>
      </c>
      <c r="I296" s="15">
        <v>201409</v>
      </c>
      <c r="J296" s="16">
        <v>-1362.37</v>
      </c>
      <c r="K296" s="171">
        <f t="shared" si="26"/>
        <v>9</v>
      </c>
      <c r="L296" s="17">
        <v>1.4833299999999999E-3</v>
      </c>
      <c r="M296" s="16">
        <f t="shared" si="27"/>
        <v>-18.190000000000001</v>
      </c>
      <c r="N296" s="16">
        <f t="shared" si="28"/>
        <v>-24.25</v>
      </c>
      <c r="O296" s="14"/>
      <c r="P296" s="210" t="str">
        <f>VLOOKUP(C296,'WO Descriptions'!$A$5:$D$345,4)</f>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
    </row>
    <row r="297" spans="1:16" ht="45" outlineLevel="2">
      <c r="A297" s="18" t="s">
        <v>17</v>
      </c>
      <c r="B297" s="15" t="s">
        <v>608</v>
      </c>
      <c r="C297" s="15" t="s">
        <v>609</v>
      </c>
      <c r="D297" s="14" t="s">
        <v>610</v>
      </c>
      <c r="E297" s="15" t="s">
        <v>45</v>
      </c>
      <c r="F297" s="14" t="s">
        <v>22</v>
      </c>
      <c r="G297" s="15" t="s">
        <v>23</v>
      </c>
      <c r="H297" s="15" t="s">
        <v>1525</v>
      </c>
      <c r="I297" s="15">
        <v>201409</v>
      </c>
      <c r="J297" s="16">
        <v>-283.43</v>
      </c>
      <c r="K297" s="171">
        <f t="shared" si="26"/>
        <v>9</v>
      </c>
      <c r="L297" s="17">
        <v>1.4833299999999999E-3</v>
      </c>
      <c r="M297" s="16">
        <f t="shared" si="27"/>
        <v>-3.78</v>
      </c>
      <c r="N297" s="16">
        <f t="shared" si="28"/>
        <v>-5.05</v>
      </c>
      <c r="O297" s="14"/>
      <c r="P297" s="210" t="str">
        <f>VLOOKUP(C297,'WO Descriptions'!$A$5:$D$345,4)</f>
        <v>Approved by: Gary Williams on 04/08/2013,  Replace 40'-12in bare steel and 4'-3in bare steel, work orders unknow. Replaced with 40'-12in TF Steel main.  This work order was necessary due to leak on 12in steel main.</v>
      </c>
    </row>
    <row r="298" spans="1:16" ht="135" outlineLevel="2">
      <c r="A298" s="18" t="s">
        <v>17</v>
      </c>
      <c r="B298" s="15" t="s">
        <v>611</v>
      </c>
      <c r="C298" s="15" t="s">
        <v>612</v>
      </c>
      <c r="D298" s="14" t="s">
        <v>613</v>
      </c>
      <c r="E298" s="15" t="s">
        <v>324</v>
      </c>
      <c r="F298" s="14" t="s">
        <v>325</v>
      </c>
      <c r="G298" s="15" t="s">
        <v>23</v>
      </c>
      <c r="H298" s="15" t="s">
        <v>1525</v>
      </c>
      <c r="I298" s="15">
        <v>201409</v>
      </c>
      <c r="J298" s="16">
        <v>-386.84</v>
      </c>
      <c r="K298" s="171">
        <f t="shared" si="26"/>
        <v>9</v>
      </c>
      <c r="L298" s="17">
        <v>1.4833299999999999E-3</v>
      </c>
      <c r="M298" s="16">
        <f t="shared" si="27"/>
        <v>-5.16</v>
      </c>
      <c r="N298" s="16">
        <f t="shared" si="28"/>
        <v>-6.89</v>
      </c>
      <c r="O298" s="14"/>
      <c r="P298" s="210" t="str">
        <f>VLOOKUP(C298,'WO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299" spans="1:16" ht="75" outlineLevel="2">
      <c r="A299" s="18" t="s">
        <v>17</v>
      </c>
      <c r="B299" s="15" t="s">
        <v>617</v>
      </c>
      <c r="C299" s="15" t="s">
        <v>618</v>
      </c>
      <c r="D299" s="14" t="s">
        <v>619</v>
      </c>
      <c r="E299" s="15" t="s">
        <v>141</v>
      </c>
      <c r="F299" s="14" t="s">
        <v>142</v>
      </c>
      <c r="G299" s="15" t="s">
        <v>23</v>
      </c>
      <c r="H299" s="15" t="s">
        <v>1525</v>
      </c>
      <c r="I299" s="15">
        <v>201409</v>
      </c>
      <c r="J299" s="16">
        <v>-725.84</v>
      </c>
      <c r="K299" s="171">
        <f t="shared" si="26"/>
        <v>9</v>
      </c>
      <c r="L299" s="17">
        <v>1.4833299999999999E-3</v>
      </c>
      <c r="M299" s="16">
        <f t="shared" si="27"/>
        <v>-9.69</v>
      </c>
      <c r="N299" s="16">
        <f t="shared" si="28"/>
        <v>-12.92</v>
      </c>
      <c r="O299" s="14"/>
      <c r="P299" s="210" t="str">
        <f>VLOOKUP(C299,'WO Descriptions'!$A$5:$D$345,4)</f>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
    </row>
    <row r="300" spans="1:16" ht="60" outlineLevel="2">
      <c r="A300" s="14" t="s">
        <v>17</v>
      </c>
      <c r="B300" s="15" t="s">
        <v>625</v>
      </c>
      <c r="C300" s="15" t="s">
        <v>626</v>
      </c>
      <c r="D300" s="14" t="s">
        <v>627</v>
      </c>
      <c r="E300" s="15" t="s">
        <v>62</v>
      </c>
      <c r="F300" s="14" t="s">
        <v>22</v>
      </c>
      <c r="G300" s="15" t="s">
        <v>23</v>
      </c>
      <c r="H300" s="15" t="s">
        <v>1525</v>
      </c>
      <c r="I300" s="15">
        <v>201409</v>
      </c>
      <c r="J300" s="16">
        <v>-536.53</v>
      </c>
      <c r="K300" s="171">
        <f t="shared" si="26"/>
        <v>9</v>
      </c>
      <c r="L300" s="17">
        <v>1.4833299999999999E-3</v>
      </c>
      <c r="M300" s="16">
        <f t="shared" si="27"/>
        <v>-7.16</v>
      </c>
      <c r="N300" s="16">
        <f t="shared" si="28"/>
        <v>-9.5500000000000007</v>
      </c>
      <c r="O300" s="14"/>
      <c r="P300" s="210" t="str">
        <f>VLOOKUP(C300,'WO Descriptions'!$A$5:$D$345,4)</f>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
    </row>
    <row r="301" spans="1:16" ht="45" outlineLevel="2">
      <c r="A301" s="18" t="s">
        <v>17</v>
      </c>
      <c r="B301" s="15" t="s">
        <v>628</v>
      </c>
      <c r="C301" s="15" t="s">
        <v>629</v>
      </c>
      <c r="D301" s="14" t="s">
        <v>630</v>
      </c>
      <c r="E301" s="15" t="s">
        <v>440</v>
      </c>
      <c r="F301" s="14" t="s">
        <v>28</v>
      </c>
      <c r="G301" s="15" t="s">
        <v>23</v>
      </c>
      <c r="H301" s="15" t="s">
        <v>1525</v>
      </c>
      <c r="I301" s="15">
        <v>201409</v>
      </c>
      <c r="J301" s="16">
        <v>24.81</v>
      </c>
      <c r="K301" s="171">
        <f t="shared" si="26"/>
        <v>9</v>
      </c>
      <c r="L301" s="17">
        <v>1.4833299999999999E-3</v>
      </c>
      <c r="M301" s="16">
        <f t="shared" si="27"/>
        <v>0.33</v>
      </c>
      <c r="N301" s="16">
        <f t="shared" si="28"/>
        <v>0.44</v>
      </c>
      <c r="O301" s="14"/>
      <c r="P301" s="210" t="str">
        <f>VLOOKUP(C301,'WO Descriptions'!$A$5:$D$345,4)</f>
        <v>Approved by: Kevin Driskell on 09/05/2013,  This work order is necessary to clear leak due to corrosion on 3inch gas main. Install 15'-3in TF steel main; retire 15'-3in PCS main, year 1962, wo 62-1512.</v>
      </c>
    </row>
    <row r="302" spans="1:16" ht="60" outlineLevel="2">
      <c r="A302" s="18" t="s">
        <v>17</v>
      </c>
      <c r="B302" s="15" t="s">
        <v>631</v>
      </c>
      <c r="C302" s="15" t="s">
        <v>632</v>
      </c>
      <c r="D302" s="14" t="s">
        <v>633</v>
      </c>
      <c r="E302" s="15" t="s">
        <v>32</v>
      </c>
      <c r="F302" s="14" t="s">
        <v>22</v>
      </c>
      <c r="G302" s="15" t="s">
        <v>23</v>
      </c>
      <c r="H302" s="15" t="s">
        <v>1525</v>
      </c>
      <c r="I302" s="15">
        <v>201409</v>
      </c>
      <c r="J302" s="16">
        <v>-175.31</v>
      </c>
      <c r="K302" s="171">
        <f t="shared" si="26"/>
        <v>9</v>
      </c>
      <c r="L302" s="17">
        <v>1.4833299999999999E-3</v>
      </c>
      <c r="M302" s="16">
        <f t="shared" si="27"/>
        <v>-2.34</v>
      </c>
      <c r="N302" s="16">
        <f t="shared" si="28"/>
        <v>-3.12</v>
      </c>
      <c r="O302" s="14"/>
      <c r="P302" s="210" t="str">
        <f>VLOOKUP(C302,'WO Descriptions'!$A$5:$D$345,4)</f>
        <v>Approved by: Ken Thomas on 11/20/2013,  Abandon 303' - 2' PBS (WO#'s: J07262, 60285) and replace with 310' - 2" PE due to history of leakage and isolated bare steel. Project Location: Geneve and Main; Pressure System: S-1; MOP: 20 psig; MAOP: 20 psig; Design: 58 psig; Test: 100 psig; ISRS $44.70/ft</v>
      </c>
    </row>
    <row r="303" spans="1:16" ht="75" outlineLevel="2">
      <c r="A303" s="18" t="s">
        <v>17</v>
      </c>
      <c r="B303" s="15" t="s">
        <v>643</v>
      </c>
      <c r="C303" s="15" t="s">
        <v>644</v>
      </c>
      <c r="D303" s="14" t="s">
        <v>645</v>
      </c>
      <c r="E303" s="15" t="s">
        <v>141</v>
      </c>
      <c r="F303" s="14" t="s">
        <v>142</v>
      </c>
      <c r="G303" s="15" t="s">
        <v>23</v>
      </c>
      <c r="H303" s="15" t="s">
        <v>1525</v>
      </c>
      <c r="I303" s="15">
        <v>201409</v>
      </c>
      <c r="J303" s="16">
        <v>-912.44</v>
      </c>
      <c r="K303" s="171">
        <f t="shared" si="26"/>
        <v>9</v>
      </c>
      <c r="L303" s="17">
        <v>1.4833299999999999E-3</v>
      </c>
      <c r="M303" s="16">
        <f t="shared" si="27"/>
        <v>-12.18</v>
      </c>
      <c r="N303" s="16">
        <f t="shared" si="28"/>
        <v>-16.239999999999998</v>
      </c>
      <c r="O303" s="14"/>
      <c r="P303" s="210" t="str">
        <f>VLOOKUP(C303,'WO Descriptions'!$A$5:$D$345,4)</f>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
    </row>
    <row r="304" spans="1:16" ht="45" outlineLevel="2">
      <c r="A304" s="14" t="s">
        <v>17</v>
      </c>
      <c r="B304" s="15" t="s">
        <v>655</v>
      </c>
      <c r="C304" s="15" t="s">
        <v>656</v>
      </c>
      <c r="D304" s="14" t="s">
        <v>657</v>
      </c>
      <c r="E304" s="15" t="s">
        <v>36</v>
      </c>
      <c r="F304" s="14" t="s">
        <v>22</v>
      </c>
      <c r="G304" s="15" t="s">
        <v>23</v>
      </c>
      <c r="H304" s="15" t="s">
        <v>1525</v>
      </c>
      <c r="I304" s="15">
        <v>201409</v>
      </c>
      <c r="J304" s="16">
        <v>-42.2</v>
      </c>
      <c r="K304" s="171">
        <f t="shared" si="26"/>
        <v>9</v>
      </c>
      <c r="L304" s="17">
        <v>1.4833299999999999E-3</v>
      </c>
      <c r="M304" s="16">
        <f t="shared" si="27"/>
        <v>-0.56000000000000005</v>
      </c>
      <c r="N304" s="16">
        <f t="shared" si="28"/>
        <v>-0.75</v>
      </c>
      <c r="O304" s="14"/>
      <c r="P304" s="210" t="str">
        <f>VLOOKUP(C304,'WO Descriptions'!$A$5:$D$345,4)</f>
        <v>Approved by: Gary Williams on 07/22/2013,  This work order is necessary to replace 518ft-4in bs main (WO#11516) with 4in pe (WO#13-2797) due to low reads. Pressure System C-01 Pressure .88.</v>
      </c>
    </row>
    <row r="305" spans="1:16" outlineLevel="2">
      <c r="A305" s="14" t="s">
        <v>17</v>
      </c>
      <c r="B305" s="15" t="s">
        <v>658</v>
      </c>
      <c r="C305" s="15" t="s">
        <v>659</v>
      </c>
      <c r="D305" s="14" t="s">
        <v>660</v>
      </c>
      <c r="E305" s="15" t="s">
        <v>440</v>
      </c>
      <c r="F305" s="14" t="s">
        <v>28</v>
      </c>
      <c r="G305" s="15" t="s">
        <v>23</v>
      </c>
      <c r="H305" s="15" t="s">
        <v>1525</v>
      </c>
      <c r="I305" s="15">
        <v>201409</v>
      </c>
      <c r="J305" s="16">
        <v>10.48</v>
      </c>
      <c r="K305" s="171">
        <f t="shared" si="26"/>
        <v>9</v>
      </c>
      <c r="L305" s="17">
        <v>1.4833299999999999E-3</v>
      </c>
      <c r="M305" s="16">
        <f t="shared" si="27"/>
        <v>0.14000000000000001</v>
      </c>
      <c r="N305" s="16">
        <f t="shared" si="28"/>
        <v>0.19</v>
      </c>
      <c r="O305" s="14"/>
      <c r="P305" s="210" t="str">
        <f>VLOOKUP(C305,'WO Descriptions'!$A$5:$D$345,4)</f>
        <v>Approved by: Kevin Driskell on 09/23/2013,  Repalce 21' of 2'' PCS (WO # 64-5275) due to leak.</v>
      </c>
    </row>
    <row r="306" spans="1:16" ht="45" outlineLevel="2">
      <c r="A306" s="14" t="s">
        <v>17</v>
      </c>
      <c r="B306" s="15" t="s">
        <v>664</v>
      </c>
      <c r="C306" s="15" t="s">
        <v>665</v>
      </c>
      <c r="D306" s="14" t="s">
        <v>666</v>
      </c>
      <c r="E306" s="15" t="s">
        <v>667</v>
      </c>
      <c r="F306" s="14" t="s">
        <v>28</v>
      </c>
      <c r="G306" s="15" t="s">
        <v>23</v>
      </c>
      <c r="H306" s="15" t="s">
        <v>1525</v>
      </c>
      <c r="I306" s="15">
        <v>201409</v>
      </c>
      <c r="J306" s="16">
        <v>5.21</v>
      </c>
      <c r="K306" s="171">
        <f t="shared" si="26"/>
        <v>9</v>
      </c>
      <c r="L306" s="17">
        <v>1.4833299999999999E-3</v>
      </c>
      <c r="M306" s="16">
        <f t="shared" si="27"/>
        <v>7.0000000000000007E-2</v>
      </c>
      <c r="N306" s="16">
        <f t="shared" si="28"/>
        <v>0.09</v>
      </c>
      <c r="O306" s="14"/>
      <c r="P306" s="210" t="str">
        <f>VLOOKUP(C306,'WO Descriptions'!$A$5:$D$345,4)</f>
        <v>Approved by: Galen Shoemaker on 08/26/2013,  To replace 6ft of 2in Coated Steel Main from WO 724646 and 4ft of 2in Coated Steel Main from WO 801479 at intersection due to leakage and poor condition of main. MOP=30# MAOP=31# SYSTEM=S-6 TEST=100#</v>
      </c>
    </row>
    <row r="307" spans="1:16" ht="45" outlineLevel="2">
      <c r="A307" s="14" t="s">
        <v>17</v>
      </c>
      <c r="B307" s="15" t="s">
        <v>668</v>
      </c>
      <c r="C307" s="15" t="s">
        <v>669</v>
      </c>
      <c r="D307" s="14" t="s">
        <v>670</v>
      </c>
      <c r="E307" s="15" t="s">
        <v>45</v>
      </c>
      <c r="F307" s="14" t="s">
        <v>22</v>
      </c>
      <c r="G307" s="15" t="s">
        <v>23</v>
      </c>
      <c r="H307" s="15" t="s">
        <v>1525</v>
      </c>
      <c r="I307" s="15">
        <v>201409</v>
      </c>
      <c r="J307" s="16">
        <v>-193.2</v>
      </c>
      <c r="K307" s="171">
        <f t="shared" si="26"/>
        <v>9</v>
      </c>
      <c r="L307" s="17">
        <v>1.4833299999999999E-3</v>
      </c>
      <c r="M307" s="16">
        <f t="shared" si="27"/>
        <v>-2.58</v>
      </c>
      <c r="N307" s="16">
        <f t="shared" si="28"/>
        <v>-3.44</v>
      </c>
      <c r="O307" s="14"/>
      <c r="P307" s="210" t="str">
        <f>VLOOKUP(C307,'WO Descriptions'!$A$5:$D$345,4)</f>
        <v>Approved by: Ken Thomas on 07/01/2013,  Replace 45' of 12in PBS wo unknown with 36' of 12in PCS due to leak on the gate valve. Pressure system C-175KCLS. Job was completed on 3-15-2013.</v>
      </c>
    </row>
    <row r="308" spans="1:16" ht="60" outlineLevel="2">
      <c r="A308" s="14" t="s">
        <v>17</v>
      </c>
      <c r="B308" s="15" t="s">
        <v>677</v>
      </c>
      <c r="C308" s="15" t="s">
        <v>678</v>
      </c>
      <c r="D308" s="14" t="s">
        <v>679</v>
      </c>
      <c r="E308" s="15" t="s">
        <v>216</v>
      </c>
      <c r="F308" s="14" t="s">
        <v>22</v>
      </c>
      <c r="G308" s="15" t="s">
        <v>23</v>
      </c>
      <c r="H308" s="15" t="s">
        <v>1525</v>
      </c>
      <c r="I308" s="15">
        <v>201409</v>
      </c>
      <c r="J308" s="16">
        <v>6.37</v>
      </c>
      <c r="K308" s="171">
        <f t="shared" si="26"/>
        <v>9</v>
      </c>
      <c r="L308" s="17">
        <v>1.4833299999999999E-3</v>
      </c>
      <c r="M308" s="16">
        <f t="shared" si="27"/>
        <v>0.09</v>
      </c>
      <c r="N308" s="16">
        <f t="shared" si="28"/>
        <v>0.11</v>
      </c>
      <c r="O308" s="14"/>
      <c r="P308" s="210" t="str">
        <f>VLOOKUP(C308,'WO Descriptions'!$A$5:$D$345,4)</f>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
    </row>
    <row r="309" spans="1:16" ht="150" outlineLevel="2">
      <c r="A309" s="14" t="s">
        <v>17</v>
      </c>
      <c r="B309" s="15" t="s">
        <v>688</v>
      </c>
      <c r="C309" s="15" t="s">
        <v>689</v>
      </c>
      <c r="D309" s="14" t="s">
        <v>690</v>
      </c>
      <c r="E309" s="15" t="s">
        <v>141</v>
      </c>
      <c r="F309" s="14" t="s">
        <v>142</v>
      </c>
      <c r="G309" s="15" t="s">
        <v>23</v>
      </c>
      <c r="H309" s="15" t="s">
        <v>1525</v>
      </c>
      <c r="I309" s="15">
        <v>201409</v>
      </c>
      <c r="J309" s="16">
        <v>-919.54</v>
      </c>
      <c r="K309" s="171">
        <f t="shared" si="26"/>
        <v>9</v>
      </c>
      <c r="L309" s="17">
        <v>1.4833299999999999E-3</v>
      </c>
      <c r="M309" s="16">
        <f t="shared" si="27"/>
        <v>-12.28</v>
      </c>
      <c r="N309" s="16">
        <f t="shared" si="28"/>
        <v>-16.37</v>
      </c>
      <c r="O309" s="14"/>
      <c r="P309" s="210" t="str">
        <f>VLOOKUP(C309,'WO Descriptions'!$A$5:$D$345,4)</f>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
    </row>
    <row r="310" spans="1:16" ht="105" outlineLevel="2">
      <c r="A310" s="18" t="s">
        <v>17</v>
      </c>
      <c r="B310" s="15" t="s">
        <v>691</v>
      </c>
      <c r="C310" s="15" t="s">
        <v>692</v>
      </c>
      <c r="D310" s="14" t="s">
        <v>693</v>
      </c>
      <c r="E310" s="15" t="s">
        <v>58</v>
      </c>
      <c r="F310" s="14" t="s">
        <v>22</v>
      </c>
      <c r="G310" s="15" t="s">
        <v>23</v>
      </c>
      <c r="H310" s="15" t="s">
        <v>1525</v>
      </c>
      <c r="I310" s="15">
        <v>201409</v>
      </c>
      <c r="J310" s="16">
        <v>-115.71</v>
      </c>
      <c r="K310" s="171">
        <f t="shared" si="26"/>
        <v>9</v>
      </c>
      <c r="L310" s="17">
        <v>1.4833299999999999E-3</v>
      </c>
      <c r="M310" s="16">
        <f t="shared" si="27"/>
        <v>-1.54</v>
      </c>
      <c r="N310" s="16">
        <f t="shared" si="28"/>
        <v>-2.06</v>
      </c>
      <c r="O310" s="14"/>
      <c r="P310" s="210" t="str">
        <f>VLOOKUP(C310,'WO Descriptions'!$A$5:$D$345,4)</f>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
    </row>
    <row r="311" spans="1:16" ht="60" outlineLevel="2">
      <c r="A311" s="18" t="s">
        <v>17</v>
      </c>
      <c r="B311" s="15" t="s">
        <v>694</v>
      </c>
      <c r="C311" s="15" t="s">
        <v>695</v>
      </c>
      <c r="D311" s="14" t="s">
        <v>696</v>
      </c>
      <c r="E311" s="15" t="s">
        <v>141</v>
      </c>
      <c r="F311" s="14" t="s">
        <v>142</v>
      </c>
      <c r="G311" s="15" t="s">
        <v>23</v>
      </c>
      <c r="H311" s="15" t="s">
        <v>1525</v>
      </c>
      <c r="I311" s="15">
        <v>201409</v>
      </c>
      <c r="J311" s="16">
        <v>-90.01</v>
      </c>
      <c r="K311" s="171">
        <f t="shared" si="26"/>
        <v>9</v>
      </c>
      <c r="L311" s="17">
        <v>1.4833299999999999E-3</v>
      </c>
      <c r="M311" s="16">
        <f t="shared" si="27"/>
        <v>-1.2</v>
      </c>
      <c r="N311" s="16">
        <f t="shared" si="28"/>
        <v>-1.6</v>
      </c>
      <c r="O311" s="14"/>
      <c r="P311" s="210" t="str">
        <f>VLOOKUP(C311,'WO Descriptions'!$A$5:$D$345,4)</f>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
    </row>
    <row r="312" spans="1:16" ht="45" outlineLevel="2">
      <c r="A312" s="18" t="s">
        <v>17</v>
      </c>
      <c r="B312" s="15" t="s">
        <v>697</v>
      </c>
      <c r="C312" s="15" t="s">
        <v>698</v>
      </c>
      <c r="D312" s="14" t="s">
        <v>699</v>
      </c>
      <c r="E312" s="15" t="s">
        <v>108</v>
      </c>
      <c r="F312" s="14" t="s">
        <v>28</v>
      </c>
      <c r="G312" s="15" t="s">
        <v>23</v>
      </c>
      <c r="H312" s="15" t="s">
        <v>1525</v>
      </c>
      <c r="I312" s="15">
        <v>201409</v>
      </c>
      <c r="J312" s="16">
        <v>-61.29</v>
      </c>
      <c r="K312" s="171">
        <f t="shared" si="26"/>
        <v>9</v>
      </c>
      <c r="L312" s="17">
        <v>1.4833299999999999E-3</v>
      </c>
      <c r="M312" s="16">
        <f t="shared" si="27"/>
        <v>-0.82</v>
      </c>
      <c r="N312" s="16">
        <f t="shared" si="28"/>
        <v>-1.0900000000000001</v>
      </c>
      <c r="O312" s="14"/>
      <c r="P312" s="210" t="str">
        <f>VLOOKUP(C312,'WO Descriptions'!$A$5:$D$345,4)</f>
        <v>Approved by: Kevin Driskell on 10/17/2013,  Replace 75' of 2in PE (wo 1973, 73-3788) with 75'-2in PE due to steel service replacement. Was unable to access existing 2in PE that was inserted into abandoned cat iron.</v>
      </c>
    </row>
    <row r="313" spans="1:16" ht="105" outlineLevel="2">
      <c r="A313" s="18" t="s">
        <v>17</v>
      </c>
      <c r="B313" s="15" t="s">
        <v>700</v>
      </c>
      <c r="C313" s="15" t="s">
        <v>701</v>
      </c>
      <c r="D313" s="14" t="s">
        <v>702</v>
      </c>
      <c r="E313" s="15" t="s">
        <v>703</v>
      </c>
      <c r="F313" s="14" t="s">
        <v>142</v>
      </c>
      <c r="G313" s="15" t="s">
        <v>23</v>
      </c>
      <c r="H313" s="15" t="s">
        <v>1525</v>
      </c>
      <c r="I313" s="15">
        <v>201409</v>
      </c>
      <c r="J313" s="16">
        <v>-1328.44</v>
      </c>
      <c r="K313" s="171">
        <f t="shared" si="26"/>
        <v>9</v>
      </c>
      <c r="L313" s="17">
        <v>1.4833299999999999E-3</v>
      </c>
      <c r="M313" s="16">
        <f t="shared" si="27"/>
        <v>-17.73</v>
      </c>
      <c r="N313" s="16">
        <f t="shared" si="28"/>
        <v>-23.65</v>
      </c>
      <c r="O313" s="14"/>
      <c r="P313" s="210" t="str">
        <f>VLOOKUP(C313,'WO Descriptions'!$A$5:$D$345,4)</f>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
    </row>
    <row r="314" spans="1:16" ht="105" outlineLevel="2">
      <c r="A314" s="14" t="s">
        <v>17</v>
      </c>
      <c r="B314" s="15" t="s">
        <v>704</v>
      </c>
      <c r="C314" s="15" t="s">
        <v>705</v>
      </c>
      <c r="D314" s="14" t="s">
        <v>706</v>
      </c>
      <c r="E314" s="15" t="s">
        <v>58</v>
      </c>
      <c r="F314" s="14" t="s">
        <v>22</v>
      </c>
      <c r="G314" s="15" t="s">
        <v>23</v>
      </c>
      <c r="H314" s="15" t="s">
        <v>1525</v>
      </c>
      <c r="I314" s="15">
        <v>201409</v>
      </c>
      <c r="J314" s="16">
        <v>-1908.15</v>
      </c>
      <c r="K314" s="171">
        <f t="shared" si="26"/>
        <v>9</v>
      </c>
      <c r="L314" s="17">
        <v>1.4833299999999999E-3</v>
      </c>
      <c r="M314" s="16">
        <f t="shared" si="27"/>
        <v>-25.47</v>
      </c>
      <c r="N314" s="16">
        <f t="shared" si="28"/>
        <v>-33.96</v>
      </c>
      <c r="O314" s="14"/>
      <c r="P314" s="210" t="str">
        <f>VLOOKUP(C314,'WO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315" spans="1:16" ht="90" outlineLevel="2">
      <c r="A315" s="18" t="s">
        <v>17</v>
      </c>
      <c r="B315" s="15" t="s">
        <v>710</v>
      </c>
      <c r="C315" s="15" t="s">
        <v>711</v>
      </c>
      <c r="D315" s="14" t="s">
        <v>712</v>
      </c>
      <c r="E315" s="15" t="s">
        <v>45</v>
      </c>
      <c r="F315" s="14" t="s">
        <v>22</v>
      </c>
      <c r="G315" s="15" t="s">
        <v>23</v>
      </c>
      <c r="H315" s="15" t="s">
        <v>1525</v>
      </c>
      <c r="I315" s="15">
        <v>201409</v>
      </c>
      <c r="J315" s="16">
        <v>-5845.57</v>
      </c>
      <c r="K315" s="171">
        <f t="shared" si="26"/>
        <v>9</v>
      </c>
      <c r="L315" s="17">
        <v>1.4833299999999999E-3</v>
      </c>
      <c r="M315" s="16">
        <f t="shared" si="27"/>
        <v>-78.040000000000006</v>
      </c>
      <c r="N315" s="16">
        <f t="shared" si="28"/>
        <v>-104.05</v>
      </c>
      <c r="O315" s="14"/>
      <c r="P315" s="210" t="str">
        <f>VLOOKUP(C315,'WO Descriptions'!$A$5:$D$345,4)</f>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
    </row>
    <row r="316" spans="1:16" ht="135" outlineLevel="2">
      <c r="A316" s="18" t="s">
        <v>17</v>
      </c>
      <c r="B316" s="15" t="s">
        <v>713</v>
      </c>
      <c r="C316" s="15" t="s">
        <v>714</v>
      </c>
      <c r="D316" s="14" t="s">
        <v>715</v>
      </c>
      <c r="E316" s="15" t="s">
        <v>258</v>
      </c>
      <c r="F316" s="14" t="s">
        <v>259</v>
      </c>
      <c r="G316" s="15" t="s">
        <v>23</v>
      </c>
      <c r="H316" s="15" t="s">
        <v>1525</v>
      </c>
      <c r="I316" s="15">
        <v>201409</v>
      </c>
      <c r="J316" s="16">
        <v>-332.16</v>
      </c>
      <c r="K316" s="171">
        <f t="shared" si="26"/>
        <v>9</v>
      </c>
      <c r="L316" s="17">
        <v>1.4833299999999999E-3</v>
      </c>
      <c r="M316" s="16">
        <f t="shared" si="27"/>
        <v>-4.43</v>
      </c>
      <c r="N316" s="16">
        <f t="shared" si="28"/>
        <v>-5.91</v>
      </c>
      <c r="O316" s="14"/>
      <c r="P316" s="210" t="str">
        <f>VLOOKUP(C316,'WO Descriptions'!$A$5:$D$345,4)</f>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
    </row>
    <row r="317" spans="1:16" ht="60" outlineLevel="2">
      <c r="A317" s="18" t="s">
        <v>17</v>
      </c>
      <c r="B317" s="15" t="s">
        <v>725</v>
      </c>
      <c r="C317" s="15" t="s">
        <v>726</v>
      </c>
      <c r="D317" s="14" t="s">
        <v>727</v>
      </c>
      <c r="E317" s="15" t="s">
        <v>141</v>
      </c>
      <c r="F317" s="14" t="s">
        <v>142</v>
      </c>
      <c r="G317" s="15" t="s">
        <v>23</v>
      </c>
      <c r="H317" s="15" t="s">
        <v>1525</v>
      </c>
      <c r="I317" s="15">
        <v>201409</v>
      </c>
      <c r="J317" s="16">
        <v>-1433.54</v>
      </c>
      <c r="K317" s="171">
        <f t="shared" si="26"/>
        <v>9</v>
      </c>
      <c r="L317" s="17">
        <v>1.4833299999999999E-3</v>
      </c>
      <c r="M317" s="16">
        <f t="shared" si="27"/>
        <v>-19.14</v>
      </c>
      <c r="N317" s="16">
        <f t="shared" si="28"/>
        <v>-25.52</v>
      </c>
      <c r="O317" s="14"/>
      <c r="P317" s="210" t="str">
        <f>VLOOKUP(C317,'WO Descriptions'!$A$5:$D$345,4)</f>
        <v>Approved by: Gary Williams on 10/07/2013,  AOR.  Replace 240 ft of 6in CI with 6in PE due to joint exposure.  Must be completed by Nov 21, 2013.  Replace one service.  Tie over 2 services.  See tie-in procedure.  COST PER FOOT $164.90 Retire 229'-6in CI year 1927; 11'-6in PE, yr 2012, wo 12-1682.</v>
      </c>
    </row>
    <row r="318" spans="1:16" ht="45" outlineLevel="2">
      <c r="A318" s="18" t="s">
        <v>17</v>
      </c>
      <c r="B318" s="15" t="s">
        <v>728</v>
      </c>
      <c r="C318" s="15" t="s">
        <v>729</v>
      </c>
      <c r="D318" s="14" t="s">
        <v>730</v>
      </c>
      <c r="E318" s="15" t="s">
        <v>141</v>
      </c>
      <c r="F318" s="14" t="s">
        <v>142</v>
      </c>
      <c r="G318" s="15" t="s">
        <v>23</v>
      </c>
      <c r="H318" s="15" t="s">
        <v>1525</v>
      </c>
      <c r="I318" s="15">
        <v>201409</v>
      </c>
      <c r="J318" s="16">
        <v>-505.02</v>
      </c>
      <c r="K318" s="171">
        <f t="shared" si="26"/>
        <v>9</v>
      </c>
      <c r="L318" s="17">
        <v>1.4833299999999999E-3</v>
      </c>
      <c r="M318" s="16">
        <f t="shared" si="27"/>
        <v>-6.74</v>
      </c>
      <c r="N318" s="16">
        <f t="shared" si="28"/>
        <v>-8.99</v>
      </c>
      <c r="O318" s="14"/>
      <c r="P318" s="210" t="str">
        <f>VLOOKUP(C318,'WO Descriptions'!$A$5:$D$345,4)</f>
        <v>Approved by: Gary Williams on 01/06/2014,  AOR.  Replace 6in CI with 35'-6in PE due to parallel excavation.  Angle of Repose location: 4' WECB Denver, 5' NNLH to 16' NNLH of 425 N Denver.  This job must be completed by Mar. 18, 2014.  Retire 35'-6in CI, WO BK15P76.  Install 35'-6in PE.</v>
      </c>
    </row>
    <row r="319" spans="1:16" ht="45" outlineLevel="2">
      <c r="A319" s="14" t="s">
        <v>17</v>
      </c>
      <c r="B319" s="15" t="s">
        <v>756</v>
      </c>
      <c r="C319" s="15" t="s">
        <v>757</v>
      </c>
      <c r="D319" s="14" t="s">
        <v>758</v>
      </c>
      <c r="E319" s="15" t="s">
        <v>141</v>
      </c>
      <c r="F319" s="14" t="s">
        <v>142</v>
      </c>
      <c r="G319" s="15" t="s">
        <v>23</v>
      </c>
      <c r="H319" s="15" t="s">
        <v>1525</v>
      </c>
      <c r="I319" s="15">
        <v>201409</v>
      </c>
      <c r="J319" s="16">
        <v>-4641.3900000000003</v>
      </c>
      <c r="K319" s="171">
        <f t="shared" si="26"/>
        <v>9</v>
      </c>
      <c r="L319" s="17">
        <v>1.4833299999999999E-3</v>
      </c>
      <c r="M319" s="16">
        <f t="shared" si="27"/>
        <v>-61.96</v>
      </c>
      <c r="N319" s="16">
        <f t="shared" si="28"/>
        <v>-82.62</v>
      </c>
      <c r="O319" s="14"/>
      <c r="P319" s="210" t="str">
        <f>VLOOKUP(C319,'WO Descriptions'!$A$5:$D$345,4)</f>
        <v>Approved by: Rob Hack on 04/30/2013,  ISRS. This work order is necessary to abandon a total of 3391' of cast iron main. LAY 1,316'-6in PE, 714'-4in PE, and 1310' of 8in PE as part of the safety replacement program to meet MPSC requirements.</v>
      </c>
    </row>
    <row r="320" spans="1:16" ht="75" outlineLevel="2">
      <c r="A320" s="14" t="s">
        <v>17</v>
      </c>
      <c r="B320" s="15" t="s">
        <v>759</v>
      </c>
      <c r="C320" s="15" t="s">
        <v>760</v>
      </c>
      <c r="D320" s="14" t="s">
        <v>761</v>
      </c>
      <c r="E320" s="15" t="s">
        <v>62</v>
      </c>
      <c r="F320" s="14" t="s">
        <v>22</v>
      </c>
      <c r="G320" s="15" t="s">
        <v>23</v>
      </c>
      <c r="H320" s="15" t="s">
        <v>1525</v>
      </c>
      <c r="I320" s="15">
        <v>201409</v>
      </c>
      <c r="J320" s="16">
        <v>-84.14</v>
      </c>
      <c r="K320" s="171">
        <f t="shared" si="26"/>
        <v>9</v>
      </c>
      <c r="L320" s="17">
        <v>1.4833299999999999E-3</v>
      </c>
      <c r="M320" s="16">
        <f t="shared" si="27"/>
        <v>-1.1200000000000001</v>
      </c>
      <c r="N320" s="16">
        <f t="shared" si="28"/>
        <v>-1.5</v>
      </c>
      <c r="O320" s="14"/>
      <c r="P320" s="210" t="str">
        <f>VLOOKUP(C320,'WO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321" spans="1:16" ht="135" outlineLevel="2">
      <c r="A321" s="14" t="s">
        <v>17</v>
      </c>
      <c r="B321" s="15" t="s">
        <v>765</v>
      </c>
      <c r="C321" s="15" t="s">
        <v>766</v>
      </c>
      <c r="D321" s="14" t="s">
        <v>767</v>
      </c>
      <c r="E321" s="15" t="s">
        <v>216</v>
      </c>
      <c r="F321" s="14" t="s">
        <v>22</v>
      </c>
      <c r="G321" s="15" t="s">
        <v>23</v>
      </c>
      <c r="H321" s="15" t="s">
        <v>1525</v>
      </c>
      <c r="I321" s="15">
        <v>201409</v>
      </c>
      <c r="J321" s="16">
        <v>-1384.18</v>
      </c>
      <c r="K321" s="171">
        <f t="shared" si="26"/>
        <v>9</v>
      </c>
      <c r="L321" s="17">
        <v>1.4833299999999999E-3</v>
      </c>
      <c r="M321" s="16">
        <f t="shared" si="27"/>
        <v>-18.48</v>
      </c>
      <c r="N321" s="16">
        <f t="shared" si="28"/>
        <v>-24.64</v>
      </c>
      <c r="O321" s="14"/>
      <c r="P321" s="210" t="str">
        <f>VLOOKUP(C321,'WO Descriptions'!$A$5:$D$345,4)</f>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
    </row>
    <row r="322" spans="1:16" ht="120" outlineLevel="2">
      <c r="A322" s="14" t="s">
        <v>17</v>
      </c>
      <c r="B322" s="15" t="s">
        <v>777</v>
      </c>
      <c r="C322" s="15" t="s">
        <v>778</v>
      </c>
      <c r="D322" s="14" t="s">
        <v>779</v>
      </c>
      <c r="E322" s="15" t="s">
        <v>62</v>
      </c>
      <c r="F322" s="14" t="s">
        <v>22</v>
      </c>
      <c r="G322" s="15" t="s">
        <v>23</v>
      </c>
      <c r="H322" s="15" t="s">
        <v>1525</v>
      </c>
      <c r="I322" s="15">
        <v>201409</v>
      </c>
      <c r="J322" s="16">
        <v>-66.150000000000006</v>
      </c>
      <c r="K322" s="171">
        <f t="shared" si="26"/>
        <v>9</v>
      </c>
      <c r="L322" s="17">
        <v>1.4833299999999999E-3</v>
      </c>
      <c r="M322" s="16">
        <f t="shared" si="27"/>
        <v>-0.88</v>
      </c>
      <c r="N322" s="16">
        <f t="shared" si="28"/>
        <v>-1.18</v>
      </c>
      <c r="O322" s="14"/>
      <c r="P322" s="210" t="str">
        <f>VLOOKUP(C322,'WO Descriptions'!$A$5:$D$345,4)</f>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
    </row>
    <row r="323" spans="1:16" ht="90" outlineLevel="2">
      <c r="A323" s="14" t="s">
        <v>17</v>
      </c>
      <c r="B323" s="15" t="s">
        <v>780</v>
      </c>
      <c r="C323" s="15" t="s">
        <v>781</v>
      </c>
      <c r="D323" s="14" t="s">
        <v>782</v>
      </c>
      <c r="E323" s="15" t="s">
        <v>141</v>
      </c>
      <c r="F323" s="14" t="s">
        <v>142</v>
      </c>
      <c r="G323" s="15" t="s">
        <v>23</v>
      </c>
      <c r="H323" s="15" t="s">
        <v>1525</v>
      </c>
      <c r="I323" s="15">
        <v>201409</v>
      </c>
      <c r="J323" s="16">
        <v>-1734.87</v>
      </c>
      <c r="K323" s="171">
        <f t="shared" si="26"/>
        <v>9</v>
      </c>
      <c r="L323" s="17">
        <v>1.4833299999999999E-3</v>
      </c>
      <c r="M323" s="16">
        <f t="shared" si="27"/>
        <v>-23.16</v>
      </c>
      <c r="N323" s="16">
        <f t="shared" si="28"/>
        <v>-30.88</v>
      </c>
      <c r="O323" s="14"/>
      <c r="P323" s="210" t="str">
        <f>VLOOKUP(C323,'WO Descriptions'!$A$5:$D$345,4)</f>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
    </row>
    <row r="324" spans="1:16" ht="165" outlineLevel="2">
      <c r="A324" s="14" t="s">
        <v>17</v>
      </c>
      <c r="B324" s="15" t="s">
        <v>783</v>
      </c>
      <c r="C324" s="15" t="s">
        <v>784</v>
      </c>
      <c r="D324" s="14" t="s">
        <v>785</v>
      </c>
      <c r="E324" s="15" t="s">
        <v>141</v>
      </c>
      <c r="F324" s="14" t="s">
        <v>142</v>
      </c>
      <c r="G324" s="15" t="s">
        <v>23</v>
      </c>
      <c r="H324" s="15" t="s">
        <v>1525</v>
      </c>
      <c r="I324" s="15">
        <v>201409</v>
      </c>
      <c r="J324" s="16">
        <v>-2330.69</v>
      </c>
      <c r="K324" s="171">
        <f t="shared" si="26"/>
        <v>9</v>
      </c>
      <c r="L324" s="17">
        <v>1.4833299999999999E-3</v>
      </c>
      <c r="M324" s="16">
        <f t="shared" si="27"/>
        <v>-31.11</v>
      </c>
      <c r="N324" s="16">
        <f t="shared" si="28"/>
        <v>-41.49</v>
      </c>
      <c r="O324" s="14"/>
      <c r="P324" s="210" t="str">
        <f>VLOOKUP(C324,'WO Descriptions'!$A$5:$D$345,4)</f>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
    </row>
    <row r="325" spans="1:16" ht="165" outlineLevel="2">
      <c r="A325" s="14" t="s">
        <v>17</v>
      </c>
      <c r="B325" s="15" t="s">
        <v>786</v>
      </c>
      <c r="C325" s="15" t="s">
        <v>787</v>
      </c>
      <c r="D325" s="14" t="s">
        <v>788</v>
      </c>
      <c r="E325" s="15" t="s">
        <v>246</v>
      </c>
      <c r="F325" s="14" t="s">
        <v>247</v>
      </c>
      <c r="G325" s="15" t="s">
        <v>23</v>
      </c>
      <c r="H325" s="15" t="s">
        <v>1525</v>
      </c>
      <c r="I325" s="15">
        <v>201409</v>
      </c>
      <c r="J325" s="16">
        <v>-15326.11</v>
      </c>
      <c r="K325" s="171">
        <f t="shared" si="26"/>
        <v>9</v>
      </c>
      <c r="L325" s="17">
        <v>1.4833299999999999E-3</v>
      </c>
      <c r="M325" s="16">
        <f t="shared" si="27"/>
        <v>-204.6</v>
      </c>
      <c r="N325" s="16">
        <f t="shared" si="28"/>
        <v>-272.8</v>
      </c>
      <c r="O325" s="14"/>
      <c r="P325" s="210" t="str">
        <f>VLOOKUP(C325,'WO Descriptions'!$A$5:$D$345,4)</f>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
    </row>
    <row r="326" spans="1:16" ht="120" outlineLevel="2">
      <c r="A326" s="14" t="s">
        <v>17</v>
      </c>
      <c r="B326" s="15" t="s">
        <v>789</v>
      </c>
      <c r="C326" s="15" t="s">
        <v>790</v>
      </c>
      <c r="D326" s="14" t="s">
        <v>791</v>
      </c>
      <c r="E326" s="15" t="s">
        <v>246</v>
      </c>
      <c r="F326" s="14" t="s">
        <v>247</v>
      </c>
      <c r="G326" s="15" t="s">
        <v>23</v>
      </c>
      <c r="H326" s="15" t="s">
        <v>1525</v>
      </c>
      <c r="I326" s="15">
        <v>201409</v>
      </c>
      <c r="J326" s="16">
        <v>-1896.12</v>
      </c>
      <c r="K326" s="171">
        <f t="shared" si="26"/>
        <v>9</v>
      </c>
      <c r="L326" s="17">
        <v>1.4833299999999999E-3</v>
      </c>
      <c r="M326" s="16">
        <f t="shared" si="27"/>
        <v>-25.31</v>
      </c>
      <c r="N326" s="16">
        <f t="shared" si="28"/>
        <v>-33.75</v>
      </c>
      <c r="O326" s="14"/>
      <c r="P326" s="210" t="str">
        <f>VLOOKUP(C326,'WO Descriptions'!$A$5:$D$345,4)</f>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
    </row>
    <row r="327" spans="1:16" ht="90" outlineLevel="2">
      <c r="A327" s="14" t="s">
        <v>17</v>
      </c>
      <c r="B327" s="15" t="s">
        <v>795</v>
      </c>
      <c r="C327" s="15" t="s">
        <v>796</v>
      </c>
      <c r="D327" s="14" t="s">
        <v>797</v>
      </c>
      <c r="E327" s="15" t="s">
        <v>176</v>
      </c>
      <c r="F327" s="14" t="s">
        <v>28</v>
      </c>
      <c r="G327" s="15" t="s">
        <v>23</v>
      </c>
      <c r="H327" s="15" t="s">
        <v>1525</v>
      </c>
      <c r="I327" s="15">
        <v>201409</v>
      </c>
      <c r="J327" s="16">
        <v>-155.05000000000001</v>
      </c>
      <c r="K327" s="171">
        <f t="shared" si="26"/>
        <v>9</v>
      </c>
      <c r="L327" s="17">
        <v>1.4833299999999999E-3</v>
      </c>
      <c r="M327" s="16">
        <f t="shared" si="27"/>
        <v>-2.0699999999999998</v>
      </c>
      <c r="N327" s="16">
        <f t="shared" si="28"/>
        <v>-2.76</v>
      </c>
      <c r="O327" s="14"/>
      <c r="P327" s="210" t="str">
        <f>VLOOKUP(C327,'WO Descriptions'!$A$5:$D$345,4)</f>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
    </row>
    <row r="328" spans="1:16" ht="75" outlineLevel="2">
      <c r="A328" s="14" t="s">
        <v>17</v>
      </c>
      <c r="B328" s="15" t="s">
        <v>798</v>
      </c>
      <c r="C328" s="15" t="s">
        <v>799</v>
      </c>
      <c r="D328" s="14" t="s">
        <v>800</v>
      </c>
      <c r="E328" s="15" t="s">
        <v>62</v>
      </c>
      <c r="F328" s="14" t="s">
        <v>22</v>
      </c>
      <c r="G328" s="15" t="s">
        <v>23</v>
      </c>
      <c r="H328" s="15" t="s">
        <v>1525</v>
      </c>
      <c r="I328" s="15">
        <v>201409</v>
      </c>
      <c r="J328" s="16">
        <v>-228.89</v>
      </c>
      <c r="K328" s="171">
        <f t="shared" si="26"/>
        <v>9</v>
      </c>
      <c r="L328" s="17">
        <v>1.4833299999999999E-3</v>
      </c>
      <c r="M328" s="16">
        <f t="shared" si="27"/>
        <v>-3.06</v>
      </c>
      <c r="N328" s="16">
        <f t="shared" si="28"/>
        <v>-4.07</v>
      </c>
      <c r="O328" s="14"/>
      <c r="P328" s="210" t="str">
        <f>VLOOKUP(C328,'WO Descriptions'!$A$5:$D$345,4)</f>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
    </row>
    <row r="329" spans="1:16" ht="30" outlineLevel="2">
      <c r="A329" s="14" t="s">
        <v>17</v>
      </c>
      <c r="B329" s="15" t="s">
        <v>801</v>
      </c>
      <c r="C329" s="15" t="s">
        <v>802</v>
      </c>
      <c r="D329" s="14" t="s">
        <v>803</v>
      </c>
      <c r="E329" s="15" t="s">
        <v>440</v>
      </c>
      <c r="F329" s="14" t="s">
        <v>28</v>
      </c>
      <c r="G329" s="15" t="s">
        <v>23</v>
      </c>
      <c r="H329" s="15" t="s">
        <v>1525</v>
      </c>
      <c r="I329" s="15">
        <v>201409</v>
      </c>
      <c r="J329" s="16">
        <v>-553.08000000000004</v>
      </c>
      <c r="K329" s="171">
        <f t="shared" si="26"/>
        <v>9</v>
      </c>
      <c r="L329" s="17">
        <v>1.4833299999999999E-3</v>
      </c>
      <c r="M329" s="16">
        <f t="shared" si="27"/>
        <v>-7.38</v>
      </c>
      <c r="N329" s="16">
        <f t="shared" si="28"/>
        <v>-9.84</v>
      </c>
      <c r="O329" s="14"/>
      <c r="P329" s="210" t="str">
        <f>VLOOKUP(C329,'WO Descriptions'!$A$5:$D$345,4)</f>
        <v>Approved by: Gary Williams on 10/31/2013,  5/5/3 Replace 1235' of 2'' PCS main with 1235' of 2" PE main due to leaks and pipe condition. Original WO# 75-2872.</v>
      </c>
    </row>
    <row r="330" spans="1:16" ht="60" outlineLevel="2">
      <c r="A330" s="14" t="s">
        <v>17</v>
      </c>
      <c r="B330" s="15" t="s">
        <v>804</v>
      </c>
      <c r="C330" s="15" t="s">
        <v>805</v>
      </c>
      <c r="D330" s="14" t="s">
        <v>806</v>
      </c>
      <c r="E330" s="15" t="s">
        <v>141</v>
      </c>
      <c r="F330" s="14" t="s">
        <v>142</v>
      </c>
      <c r="G330" s="15" t="s">
        <v>23</v>
      </c>
      <c r="H330" s="15" t="s">
        <v>1525</v>
      </c>
      <c r="I330" s="15">
        <v>201409</v>
      </c>
      <c r="J330" s="16">
        <v>-540.4</v>
      </c>
      <c r="K330" s="171">
        <f t="shared" si="26"/>
        <v>9</v>
      </c>
      <c r="L330" s="17">
        <v>1.4833299999999999E-3</v>
      </c>
      <c r="M330" s="16">
        <f t="shared" si="27"/>
        <v>-7.21</v>
      </c>
      <c r="N330" s="16">
        <f t="shared" si="28"/>
        <v>-9.6199999999999992</v>
      </c>
      <c r="O330" s="14"/>
      <c r="P330" s="210" t="str">
        <f>VLOOKUP(C330,'WO Descriptions'!$A$5:$D$345,4)</f>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
    </row>
    <row r="331" spans="1:16" ht="30" outlineLevel="2">
      <c r="A331" s="14" t="s">
        <v>17</v>
      </c>
      <c r="B331" s="15" t="s">
        <v>807</v>
      </c>
      <c r="C331" s="15" t="s">
        <v>808</v>
      </c>
      <c r="D331" s="14" t="s">
        <v>809</v>
      </c>
      <c r="E331" s="15" t="s">
        <v>108</v>
      </c>
      <c r="F331" s="14" t="s">
        <v>28</v>
      </c>
      <c r="G331" s="15" t="s">
        <v>23</v>
      </c>
      <c r="H331" s="15" t="s">
        <v>1525</v>
      </c>
      <c r="I331" s="15">
        <v>201409</v>
      </c>
      <c r="J331" s="16">
        <v>27.48</v>
      </c>
      <c r="K331" s="171">
        <f t="shared" si="26"/>
        <v>9</v>
      </c>
      <c r="L331" s="17">
        <v>1.4833299999999999E-3</v>
      </c>
      <c r="M331" s="16">
        <f t="shared" si="27"/>
        <v>0.37</v>
      </c>
      <c r="N331" s="16">
        <f t="shared" si="28"/>
        <v>0.49</v>
      </c>
      <c r="O331" s="14"/>
      <c r="P331" s="210" t="str">
        <f>VLOOKUP(C331,'WO Descriptions'!$A$5:$D$345,4)</f>
        <v>Approved by: Kevin Driskell on 10/31/2013,  Replace 2in PCS with 15'-2in PE due to hit main.  Work done by MGE crew.</v>
      </c>
    </row>
    <row r="332" spans="1:16" ht="30" outlineLevel="2">
      <c r="A332" s="14" t="s">
        <v>17</v>
      </c>
      <c r="B332" s="15" t="s">
        <v>843</v>
      </c>
      <c r="C332" s="15" t="s">
        <v>844</v>
      </c>
      <c r="D332" s="14" t="s">
        <v>845</v>
      </c>
      <c r="E332" s="15" t="s">
        <v>45</v>
      </c>
      <c r="F332" s="14" t="s">
        <v>22</v>
      </c>
      <c r="G332" s="15" t="s">
        <v>23</v>
      </c>
      <c r="H332" s="15" t="s">
        <v>1525</v>
      </c>
      <c r="I332" s="15">
        <v>201409</v>
      </c>
      <c r="J332" s="16">
        <v>149.26</v>
      </c>
      <c r="K332" s="171">
        <f t="shared" si="26"/>
        <v>9</v>
      </c>
      <c r="L332" s="17">
        <v>1.4833299999999999E-3</v>
      </c>
      <c r="M332" s="16">
        <f t="shared" si="27"/>
        <v>1.99</v>
      </c>
      <c r="N332" s="16">
        <f t="shared" si="28"/>
        <v>2.66</v>
      </c>
      <c r="O332" s="14"/>
      <c r="P332" s="210" t="str">
        <f>VLOOKUP(C332,'WO Descriptions'!$A$5:$D$345,4)</f>
        <v>Approved by: Kevin Driskell on 04/07/2014,  Replace 3in and 2in PBS due to leak.  Lay 10'-3in thin film and 14'-2in thin film.  Work done by MGE crew.Original JO 7740C &amp; 7740B, year 1949</v>
      </c>
    </row>
    <row r="333" spans="1:16" ht="60" outlineLevel="2">
      <c r="A333" s="14" t="s">
        <v>17</v>
      </c>
      <c r="B333" s="15" t="s">
        <v>849</v>
      </c>
      <c r="C333" s="15" t="s">
        <v>850</v>
      </c>
      <c r="D333" s="14" t="s">
        <v>851</v>
      </c>
      <c r="E333" s="15" t="s">
        <v>27</v>
      </c>
      <c r="F333" s="14" t="s">
        <v>28</v>
      </c>
      <c r="G333" s="15" t="s">
        <v>23</v>
      </c>
      <c r="H333" s="15" t="s">
        <v>1525</v>
      </c>
      <c r="I333" s="15">
        <v>201409</v>
      </c>
      <c r="J333" s="16">
        <v>-269.87</v>
      </c>
      <c r="K333" s="171">
        <f t="shared" si="26"/>
        <v>9</v>
      </c>
      <c r="L333" s="17">
        <v>1.4833299999999999E-3</v>
      </c>
      <c r="M333" s="16">
        <f t="shared" si="27"/>
        <v>-3.6</v>
      </c>
      <c r="N333" s="16">
        <f t="shared" si="28"/>
        <v>-4.8</v>
      </c>
      <c r="O333" s="14"/>
      <c r="P333" s="210" t="str">
        <f>VLOOKUP(C333,'WO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334" spans="1:16" ht="60" outlineLevel="2">
      <c r="A334" s="14" t="s">
        <v>17</v>
      </c>
      <c r="B334" s="15" t="s">
        <v>882</v>
      </c>
      <c r="C334" s="15" t="s">
        <v>883</v>
      </c>
      <c r="D334" s="14" t="s">
        <v>884</v>
      </c>
      <c r="E334" s="15" t="s">
        <v>216</v>
      </c>
      <c r="F334" s="14" t="s">
        <v>22</v>
      </c>
      <c r="G334" s="15" t="s">
        <v>23</v>
      </c>
      <c r="H334" s="15" t="s">
        <v>1525</v>
      </c>
      <c r="I334" s="15">
        <v>201409</v>
      </c>
      <c r="J334" s="16">
        <v>-0.43</v>
      </c>
      <c r="K334" s="171">
        <f t="shared" si="26"/>
        <v>9</v>
      </c>
      <c r="L334" s="17">
        <v>1.4833299999999999E-3</v>
      </c>
      <c r="M334" s="16">
        <f t="shared" si="27"/>
        <v>-0.01</v>
      </c>
      <c r="N334" s="16">
        <f t="shared" si="28"/>
        <v>-0.01</v>
      </c>
      <c r="O334" s="14"/>
      <c r="P334" s="210" t="str">
        <f>VLOOKUP(C334,'WO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335" spans="1:16" ht="135" outlineLevel="2">
      <c r="A335" s="14" t="s">
        <v>17</v>
      </c>
      <c r="B335" s="15" t="s">
        <v>891</v>
      </c>
      <c r="C335" s="15" t="s">
        <v>892</v>
      </c>
      <c r="D335" s="14" t="s">
        <v>893</v>
      </c>
      <c r="E335" s="15" t="s">
        <v>32</v>
      </c>
      <c r="F335" s="14" t="s">
        <v>22</v>
      </c>
      <c r="G335" s="15" t="s">
        <v>23</v>
      </c>
      <c r="H335" s="15" t="s">
        <v>1525</v>
      </c>
      <c r="I335" s="15">
        <v>201409</v>
      </c>
      <c r="J335" s="16">
        <v>946.06</v>
      </c>
      <c r="K335" s="171">
        <f t="shared" si="26"/>
        <v>9</v>
      </c>
      <c r="L335" s="17">
        <v>1.4833299999999999E-3</v>
      </c>
      <c r="M335" s="16">
        <f t="shared" si="27"/>
        <v>12.63</v>
      </c>
      <c r="N335" s="16">
        <f t="shared" si="28"/>
        <v>16.84</v>
      </c>
      <c r="O335" s="14"/>
      <c r="P335" s="210" t="str">
        <f>VLOOKUP(C335,'WO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336" spans="1:16" ht="30" outlineLevel="2">
      <c r="A336" s="14" t="s">
        <v>17</v>
      </c>
      <c r="B336" s="15" t="s">
        <v>894</v>
      </c>
      <c r="C336" s="15" t="s">
        <v>895</v>
      </c>
      <c r="D336" s="14" t="s">
        <v>896</v>
      </c>
      <c r="E336" s="15" t="s">
        <v>440</v>
      </c>
      <c r="F336" s="14" t="s">
        <v>28</v>
      </c>
      <c r="G336" s="15" t="s">
        <v>23</v>
      </c>
      <c r="H336" s="15" t="s">
        <v>1525</v>
      </c>
      <c r="I336" s="15">
        <v>201409</v>
      </c>
      <c r="J336" s="16">
        <v>-159.26</v>
      </c>
      <c r="K336" s="171">
        <f t="shared" si="26"/>
        <v>9</v>
      </c>
      <c r="L336" s="17">
        <v>1.4833299999999999E-3</v>
      </c>
      <c r="M336" s="16">
        <f t="shared" si="27"/>
        <v>-2.13</v>
      </c>
      <c r="N336" s="16">
        <f t="shared" si="28"/>
        <v>-2.83</v>
      </c>
      <c r="O336" s="14"/>
      <c r="P336" s="210" t="str">
        <f>VLOOKUP(C336,'WO Descriptions'!$A$5:$D$345,4)</f>
        <v>Approved by: Kevin Driskell on 05/28/2014,  Replace 16ft of 8'' PCS due to 3rd party damage. Pressure system C-041 Ret 16'-8in coated steel, year 1967, wo 67-1440.</v>
      </c>
    </row>
    <row r="337" spans="1:16" ht="60" outlineLevel="2">
      <c r="A337" s="14" t="s">
        <v>17</v>
      </c>
      <c r="B337" s="15" t="s">
        <v>903</v>
      </c>
      <c r="C337" s="15" t="s">
        <v>904</v>
      </c>
      <c r="D337" s="14" t="s">
        <v>905</v>
      </c>
      <c r="E337" s="15" t="s">
        <v>49</v>
      </c>
      <c r="F337" s="14" t="s">
        <v>22</v>
      </c>
      <c r="G337" s="15" t="s">
        <v>23</v>
      </c>
      <c r="H337" s="15" t="s">
        <v>1525</v>
      </c>
      <c r="I337" s="15">
        <v>201409</v>
      </c>
      <c r="J337" s="16">
        <v>2797.11</v>
      </c>
      <c r="K337" s="171">
        <f t="shared" si="26"/>
        <v>9</v>
      </c>
      <c r="L337" s="17">
        <v>1.4833299999999999E-3</v>
      </c>
      <c r="M337" s="16">
        <f t="shared" si="27"/>
        <v>37.340000000000003</v>
      </c>
      <c r="N337" s="16">
        <f t="shared" si="28"/>
        <v>49.79</v>
      </c>
      <c r="O337" s="14"/>
      <c r="P337" s="210" t="str">
        <f>VLOOKUP(C337,'WO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338" spans="1:16" ht="30" outlineLevel="2">
      <c r="A338" s="14" t="s">
        <v>17</v>
      </c>
      <c r="B338" s="15" t="s">
        <v>981</v>
      </c>
      <c r="C338" s="15" t="s">
        <v>982</v>
      </c>
      <c r="D338" s="14" t="s">
        <v>983</v>
      </c>
      <c r="E338" s="15" t="s">
        <v>440</v>
      </c>
      <c r="F338" s="14" t="s">
        <v>28</v>
      </c>
      <c r="G338" s="15" t="s">
        <v>23</v>
      </c>
      <c r="H338" s="15" t="s">
        <v>1525</v>
      </c>
      <c r="I338" s="15">
        <v>201409</v>
      </c>
      <c r="J338" s="16">
        <v>53.69</v>
      </c>
      <c r="K338" s="171">
        <f t="shared" si="26"/>
        <v>9</v>
      </c>
      <c r="L338" s="17">
        <v>1.4833299999999999E-3</v>
      </c>
      <c r="M338" s="16">
        <f t="shared" si="27"/>
        <v>0.72</v>
      </c>
      <c r="N338" s="16">
        <f t="shared" si="28"/>
        <v>0.96</v>
      </c>
      <c r="O338" s="14"/>
      <c r="P338" s="210" t="str">
        <f>VLOOKUP(C338,'WO Descriptions'!$A$5:$D$345,4)</f>
        <v>Approved by: Kevin Driskell on 08/03/2014,  Replaced 5' of 2'' CS system C-046 due to 3rd party damage.</v>
      </c>
    </row>
    <row r="339" spans="1:16" ht="30" outlineLevel="2">
      <c r="A339" s="14" t="s">
        <v>17</v>
      </c>
      <c r="B339" s="15" t="s">
        <v>987</v>
      </c>
      <c r="C339" s="15" t="s">
        <v>988</v>
      </c>
      <c r="D339" s="14" t="s">
        <v>989</v>
      </c>
      <c r="E339" s="15" t="s">
        <v>45</v>
      </c>
      <c r="F339" s="14" t="s">
        <v>22</v>
      </c>
      <c r="G339" s="15" t="s">
        <v>23</v>
      </c>
      <c r="H339" s="15" t="s">
        <v>1525</v>
      </c>
      <c r="I339" s="15">
        <v>201409</v>
      </c>
      <c r="J339" s="16">
        <v>92.14</v>
      </c>
      <c r="K339" s="171">
        <f t="shared" si="26"/>
        <v>9</v>
      </c>
      <c r="L339" s="17">
        <v>1.4833299999999999E-3</v>
      </c>
      <c r="M339" s="16">
        <f t="shared" si="27"/>
        <v>1.23</v>
      </c>
      <c r="N339" s="16">
        <f t="shared" si="28"/>
        <v>1.64</v>
      </c>
      <c r="O339" s="14"/>
      <c r="P339" s="210" t="str">
        <f>VLOOKUP(C339,'WO Descriptions'!$A$5:$D$345,4)</f>
        <v>Approved by: Kevin Driskell on 08/03/2014,  Relocated 2'' PBS because it was going through a curb inlet box. Pressure System C-26.</v>
      </c>
    </row>
    <row r="340" spans="1:16" ht="60" outlineLevel="2">
      <c r="A340" s="14" t="s">
        <v>17</v>
      </c>
      <c r="B340" s="15" t="s">
        <v>999</v>
      </c>
      <c r="C340" s="15" t="s">
        <v>1000</v>
      </c>
      <c r="D340" s="14" t="s">
        <v>1001</v>
      </c>
      <c r="E340" s="15" t="s">
        <v>176</v>
      </c>
      <c r="F340" s="14" t="s">
        <v>28</v>
      </c>
      <c r="G340" s="15" t="s">
        <v>23</v>
      </c>
      <c r="H340" s="15" t="s">
        <v>1525</v>
      </c>
      <c r="I340" s="15">
        <v>201409</v>
      </c>
      <c r="J340" s="16">
        <v>167.22</v>
      </c>
      <c r="K340" s="171">
        <f t="shared" si="26"/>
        <v>9</v>
      </c>
      <c r="L340" s="17">
        <v>1.4833299999999999E-3</v>
      </c>
      <c r="M340" s="16">
        <f t="shared" si="27"/>
        <v>2.23</v>
      </c>
      <c r="N340" s="16">
        <f t="shared" si="28"/>
        <v>2.98</v>
      </c>
      <c r="O340" s="14"/>
      <c r="P340" s="210" t="str">
        <f>VLOOKUP(C340,'WO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341" spans="1:16" ht="30" outlineLevel="2">
      <c r="A341" s="18" t="s">
        <v>242</v>
      </c>
      <c r="B341" s="15" t="s">
        <v>243</v>
      </c>
      <c r="C341" s="15" t="s">
        <v>244</v>
      </c>
      <c r="D341" s="14" t="s">
        <v>245</v>
      </c>
      <c r="E341" s="15" t="s">
        <v>246</v>
      </c>
      <c r="F341" s="14" t="s">
        <v>247</v>
      </c>
      <c r="G341" s="15" t="s">
        <v>23</v>
      </c>
      <c r="H341" s="15" t="s">
        <v>1525</v>
      </c>
      <c r="I341" s="15">
        <v>201409</v>
      </c>
      <c r="J341" s="16">
        <v>-9517.91</v>
      </c>
      <c r="K341" s="171">
        <f t="shared" si="26"/>
        <v>9</v>
      </c>
      <c r="L341" s="17">
        <v>1.4833299999999999E-3</v>
      </c>
      <c r="M341" s="16">
        <f t="shared" si="27"/>
        <v>-127.06</v>
      </c>
      <c r="N341" s="16">
        <f t="shared" si="28"/>
        <v>-169.42</v>
      </c>
      <c r="O341" s="14"/>
      <c r="P341" s="210" t="str">
        <f>VLOOKUP(C341,'WO Descriptions'!$A$5:$D$345,4)</f>
        <v>Rob Hack approved through email due to being out of town and copy of email attached with work order in file.  Approved 7/30/2013.  Official approval in WOES 8/5/2013</v>
      </c>
    </row>
    <row r="342" spans="1:16" ht="150" outlineLevel="2">
      <c r="A342" s="14" t="s">
        <v>54</v>
      </c>
      <c r="B342" s="15" t="s">
        <v>59</v>
      </c>
      <c r="C342" s="15" t="s">
        <v>60</v>
      </c>
      <c r="D342" s="14" t="s">
        <v>61</v>
      </c>
      <c r="E342" s="15" t="s">
        <v>62</v>
      </c>
      <c r="F342" s="14" t="s">
        <v>22</v>
      </c>
      <c r="G342" s="15" t="s">
        <v>23</v>
      </c>
      <c r="H342" s="15" t="s">
        <v>1525</v>
      </c>
      <c r="I342" s="15">
        <v>201409</v>
      </c>
      <c r="J342" s="16">
        <v>9975.01</v>
      </c>
      <c r="K342" s="171">
        <f t="shared" ref="K342:K405" si="29">VLOOKUP(I342,$T$7:$U$15,2)</f>
        <v>9</v>
      </c>
      <c r="L342" s="17">
        <v>1.4833299999999999E-3</v>
      </c>
      <c r="M342" s="16">
        <f t="shared" ref="M342:M405" si="30">ROUND(J342*K342*L342,2)</f>
        <v>133.16999999999999</v>
      </c>
      <c r="N342" s="16">
        <f t="shared" ref="N342:N405" si="31">ROUND(J342*L342*12,2)</f>
        <v>177.55</v>
      </c>
      <c r="O342" s="14"/>
      <c r="P342" s="210" t="str">
        <f>VLOOKUP(C342,'WO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row>
    <row r="343" spans="1:16" ht="60" outlineLevel="2">
      <c r="A343" s="14" t="s">
        <v>54</v>
      </c>
      <c r="B343" s="15" t="s">
        <v>138</v>
      </c>
      <c r="C343" s="15" t="s">
        <v>139</v>
      </c>
      <c r="D343" s="14" t="s">
        <v>140</v>
      </c>
      <c r="E343" s="15" t="s">
        <v>141</v>
      </c>
      <c r="F343" s="14" t="s">
        <v>142</v>
      </c>
      <c r="G343" s="15" t="s">
        <v>23</v>
      </c>
      <c r="H343" s="15" t="s">
        <v>1525</v>
      </c>
      <c r="I343" s="15">
        <v>201409</v>
      </c>
      <c r="J343" s="16">
        <v>-2154.0500000000002</v>
      </c>
      <c r="K343" s="171">
        <f t="shared" si="29"/>
        <v>9</v>
      </c>
      <c r="L343" s="17">
        <v>1.4833299999999999E-3</v>
      </c>
      <c r="M343" s="16">
        <f t="shared" si="30"/>
        <v>-28.76</v>
      </c>
      <c r="N343" s="16">
        <f t="shared" si="31"/>
        <v>-38.340000000000003</v>
      </c>
      <c r="O343" s="14"/>
      <c r="P343" s="210" t="str">
        <f>VLOOKUP(C343,'WO Descriptions'!$A$5:$D$345,4)</f>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
    </row>
    <row r="344" spans="1:16" ht="180" outlineLevel="2">
      <c r="A344" s="18" t="s">
        <v>54</v>
      </c>
      <c r="B344" s="15" t="s">
        <v>170</v>
      </c>
      <c r="C344" s="15" t="s">
        <v>171</v>
      </c>
      <c r="D344" s="14" t="s">
        <v>172</v>
      </c>
      <c r="E344" s="15" t="s">
        <v>62</v>
      </c>
      <c r="F344" s="14" t="s">
        <v>22</v>
      </c>
      <c r="G344" s="15" t="s">
        <v>23</v>
      </c>
      <c r="H344" s="15" t="s">
        <v>1525</v>
      </c>
      <c r="I344" s="15">
        <v>201409</v>
      </c>
      <c r="J344" s="16">
        <v>-865.45</v>
      </c>
      <c r="K344" s="171">
        <f t="shared" si="29"/>
        <v>9</v>
      </c>
      <c r="L344" s="17">
        <v>1.4833299999999999E-3</v>
      </c>
      <c r="M344" s="16">
        <f t="shared" si="30"/>
        <v>-11.55</v>
      </c>
      <c r="N344" s="16">
        <f t="shared" si="31"/>
        <v>-15.4</v>
      </c>
      <c r="O344" s="14"/>
      <c r="P344" s="210" t="str">
        <f>VLOOKUP(C344,'WO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345" spans="1:16" ht="30" outlineLevel="2">
      <c r="A345" s="14" t="s">
        <v>54</v>
      </c>
      <c r="B345" s="15" t="s">
        <v>306</v>
      </c>
      <c r="C345" s="15" t="s">
        <v>307</v>
      </c>
      <c r="D345" s="14" t="s">
        <v>308</v>
      </c>
      <c r="E345" s="15" t="s">
        <v>36</v>
      </c>
      <c r="F345" s="14" t="s">
        <v>22</v>
      </c>
      <c r="G345" s="15" t="s">
        <v>23</v>
      </c>
      <c r="H345" s="15" t="s">
        <v>1525</v>
      </c>
      <c r="I345" s="15">
        <v>201409</v>
      </c>
      <c r="J345" s="16">
        <v>-195.22</v>
      </c>
      <c r="K345" s="171">
        <f t="shared" si="29"/>
        <v>9</v>
      </c>
      <c r="L345" s="17">
        <v>1.4833299999999999E-3</v>
      </c>
      <c r="M345" s="16">
        <f t="shared" si="30"/>
        <v>-2.61</v>
      </c>
      <c r="N345" s="16">
        <f t="shared" si="31"/>
        <v>-3.47</v>
      </c>
      <c r="O345" s="14"/>
      <c r="P345" s="210" t="str">
        <f>VLOOKUP(C345,'WO Descriptions'!$A$5:$D$345,4)</f>
        <v>Approved by: Gary Williams on 03/14/2014,  TO lay 288FT-2IN PE main to replace 288FT-2IN PBS (WO#35207) due to down project.</v>
      </c>
    </row>
    <row r="346" spans="1:16" ht="60" outlineLevel="2">
      <c r="A346" s="14" t="s">
        <v>54</v>
      </c>
      <c r="B346" s="15" t="s">
        <v>326</v>
      </c>
      <c r="C346" s="15" t="s">
        <v>327</v>
      </c>
      <c r="D346" s="14" t="s">
        <v>328</v>
      </c>
      <c r="E346" s="15" t="s">
        <v>32</v>
      </c>
      <c r="F346" s="14" t="s">
        <v>22</v>
      </c>
      <c r="G346" s="15" t="s">
        <v>23</v>
      </c>
      <c r="H346" s="15" t="s">
        <v>1525</v>
      </c>
      <c r="I346" s="15">
        <v>201409</v>
      </c>
      <c r="J346" s="16">
        <v>-118.82</v>
      </c>
      <c r="K346" s="171">
        <f t="shared" si="29"/>
        <v>9</v>
      </c>
      <c r="L346" s="17">
        <v>1.4833299999999999E-3</v>
      </c>
      <c r="M346" s="16">
        <f t="shared" si="30"/>
        <v>-1.59</v>
      </c>
      <c r="N346" s="16">
        <f t="shared" si="31"/>
        <v>-2.11</v>
      </c>
      <c r="O346" s="14"/>
      <c r="P346" s="210" t="str">
        <f>VLOOKUP(C346,'WO Descriptions'!$A$5:$D$345,4)</f>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
    </row>
    <row r="347" spans="1:16" ht="45" outlineLevel="2">
      <c r="A347" s="14" t="s">
        <v>54</v>
      </c>
      <c r="B347" s="15" t="s">
        <v>332</v>
      </c>
      <c r="C347" s="15" t="s">
        <v>333</v>
      </c>
      <c r="D347" s="14" t="s">
        <v>334</v>
      </c>
      <c r="E347" s="15" t="s">
        <v>36</v>
      </c>
      <c r="F347" s="14" t="s">
        <v>22</v>
      </c>
      <c r="G347" s="15" t="s">
        <v>23</v>
      </c>
      <c r="H347" s="15" t="s">
        <v>1525</v>
      </c>
      <c r="I347" s="15">
        <v>201409</v>
      </c>
      <c r="J347" s="16">
        <v>-149.47999999999999</v>
      </c>
      <c r="K347" s="171">
        <f t="shared" si="29"/>
        <v>9</v>
      </c>
      <c r="L347" s="17">
        <v>1.4833299999999999E-3</v>
      </c>
      <c r="M347" s="16">
        <f t="shared" si="30"/>
        <v>-2</v>
      </c>
      <c r="N347" s="16">
        <f t="shared" si="31"/>
        <v>-2.66</v>
      </c>
      <c r="O347" s="14"/>
      <c r="P347" s="210" t="str">
        <f>VLOOKUP(C347,'WO Descriptions'!$A$5:$D$345,4)</f>
        <v>Approved by: Gary Williams on 03/03/2014,  To lay 414ft-4pe main.to replace 414ft-bs main due to down project. Install 2" bypaas before completing tie in. Cost per foot:$49.16.ID:C-03 MOP:20oz MAOP:30oz Design MAOP:20oz Pressure Test:100 PSIG.</v>
      </c>
    </row>
    <row r="348" spans="1:16" ht="45" outlineLevel="2">
      <c r="A348" s="14" t="s">
        <v>54</v>
      </c>
      <c r="B348" s="15" t="s">
        <v>410</v>
      </c>
      <c r="C348" s="15" t="s">
        <v>411</v>
      </c>
      <c r="D348" s="14" t="s">
        <v>412</v>
      </c>
      <c r="E348" s="15" t="s">
        <v>62</v>
      </c>
      <c r="F348" s="14" t="s">
        <v>22</v>
      </c>
      <c r="G348" s="15" t="s">
        <v>23</v>
      </c>
      <c r="H348" s="15" t="s">
        <v>1525</v>
      </c>
      <c r="I348" s="15">
        <v>201409</v>
      </c>
      <c r="J348" s="16">
        <v>-363.84</v>
      </c>
      <c r="K348" s="171">
        <f t="shared" si="29"/>
        <v>9</v>
      </c>
      <c r="L348" s="17">
        <v>1.4833299999999999E-3</v>
      </c>
      <c r="M348" s="16">
        <f t="shared" si="30"/>
        <v>-4.8600000000000003</v>
      </c>
      <c r="N348" s="16">
        <f t="shared" si="31"/>
        <v>-6.48</v>
      </c>
      <c r="O348" s="14"/>
      <c r="P348" s="210" t="str">
        <f>VLOOKUP(C348,'WO Descriptions'!$A$5:$D$345,4)</f>
        <v>Approved by: Ralph Janes on 10/30/2012,  Replace and abandon 340' - 3in PBS (unknown WO), 23' - 2in PE (WO# 10-6676), and 154' - 2in PCS (WO# 63-2399) with 500' - 2in PE main. The existing main has a history of leakage. Price per ft = $49.44  (ISRS)</v>
      </c>
    </row>
    <row r="349" spans="1:16" ht="60" outlineLevel="2">
      <c r="A349" s="14" t="s">
        <v>54</v>
      </c>
      <c r="B349" s="15" t="s">
        <v>416</v>
      </c>
      <c r="C349" s="15" t="s">
        <v>417</v>
      </c>
      <c r="D349" s="14" t="s">
        <v>418</v>
      </c>
      <c r="E349" s="15" t="s">
        <v>141</v>
      </c>
      <c r="F349" s="14" t="s">
        <v>142</v>
      </c>
      <c r="G349" s="15" t="s">
        <v>23</v>
      </c>
      <c r="H349" s="15" t="s">
        <v>1525</v>
      </c>
      <c r="I349" s="15">
        <v>201409</v>
      </c>
      <c r="J349" s="16">
        <v>679.2</v>
      </c>
      <c r="K349" s="171">
        <f t="shared" si="29"/>
        <v>9</v>
      </c>
      <c r="L349" s="17">
        <v>1.4833299999999999E-3</v>
      </c>
      <c r="M349" s="16">
        <f t="shared" si="30"/>
        <v>9.07</v>
      </c>
      <c r="N349" s="16">
        <f t="shared" si="31"/>
        <v>12.09</v>
      </c>
      <c r="O349" s="14"/>
      <c r="P349" s="210" t="str">
        <f>VLOOKUP(C349,'WO Descriptions'!$A$5:$D$345,4)</f>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
    </row>
    <row r="350" spans="1:16" ht="75" outlineLevel="2">
      <c r="A350" s="14" t="s">
        <v>54</v>
      </c>
      <c r="B350" s="15" t="s">
        <v>419</v>
      </c>
      <c r="C350" s="15" t="s">
        <v>420</v>
      </c>
      <c r="D350" s="14" t="s">
        <v>421</v>
      </c>
      <c r="E350" s="15" t="s">
        <v>32</v>
      </c>
      <c r="F350" s="14" t="s">
        <v>22</v>
      </c>
      <c r="G350" s="15" t="s">
        <v>23</v>
      </c>
      <c r="H350" s="15" t="s">
        <v>1525</v>
      </c>
      <c r="I350" s="15">
        <v>201409</v>
      </c>
      <c r="J350" s="16">
        <v>-1167.31</v>
      </c>
      <c r="K350" s="171">
        <f t="shared" si="29"/>
        <v>9</v>
      </c>
      <c r="L350" s="17">
        <v>1.4833299999999999E-3</v>
      </c>
      <c r="M350" s="16">
        <f t="shared" si="30"/>
        <v>-15.58</v>
      </c>
      <c r="N350" s="16">
        <f t="shared" si="31"/>
        <v>-20.78</v>
      </c>
      <c r="O350" s="14"/>
      <c r="P350" s="210" t="str">
        <f>VLOOKUP(C350,'WO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51" spans="1:16" ht="60" outlineLevel="2">
      <c r="A351" s="14" t="s">
        <v>54</v>
      </c>
      <c r="B351" s="15" t="s">
        <v>434</v>
      </c>
      <c r="C351" s="15" t="s">
        <v>435</v>
      </c>
      <c r="D351" s="14" t="s">
        <v>436</v>
      </c>
      <c r="E351" s="15" t="s">
        <v>58</v>
      </c>
      <c r="F351" s="14" t="s">
        <v>22</v>
      </c>
      <c r="G351" s="15" t="s">
        <v>23</v>
      </c>
      <c r="H351" s="15" t="s">
        <v>1525</v>
      </c>
      <c r="I351" s="15">
        <v>201409</v>
      </c>
      <c r="J351" s="16">
        <v>-94.86</v>
      </c>
      <c r="K351" s="171">
        <f t="shared" si="29"/>
        <v>9</v>
      </c>
      <c r="L351" s="17">
        <v>1.4833299999999999E-3</v>
      </c>
      <c r="M351" s="16">
        <f t="shared" si="30"/>
        <v>-1.27</v>
      </c>
      <c r="N351" s="16">
        <f t="shared" si="31"/>
        <v>-1.69</v>
      </c>
      <c r="O351" s="14"/>
      <c r="P351" s="210" t="str">
        <f>VLOOKUP(C351,'WO Descriptions'!$A$5:$D$345,4)</f>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
    </row>
    <row r="352" spans="1:16" ht="150" outlineLevel="2">
      <c r="A352" s="14" t="s">
        <v>54</v>
      </c>
      <c r="B352" s="15" t="s">
        <v>441</v>
      </c>
      <c r="C352" s="15" t="s">
        <v>442</v>
      </c>
      <c r="D352" s="14" t="s">
        <v>443</v>
      </c>
      <c r="E352" s="15" t="s">
        <v>141</v>
      </c>
      <c r="F352" s="14" t="s">
        <v>142</v>
      </c>
      <c r="G352" s="15" t="s">
        <v>23</v>
      </c>
      <c r="H352" s="15" t="s">
        <v>1525</v>
      </c>
      <c r="I352" s="15">
        <v>201409</v>
      </c>
      <c r="J352" s="16">
        <v>-15549.44</v>
      </c>
      <c r="K352" s="171">
        <f t="shared" si="29"/>
        <v>9</v>
      </c>
      <c r="L352" s="17">
        <v>1.4833299999999999E-3</v>
      </c>
      <c r="M352" s="16">
        <f t="shared" si="30"/>
        <v>-207.58</v>
      </c>
      <c r="N352" s="16">
        <f t="shared" si="31"/>
        <v>-276.77999999999997</v>
      </c>
      <c r="O352" s="14"/>
      <c r="P352" s="210" t="str">
        <f>VLOOKUP(C352,'WO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353" spans="1:16" ht="30" outlineLevel="2">
      <c r="A353" s="14" t="s">
        <v>54</v>
      </c>
      <c r="B353" s="15" t="s">
        <v>444</v>
      </c>
      <c r="C353" s="15" t="s">
        <v>445</v>
      </c>
      <c r="D353" s="14" t="s">
        <v>446</v>
      </c>
      <c r="E353" s="15" t="s">
        <v>62</v>
      </c>
      <c r="F353" s="14" t="s">
        <v>22</v>
      </c>
      <c r="G353" s="15" t="s">
        <v>23</v>
      </c>
      <c r="H353" s="15" t="s">
        <v>1525</v>
      </c>
      <c r="I353" s="15">
        <v>201409</v>
      </c>
      <c r="J353" s="16">
        <v>-148.77000000000001</v>
      </c>
      <c r="K353" s="171">
        <f t="shared" si="29"/>
        <v>9</v>
      </c>
      <c r="L353" s="17">
        <v>1.4833299999999999E-3</v>
      </c>
      <c r="M353" s="16">
        <f t="shared" si="30"/>
        <v>-1.99</v>
      </c>
      <c r="N353" s="16">
        <f t="shared" si="31"/>
        <v>-2.65</v>
      </c>
      <c r="O353" s="14"/>
      <c r="P353" s="210" t="str">
        <f>VLOOKUP(C353,'WO Descriptions'!$A$5:$D$345,4)</f>
        <v>Approved by: Ralph Janes on 01/30/2014,  Replace and retire 333' - 2" pbs main (Unknown wo) and 265' - 2" pcs main (wo 671296) by installing 600' - 2" pe main due to leakage.  (ISRS)</v>
      </c>
    </row>
    <row r="354" spans="1:16" ht="75" outlineLevel="2">
      <c r="A354" s="14" t="s">
        <v>54</v>
      </c>
      <c r="B354" s="15" t="s">
        <v>453</v>
      </c>
      <c r="C354" s="15" t="s">
        <v>454</v>
      </c>
      <c r="D354" s="14" t="s">
        <v>455</v>
      </c>
      <c r="E354" s="15" t="s">
        <v>62</v>
      </c>
      <c r="F354" s="14" t="s">
        <v>22</v>
      </c>
      <c r="G354" s="15" t="s">
        <v>23</v>
      </c>
      <c r="H354" s="15" t="s">
        <v>1525</v>
      </c>
      <c r="I354" s="15">
        <v>201409</v>
      </c>
      <c r="J354" s="16">
        <v>-184.89</v>
      </c>
      <c r="K354" s="171">
        <f t="shared" si="29"/>
        <v>9</v>
      </c>
      <c r="L354" s="17">
        <v>1.4833299999999999E-3</v>
      </c>
      <c r="M354" s="16">
        <f t="shared" si="30"/>
        <v>-2.4700000000000002</v>
      </c>
      <c r="N354" s="16">
        <f t="shared" si="31"/>
        <v>-3.29</v>
      </c>
      <c r="O354" s="14"/>
      <c r="P354" s="210" t="str">
        <f>VLOOKUP(C354,'WO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5" spans="1:16" ht="45" outlineLevel="2">
      <c r="A355" s="14" t="s">
        <v>54</v>
      </c>
      <c r="B355" s="15" t="s">
        <v>459</v>
      </c>
      <c r="C355" s="15" t="s">
        <v>460</v>
      </c>
      <c r="D355" s="14" t="s">
        <v>461</v>
      </c>
      <c r="E355" s="15" t="s">
        <v>462</v>
      </c>
      <c r="F355" s="14" t="s">
        <v>142</v>
      </c>
      <c r="G355" s="15" t="s">
        <v>23</v>
      </c>
      <c r="H355" s="15" t="s">
        <v>1525</v>
      </c>
      <c r="I355" s="15">
        <v>201409</v>
      </c>
      <c r="J355" s="16">
        <v>-771.19</v>
      </c>
      <c r="K355" s="171">
        <f t="shared" si="29"/>
        <v>9</v>
      </c>
      <c r="L355" s="17">
        <v>1.4833299999999999E-3</v>
      </c>
      <c r="M355" s="16">
        <f t="shared" si="30"/>
        <v>-10.3</v>
      </c>
      <c r="N355" s="16">
        <f t="shared" si="31"/>
        <v>-13.73</v>
      </c>
      <c r="O355" s="14"/>
      <c r="P355" s="210" t="str">
        <f>VLOOKUP(C355,'WO Descriptions'!$A$5:$D$345,4)</f>
        <v>Approved by: Gary Williams on 11/07/2013,  Replace 4in CI with 4in PE 620' due to leaks and condition of gas main. Original work order #B1P38. Pressure system C-001. Retire 600'-4in CI, year 1922.</v>
      </c>
    </row>
    <row r="356" spans="1:16" ht="45" outlineLevel="2">
      <c r="A356" s="14" t="s">
        <v>54</v>
      </c>
      <c r="B356" s="15" t="s">
        <v>546</v>
      </c>
      <c r="C356" s="15" t="s">
        <v>547</v>
      </c>
      <c r="D356" s="14" t="s">
        <v>548</v>
      </c>
      <c r="E356" s="15" t="s">
        <v>141</v>
      </c>
      <c r="F356" s="14" t="s">
        <v>142</v>
      </c>
      <c r="G356" s="15" t="s">
        <v>23</v>
      </c>
      <c r="H356" s="15" t="s">
        <v>1525</v>
      </c>
      <c r="I356" s="15">
        <v>201409</v>
      </c>
      <c r="J356" s="16">
        <v>-1572.84</v>
      </c>
      <c r="K356" s="171">
        <f t="shared" si="29"/>
        <v>9</v>
      </c>
      <c r="L356" s="17">
        <v>1.4833299999999999E-3</v>
      </c>
      <c r="M356" s="16">
        <f t="shared" si="30"/>
        <v>-21</v>
      </c>
      <c r="N356" s="16">
        <f t="shared" si="31"/>
        <v>-28</v>
      </c>
      <c r="O356" s="14"/>
      <c r="P356" s="210" t="str">
        <f>VLOOKUP(C356,'WO Descriptions'!$A$5:$D$345,4)</f>
        <v>Approved by: Gary Williams on 03/12/2014,  AOR.  Replace 555'-4in CI with 4in PE due to angle of repose.  Bell joint was exposed 12' NNCB of 13th and Askew.  Tie over 8 services.  Replace 3 services.  This job must be completed by June 9, 2014.  COST PER FOOT $64.36</v>
      </c>
    </row>
    <row r="357" spans="1:16" ht="45" outlineLevel="2">
      <c r="A357" s="14" t="s">
        <v>54</v>
      </c>
      <c r="B357" s="15" t="s">
        <v>558</v>
      </c>
      <c r="C357" s="15" t="s">
        <v>559</v>
      </c>
      <c r="D357" s="14" t="s">
        <v>560</v>
      </c>
      <c r="E357" s="15" t="s">
        <v>36</v>
      </c>
      <c r="F357" s="14" t="s">
        <v>22</v>
      </c>
      <c r="G357" s="15" t="s">
        <v>23</v>
      </c>
      <c r="H357" s="15" t="s">
        <v>1525</v>
      </c>
      <c r="I357" s="15">
        <v>201409</v>
      </c>
      <c r="J357" s="16">
        <v>-480.27</v>
      </c>
      <c r="K357" s="171">
        <f t="shared" si="29"/>
        <v>9</v>
      </c>
      <c r="L357" s="17">
        <v>1.4833299999999999E-3</v>
      </c>
      <c r="M357" s="16">
        <f t="shared" si="30"/>
        <v>-6.41</v>
      </c>
      <c r="N357" s="16">
        <f t="shared" si="31"/>
        <v>-8.5500000000000007</v>
      </c>
      <c r="O357" s="14"/>
      <c r="P357" s="210" t="str">
        <f>VLOOKUP(C357,'WO Descriptions'!$A$5:$D$345,4)</f>
        <v>Approved by: Gary Williams on 03/17/2014,  To lay 558' of 4"PE main to replace 558' of 4" bare steel main due to down project. Also replace 180'of 2" cs with 2"PE. Cost per foot:$34.36. ID:C-O1: MOP :14oz MAOP:21oz Design MAOP:14oz Pressure Test: 100 PSIG.</v>
      </c>
    </row>
    <row r="358" spans="1:16" ht="75" outlineLevel="2">
      <c r="A358" s="14" t="s">
        <v>54</v>
      </c>
      <c r="B358" s="15" t="s">
        <v>561</v>
      </c>
      <c r="C358" s="15" t="s">
        <v>562</v>
      </c>
      <c r="D358" s="14" t="s">
        <v>563</v>
      </c>
      <c r="E358" s="15" t="s">
        <v>58</v>
      </c>
      <c r="F358" s="14" t="s">
        <v>22</v>
      </c>
      <c r="G358" s="15" t="s">
        <v>23</v>
      </c>
      <c r="H358" s="15" t="s">
        <v>1525</v>
      </c>
      <c r="I358" s="15">
        <v>201409</v>
      </c>
      <c r="J358" s="16">
        <v>-363.06</v>
      </c>
      <c r="K358" s="171">
        <f t="shared" si="29"/>
        <v>9</v>
      </c>
      <c r="L358" s="17">
        <v>1.4833299999999999E-3</v>
      </c>
      <c r="M358" s="16">
        <f t="shared" si="30"/>
        <v>-4.8499999999999996</v>
      </c>
      <c r="N358" s="16">
        <f t="shared" si="31"/>
        <v>-6.46</v>
      </c>
      <c r="O358" s="14"/>
      <c r="P358" s="210" t="str">
        <f>VLOOKUP(C358,'WO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359" spans="1:16" ht="60" outlineLevel="2">
      <c r="A359" s="14" t="s">
        <v>54</v>
      </c>
      <c r="B359" s="15" t="s">
        <v>575</v>
      </c>
      <c r="C359" s="15" t="s">
        <v>576</v>
      </c>
      <c r="D359" s="14" t="s">
        <v>577</v>
      </c>
      <c r="E359" s="15" t="s">
        <v>462</v>
      </c>
      <c r="F359" s="14" t="s">
        <v>142</v>
      </c>
      <c r="G359" s="15" t="s">
        <v>23</v>
      </c>
      <c r="H359" s="15" t="s">
        <v>1525</v>
      </c>
      <c r="I359" s="15">
        <v>201409</v>
      </c>
      <c r="J359" s="16">
        <v>-1935.85</v>
      </c>
      <c r="K359" s="171">
        <f t="shared" si="29"/>
        <v>9</v>
      </c>
      <c r="L359" s="17">
        <v>1.4833299999999999E-3</v>
      </c>
      <c r="M359" s="16">
        <f t="shared" si="30"/>
        <v>-25.84</v>
      </c>
      <c r="N359" s="16">
        <f t="shared" si="31"/>
        <v>-34.46</v>
      </c>
      <c r="O359" s="14"/>
      <c r="P359" s="210" t="str">
        <f>VLOOKUP(C359,'WO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360" spans="1:16" ht="135" outlineLevel="2">
      <c r="A360" s="18" t="s">
        <v>54</v>
      </c>
      <c r="B360" s="15" t="s">
        <v>707</v>
      </c>
      <c r="C360" s="15" t="s">
        <v>708</v>
      </c>
      <c r="D360" s="14" t="s">
        <v>709</v>
      </c>
      <c r="E360" s="15" t="s">
        <v>62</v>
      </c>
      <c r="F360" s="14" t="s">
        <v>22</v>
      </c>
      <c r="G360" s="15" t="s">
        <v>23</v>
      </c>
      <c r="H360" s="15" t="s">
        <v>1525</v>
      </c>
      <c r="I360" s="15">
        <v>201409</v>
      </c>
      <c r="J360" s="16">
        <v>-1477.33</v>
      </c>
      <c r="K360" s="171">
        <f t="shared" si="29"/>
        <v>9</v>
      </c>
      <c r="L360" s="17">
        <v>1.4833299999999999E-3</v>
      </c>
      <c r="M360" s="16">
        <f t="shared" si="30"/>
        <v>-19.72</v>
      </c>
      <c r="N360" s="16">
        <f t="shared" si="31"/>
        <v>-26.3</v>
      </c>
      <c r="O360" s="14"/>
      <c r="P360" s="210" t="str">
        <f>VLOOKUP(C360,'WO Descriptions'!$A$5:$D$345,4)</f>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
    </row>
    <row r="361" spans="1:16" ht="105" outlineLevel="2">
      <c r="A361" s="18" t="s">
        <v>54</v>
      </c>
      <c r="B361" s="15" t="s">
        <v>719</v>
      </c>
      <c r="C361" s="15" t="s">
        <v>720</v>
      </c>
      <c r="D361" s="14" t="s">
        <v>721</v>
      </c>
      <c r="E361" s="15" t="s">
        <v>27</v>
      </c>
      <c r="F361" s="14" t="s">
        <v>28</v>
      </c>
      <c r="G361" s="15" t="s">
        <v>23</v>
      </c>
      <c r="H361" s="15" t="s">
        <v>1525</v>
      </c>
      <c r="I361" s="15">
        <v>201409</v>
      </c>
      <c r="J361" s="16">
        <v>-622.91</v>
      </c>
      <c r="K361" s="171">
        <f t="shared" si="29"/>
        <v>9</v>
      </c>
      <c r="L361" s="17">
        <v>1.4833299999999999E-3</v>
      </c>
      <c r="M361" s="16">
        <f t="shared" si="30"/>
        <v>-8.32</v>
      </c>
      <c r="N361" s="16">
        <f t="shared" si="31"/>
        <v>-11.09</v>
      </c>
      <c r="O361" s="14"/>
      <c r="P361" s="210" t="str">
        <f>VLOOKUP(C361,'WO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362" spans="1:16" ht="60" outlineLevel="2">
      <c r="A362" s="14" t="s">
        <v>54</v>
      </c>
      <c r="B362" s="15" t="s">
        <v>792</v>
      </c>
      <c r="C362" s="15" t="s">
        <v>793</v>
      </c>
      <c r="D362" s="14" t="s">
        <v>794</v>
      </c>
      <c r="E362" s="15" t="s">
        <v>58</v>
      </c>
      <c r="F362" s="14" t="s">
        <v>22</v>
      </c>
      <c r="G362" s="15" t="s">
        <v>23</v>
      </c>
      <c r="H362" s="15" t="s">
        <v>1525</v>
      </c>
      <c r="I362" s="15">
        <v>201409</v>
      </c>
      <c r="J362" s="16">
        <v>-672.99</v>
      </c>
      <c r="K362" s="171">
        <f t="shared" si="29"/>
        <v>9</v>
      </c>
      <c r="L362" s="17">
        <v>1.4833299999999999E-3</v>
      </c>
      <c r="M362" s="16">
        <f t="shared" si="30"/>
        <v>-8.98</v>
      </c>
      <c r="N362" s="16">
        <f t="shared" si="31"/>
        <v>-11.98</v>
      </c>
      <c r="O362" s="14"/>
      <c r="P362" s="210" t="str">
        <f>VLOOKUP(C362,'WO Descriptions'!$A$5:$D$345,4)</f>
        <v>Approved by: Galen Shoemaker on 12/03/2013,  Replace 588' 2" PBS &amp; 15' 2" PE with 645' of 2" PE due to leakage issues.  Project location: Florida Ave between Yuma St. &amp; Windsor St.  Pressure System: C-100.  MOP: 30 PSIG.  MAOP: 30 PSIG.  Design: 58 PSIG.  Test: 100 PSIG.  Price Per Foot: $38.35.</v>
      </c>
    </row>
    <row r="363" spans="1:16" ht="75" outlineLevel="2">
      <c r="A363" s="14" t="s">
        <v>54</v>
      </c>
      <c r="B363" s="15" t="s">
        <v>816</v>
      </c>
      <c r="C363" s="15" t="s">
        <v>817</v>
      </c>
      <c r="D363" s="14" t="s">
        <v>818</v>
      </c>
      <c r="E363" s="15" t="s">
        <v>62</v>
      </c>
      <c r="F363" s="14" t="s">
        <v>22</v>
      </c>
      <c r="G363" s="15" t="s">
        <v>23</v>
      </c>
      <c r="H363" s="15" t="s">
        <v>1525</v>
      </c>
      <c r="I363" s="15">
        <v>201409</v>
      </c>
      <c r="J363" s="16">
        <v>-900.72</v>
      </c>
      <c r="K363" s="171">
        <f t="shared" si="29"/>
        <v>9</v>
      </c>
      <c r="L363" s="17">
        <v>1.4833299999999999E-3</v>
      </c>
      <c r="M363" s="16">
        <f t="shared" si="30"/>
        <v>-12.02</v>
      </c>
      <c r="N363" s="16">
        <f t="shared" si="31"/>
        <v>-16.03</v>
      </c>
      <c r="O363" s="14"/>
      <c r="P363" s="210" t="str">
        <f>VLOOKUP(C363,'WO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364" spans="1:16" ht="45" outlineLevel="2">
      <c r="A364" s="14" t="s">
        <v>54</v>
      </c>
      <c r="B364" s="15" t="s">
        <v>827</v>
      </c>
      <c r="C364" s="15" t="s">
        <v>828</v>
      </c>
      <c r="D364" s="14" t="s">
        <v>829</v>
      </c>
      <c r="E364" s="15" t="s">
        <v>62</v>
      </c>
      <c r="F364" s="14" t="s">
        <v>22</v>
      </c>
      <c r="G364" s="15" t="s">
        <v>23</v>
      </c>
      <c r="H364" s="15" t="s">
        <v>1525</v>
      </c>
      <c r="I364" s="15">
        <v>201409</v>
      </c>
      <c r="J364" s="16">
        <v>-72.66</v>
      </c>
      <c r="K364" s="171">
        <f t="shared" si="29"/>
        <v>9</v>
      </c>
      <c r="L364" s="17">
        <v>1.4833299999999999E-3</v>
      </c>
      <c r="M364" s="16">
        <f t="shared" si="30"/>
        <v>-0.97</v>
      </c>
      <c r="N364" s="16">
        <f t="shared" si="31"/>
        <v>-1.29</v>
      </c>
      <c r="O364" s="14"/>
      <c r="P364" s="210" t="str">
        <f>VLOOKUP(C364,'WO Descriptions'!$A$5:$D$345,4)</f>
        <v>Approved by: Ralph Janes on 04/04/2014,  Replace and abandon 520' - 2" pbs main (Work order unknown 1940) by installing 130' - 2" pe to clear 2 active leaks and due to condition of pipe.  (ISRS)</v>
      </c>
    </row>
    <row r="365" spans="1:16" ht="60" outlineLevel="2">
      <c r="A365" s="14" t="s">
        <v>54</v>
      </c>
      <c r="B365" s="15" t="s">
        <v>836</v>
      </c>
      <c r="C365" s="15" t="s">
        <v>837</v>
      </c>
      <c r="D365" s="14" t="s">
        <v>838</v>
      </c>
      <c r="E365" s="15" t="s">
        <v>21</v>
      </c>
      <c r="F365" s="14" t="s">
        <v>22</v>
      </c>
      <c r="G365" s="15" t="s">
        <v>23</v>
      </c>
      <c r="H365" s="15" t="s">
        <v>1525</v>
      </c>
      <c r="I365" s="15">
        <v>201409</v>
      </c>
      <c r="J365" s="16">
        <v>-828.96</v>
      </c>
      <c r="K365" s="171">
        <f t="shared" si="29"/>
        <v>9</v>
      </c>
      <c r="L365" s="17">
        <v>1.4833299999999999E-3</v>
      </c>
      <c r="M365" s="16">
        <f t="shared" si="30"/>
        <v>-11.07</v>
      </c>
      <c r="N365" s="16">
        <f t="shared" si="31"/>
        <v>-14.76</v>
      </c>
      <c r="O365" s="14"/>
      <c r="P365" s="210" t="str">
        <f>VLOOKUP(C365,'WO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366" spans="1:16" ht="135" outlineLevel="2">
      <c r="A366" s="14" t="s">
        <v>54</v>
      </c>
      <c r="B366" s="15" t="s">
        <v>846</v>
      </c>
      <c r="C366" s="15" t="s">
        <v>847</v>
      </c>
      <c r="D366" s="14" t="s">
        <v>848</v>
      </c>
      <c r="E366" s="15" t="s">
        <v>141</v>
      </c>
      <c r="F366" s="14" t="s">
        <v>142</v>
      </c>
      <c r="G366" s="15" t="s">
        <v>23</v>
      </c>
      <c r="H366" s="15" t="s">
        <v>1525</v>
      </c>
      <c r="I366" s="15">
        <v>201409</v>
      </c>
      <c r="J366" s="16">
        <v>1253310.78</v>
      </c>
      <c r="K366" s="171">
        <f t="shared" si="29"/>
        <v>9</v>
      </c>
      <c r="L366" s="17">
        <v>1.4833299999999999E-3</v>
      </c>
      <c r="M366" s="16">
        <f t="shared" si="30"/>
        <v>16731.66</v>
      </c>
      <c r="N366" s="16">
        <f t="shared" si="31"/>
        <v>22308.880000000001</v>
      </c>
      <c r="O366" s="14"/>
      <c r="P366" s="210" t="str">
        <f>VLOOKUP(C366,'WO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367" spans="1:16" ht="45" outlineLevel="2">
      <c r="A367" s="14" t="s">
        <v>54</v>
      </c>
      <c r="B367" s="15" t="s">
        <v>855</v>
      </c>
      <c r="C367" s="15" t="s">
        <v>856</v>
      </c>
      <c r="D367" s="14" t="s">
        <v>857</v>
      </c>
      <c r="E367" s="15" t="s">
        <v>62</v>
      </c>
      <c r="F367" s="14" t="s">
        <v>22</v>
      </c>
      <c r="G367" s="15" t="s">
        <v>23</v>
      </c>
      <c r="H367" s="15" t="s">
        <v>1525</v>
      </c>
      <c r="I367" s="15">
        <v>201409</v>
      </c>
      <c r="J367" s="16">
        <v>1326.56</v>
      </c>
      <c r="K367" s="171">
        <f t="shared" si="29"/>
        <v>9</v>
      </c>
      <c r="L367" s="17">
        <v>1.4833299999999999E-3</v>
      </c>
      <c r="M367" s="16">
        <f t="shared" si="30"/>
        <v>17.71</v>
      </c>
      <c r="N367" s="16">
        <f t="shared" si="31"/>
        <v>23.61</v>
      </c>
      <c r="O367" s="14"/>
      <c r="P367" s="210" t="str">
        <f>VLOOKUP(C367,'WO Descriptions'!$A$5:$D$345,4)</f>
        <v>Approved by: Ralph Janes on 04/18/2014,  Replace 436' - 4" PBS (WO# 202) with 440' - 4" PE. The existing main is actively leaking and is isolated bare steel. Price per ft = $65.38 due to 12 tie-overs and anticipated paving repairs. (ISRS)</v>
      </c>
    </row>
    <row r="368" spans="1:16" ht="180" outlineLevel="2">
      <c r="A368" s="14" t="s">
        <v>54</v>
      </c>
      <c r="B368" s="15" t="s">
        <v>858</v>
      </c>
      <c r="C368" s="15" t="s">
        <v>859</v>
      </c>
      <c r="D368" s="14" t="s">
        <v>860</v>
      </c>
      <c r="E368" s="15" t="s">
        <v>62</v>
      </c>
      <c r="F368" s="14" t="s">
        <v>22</v>
      </c>
      <c r="G368" s="15" t="s">
        <v>23</v>
      </c>
      <c r="H368" s="15" t="s">
        <v>1525</v>
      </c>
      <c r="I368" s="15">
        <v>201409</v>
      </c>
      <c r="J368" s="16">
        <v>89949.2</v>
      </c>
      <c r="K368" s="171">
        <f t="shared" si="29"/>
        <v>9</v>
      </c>
      <c r="L368" s="17">
        <v>1.4833299999999999E-3</v>
      </c>
      <c r="M368" s="16">
        <f t="shared" si="30"/>
        <v>1200.82</v>
      </c>
      <c r="N368" s="16">
        <f t="shared" si="31"/>
        <v>1601.09</v>
      </c>
      <c r="O368" s="14"/>
      <c r="P368" s="210" t="str">
        <f>VLOOKUP(C368,'WO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369" spans="1:16" ht="30" outlineLevel="2">
      <c r="A369" s="14" t="s">
        <v>54</v>
      </c>
      <c r="B369" s="15" t="s">
        <v>861</v>
      </c>
      <c r="C369" s="15" t="s">
        <v>862</v>
      </c>
      <c r="D369" s="14" t="s">
        <v>863</v>
      </c>
      <c r="E369" s="15" t="s">
        <v>45</v>
      </c>
      <c r="F369" s="14" t="s">
        <v>22</v>
      </c>
      <c r="G369" s="15" t="s">
        <v>23</v>
      </c>
      <c r="H369" s="15" t="s">
        <v>1525</v>
      </c>
      <c r="I369" s="15">
        <v>201409</v>
      </c>
      <c r="J369" s="16">
        <v>-304.48</v>
      </c>
      <c r="K369" s="171">
        <f t="shared" si="29"/>
        <v>9</v>
      </c>
      <c r="L369" s="17">
        <v>1.4833299999999999E-3</v>
      </c>
      <c r="M369" s="16">
        <f t="shared" si="30"/>
        <v>-4.0599999999999996</v>
      </c>
      <c r="N369" s="16">
        <f t="shared" si="31"/>
        <v>-5.42</v>
      </c>
      <c r="O369" s="14"/>
      <c r="P369" s="210" t="str">
        <f>VLOOKUP(C369,'WO Descriptions'!$A$5:$D$345,4)</f>
        <v>Approved by: Gary Williams on 04/22/2014,  Replace 4'' PBS that is leaking with 4'' PE. Tie in 58' NNC Franklin and 30' SSC Franklin. Ensure north side is 4'WEC. Pressure System - C-001.</v>
      </c>
    </row>
    <row r="370" spans="1:16" ht="45" outlineLevel="2">
      <c r="A370" s="14" t="s">
        <v>54</v>
      </c>
      <c r="B370" s="15" t="s">
        <v>864</v>
      </c>
      <c r="C370" s="15" t="s">
        <v>865</v>
      </c>
      <c r="D370" s="14" t="s">
        <v>866</v>
      </c>
      <c r="E370" s="15" t="s">
        <v>141</v>
      </c>
      <c r="F370" s="14" t="s">
        <v>142</v>
      </c>
      <c r="G370" s="15" t="s">
        <v>23</v>
      </c>
      <c r="H370" s="15" t="s">
        <v>1525</v>
      </c>
      <c r="I370" s="15">
        <v>201409</v>
      </c>
      <c r="J370" s="16">
        <v>-738.77</v>
      </c>
      <c r="K370" s="171">
        <f t="shared" si="29"/>
        <v>9</v>
      </c>
      <c r="L370" s="17">
        <v>1.4833299999999999E-3</v>
      </c>
      <c r="M370" s="16">
        <f t="shared" si="30"/>
        <v>-9.86</v>
      </c>
      <c r="N370" s="16">
        <f t="shared" si="31"/>
        <v>-13.15</v>
      </c>
      <c r="O370" s="14"/>
      <c r="P370" s="210" t="str">
        <f>VLOOKUP(C370,'WO Descriptions'!$A$5:$D$345,4)</f>
        <v>Approved by: Gary Williams on 04/28/2014,  TO LAY 542FT -6IN PE MAIN,REPLACE 542FT-10IN CI MAIN (WO#94-0724 330FT,WO#77-1701 73FT,WO#06-0843 110FT). THIS WORK ORDER IS NECESSARY DUE TO LEAKAGE</v>
      </c>
    </row>
    <row r="371" spans="1:16" ht="45" outlineLevel="2">
      <c r="A371" s="14" t="s">
        <v>54</v>
      </c>
      <c r="B371" s="15" t="s">
        <v>867</v>
      </c>
      <c r="C371" s="15" t="s">
        <v>868</v>
      </c>
      <c r="D371" s="14" t="s">
        <v>869</v>
      </c>
      <c r="E371" s="15" t="s">
        <v>36</v>
      </c>
      <c r="F371" s="14" t="s">
        <v>22</v>
      </c>
      <c r="G371" s="15" t="s">
        <v>23</v>
      </c>
      <c r="H371" s="15" t="s">
        <v>1525</v>
      </c>
      <c r="I371" s="15">
        <v>201409</v>
      </c>
      <c r="J371" s="16">
        <v>-73.569999999999993</v>
      </c>
      <c r="K371" s="171">
        <f t="shared" si="29"/>
        <v>9</v>
      </c>
      <c r="L371" s="17">
        <v>1.4833299999999999E-3</v>
      </c>
      <c r="M371" s="16">
        <f t="shared" si="30"/>
        <v>-0.98</v>
      </c>
      <c r="N371" s="16">
        <f t="shared" si="31"/>
        <v>-1.31</v>
      </c>
      <c r="O371" s="14"/>
      <c r="P371" s="210" t="str">
        <f>VLOOKUP(C371,'WO Descriptions'!$A$5:$D$345,4)</f>
        <v>Approved by: Gary Williams on 04/28/2014,  To lay 450' of 4"PE main to replace 450' of 4" bare steel main due to down project. Pressure System: C-O1: MOP : .88oz MAOP: .88oz Design MAOP: .88oz Pressure Test: 100 PSIG.</v>
      </c>
    </row>
    <row r="372" spans="1:16" ht="30" outlineLevel="2">
      <c r="A372" s="14" t="s">
        <v>54</v>
      </c>
      <c r="B372" s="15" t="s">
        <v>870</v>
      </c>
      <c r="C372" s="15" t="s">
        <v>871</v>
      </c>
      <c r="D372" s="14" t="s">
        <v>872</v>
      </c>
      <c r="E372" s="15" t="s">
        <v>108</v>
      </c>
      <c r="F372" s="14" t="s">
        <v>28</v>
      </c>
      <c r="G372" s="15" t="s">
        <v>23</v>
      </c>
      <c r="H372" s="15" t="s">
        <v>1525</v>
      </c>
      <c r="I372" s="15">
        <v>201409</v>
      </c>
      <c r="J372" s="16">
        <v>-159.66</v>
      </c>
      <c r="K372" s="171">
        <f t="shared" si="29"/>
        <v>9</v>
      </c>
      <c r="L372" s="17">
        <v>1.4833299999999999E-3</v>
      </c>
      <c r="M372" s="16">
        <f t="shared" si="30"/>
        <v>-2.13</v>
      </c>
      <c r="N372" s="16">
        <f t="shared" si="31"/>
        <v>-2.84</v>
      </c>
      <c r="O372" s="14"/>
      <c r="P372" s="210" t="str">
        <f>VLOOKUP(C372,'WO Descriptions'!$A$5:$D$345,4)</f>
        <v>Approved by: Gary Williams on 04/28/2014,  TO LAY 103FT-2IN PE MAIN TO REPLACE 103FT-1 1/8 PE (WO#74-2599). Due to increased load.</v>
      </c>
    </row>
    <row r="373" spans="1:16" ht="45" outlineLevel="2">
      <c r="A373" s="14" t="s">
        <v>54</v>
      </c>
      <c r="B373" s="15" t="s">
        <v>873</v>
      </c>
      <c r="C373" s="15" t="s">
        <v>874</v>
      </c>
      <c r="D373" s="14" t="s">
        <v>875</v>
      </c>
      <c r="E373" s="15" t="s">
        <v>36</v>
      </c>
      <c r="F373" s="14" t="s">
        <v>22</v>
      </c>
      <c r="G373" s="15" t="s">
        <v>23</v>
      </c>
      <c r="H373" s="15" t="s">
        <v>1525</v>
      </c>
      <c r="I373" s="15">
        <v>201409</v>
      </c>
      <c r="J373" s="16">
        <v>-132.54</v>
      </c>
      <c r="K373" s="171">
        <f t="shared" si="29"/>
        <v>9</v>
      </c>
      <c r="L373" s="17">
        <v>1.4833299999999999E-3</v>
      </c>
      <c r="M373" s="16">
        <f t="shared" si="30"/>
        <v>-1.77</v>
      </c>
      <c r="N373" s="16">
        <f t="shared" si="31"/>
        <v>-2.36</v>
      </c>
      <c r="O373" s="14"/>
      <c r="P373" s="210" t="str">
        <f>VLOOKUP(C373,'WO Descriptions'!$A$5:$D$345,4)</f>
        <v>Approved by: Gary Williams on 04/28/2014,  To lay 150' of 4"PE main to replace 150' of 4" bare steel main due to down project. System: C-O1: MOP :14oz MAOP : .88oz Design MAOP : .88oz Pressure Test: 100 PSIG.</v>
      </c>
    </row>
    <row r="374" spans="1:16" ht="60" outlineLevel="2">
      <c r="A374" s="14" t="s">
        <v>54</v>
      </c>
      <c r="B374" s="15" t="s">
        <v>882</v>
      </c>
      <c r="C374" s="15" t="s">
        <v>883</v>
      </c>
      <c r="D374" s="14" t="s">
        <v>884</v>
      </c>
      <c r="E374" s="15" t="s">
        <v>216</v>
      </c>
      <c r="F374" s="14" t="s">
        <v>22</v>
      </c>
      <c r="G374" s="15" t="s">
        <v>23</v>
      </c>
      <c r="H374" s="15" t="s">
        <v>1525</v>
      </c>
      <c r="I374" s="15">
        <v>201409</v>
      </c>
      <c r="J374" s="16">
        <v>-114.88</v>
      </c>
      <c r="K374" s="171">
        <f t="shared" si="29"/>
        <v>9</v>
      </c>
      <c r="L374" s="17">
        <v>1.4833299999999999E-3</v>
      </c>
      <c r="M374" s="16">
        <f t="shared" si="30"/>
        <v>-1.53</v>
      </c>
      <c r="N374" s="16">
        <f t="shared" si="31"/>
        <v>-2.04</v>
      </c>
      <c r="O374" s="14"/>
      <c r="P374" s="210" t="str">
        <f>VLOOKUP(C374,'WO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375" spans="1:16" ht="30" outlineLevel="2">
      <c r="A375" s="14" t="s">
        <v>54</v>
      </c>
      <c r="B375" s="15" t="s">
        <v>885</v>
      </c>
      <c r="C375" s="15" t="s">
        <v>886</v>
      </c>
      <c r="D375" s="14" t="s">
        <v>887</v>
      </c>
      <c r="E375" s="15" t="s">
        <v>141</v>
      </c>
      <c r="F375" s="14" t="s">
        <v>142</v>
      </c>
      <c r="G375" s="15" t="s">
        <v>23</v>
      </c>
      <c r="H375" s="15" t="s">
        <v>1525</v>
      </c>
      <c r="I375" s="15">
        <v>201409</v>
      </c>
      <c r="J375" s="16">
        <v>45.46</v>
      </c>
      <c r="K375" s="171">
        <f t="shared" si="29"/>
        <v>9</v>
      </c>
      <c r="L375" s="17">
        <v>1.4833299999999999E-3</v>
      </c>
      <c r="M375" s="16">
        <f t="shared" si="30"/>
        <v>0.61</v>
      </c>
      <c r="N375" s="16">
        <f t="shared" si="31"/>
        <v>0.81</v>
      </c>
      <c r="O375" s="14"/>
      <c r="P375" s="210" t="str">
        <f>VLOOKUP(C375,'WO Descriptions'!$A$5:$D$345,4)</f>
        <v>Approved by: Kevin Driskell on 05/13/2014,  6'' CI was replaced with 6'' PE. Pressure system - C-001</v>
      </c>
    </row>
    <row r="376" spans="1:16" ht="75" outlineLevel="2">
      <c r="A376" s="14" t="s">
        <v>54</v>
      </c>
      <c r="B376" s="15" t="s">
        <v>888</v>
      </c>
      <c r="C376" s="15" t="s">
        <v>889</v>
      </c>
      <c r="D376" s="14" t="s">
        <v>890</v>
      </c>
      <c r="E376" s="15" t="s">
        <v>32</v>
      </c>
      <c r="F376" s="14" t="s">
        <v>22</v>
      </c>
      <c r="G376" s="15" t="s">
        <v>23</v>
      </c>
      <c r="H376" s="15" t="s">
        <v>1525</v>
      </c>
      <c r="I376" s="15">
        <v>201409</v>
      </c>
      <c r="J376" s="16">
        <v>-1910.67</v>
      </c>
      <c r="K376" s="171">
        <f t="shared" si="29"/>
        <v>9</v>
      </c>
      <c r="L376" s="17">
        <v>1.4833299999999999E-3</v>
      </c>
      <c r="M376" s="16">
        <f t="shared" si="30"/>
        <v>-25.51</v>
      </c>
      <c r="N376" s="16">
        <f t="shared" si="31"/>
        <v>-34.01</v>
      </c>
      <c r="O376" s="14"/>
      <c r="P376" s="210" t="str">
        <f>VLOOKUP(C376,'WO Descriptions'!$A$5:$D$345,4)</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row>
    <row r="377" spans="1:16" ht="30" outlineLevel="2">
      <c r="A377" s="14" t="s">
        <v>54</v>
      </c>
      <c r="B377" s="15" t="s">
        <v>897</v>
      </c>
      <c r="C377" s="15" t="s">
        <v>898</v>
      </c>
      <c r="D377" s="14" t="s">
        <v>899</v>
      </c>
      <c r="E377" s="15" t="s">
        <v>45</v>
      </c>
      <c r="F377" s="14" t="s">
        <v>22</v>
      </c>
      <c r="G377" s="15" t="s">
        <v>23</v>
      </c>
      <c r="H377" s="15" t="s">
        <v>1525</v>
      </c>
      <c r="I377" s="15">
        <v>201409</v>
      </c>
      <c r="J377" s="16">
        <v>-4885.22</v>
      </c>
      <c r="K377" s="171">
        <f t="shared" si="29"/>
        <v>9</v>
      </c>
      <c r="L377" s="17">
        <v>1.4833299999999999E-3</v>
      </c>
      <c r="M377" s="16">
        <f t="shared" si="30"/>
        <v>-65.22</v>
      </c>
      <c r="N377" s="16">
        <f t="shared" si="31"/>
        <v>-86.96</v>
      </c>
      <c r="O377" s="14"/>
      <c r="P377" s="210" t="str">
        <f>VLOOKUP(C377,'WO Descriptions'!$A$5:$D$345,4)</f>
        <v>Approved by: Steve Holcomb on 05/28/2014,  Replace 4'' PBS, 4'' PCS, and 3'' PCS with 2" and 4" PE due to down project. Pressure System - C-02</v>
      </c>
    </row>
    <row r="378" spans="1:16" ht="45" outlineLevel="2">
      <c r="A378" s="14" t="s">
        <v>54</v>
      </c>
      <c r="B378" s="15" t="s">
        <v>900</v>
      </c>
      <c r="C378" s="15" t="s">
        <v>901</v>
      </c>
      <c r="D378" s="14" t="s">
        <v>902</v>
      </c>
      <c r="E378" s="15" t="s">
        <v>462</v>
      </c>
      <c r="F378" s="14" t="s">
        <v>142</v>
      </c>
      <c r="G378" s="15" t="s">
        <v>23</v>
      </c>
      <c r="H378" s="15" t="s">
        <v>1525</v>
      </c>
      <c r="I378" s="15">
        <v>201409</v>
      </c>
      <c r="J378" s="16">
        <v>1294.2</v>
      </c>
      <c r="K378" s="171">
        <f t="shared" si="29"/>
        <v>9</v>
      </c>
      <c r="L378" s="17">
        <v>1.4833299999999999E-3</v>
      </c>
      <c r="M378" s="16">
        <f t="shared" si="30"/>
        <v>17.28</v>
      </c>
      <c r="N378" s="16">
        <f t="shared" si="31"/>
        <v>23.04</v>
      </c>
      <c r="O378" s="14"/>
      <c r="P378" s="210" t="str">
        <f>VLOOKUP(C378,'WO Descriptions'!$A$5:$D$345,4)</f>
        <v>Approved by: Kevin Driskell on 06/05/2014,  ISRS LAY 101' - 4" PE DUE TO LEAK ON EXISTING 4" CI MAIN ON EAST SIDE OF BROOKLYN AVE.  ABANDON 112'-4" CI (UNKNOWN W.O.).  ONE WAY FEED.</v>
      </c>
    </row>
    <row r="379" spans="1:16" ht="30" outlineLevel="2">
      <c r="A379" s="14" t="s">
        <v>54</v>
      </c>
      <c r="B379" s="15" t="s">
        <v>906</v>
      </c>
      <c r="C379" s="15" t="s">
        <v>907</v>
      </c>
      <c r="D379" s="14" t="s">
        <v>908</v>
      </c>
      <c r="E379" s="15" t="s">
        <v>909</v>
      </c>
      <c r="F379" s="14" t="s">
        <v>22</v>
      </c>
      <c r="G379" s="15" t="s">
        <v>23</v>
      </c>
      <c r="H379" s="15" t="s">
        <v>1525</v>
      </c>
      <c r="I379" s="15">
        <v>201409</v>
      </c>
      <c r="J379" s="16">
        <v>-193.96</v>
      </c>
      <c r="K379" s="171">
        <f t="shared" si="29"/>
        <v>9</v>
      </c>
      <c r="L379" s="17">
        <v>1.4833299999999999E-3</v>
      </c>
      <c r="M379" s="16">
        <f t="shared" si="30"/>
        <v>-2.59</v>
      </c>
      <c r="N379" s="16">
        <f t="shared" si="31"/>
        <v>-3.45</v>
      </c>
      <c r="O379" s="14"/>
      <c r="P379" s="210" t="str">
        <f>VLOOKUP(C379,'WO Descriptions'!$A$5:$D$345,4)</f>
        <v>Approved by: Gary Williams on 06/10/2014,  Replace PBS due to down project. Pressure system C-01</v>
      </c>
    </row>
    <row r="380" spans="1:16" outlineLevel="2">
      <c r="A380" s="14" t="s">
        <v>54</v>
      </c>
      <c r="B380" s="15" t="s">
        <v>913</v>
      </c>
      <c r="C380" s="15" t="s">
        <v>914</v>
      </c>
      <c r="D380" s="14" t="s">
        <v>915</v>
      </c>
      <c r="E380" s="15" t="s">
        <v>36</v>
      </c>
      <c r="F380" s="14" t="s">
        <v>22</v>
      </c>
      <c r="G380" s="15" t="s">
        <v>23</v>
      </c>
      <c r="H380" s="15" t="s">
        <v>1525</v>
      </c>
      <c r="I380" s="15">
        <v>201409</v>
      </c>
      <c r="J380" s="16">
        <v>10702.77</v>
      </c>
      <c r="K380" s="171">
        <f t="shared" si="29"/>
        <v>9</v>
      </c>
      <c r="L380" s="17">
        <v>1.4833299999999999E-3</v>
      </c>
      <c r="M380" s="16">
        <f t="shared" si="30"/>
        <v>142.88</v>
      </c>
      <c r="N380" s="16">
        <f t="shared" si="31"/>
        <v>190.51</v>
      </c>
      <c r="O380" s="14"/>
      <c r="P380" s="210" t="str">
        <f>VLOOKUP(C380,'WO Descriptions'!$A$5:$D$345,4)</f>
        <v>Approved by: Gary Williams on 06/10/2014,  Replace PBS due to down project</v>
      </c>
    </row>
    <row r="381" spans="1:16" ht="30" outlineLevel="2">
      <c r="A381" s="14" t="s">
        <v>54</v>
      </c>
      <c r="B381" s="15" t="s">
        <v>916</v>
      </c>
      <c r="C381" s="15" t="s">
        <v>917</v>
      </c>
      <c r="D381" s="14" t="s">
        <v>918</v>
      </c>
      <c r="E381" s="15" t="s">
        <v>909</v>
      </c>
      <c r="F381" s="14" t="s">
        <v>22</v>
      </c>
      <c r="G381" s="15" t="s">
        <v>23</v>
      </c>
      <c r="H381" s="15" t="s">
        <v>1525</v>
      </c>
      <c r="I381" s="15">
        <v>201409</v>
      </c>
      <c r="J381" s="16">
        <v>6119.67</v>
      </c>
      <c r="K381" s="171">
        <f t="shared" si="29"/>
        <v>9</v>
      </c>
      <c r="L381" s="17">
        <v>1.4833299999999999E-3</v>
      </c>
      <c r="M381" s="16">
        <f t="shared" si="30"/>
        <v>81.7</v>
      </c>
      <c r="N381" s="16">
        <f t="shared" si="31"/>
        <v>108.93</v>
      </c>
      <c r="O381" s="14"/>
      <c r="P381" s="210" t="str">
        <f>VLOOKUP(C381,'WO Descriptions'!$A$5:$D$345,4)</f>
        <v>Approved by: Gary Williams on 06/10/2014,  Replace PBS due to down project. Pressure system C-01</v>
      </c>
    </row>
    <row r="382" spans="1:16" ht="45" outlineLevel="2">
      <c r="A382" s="14" t="s">
        <v>54</v>
      </c>
      <c r="B382" s="15" t="s">
        <v>926</v>
      </c>
      <c r="C382" s="15" t="s">
        <v>927</v>
      </c>
      <c r="D382" s="14" t="s">
        <v>928</v>
      </c>
      <c r="E382" s="15" t="s">
        <v>141</v>
      </c>
      <c r="F382" s="14" t="s">
        <v>142</v>
      </c>
      <c r="G382" s="15" t="s">
        <v>23</v>
      </c>
      <c r="H382" s="15" t="s">
        <v>1525</v>
      </c>
      <c r="I382" s="15">
        <v>201409</v>
      </c>
      <c r="J382" s="16">
        <v>10991.12</v>
      </c>
      <c r="K382" s="171">
        <f t="shared" si="29"/>
        <v>9</v>
      </c>
      <c r="L382" s="17">
        <v>1.4833299999999999E-3</v>
      </c>
      <c r="M382" s="16">
        <f t="shared" si="30"/>
        <v>146.72999999999999</v>
      </c>
      <c r="N382" s="16">
        <f t="shared" si="31"/>
        <v>195.64</v>
      </c>
      <c r="O382" s="14"/>
      <c r="P382" s="210" t="str">
        <f>VLOOKUP(C382,'WO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383" spans="1:16" ht="30" outlineLevel="2">
      <c r="A383" s="14" t="s">
        <v>54</v>
      </c>
      <c r="B383" s="15" t="s">
        <v>938</v>
      </c>
      <c r="C383" s="15" t="s">
        <v>939</v>
      </c>
      <c r="D383" s="14" t="s">
        <v>940</v>
      </c>
      <c r="E383" s="15" t="s">
        <v>141</v>
      </c>
      <c r="F383" s="14" t="s">
        <v>142</v>
      </c>
      <c r="G383" s="15" t="s">
        <v>23</v>
      </c>
      <c r="H383" s="15" t="s">
        <v>1525</v>
      </c>
      <c r="I383" s="15">
        <v>201409</v>
      </c>
      <c r="J383" s="16">
        <v>32210.09</v>
      </c>
      <c r="K383" s="171">
        <f t="shared" si="29"/>
        <v>9</v>
      </c>
      <c r="L383" s="17">
        <v>1.4833299999999999E-3</v>
      </c>
      <c r="M383" s="16">
        <f t="shared" si="30"/>
        <v>430</v>
      </c>
      <c r="N383" s="16">
        <f t="shared" si="31"/>
        <v>573.34</v>
      </c>
      <c r="O383" s="14"/>
      <c r="P383" s="210" t="str">
        <f>VLOOKUP(C383,'WO Descriptions'!$A$5:$D$345,4)</f>
        <v>Approved by: Steve Holcomb on 06/30/2014,  Replace 8'' CI WITH 6'' PE DUE TO LEAKS. PRESSURE SYSTEM C-01</v>
      </c>
    </row>
    <row r="384" spans="1:16" ht="45" outlineLevel="2">
      <c r="A384" s="14" t="s">
        <v>54</v>
      </c>
      <c r="B384" s="15" t="s">
        <v>950</v>
      </c>
      <c r="C384" s="15" t="s">
        <v>951</v>
      </c>
      <c r="D384" s="14" t="s">
        <v>952</v>
      </c>
      <c r="E384" s="15" t="s">
        <v>141</v>
      </c>
      <c r="F384" s="14" t="s">
        <v>142</v>
      </c>
      <c r="G384" s="15" t="s">
        <v>23</v>
      </c>
      <c r="H384" s="15" t="s">
        <v>1525</v>
      </c>
      <c r="I384" s="15">
        <v>201409</v>
      </c>
      <c r="J384" s="16">
        <v>84619.839999999997</v>
      </c>
      <c r="K384" s="171">
        <f t="shared" si="29"/>
        <v>9</v>
      </c>
      <c r="L384" s="17">
        <v>1.4833299999999999E-3</v>
      </c>
      <c r="M384" s="16">
        <f t="shared" si="30"/>
        <v>1129.67</v>
      </c>
      <c r="N384" s="16">
        <f t="shared" si="31"/>
        <v>1506.23</v>
      </c>
      <c r="O384" s="14"/>
      <c r="P384" s="210" t="str">
        <f>VLOOKUP(C384,'WO Descriptions'!$A$5:$D$345,4)</f>
        <v>Approved by: Steve Holcomb on 07/09/2014,  Replace 4'' and 6'' CI main due to graphitization. CI break 12-1018 - 122' NNC of 50th St and 4' EEC of highland. Due 09-28-2014. Pressure System C-001</v>
      </c>
    </row>
    <row r="385" spans="1:16" ht="45" outlineLevel="2">
      <c r="A385" s="14" t="s">
        <v>54</v>
      </c>
      <c r="B385" s="15" t="s">
        <v>974</v>
      </c>
      <c r="C385" s="15" t="s">
        <v>975</v>
      </c>
      <c r="D385" s="14" t="s">
        <v>976</v>
      </c>
      <c r="E385" s="15" t="s">
        <v>141</v>
      </c>
      <c r="F385" s="14" t="s">
        <v>142</v>
      </c>
      <c r="G385" s="15" t="s">
        <v>23</v>
      </c>
      <c r="H385" s="15" t="s">
        <v>1525</v>
      </c>
      <c r="I385" s="15">
        <v>201409</v>
      </c>
      <c r="J385" s="16">
        <v>1598.77</v>
      </c>
      <c r="K385" s="171">
        <f t="shared" si="29"/>
        <v>9</v>
      </c>
      <c r="L385" s="17">
        <v>1.4833299999999999E-3</v>
      </c>
      <c r="M385" s="16">
        <f t="shared" si="30"/>
        <v>21.34</v>
      </c>
      <c r="N385" s="16">
        <f t="shared" si="31"/>
        <v>28.46</v>
      </c>
      <c r="O385" s="14"/>
      <c r="P385" s="210" t="str">
        <f>VLOOKUP(C385,'WO Descriptions'!$A$5:$D$345,4)</f>
        <v>Approved by: Kevin Driskell on 07/23/2014,  AOR.  Replace 40' of 4in CI with 4in PE due to exposure of CI coupling.  AOR location: 46' SSCB of 8th Street.  Must be finished by 9-21-2014.  Tie over 3 services.  Replace one service.  COST PER FOOT $554.14</v>
      </c>
    </row>
    <row r="386" spans="1:16" ht="30" outlineLevel="2">
      <c r="A386" s="14" t="s">
        <v>54</v>
      </c>
      <c r="B386" s="15" t="s">
        <v>977</v>
      </c>
      <c r="C386" s="15" t="s">
        <v>978</v>
      </c>
      <c r="D386" s="14" t="s">
        <v>979</v>
      </c>
      <c r="E386" s="15" t="s">
        <v>980</v>
      </c>
      <c r="F386" s="14" t="s">
        <v>259</v>
      </c>
      <c r="G386" s="15" t="s">
        <v>23</v>
      </c>
      <c r="H386" s="15" t="s">
        <v>1525</v>
      </c>
      <c r="I386" s="15">
        <v>201409</v>
      </c>
      <c r="J386" s="16">
        <v>502.39</v>
      </c>
      <c r="K386" s="171">
        <f t="shared" si="29"/>
        <v>9</v>
      </c>
      <c r="L386" s="17">
        <v>1.4833299999999999E-3</v>
      </c>
      <c r="M386" s="16">
        <f t="shared" si="30"/>
        <v>6.71</v>
      </c>
      <c r="N386" s="16">
        <f t="shared" si="31"/>
        <v>8.94</v>
      </c>
      <c r="O386" s="14"/>
      <c r="P386" s="210" t="str">
        <f>VLOOKUP(C386,'WO Descriptions'!$A$5:$D$345,4)</f>
        <v>Approved by: Kevin Driskell on 07/25/2014,  Replace 3' of 2in BS and 4' of 2in PE due to third party damage.</v>
      </c>
    </row>
    <row r="387" spans="1:16" ht="30" outlineLevel="2">
      <c r="A387" s="14" t="s">
        <v>54</v>
      </c>
      <c r="B387" s="15" t="s">
        <v>984</v>
      </c>
      <c r="C387" s="15" t="s">
        <v>985</v>
      </c>
      <c r="D387" s="14" t="s">
        <v>986</v>
      </c>
      <c r="E387" s="15" t="s">
        <v>141</v>
      </c>
      <c r="F387" s="14" t="s">
        <v>142</v>
      </c>
      <c r="G387" s="15" t="s">
        <v>23</v>
      </c>
      <c r="H387" s="15" t="s">
        <v>1525</v>
      </c>
      <c r="I387" s="15">
        <v>201409</v>
      </c>
      <c r="J387" s="16">
        <v>76.45</v>
      </c>
      <c r="K387" s="171">
        <f t="shared" si="29"/>
        <v>9</v>
      </c>
      <c r="L387" s="17">
        <v>1.4833299999999999E-3</v>
      </c>
      <c r="M387" s="16">
        <f t="shared" si="30"/>
        <v>1.02</v>
      </c>
      <c r="N387" s="16">
        <f t="shared" si="31"/>
        <v>1.36</v>
      </c>
      <c r="O387" s="14"/>
      <c r="P387" s="210" t="str">
        <f>VLOOKUP(C387,'WO Descriptions'!$A$5:$D$345,4)</f>
        <v>Approved by: Kevin Driskell on 08/03/2014,  Replaced 6'' CI with 6'' PE due to Cast Iron Break. System C-1.</v>
      </c>
    </row>
    <row r="388" spans="1:16" ht="45" outlineLevel="2">
      <c r="A388" s="14" t="s">
        <v>54</v>
      </c>
      <c r="B388" s="15" t="s">
        <v>1008</v>
      </c>
      <c r="C388" s="15" t="s">
        <v>1009</v>
      </c>
      <c r="D388" s="14" t="s">
        <v>1010</v>
      </c>
      <c r="E388" s="15" t="s">
        <v>49</v>
      </c>
      <c r="F388" s="14" t="s">
        <v>22</v>
      </c>
      <c r="G388" s="15" t="s">
        <v>23</v>
      </c>
      <c r="H388" s="15" t="s">
        <v>1525</v>
      </c>
      <c r="I388" s="15">
        <v>201409</v>
      </c>
      <c r="J388" s="16">
        <v>428.36</v>
      </c>
      <c r="K388" s="171">
        <f t="shared" si="29"/>
        <v>9</v>
      </c>
      <c r="L388" s="17">
        <v>1.4833299999999999E-3</v>
      </c>
      <c r="M388" s="16">
        <f t="shared" si="30"/>
        <v>5.72</v>
      </c>
      <c r="N388" s="16">
        <f t="shared" si="31"/>
        <v>7.62</v>
      </c>
      <c r="O388" s="14"/>
      <c r="P388" s="210" t="str">
        <f>VLOOKUP(C388,'WO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389" spans="1:16" ht="30" outlineLevel="2">
      <c r="A389" s="14" t="s">
        <v>54</v>
      </c>
      <c r="B389" s="15" t="s">
        <v>1011</v>
      </c>
      <c r="C389" s="15" t="s">
        <v>1012</v>
      </c>
      <c r="D389" s="14" t="s">
        <v>1013</v>
      </c>
      <c r="E389" s="15" t="s">
        <v>21</v>
      </c>
      <c r="F389" s="14" t="s">
        <v>22</v>
      </c>
      <c r="G389" s="15" t="s">
        <v>23</v>
      </c>
      <c r="H389" s="15" t="s">
        <v>1525</v>
      </c>
      <c r="I389" s="15">
        <v>201409</v>
      </c>
      <c r="J389" s="16">
        <v>4250.08</v>
      </c>
      <c r="K389" s="171">
        <f t="shared" si="29"/>
        <v>9</v>
      </c>
      <c r="L389" s="17">
        <v>1.4833299999999999E-3</v>
      </c>
      <c r="M389" s="16">
        <f t="shared" si="30"/>
        <v>56.74</v>
      </c>
      <c r="N389" s="16">
        <f t="shared" si="31"/>
        <v>75.650000000000006</v>
      </c>
      <c r="O389" s="14"/>
      <c r="P389" s="210" t="str">
        <f>VLOOKUP(C389,'WO Descriptions'!$A$5:$D$345,4)</f>
        <v>Approved by: Gary Williams on 09/12/2014,  Replaced 2'' PBS with 2'' PE due to 3rd party damage. Pressure system C-045.</v>
      </c>
    </row>
    <row r="390" spans="1:16" ht="45" outlineLevel="2">
      <c r="A390" s="14" t="s">
        <v>54</v>
      </c>
      <c r="B390" s="15" t="s">
        <v>1021</v>
      </c>
      <c r="C390" s="15" t="s">
        <v>1022</v>
      </c>
      <c r="D390" s="14" t="s">
        <v>1023</v>
      </c>
      <c r="E390" s="15" t="s">
        <v>108</v>
      </c>
      <c r="F390" s="14" t="s">
        <v>28</v>
      </c>
      <c r="G390" s="15" t="s">
        <v>23</v>
      </c>
      <c r="H390" s="15" t="s">
        <v>1525</v>
      </c>
      <c r="I390" s="15">
        <v>201409</v>
      </c>
      <c r="J390" s="16">
        <v>906.93</v>
      </c>
      <c r="K390" s="171">
        <f t="shared" si="29"/>
        <v>9</v>
      </c>
      <c r="L390" s="17">
        <v>1.4833299999999999E-3</v>
      </c>
      <c r="M390" s="16">
        <f t="shared" si="30"/>
        <v>12.11</v>
      </c>
      <c r="N390" s="16">
        <f t="shared" si="31"/>
        <v>16.14</v>
      </c>
      <c r="O390" s="14"/>
      <c r="P390" s="210" t="str">
        <f>VLOOKUP(C390,'WO Descriptions'!$A$5:$D$345,4)</f>
        <v>Approved by: Kevin Driskell on 09/24/2014,  Abandoned 3' of 2'' PE. Installed 8' of 2'' PE due to third party damage. When work was done pressure system was C-002 (1psig). As of 9/16/2014 pressure system C-002 (33psig).</v>
      </c>
    </row>
    <row r="391" spans="1:16" ht="75" outlineLevel="2">
      <c r="A391" s="14" t="s">
        <v>17</v>
      </c>
      <c r="B391" s="15" t="s">
        <v>105</v>
      </c>
      <c r="C391" s="15" t="s">
        <v>106</v>
      </c>
      <c r="D391" s="14" t="s">
        <v>107</v>
      </c>
      <c r="E391" s="15" t="s">
        <v>108</v>
      </c>
      <c r="F391" s="14" t="s">
        <v>28</v>
      </c>
      <c r="G391" s="15" t="s">
        <v>23</v>
      </c>
      <c r="H391" s="15" t="s">
        <v>1525</v>
      </c>
      <c r="I391" s="15">
        <v>201410</v>
      </c>
      <c r="J391" s="16">
        <v>-961.99</v>
      </c>
      <c r="K391" s="171">
        <f t="shared" si="29"/>
        <v>8</v>
      </c>
      <c r="L391" s="17">
        <v>1.4833299999999999E-3</v>
      </c>
      <c r="M391" s="16">
        <f t="shared" si="30"/>
        <v>-11.42</v>
      </c>
      <c r="N391" s="16">
        <f t="shared" si="31"/>
        <v>-17.12</v>
      </c>
      <c r="O391" s="14"/>
      <c r="P391" s="210" t="str">
        <f>VLOOKUP(C391,'WO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392" spans="1:16" ht="45" outlineLevel="2">
      <c r="A392" s="14" t="s">
        <v>17</v>
      </c>
      <c r="B392" s="15" t="s">
        <v>272</v>
      </c>
      <c r="C392" s="15" t="s">
        <v>273</v>
      </c>
      <c r="D392" s="14" t="s">
        <v>274</v>
      </c>
      <c r="E392" s="15" t="s">
        <v>36</v>
      </c>
      <c r="F392" s="14" t="s">
        <v>22</v>
      </c>
      <c r="G392" s="15" t="s">
        <v>23</v>
      </c>
      <c r="H392" s="15" t="s">
        <v>1525</v>
      </c>
      <c r="I392" s="15">
        <v>201410</v>
      </c>
      <c r="J392" s="16">
        <v>-30089.42</v>
      </c>
      <c r="K392" s="171">
        <f t="shared" si="29"/>
        <v>8</v>
      </c>
      <c r="L392" s="17">
        <v>1.4833299999999999E-3</v>
      </c>
      <c r="M392" s="16">
        <f t="shared" si="30"/>
        <v>-357.06</v>
      </c>
      <c r="N392" s="16">
        <f t="shared" si="31"/>
        <v>-535.59</v>
      </c>
      <c r="O392" s="14"/>
      <c r="P392" s="210" t="str">
        <f>VLOOKUP(C392,'WO Descriptions'!$A$5:$D$345,4)</f>
        <v>Approved by: Gary Williams on 03/03/2014,  TO LAY 680FT-4PE MAIN TO REPLACE 666FT-4 BARE STEEL MAIN.Due to other leakage on pipe.Cost per foot:$40.16 MOP:14oz MAOP: 21oz Design MAOP:14oz Test Pressure:100 PSIG.</v>
      </c>
    </row>
    <row r="393" spans="1:16" ht="105" outlineLevel="2">
      <c r="A393" s="14" t="s">
        <v>17</v>
      </c>
      <c r="B393" s="15" t="s">
        <v>347</v>
      </c>
      <c r="C393" s="15" t="s">
        <v>348</v>
      </c>
      <c r="D393" s="14" t="s">
        <v>349</v>
      </c>
      <c r="E393" s="15" t="s">
        <v>324</v>
      </c>
      <c r="F393" s="14" t="s">
        <v>325</v>
      </c>
      <c r="G393" s="15" t="s">
        <v>23</v>
      </c>
      <c r="H393" s="15" t="s">
        <v>1525</v>
      </c>
      <c r="I393" s="15">
        <v>201410</v>
      </c>
      <c r="J393" s="16">
        <v>940.85</v>
      </c>
      <c r="K393" s="171">
        <f t="shared" si="29"/>
        <v>8</v>
      </c>
      <c r="L393" s="17">
        <v>1.4833299999999999E-3</v>
      </c>
      <c r="M393" s="16">
        <f t="shared" si="30"/>
        <v>11.16</v>
      </c>
      <c r="N393" s="16">
        <f t="shared" si="31"/>
        <v>16.75</v>
      </c>
      <c r="O393" s="14"/>
      <c r="P393" s="210" t="str">
        <f>VLOOKUP(C393,'WO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394" spans="1:16" ht="45" outlineLevel="2">
      <c r="A394" s="14" t="s">
        <v>17</v>
      </c>
      <c r="B394" s="15" t="s">
        <v>480</v>
      </c>
      <c r="C394" s="15" t="s">
        <v>481</v>
      </c>
      <c r="D394" s="14" t="s">
        <v>482</v>
      </c>
      <c r="E394" s="15" t="s">
        <v>141</v>
      </c>
      <c r="F394" s="14" t="s">
        <v>142</v>
      </c>
      <c r="G394" s="15" t="s">
        <v>23</v>
      </c>
      <c r="H394" s="15" t="s">
        <v>1525</v>
      </c>
      <c r="I394" s="15">
        <v>201410</v>
      </c>
      <c r="J394" s="16">
        <v>307.39</v>
      </c>
      <c r="K394" s="171">
        <f t="shared" si="29"/>
        <v>8</v>
      </c>
      <c r="L394" s="17">
        <v>1.4833299999999999E-3</v>
      </c>
      <c r="M394" s="16">
        <f t="shared" si="30"/>
        <v>3.65</v>
      </c>
      <c r="N394" s="16">
        <f t="shared" si="31"/>
        <v>5.47</v>
      </c>
      <c r="O394" s="14"/>
      <c r="P394" s="210" t="str">
        <f>VLOOKUP(C394,'WO Descriptions'!$A$5:$D$345,4)</f>
        <v>Approved by: Gary Williams on 12/02/2013,  AOR.  Replace 40'-6in CI with 6in PE.  13' of CI was exposed at 2551 Chelsea.  Tie-over two services and replace one service (2553 Chelsea).Retire 35'-6in CI, B30P88; 5'-6in CI, B18P103.</v>
      </c>
    </row>
    <row r="395" spans="1:16" ht="105" outlineLevel="2">
      <c r="A395" s="14" t="s">
        <v>17</v>
      </c>
      <c r="B395" s="15" t="s">
        <v>511</v>
      </c>
      <c r="C395" s="15" t="s">
        <v>512</v>
      </c>
      <c r="D395" s="14" t="s">
        <v>513</v>
      </c>
      <c r="E395" s="15" t="s">
        <v>324</v>
      </c>
      <c r="F395" s="14" t="s">
        <v>325</v>
      </c>
      <c r="G395" s="15" t="s">
        <v>23</v>
      </c>
      <c r="H395" s="15" t="s">
        <v>1525</v>
      </c>
      <c r="I395" s="15">
        <v>201410</v>
      </c>
      <c r="J395" s="16">
        <v>-2800</v>
      </c>
      <c r="K395" s="171">
        <f t="shared" si="29"/>
        <v>8</v>
      </c>
      <c r="L395" s="17">
        <v>1.4833299999999999E-3</v>
      </c>
      <c r="M395" s="16">
        <f t="shared" si="30"/>
        <v>-33.229999999999997</v>
      </c>
      <c r="N395" s="16">
        <f t="shared" si="31"/>
        <v>-49.84</v>
      </c>
      <c r="O395" s="14"/>
      <c r="P395" s="210" t="str">
        <f>VLOOKUP(C395,'WO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396" spans="1:16" ht="90" outlineLevel="2">
      <c r="A396" s="14" t="s">
        <v>17</v>
      </c>
      <c r="B396" s="15" t="s">
        <v>552</v>
      </c>
      <c r="C396" s="15" t="s">
        <v>553</v>
      </c>
      <c r="D396" s="14" t="s">
        <v>554</v>
      </c>
      <c r="E396" s="15" t="s">
        <v>62</v>
      </c>
      <c r="F396" s="14" t="s">
        <v>22</v>
      </c>
      <c r="G396" s="15" t="s">
        <v>23</v>
      </c>
      <c r="H396" s="15" t="s">
        <v>1525</v>
      </c>
      <c r="I396" s="15">
        <v>201410</v>
      </c>
      <c r="J396" s="16">
        <v>48053.65</v>
      </c>
      <c r="K396" s="171">
        <f t="shared" si="29"/>
        <v>8</v>
      </c>
      <c r="L396" s="17">
        <v>1.4833299999999999E-3</v>
      </c>
      <c r="M396" s="16">
        <f t="shared" si="30"/>
        <v>570.24</v>
      </c>
      <c r="N396" s="16">
        <f t="shared" si="31"/>
        <v>855.35</v>
      </c>
      <c r="O396" s="14"/>
      <c r="P396" s="210" t="str">
        <f>VLOOKUP(C396,'WO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397" spans="1:16" ht="60" outlineLevel="2">
      <c r="A397" s="14" t="s">
        <v>17</v>
      </c>
      <c r="B397" s="15" t="s">
        <v>575</v>
      </c>
      <c r="C397" s="15" t="s">
        <v>576</v>
      </c>
      <c r="D397" s="14" t="s">
        <v>577</v>
      </c>
      <c r="E397" s="15" t="s">
        <v>462</v>
      </c>
      <c r="F397" s="14" t="s">
        <v>142</v>
      </c>
      <c r="G397" s="15" t="s">
        <v>23</v>
      </c>
      <c r="H397" s="15" t="s">
        <v>1525</v>
      </c>
      <c r="I397" s="15">
        <v>201410</v>
      </c>
      <c r="J397" s="16">
        <v>-0.05</v>
      </c>
      <c r="K397" s="171">
        <f t="shared" si="29"/>
        <v>8</v>
      </c>
      <c r="L397" s="17">
        <v>1.4833299999999999E-3</v>
      </c>
      <c r="M397" s="16">
        <f t="shared" si="30"/>
        <v>0</v>
      </c>
      <c r="N397" s="16">
        <f t="shared" si="31"/>
        <v>0</v>
      </c>
      <c r="O397" s="14"/>
      <c r="P397" s="210" t="str">
        <f>VLOOKUP(C397,'WO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398" spans="1:16" ht="135" outlineLevel="2">
      <c r="A398" s="18" t="s">
        <v>17</v>
      </c>
      <c r="B398" s="15" t="s">
        <v>611</v>
      </c>
      <c r="C398" s="15" t="s">
        <v>612</v>
      </c>
      <c r="D398" s="14" t="s">
        <v>613</v>
      </c>
      <c r="E398" s="15" t="s">
        <v>324</v>
      </c>
      <c r="F398" s="14" t="s">
        <v>325</v>
      </c>
      <c r="G398" s="15" t="s">
        <v>23</v>
      </c>
      <c r="H398" s="15" t="s">
        <v>1525</v>
      </c>
      <c r="I398" s="15">
        <v>201410</v>
      </c>
      <c r="J398" s="16">
        <v>0</v>
      </c>
      <c r="K398" s="171">
        <f t="shared" si="29"/>
        <v>8</v>
      </c>
      <c r="L398" s="17">
        <v>1.4833299999999999E-3</v>
      </c>
      <c r="M398" s="16">
        <f t="shared" si="30"/>
        <v>0</v>
      </c>
      <c r="N398" s="16">
        <f t="shared" si="31"/>
        <v>0</v>
      </c>
      <c r="O398" s="14"/>
      <c r="P398" s="210" t="str">
        <f>VLOOKUP(C398,'WO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399" spans="1:16" ht="75" outlineLevel="2">
      <c r="A399" s="14" t="s">
        <v>17</v>
      </c>
      <c r="B399" s="15" t="s">
        <v>759</v>
      </c>
      <c r="C399" s="15" t="s">
        <v>760</v>
      </c>
      <c r="D399" s="14" t="s">
        <v>761</v>
      </c>
      <c r="E399" s="15" t="s">
        <v>62</v>
      </c>
      <c r="F399" s="14" t="s">
        <v>22</v>
      </c>
      <c r="G399" s="15" t="s">
        <v>23</v>
      </c>
      <c r="H399" s="15" t="s">
        <v>1525</v>
      </c>
      <c r="I399" s="15">
        <v>201410</v>
      </c>
      <c r="J399" s="16">
        <v>325.61</v>
      </c>
      <c r="K399" s="171">
        <f t="shared" si="29"/>
        <v>8</v>
      </c>
      <c r="L399" s="17">
        <v>1.4833299999999999E-3</v>
      </c>
      <c r="M399" s="16">
        <f t="shared" si="30"/>
        <v>3.86</v>
      </c>
      <c r="N399" s="16">
        <f t="shared" si="31"/>
        <v>5.8</v>
      </c>
      <c r="O399" s="14"/>
      <c r="P399" s="210" t="str">
        <f>VLOOKUP(C399,'WO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400" spans="1:16" ht="30" outlineLevel="2">
      <c r="A400" s="14" t="s">
        <v>17</v>
      </c>
      <c r="B400" s="15" t="s">
        <v>843</v>
      </c>
      <c r="C400" s="15" t="s">
        <v>844</v>
      </c>
      <c r="D400" s="14" t="s">
        <v>845</v>
      </c>
      <c r="E400" s="15" t="s">
        <v>45</v>
      </c>
      <c r="F400" s="14" t="s">
        <v>22</v>
      </c>
      <c r="G400" s="15" t="s">
        <v>23</v>
      </c>
      <c r="H400" s="15" t="s">
        <v>1525</v>
      </c>
      <c r="I400" s="15">
        <v>201410</v>
      </c>
      <c r="J400" s="16">
        <v>1828.42</v>
      </c>
      <c r="K400" s="171">
        <f t="shared" si="29"/>
        <v>8</v>
      </c>
      <c r="L400" s="17">
        <v>1.4833299999999999E-3</v>
      </c>
      <c r="M400" s="16">
        <f t="shared" si="30"/>
        <v>21.7</v>
      </c>
      <c r="N400" s="16">
        <f t="shared" si="31"/>
        <v>32.549999999999997</v>
      </c>
      <c r="O400" s="14"/>
      <c r="P400" s="210" t="str">
        <f>VLOOKUP(C400,'WO Descriptions'!$A$5:$D$345,4)</f>
        <v>Approved by: Kevin Driskell on 04/07/2014,  Replace 3in and 2in PBS due to leak.  Lay 10'-3in thin film and 14'-2in thin film.  Work done by MGE crew.Original JO 7740C &amp; 7740B, year 1949</v>
      </c>
    </row>
    <row r="401" spans="1:16" ht="60" outlineLevel="2">
      <c r="A401" s="14" t="s">
        <v>17</v>
      </c>
      <c r="B401" s="15" t="s">
        <v>882</v>
      </c>
      <c r="C401" s="15" t="s">
        <v>883</v>
      </c>
      <c r="D401" s="14" t="s">
        <v>884</v>
      </c>
      <c r="E401" s="15" t="s">
        <v>216</v>
      </c>
      <c r="F401" s="14" t="s">
        <v>22</v>
      </c>
      <c r="G401" s="15" t="s">
        <v>23</v>
      </c>
      <c r="H401" s="15" t="s">
        <v>1525</v>
      </c>
      <c r="I401" s="15">
        <v>201410</v>
      </c>
      <c r="J401" s="16">
        <v>-23.54</v>
      </c>
      <c r="K401" s="171">
        <f t="shared" si="29"/>
        <v>8</v>
      </c>
      <c r="L401" s="17">
        <v>1.4833299999999999E-3</v>
      </c>
      <c r="M401" s="16">
        <f t="shared" si="30"/>
        <v>-0.28000000000000003</v>
      </c>
      <c r="N401" s="16">
        <f t="shared" si="31"/>
        <v>-0.42</v>
      </c>
      <c r="O401" s="14"/>
      <c r="P401" s="210" t="str">
        <f>VLOOKUP(C401,'WO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402" spans="1:16" ht="30" outlineLevel="2">
      <c r="A402" s="14" t="s">
        <v>17</v>
      </c>
      <c r="B402" s="15" t="s">
        <v>894</v>
      </c>
      <c r="C402" s="15" t="s">
        <v>895</v>
      </c>
      <c r="D402" s="14" t="s">
        <v>896</v>
      </c>
      <c r="E402" s="15" t="s">
        <v>440</v>
      </c>
      <c r="F402" s="14" t="s">
        <v>28</v>
      </c>
      <c r="G402" s="15" t="s">
        <v>23</v>
      </c>
      <c r="H402" s="15" t="s">
        <v>1525</v>
      </c>
      <c r="I402" s="15">
        <v>201410</v>
      </c>
      <c r="J402" s="16">
        <v>0</v>
      </c>
      <c r="K402" s="171">
        <f t="shared" si="29"/>
        <v>8</v>
      </c>
      <c r="L402" s="17">
        <v>1.4833299999999999E-3</v>
      </c>
      <c r="M402" s="16">
        <f t="shared" si="30"/>
        <v>0</v>
      </c>
      <c r="N402" s="16">
        <f t="shared" si="31"/>
        <v>0</v>
      </c>
      <c r="O402" s="14"/>
      <c r="P402" s="210" t="str">
        <f>VLOOKUP(C402,'WO Descriptions'!$A$5:$D$345,4)</f>
        <v>Approved by: Kevin Driskell on 05/28/2014,  Replace 16ft of 8'' PCS due to 3rd party damage. Pressure system C-041 Ret 16'-8in coated steel, year 1967, wo 67-1440.</v>
      </c>
    </row>
    <row r="403" spans="1:16" ht="60" outlineLevel="2">
      <c r="A403" s="14" t="s">
        <v>17</v>
      </c>
      <c r="B403" s="15" t="s">
        <v>903</v>
      </c>
      <c r="C403" s="15" t="s">
        <v>904</v>
      </c>
      <c r="D403" s="14" t="s">
        <v>905</v>
      </c>
      <c r="E403" s="15" t="s">
        <v>49</v>
      </c>
      <c r="F403" s="14" t="s">
        <v>22</v>
      </c>
      <c r="G403" s="15" t="s">
        <v>23</v>
      </c>
      <c r="H403" s="15" t="s">
        <v>1525</v>
      </c>
      <c r="I403" s="15">
        <v>201410</v>
      </c>
      <c r="J403" s="16">
        <v>343.32</v>
      </c>
      <c r="K403" s="171">
        <f t="shared" si="29"/>
        <v>8</v>
      </c>
      <c r="L403" s="17">
        <v>1.4833299999999999E-3</v>
      </c>
      <c r="M403" s="16">
        <f t="shared" si="30"/>
        <v>4.07</v>
      </c>
      <c r="N403" s="16">
        <f t="shared" si="31"/>
        <v>6.11</v>
      </c>
      <c r="O403" s="14"/>
      <c r="P403" s="210" t="str">
        <f>VLOOKUP(C403,'WO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404" spans="1:16" ht="30" outlineLevel="2">
      <c r="A404" s="14" t="s">
        <v>17</v>
      </c>
      <c r="B404" s="15" t="s">
        <v>987</v>
      </c>
      <c r="C404" s="15" t="s">
        <v>988</v>
      </c>
      <c r="D404" s="14" t="s">
        <v>989</v>
      </c>
      <c r="E404" s="15" t="s">
        <v>45</v>
      </c>
      <c r="F404" s="14" t="s">
        <v>22</v>
      </c>
      <c r="G404" s="15" t="s">
        <v>23</v>
      </c>
      <c r="H404" s="15" t="s">
        <v>1525</v>
      </c>
      <c r="I404" s="15">
        <v>201410</v>
      </c>
      <c r="J404" s="16">
        <v>0.63</v>
      </c>
      <c r="K404" s="171">
        <f t="shared" si="29"/>
        <v>8</v>
      </c>
      <c r="L404" s="17">
        <v>1.4833299999999999E-3</v>
      </c>
      <c r="M404" s="16">
        <f t="shared" si="30"/>
        <v>0.01</v>
      </c>
      <c r="N404" s="16">
        <f t="shared" si="31"/>
        <v>0.01</v>
      </c>
      <c r="O404" s="14"/>
      <c r="P404" s="210" t="str">
        <f>VLOOKUP(C404,'WO Descriptions'!$A$5:$D$345,4)</f>
        <v>Approved by: Kevin Driskell on 08/03/2014,  Relocated 2'' PBS because it was going through a curb inlet box. Pressure System C-26.</v>
      </c>
    </row>
    <row r="405" spans="1:16" ht="60" outlineLevel="2">
      <c r="A405" s="14" t="s">
        <v>17</v>
      </c>
      <c r="B405" s="15" t="s">
        <v>999</v>
      </c>
      <c r="C405" s="15" t="s">
        <v>1000</v>
      </c>
      <c r="D405" s="14" t="s">
        <v>1001</v>
      </c>
      <c r="E405" s="15" t="s">
        <v>176</v>
      </c>
      <c r="F405" s="14" t="s">
        <v>28</v>
      </c>
      <c r="G405" s="15" t="s">
        <v>23</v>
      </c>
      <c r="H405" s="15" t="s">
        <v>1525</v>
      </c>
      <c r="I405" s="15">
        <v>201410</v>
      </c>
      <c r="J405" s="16">
        <v>2626.89</v>
      </c>
      <c r="K405" s="171">
        <f t="shared" si="29"/>
        <v>8</v>
      </c>
      <c r="L405" s="17">
        <v>1.4833299999999999E-3</v>
      </c>
      <c r="M405" s="16">
        <f t="shared" si="30"/>
        <v>31.17</v>
      </c>
      <c r="N405" s="16">
        <f t="shared" si="31"/>
        <v>46.76</v>
      </c>
      <c r="O405" s="14"/>
      <c r="P405" s="210" t="str">
        <f>VLOOKUP(C405,'WO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406" spans="1:16" ht="150" outlineLevel="2">
      <c r="A406" s="14" t="s">
        <v>54</v>
      </c>
      <c r="B406" s="15" t="s">
        <v>59</v>
      </c>
      <c r="C406" s="15" t="s">
        <v>60</v>
      </c>
      <c r="D406" s="14" t="s">
        <v>61</v>
      </c>
      <c r="E406" s="15" t="s">
        <v>62</v>
      </c>
      <c r="F406" s="14" t="s">
        <v>22</v>
      </c>
      <c r="G406" s="15" t="s">
        <v>23</v>
      </c>
      <c r="H406" s="15" t="s">
        <v>1525</v>
      </c>
      <c r="I406" s="15">
        <v>201410</v>
      </c>
      <c r="J406" s="16">
        <v>0</v>
      </c>
      <c r="K406" s="171">
        <f t="shared" ref="K406:K469" si="32">VLOOKUP(I406,$T$7:$U$15,2)</f>
        <v>8</v>
      </c>
      <c r="L406" s="17">
        <v>1.4833299999999999E-3</v>
      </c>
      <c r="M406" s="16">
        <f t="shared" ref="M406:M469" si="33">ROUND(J406*K406*L406,2)</f>
        <v>0</v>
      </c>
      <c r="N406" s="16">
        <f t="shared" ref="N406:N469" si="34">ROUND(J406*L406*12,2)</f>
        <v>0</v>
      </c>
      <c r="O406" s="14"/>
      <c r="P406" s="210" t="str">
        <f>VLOOKUP(C406,'WO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row>
    <row r="407" spans="1:16" ht="45" outlineLevel="2">
      <c r="A407" s="14" t="s">
        <v>54</v>
      </c>
      <c r="B407" s="15" t="s">
        <v>272</v>
      </c>
      <c r="C407" s="15" t="s">
        <v>273</v>
      </c>
      <c r="D407" s="14" t="s">
        <v>274</v>
      </c>
      <c r="E407" s="15" t="s">
        <v>36</v>
      </c>
      <c r="F407" s="14" t="s">
        <v>22</v>
      </c>
      <c r="G407" s="15" t="s">
        <v>23</v>
      </c>
      <c r="H407" s="15" t="s">
        <v>1525</v>
      </c>
      <c r="I407" s="15">
        <v>201410</v>
      </c>
      <c r="J407" s="16">
        <v>30089.42</v>
      </c>
      <c r="K407" s="171">
        <f t="shared" si="32"/>
        <v>8</v>
      </c>
      <c r="L407" s="17">
        <v>1.4833299999999999E-3</v>
      </c>
      <c r="M407" s="16">
        <f t="shared" si="33"/>
        <v>357.06</v>
      </c>
      <c r="N407" s="16">
        <f t="shared" si="34"/>
        <v>535.59</v>
      </c>
      <c r="O407" s="14"/>
      <c r="P407" s="210" t="str">
        <f>VLOOKUP(C407,'WO Descriptions'!$A$5:$D$345,4)</f>
        <v>Approved by: Gary Williams on 03/03/2014,  TO LAY 680FT-4PE MAIN TO REPLACE 666FT-4 BARE STEEL MAIN.Due to other leakage on pipe.Cost per foot:$40.16 MOP:14oz MAOP: 21oz Design MAOP:14oz Test Pressure:100 PSIG.</v>
      </c>
    </row>
    <row r="408" spans="1:16" ht="75" outlineLevel="2">
      <c r="A408" s="14" t="s">
        <v>54</v>
      </c>
      <c r="B408" s="15" t="s">
        <v>284</v>
      </c>
      <c r="C408" s="15" t="s">
        <v>285</v>
      </c>
      <c r="D408" s="14" t="s">
        <v>286</v>
      </c>
      <c r="E408" s="15" t="s">
        <v>58</v>
      </c>
      <c r="F408" s="14" t="s">
        <v>22</v>
      </c>
      <c r="G408" s="15" t="s">
        <v>23</v>
      </c>
      <c r="H408" s="15" t="s">
        <v>1525</v>
      </c>
      <c r="I408" s="15">
        <v>201410</v>
      </c>
      <c r="J408" s="16">
        <v>258234.64</v>
      </c>
      <c r="K408" s="171">
        <f t="shared" si="32"/>
        <v>8</v>
      </c>
      <c r="L408" s="17">
        <v>1.4833299999999999E-3</v>
      </c>
      <c r="M408" s="16">
        <f t="shared" si="33"/>
        <v>3064.38</v>
      </c>
      <c r="N408" s="16">
        <f t="shared" si="34"/>
        <v>4596.57</v>
      </c>
      <c r="O408" s="14"/>
      <c r="P408" s="210" t="str">
        <f>VLOOKUP(C408,'WO Descriptions'!$A$5:$D$345,4)</f>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
    </row>
    <row r="409" spans="1:16" ht="30" outlineLevel="2">
      <c r="A409" s="14" t="s">
        <v>54</v>
      </c>
      <c r="B409" s="15" t="s">
        <v>306</v>
      </c>
      <c r="C409" s="15" t="s">
        <v>307</v>
      </c>
      <c r="D409" s="14" t="s">
        <v>308</v>
      </c>
      <c r="E409" s="15" t="s">
        <v>36</v>
      </c>
      <c r="F409" s="14" t="s">
        <v>22</v>
      </c>
      <c r="G409" s="15" t="s">
        <v>23</v>
      </c>
      <c r="H409" s="15" t="s">
        <v>1525</v>
      </c>
      <c r="I409" s="15">
        <v>201410</v>
      </c>
      <c r="J409" s="16">
        <v>0</v>
      </c>
      <c r="K409" s="171">
        <f t="shared" si="32"/>
        <v>8</v>
      </c>
      <c r="L409" s="17">
        <v>1.4833299999999999E-3</v>
      </c>
      <c r="M409" s="16">
        <f t="shared" si="33"/>
        <v>0</v>
      </c>
      <c r="N409" s="16">
        <f t="shared" si="34"/>
        <v>0</v>
      </c>
      <c r="O409" s="14"/>
      <c r="P409" s="210" t="str">
        <f>VLOOKUP(C409,'WO Descriptions'!$A$5:$D$345,4)</f>
        <v>Approved by: Gary Williams on 03/14/2014,  TO lay 288FT-2IN PE main to replace 288FT-2IN PBS (WO#35207) due to down project.</v>
      </c>
    </row>
    <row r="410" spans="1:16" ht="75" outlineLevel="2">
      <c r="A410" s="14" t="s">
        <v>54</v>
      </c>
      <c r="B410" s="15" t="s">
        <v>419</v>
      </c>
      <c r="C410" s="15" t="s">
        <v>420</v>
      </c>
      <c r="D410" s="14" t="s">
        <v>421</v>
      </c>
      <c r="E410" s="15" t="s">
        <v>32</v>
      </c>
      <c r="F410" s="14" t="s">
        <v>22</v>
      </c>
      <c r="G410" s="15" t="s">
        <v>23</v>
      </c>
      <c r="H410" s="15" t="s">
        <v>1525</v>
      </c>
      <c r="I410" s="15">
        <v>201410</v>
      </c>
      <c r="J410" s="16">
        <v>129.69</v>
      </c>
      <c r="K410" s="171">
        <f t="shared" si="32"/>
        <v>8</v>
      </c>
      <c r="L410" s="17">
        <v>1.4833299999999999E-3</v>
      </c>
      <c r="M410" s="16">
        <f t="shared" si="33"/>
        <v>1.54</v>
      </c>
      <c r="N410" s="16">
        <f t="shared" si="34"/>
        <v>2.31</v>
      </c>
      <c r="O410" s="14"/>
      <c r="P410" s="210" t="str">
        <f>VLOOKUP(C410,'WO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411" spans="1:16" ht="150" outlineLevel="2">
      <c r="A411" s="14" t="s">
        <v>54</v>
      </c>
      <c r="B411" s="15" t="s">
        <v>441</v>
      </c>
      <c r="C411" s="15" t="s">
        <v>442</v>
      </c>
      <c r="D411" s="14" t="s">
        <v>443</v>
      </c>
      <c r="E411" s="15" t="s">
        <v>141</v>
      </c>
      <c r="F411" s="14" t="s">
        <v>142</v>
      </c>
      <c r="G411" s="15" t="s">
        <v>23</v>
      </c>
      <c r="H411" s="15" t="s">
        <v>1525</v>
      </c>
      <c r="I411" s="15">
        <v>201410</v>
      </c>
      <c r="J411" s="16">
        <v>0</v>
      </c>
      <c r="K411" s="171">
        <f t="shared" si="32"/>
        <v>8</v>
      </c>
      <c r="L411" s="17">
        <v>1.4833299999999999E-3</v>
      </c>
      <c r="M411" s="16">
        <f t="shared" si="33"/>
        <v>0</v>
      </c>
      <c r="N411" s="16">
        <f t="shared" si="34"/>
        <v>0</v>
      </c>
      <c r="O411" s="14"/>
      <c r="P411" s="210" t="str">
        <f>VLOOKUP(C411,'WO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412" spans="1:16" ht="75" outlineLevel="2">
      <c r="A412" s="14" t="s">
        <v>54</v>
      </c>
      <c r="B412" s="15" t="s">
        <v>453</v>
      </c>
      <c r="C412" s="15" t="s">
        <v>454</v>
      </c>
      <c r="D412" s="14" t="s">
        <v>455</v>
      </c>
      <c r="E412" s="15" t="s">
        <v>62</v>
      </c>
      <c r="F412" s="14" t="s">
        <v>22</v>
      </c>
      <c r="G412" s="15" t="s">
        <v>23</v>
      </c>
      <c r="H412" s="15" t="s">
        <v>1525</v>
      </c>
      <c r="I412" s="15">
        <v>201410</v>
      </c>
      <c r="J412" s="16">
        <v>1085.5999999999999</v>
      </c>
      <c r="K412" s="171">
        <f t="shared" si="32"/>
        <v>8</v>
      </c>
      <c r="L412" s="17">
        <v>1.4833299999999999E-3</v>
      </c>
      <c r="M412" s="16">
        <f t="shared" si="33"/>
        <v>12.88</v>
      </c>
      <c r="N412" s="16">
        <f t="shared" si="34"/>
        <v>19.32</v>
      </c>
      <c r="O412" s="14"/>
      <c r="P412" s="210" t="str">
        <f>VLOOKUP(C412,'WO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413" spans="1:16" ht="75" outlineLevel="2">
      <c r="A413" s="14" t="s">
        <v>54</v>
      </c>
      <c r="B413" s="15" t="s">
        <v>561</v>
      </c>
      <c r="C413" s="15" t="s">
        <v>562</v>
      </c>
      <c r="D413" s="14" t="s">
        <v>563</v>
      </c>
      <c r="E413" s="15" t="s">
        <v>58</v>
      </c>
      <c r="F413" s="14" t="s">
        <v>22</v>
      </c>
      <c r="G413" s="15" t="s">
        <v>23</v>
      </c>
      <c r="H413" s="15" t="s">
        <v>1525</v>
      </c>
      <c r="I413" s="15">
        <v>201410</v>
      </c>
      <c r="J413" s="16">
        <v>0</v>
      </c>
      <c r="K413" s="171">
        <f t="shared" si="32"/>
        <v>8</v>
      </c>
      <c r="L413" s="17">
        <v>1.4833299999999999E-3</v>
      </c>
      <c r="M413" s="16">
        <f t="shared" si="33"/>
        <v>0</v>
      </c>
      <c r="N413" s="16">
        <f t="shared" si="34"/>
        <v>0</v>
      </c>
      <c r="O413" s="14"/>
      <c r="P413" s="210" t="str">
        <f>VLOOKUP(C413,'WO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414" spans="1:16" ht="60" outlineLevel="2">
      <c r="A414" s="14" t="s">
        <v>54</v>
      </c>
      <c r="B414" s="15" t="s">
        <v>575</v>
      </c>
      <c r="C414" s="15" t="s">
        <v>576</v>
      </c>
      <c r="D414" s="14" t="s">
        <v>577</v>
      </c>
      <c r="E414" s="15" t="s">
        <v>462</v>
      </c>
      <c r="F414" s="14" t="s">
        <v>142</v>
      </c>
      <c r="G414" s="15" t="s">
        <v>23</v>
      </c>
      <c r="H414" s="15" t="s">
        <v>1525</v>
      </c>
      <c r="I414" s="15">
        <v>201410</v>
      </c>
      <c r="J414" s="16">
        <v>0.05</v>
      </c>
      <c r="K414" s="171">
        <f t="shared" si="32"/>
        <v>8</v>
      </c>
      <c r="L414" s="17">
        <v>1.4833299999999999E-3</v>
      </c>
      <c r="M414" s="16">
        <f t="shared" si="33"/>
        <v>0</v>
      </c>
      <c r="N414" s="16">
        <f t="shared" si="34"/>
        <v>0</v>
      </c>
      <c r="O414" s="14"/>
      <c r="P414" s="210" t="str">
        <f>VLOOKUP(C414,'WO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15" spans="1:16" ht="75" outlineLevel="2">
      <c r="A415" s="14" t="s">
        <v>54</v>
      </c>
      <c r="B415" s="15" t="s">
        <v>816</v>
      </c>
      <c r="C415" s="15" t="s">
        <v>817</v>
      </c>
      <c r="D415" s="14" t="s">
        <v>818</v>
      </c>
      <c r="E415" s="15" t="s">
        <v>62</v>
      </c>
      <c r="F415" s="14" t="s">
        <v>22</v>
      </c>
      <c r="G415" s="15" t="s">
        <v>23</v>
      </c>
      <c r="H415" s="15" t="s">
        <v>1525</v>
      </c>
      <c r="I415" s="15">
        <v>201410</v>
      </c>
      <c r="J415" s="16">
        <v>-119.09</v>
      </c>
      <c r="K415" s="171">
        <f t="shared" si="32"/>
        <v>8</v>
      </c>
      <c r="L415" s="17">
        <v>1.4833299999999999E-3</v>
      </c>
      <c r="M415" s="16">
        <f t="shared" si="33"/>
        <v>-1.41</v>
      </c>
      <c r="N415" s="16">
        <f t="shared" si="34"/>
        <v>-2.12</v>
      </c>
      <c r="O415" s="14"/>
      <c r="P415" s="210" t="str">
        <f>VLOOKUP(C415,'WO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416" spans="1:16" ht="45" outlineLevel="2">
      <c r="A416" s="14" t="s">
        <v>54</v>
      </c>
      <c r="B416" s="15" t="s">
        <v>827</v>
      </c>
      <c r="C416" s="15" t="s">
        <v>828</v>
      </c>
      <c r="D416" s="14" t="s">
        <v>829</v>
      </c>
      <c r="E416" s="15" t="s">
        <v>62</v>
      </c>
      <c r="F416" s="14" t="s">
        <v>22</v>
      </c>
      <c r="G416" s="15" t="s">
        <v>23</v>
      </c>
      <c r="H416" s="15" t="s">
        <v>1525</v>
      </c>
      <c r="I416" s="15">
        <v>201410</v>
      </c>
      <c r="J416" s="16">
        <v>0</v>
      </c>
      <c r="K416" s="171">
        <f t="shared" si="32"/>
        <v>8</v>
      </c>
      <c r="L416" s="17">
        <v>1.4833299999999999E-3</v>
      </c>
      <c r="M416" s="16">
        <f t="shared" si="33"/>
        <v>0</v>
      </c>
      <c r="N416" s="16">
        <f t="shared" si="34"/>
        <v>0</v>
      </c>
      <c r="O416" s="14"/>
      <c r="P416" s="210" t="str">
        <f>VLOOKUP(C416,'WO Descriptions'!$A$5:$D$345,4)</f>
        <v>Approved by: Ralph Janes on 04/04/2014,  Replace and abandon 520' - 2" pbs main (Work order unknown 1940) by installing 130' - 2" pe to clear 2 active leaks and due to condition of pipe.  (ISRS)</v>
      </c>
    </row>
    <row r="417" spans="1:16" ht="60" outlineLevel="2">
      <c r="A417" s="14" t="s">
        <v>54</v>
      </c>
      <c r="B417" s="15" t="s">
        <v>836</v>
      </c>
      <c r="C417" s="15" t="s">
        <v>837</v>
      </c>
      <c r="D417" s="14" t="s">
        <v>838</v>
      </c>
      <c r="E417" s="15" t="s">
        <v>21</v>
      </c>
      <c r="F417" s="14" t="s">
        <v>22</v>
      </c>
      <c r="G417" s="15" t="s">
        <v>23</v>
      </c>
      <c r="H417" s="15" t="s">
        <v>1525</v>
      </c>
      <c r="I417" s="15">
        <v>201410</v>
      </c>
      <c r="J417" s="16">
        <v>-81.62</v>
      </c>
      <c r="K417" s="171">
        <f t="shared" si="32"/>
        <v>8</v>
      </c>
      <c r="L417" s="17">
        <v>1.4833299999999999E-3</v>
      </c>
      <c r="M417" s="16">
        <f t="shared" si="33"/>
        <v>-0.97</v>
      </c>
      <c r="N417" s="16">
        <f t="shared" si="34"/>
        <v>-1.45</v>
      </c>
      <c r="O417" s="14"/>
      <c r="P417" s="210" t="str">
        <f>VLOOKUP(C417,'WO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418" spans="1:16" ht="135" outlineLevel="2">
      <c r="A418" s="14" t="s">
        <v>54</v>
      </c>
      <c r="B418" s="15" t="s">
        <v>846</v>
      </c>
      <c r="C418" s="15" t="s">
        <v>847</v>
      </c>
      <c r="D418" s="14" t="s">
        <v>848</v>
      </c>
      <c r="E418" s="15" t="s">
        <v>141</v>
      </c>
      <c r="F418" s="14" t="s">
        <v>142</v>
      </c>
      <c r="G418" s="15" t="s">
        <v>23</v>
      </c>
      <c r="H418" s="15" t="s">
        <v>1525</v>
      </c>
      <c r="I418" s="15">
        <v>201410</v>
      </c>
      <c r="J418" s="16">
        <v>15539.61</v>
      </c>
      <c r="K418" s="171">
        <f t="shared" si="32"/>
        <v>8</v>
      </c>
      <c r="L418" s="17">
        <v>1.4833299999999999E-3</v>
      </c>
      <c r="M418" s="16">
        <f t="shared" si="33"/>
        <v>184.4</v>
      </c>
      <c r="N418" s="16">
        <f t="shared" si="34"/>
        <v>276.60000000000002</v>
      </c>
      <c r="O418" s="14"/>
      <c r="P418" s="210" t="str">
        <f>VLOOKUP(C418,'WO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419" spans="1:16" ht="75" outlineLevel="2">
      <c r="A419" s="14" t="s">
        <v>54</v>
      </c>
      <c r="B419" s="15" t="s">
        <v>852</v>
      </c>
      <c r="C419" s="15" t="s">
        <v>853</v>
      </c>
      <c r="D419" s="14" t="s">
        <v>854</v>
      </c>
      <c r="E419" s="15" t="s">
        <v>62</v>
      </c>
      <c r="F419" s="14" t="s">
        <v>22</v>
      </c>
      <c r="G419" s="15" t="s">
        <v>23</v>
      </c>
      <c r="H419" s="15" t="s">
        <v>1525</v>
      </c>
      <c r="I419" s="15">
        <v>201410</v>
      </c>
      <c r="J419" s="16">
        <v>27394.7</v>
      </c>
      <c r="K419" s="171">
        <f t="shared" si="32"/>
        <v>8</v>
      </c>
      <c r="L419" s="17">
        <v>1.4833299999999999E-3</v>
      </c>
      <c r="M419" s="16">
        <f t="shared" si="33"/>
        <v>325.08</v>
      </c>
      <c r="N419" s="16">
        <f t="shared" si="34"/>
        <v>487.62</v>
      </c>
      <c r="O419" s="14"/>
      <c r="P419" s="210" t="str">
        <f>VLOOKUP(C419,'WO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420" spans="1:16" ht="45" outlineLevel="2">
      <c r="A420" s="14" t="s">
        <v>54</v>
      </c>
      <c r="B420" s="15" t="s">
        <v>855</v>
      </c>
      <c r="C420" s="15" t="s">
        <v>856</v>
      </c>
      <c r="D420" s="14" t="s">
        <v>857</v>
      </c>
      <c r="E420" s="15" t="s">
        <v>62</v>
      </c>
      <c r="F420" s="14" t="s">
        <v>22</v>
      </c>
      <c r="G420" s="15" t="s">
        <v>23</v>
      </c>
      <c r="H420" s="15" t="s">
        <v>1525</v>
      </c>
      <c r="I420" s="15">
        <v>201410</v>
      </c>
      <c r="J420" s="16">
        <v>-19.38</v>
      </c>
      <c r="K420" s="171">
        <f t="shared" si="32"/>
        <v>8</v>
      </c>
      <c r="L420" s="17">
        <v>1.4833299999999999E-3</v>
      </c>
      <c r="M420" s="16">
        <f t="shared" si="33"/>
        <v>-0.23</v>
      </c>
      <c r="N420" s="16">
        <f t="shared" si="34"/>
        <v>-0.34</v>
      </c>
      <c r="O420" s="14"/>
      <c r="P420" s="210" t="str">
        <f>VLOOKUP(C420,'WO Descriptions'!$A$5:$D$345,4)</f>
        <v>Approved by: Ralph Janes on 04/18/2014,  Replace 436' - 4" PBS (WO# 202) with 440' - 4" PE. The existing main is actively leaking and is isolated bare steel. Price per ft = $65.38 due to 12 tie-overs and anticipated paving repairs. (ISRS)</v>
      </c>
    </row>
    <row r="421" spans="1:16" ht="180" outlineLevel="2">
      <c r="A421" s="14" t="s">
        <v>54</v>
      </c>
      <c r="B421" s="15" t="s">
        <v>858</v>
      </c>
      <c r="C421" s="15" t="s">
        <v>859</v>
      </c>
      <c r="D421" s="14" t="s">
        <v>860</v>
      </c>
      <c r="E421" s="15" t="s">
        <v>62</v>
      </c>
      <c r="F421" s="14" t="s">
        <v>22</v>
      </c>
      <c r="G421" s="15" t="s">
        <v>23</v>
      </c>
      <c r="H421" s="15" t="s">
        <v>1525</v>
      </c>
      <c r="I421" s="15">
        <v>201410</v>
      </c>
      <c r="J421" s="16">
        <v>3048.22</v>
      </c>
      <c r="K421" s="171">
        <f t="shared" si="32"/>
        <v>8</v>
      </c>
      <c r="L421" s="17">
        <v>1.4833299999999999E-3</v>
      </c>
      <c r="M421" s="16">
        <f t="shared" si="33"/>
        <v>36.17</v>
      </c>
      <c r="N421" s="16">
        <f t="shared" si="34"/>
        <v>54.26</v>
      </c>
      <c r="O421" s="14"/>
      <c r="P421" s="210" t="str">
        <f>VLOOKUP(C421,'WO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422" spans="1:16" ht="30" outlineLevel="2">
      <c r="A422" s="14" t="s">
        <v>54</v>
      </c>
      <c r="B422" s="15" t="s">
        <v>861</v>
      </c>
      <c r="C422" s="15" t="s">
        <v>862</v>
      </c>
      <c r="D422" s="14" t="s">
        <v>863</v>
      </c>
      <c r="E422" s="15" t="s">
        <v>45</v>
      </c>
      <c r="F422" s="14" t="s">
        <v>22</v>
      </c>
      <c r="G422" s="15" t="s">
        <v>23</v>
      </c>
      <c r="H422" s="15" t="s">
        <v>1525</v>
      </c>
      <c r="I422" s="15">
        <v>201410</v>
      </c>
      <c r="J422" s="16">
        <v>-40.68</v>
      </c>
      <c r="K422" s="171">
        <f t="shared" si="32"/>
        <v>8</v>
      </c>
      <c r="L422" s="17">
        <v>1.4833299999999999E-3</v>
      </c>
      <c r="M422" s="16">
        <f t="shared" si="33"/>
        <v>-0.48</v>
      </c>
      <c r="N422" s="16">
        <f t="shared" si="34"/>
        <v>-0.72</v>
      </c>
      <c r="O422" s="14"/>
      <c r="P422" s="210" t="str">
        <f>VLOOKUP(C422,'WO Descriptions'!$A$5:$D$345,4)</f>
        <v>Approved by: Gary Williams on 04/22/2014,  Replace 4'' PBS that is leaking with 4'' PE. Tie in 58' NNC Franklin and 30' SSC Franklin. Ensure north side is 4'WEC. Pressure System - C-001.</v>
      </c>
    </row>
    <row r="423" spans="1:16" ht="45" outlineLevel="2">
      <c r="A423" s="14" t="s">
        <v>54</v>
      </c>
      <c r="B423" s="15" t="s">
        <v>864</v>
      </c>
      <c r="C423" s="15" t="s">
        <v>865</v>
      </c>
      <c r="D423" s="14" t="s">
        <v>866</v>
      </c>
      <c r="E423" s="15" t="s">
        <v>141</v>
      </c>
      <c r="F423" s="14" t="s">
        <v>142</v>
      </c>
      <c r="G423" s="15" t="s">
        <v>23</v>
      </c>
      <c r="H423" s="15" t="s">
        <v>1525</v>
      </c>
      <c r="I423" s="15">
        <v>201410</v>
      </c>
      <c r="J423" s="16">
        <v>-89.02</v>
      </c>
      <c r="K423" s="171">
        <f t="shared" si="32"/>
        <v>8</v>
      </c>
      <c r="L423" s="17">
        <v>1.4833299999999999E-3</v>
      </c>
      <c r="M423" s="16">
        <f t="shared" si="33"/>
        <v>-1.06</v>
      </c>
      <c r="N423" s="16">
        <f t="shared" si="34"/>
        <v>-1.58</v>
      </c>
      <c r="O423" s="14"/>
      <c r="P423" s="210" t="str">
        <f>VLOOKUP(C423,'WO Descriptions'!$A$5:$D$345,4)</f>
        <v>Approved by: Gary Williams on 04/28/2014,  TO LAY 542FT -6IN PE MAIN,REPLACE 542FT-10IN CI MAIN (WO#94-0724 330FT,WO#77-1701 73FT,WO#06-0843 110FT). THIS WORK ORDER IS NECESSARY DUE TO LEAKAGE</v>
      </c>
    </row>
    <row r="424" spans="1:16" ht="45" outlineLevel="2">
      <c r="A424" s="14" t="s">
        <v>54</v>
      </c>
      <c r="B424" s="15" t="s">
        <v>867</v>
      </c>
      <c r="C424" s="15" t="s">
        <v>868</v>
      </c>
      <c r="D424" s="14" t="s">
        <v>869</v>
      </c>
      <c r="E424" s="15" t="s">
        <v>36</v>
      </c>
      <c r="F424" s="14" t="s">
        <v>22</v>
      </c>
      <c r="G424" s="15" t="s">
        <v>23</v>
      </c>
      <c r="H424" s="15" t="s">
        <v>1525</v>
      </c>
      <c r="I424" s="15">
        <v>201410</v>
      </c>
      <c r="J424" s="16">
        <v>-21.63</v>
      </c>
      <c r="K424" s="171">
        <f t="shared" si="32"/>
        <v>8</v>
      </c>
      <c r="L424" s="17">
        <v>1.4833299999999999E-3</v>
      </c>
      <c r="M424" s="16">
        <f t="shared" si="33"/>
        <v>-0.26</v>
      </c>
      <c r="N424" s="16">
        <f t="shared" si="34"/>
        <v>-0.39</v>
      </c>
      <c r="O424" s="14"/>
      <c r="P424" s="210" t="str">
        <f>VLOOKUP(C424,'WO Descriptions'!$A$5:$D$345,4)</f>
        <v>Approved by: Gary Williams on 04/28/2014,  To lay 450' of 4"PE main to replace 450' of 4" bare steel main due to down project. Pressure System: C-O1: MOP : .88oz MAOP: .88oz Design MAOP: .88oz Pressure Test: 100 PSIG.</v>
      </c>
    </row>
    <row r="425" spans="1:16" ht="30" outlineLevel="2">
      <c r="A425" s="14" t="s">
        <v>54</v>
      </c>
      <c r="B425" s="15" t="s">
        <v>870</v>
      </c>
      <c r="C425" s="15" t="s">
        <v>871</v>
      </c>
      <c r="D425" s="14" t="s">
        <v>872</v>
      </c>
      <c r="E425" s="15" t="s">
        <v>108</v>
      </c>
      <c r="F425" s="14" t="s">
        <v>28</v>
      </c>
      <c r="G425" s="15" t="s">
        <v>23</v>
      </c>
      <c r="H425" s="15" t="s">
        <v>1525</v>
      </c>
      <c r="I425" s="15">
        <v>201410</v>
      </c>
      <c r="J425" s="16">
        <v>-10.32</v>
      </c>
      <c r="K425" s="171">
        <f t="shared" si="32"/>
        <v>8</v>
      </c>
      <c r="L425" s="17">
        <v>1.4833299999999999E-3</v>
      </c>
      <c r="M425" s="16">
        <f t="shared" si="33"/>
        <v>-0.12</v>
      </c>
      <c r="N425" s="16">
        <f t="shared" si="34"/>
        <v>-0.18</v>
      </c>
      <c r="O425" s="14"/>
      <c r="P425" s="210" t="str">
        <f>VLOOKUP(C425,'WO Descriptions'!$A$5:$D$345,4)</f>
        <v>Approved by: Gary Williams on 04/28/2014,  TO LAY 103FT-2IN PE MAIN TO REPLACE 103FT-1 1/8 PE (WO#74-2599). Due to increased load.</v>
      </c>
    </row>
    <row r="426" spans="1:16" ht="45" outlineLevel="2">
      <c r="A426" s="14" t="s">
        <v>54</v>
      </c>
      <c r="B426" s="15" t="s">
        <v>873</v>
      </c>
      <c r="C426" s="15" t="s">
        <v>874</v>
      </c>
      <c r="D426" s="14" t="s">
        <v>875</v>
      </c>
      <c r="E426" s="15" t="s">
        <v>36</v>
      </c>
      <c r="F426" s="14" t="s">
        <v>22</v>
      </c>
      <c r="G426" s="15" t="s">
        <v>23</v>
      </c>
      <c r="H426" s="15" t="s">
        <v>1525</v>
      </c>
      <c r="I426" s="15">
        <v>201410</v>
      </c>
      <c r="J426" s="16">
        <v>-14.44</v>
      </c>
      <c r="K426" s="171">
        <f t="shared" si="32"/>
        <v>8</v>
      </c>
      <c r="L426" s="17">
        <v>1.4833299999999999E-3</v>
      </c>
      <c r="M426" s="16">
        <f t="shared" si="33"/>
        <v>-0.17</v>
      </c>
      <c r="N426" s="16">
        <f t="shared" si="34"/>
        <v>-0.26</v>
      </c>
      <c r="O426" s="14"/>
      <c r="P426" s="210" t="str">
        <f>VLOOKUP(C426,'WO Descriptions'!$A$5:$D$345,4)</f>
        <v>Approved by: Gary Williams on 04/28/2014,  To lay 150' of 4"PE main to replace 150' of 4" bare steel main due to down project. System: C-O1: MOP :14oz MAOP : .88oz Design MAOP : .88oz Pressure Test: 100 PSIG.</v>
      </c>
    </row>
    <row r="427" spans="1:16" ht="60" outlineLevel="2">
      <c r="A427" s="14" t="s">
        <v>54</v>
      </c>
      <c r="B427" s="15" t="s">
        <v>876</v>
      </c>
      <c r="C427" s="15" t="s">
        <v>877</v>
      </c>
      <c r="D427" s="14" t="s">
        <v>878</v>
      </c>
      <c r="E427" s="15" t="s">
        <v>62</v>
      </c>
      <c r="F427" s="14" t="s">
        <v>22</v>
      </c>
      <c r="G427" s="15" t="s">
        <v>23</v>
      </c>
      <c r="H427" s="15" t="s">
        <v>1525</v>
      </c>
      <c r="I427" s="15">
        <v>201410</v>
      </c>
      <c r="J427" s="16">
        <v>40690.879999999997</v>
      </c>
      <c r="K427" s="171">
        <f t="shared" si="32"/>
        <v>8</v>
      </c>
      <c r="L427" s="17">
        <v>1.4833299999999999E-3</v>
      </c>
      <c r="M427" s="16">
        <f t="shared" si="33"/>
        <v>482.86</v>
      </c>
      <c r="N427" s="16">
        <f t="shared" si="34"/>
        <v>724.3</v>
      </c>
      <c r="O427" s="14"/>
      <c r="P427" s="210" t="str">
        <f>VLOOKUP(C427,'WO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428" spans="1:16" ht="60" outlineLevel="2">
      <c r="A428" s="14" t="s">
        <v>54</v>
      </c>
      <c r="B428" s="15" t="s">
        <v>882</v>
      </c>
      <c r="C428" s="15" t="s">
        <v>883</v>
      </c>
      <c r="D428" s="14" t="s">
        <v>884</v>
      </c>
      <c r="E428" s="15" t="s">
        <v>216</v>
      </c>
      <c r="F428" s="14" t="s">
        <v>22</v>
      </c>
      <c r="G428" s="15" t="s">
        <v>23</v>
      </c>
      <c r="H428" s="15" t="s">
        <v>1525</v>
      </c>
      <c r="I428" s="15">
        <v>201410</v>
      </c>
      <c r="J428" s="16">
        <v>5.81</v>
      </c>
      <c r="K428" s="171">
        <f t="shared" si="32"/>
        <v>8</v>
      </c>
      <c r="L428" s="17">
        <v>1.4833299999999999E-3</v>
      </c>
      <c r="M428" s="16">
        <f t="shared" si="33"/>
        <v>7.0000000000000007E-2</v>
      </c>
      <c r="N428" s="16">
        <f t="shared" si="34"/>
        <v>0.1</v>
      </c>
      <c r="O428" s="14"/>
      <c r="P428" s="210" t="str">
        <f>VLOOKUP(C428,'WO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429" spans="1:16" ht="30" outlineLevel="2">
      <c r="A429" s="14" t="s">
        <v>54</v>
      </c>
      <c r="B429" s="15" t="s">
        <v>885</v>
      </c>
      <c r="C429" s="15" t="s">
        <v>886</v>
      </c>
      <c r="D429" s="14" t="s">
        <v>887</v>
      </c>
      <c r="E429" s="15" t="s">
        <v>141</v>
      </c>
      <c r="F429" s="14" t="s">
        <v>142</v>
      </c>
      <c r="G429" s="15" t="s">
        <v>23</v>
      </c>
      <c r="H429" s="15" t="s">
        <v>1525</v>
      </c>
      <c r="I429" s="15">
        <v>201410</v>
      </c>
      <c r="J429" s="16">
        <v>9.77</v>
      </c>
      <c r="K429" s="171">
        <f t="shared" si="32"/>
        <v>8</v>
      </c>
      <c r="L429" s="17">
        <v>1.4833299999999999E-3</v>
      </c>
      <c r="M429" s="16">
        <f t="shared" si="33"/>
        <v>0.12</v>
      </c>
      <c r="N429" s="16">
        <f t="shared" si="34"/>
        <v>0.17</v>
      </c>
      <c r="O429" s="14"/>
      <c r="P429" s="210" t="str">
        <f>VLOOKUP(C429,'WO Descriptions'!$A$5:$D$345,4)</f>
        <v>Approved by: Kevin Driskell on 05/13/2014,  6'' CI was replaced with 6'' PE. Pressure system - C-001</v>
      </c>
    </row>
    <row r="430" spans="1:16" ht="30" outlineLevel="2">
      <c r="A430" s="14" t="s">
        <v>54</v>
      </c>
      <c r="B430" s="15" t="s">
        <v>897</v>
      </c>
      <c r="C430" s="15" t="s">
        <v>898</v>
      </c>
      <c r="D430" s="14" t="s">
        <v>899</v>
      </c>
      <c r="E430" s="15" t="s">
        <v>45</v>
      </c>
      <c r="F430" s="14" t="s">
        <v>22</v>
      </c>
      <c r="G430" s="15" t="s">
        <v>23</v>
      </c>
      <c r="H430" s="15" t="s">
        <v>1525</v>
      </c>
      <c r="I430" s="15">
        <v>201410</v>
      </c>
      <c r="J430" s="16">
        <v>422.88</v>
      </c>
      <c r="K430" s="171">
        <f t="shared" si="32"/>
        <v>8</v>
      </c>
      <c r="L430" s="17">
        <v>1.4833299999999999E-3</v>
      </c>
      <c r="M430" s="16">
        <f t="shared" si="33"/>
        <v>5.0199999999999996</v>
      </c>
      <c r="N430" s="16">
        <f t="shared" si="34"/>
        <v>7.53</v>
      </c>
      <c r="O430" s="14"/>
      <c r="P430" s="210" t="str">
        <f>VLOOKUP(C430,'WO Descriptions'!$A$5:$D$345,4)</f>
        <v>Approved by: Steve Holcomb on 05/28/2014,  Replace 4'' PBS, 4'' PCS, and 3'' PCS with 2" and 4" PE due to down project. Pressure System - C-02</v>
      </c>
    </row>
    <row r="431" spans="1:16" ht="45" outlineLevel="2">
      <c r="A431" s="14" t="s">
        <v>54</v>
      </c>
      <c r="B431" s="15" t="s">
        <v>900</v>
      </c>
      <c r="C431" s="15" t="s">
        <v>901</v>
      </c>
      <c r="D431" s="14" t="s">
        <v>902</v>
      </c>
      <c r="E431" s="15" t="s">
        <v>462</v>
      </c>
      <c r="F431" s="14" t="s">
        <v>142</v>
      </c>
      <c r="G431" s="15" t="s">
        <v>23</v>
      </c>
      <c r="H431" s="15" t="s">
        <v>1525</v>
      </c>
      <c r="I431" s="15">
        <v>201410</v>
      </c>
      <c r="J431" s="16">
        <v>8.59</v>
      </c>
      <c r="K431" s="171">
        <f t="shared" si="32"/>
        <v>8</v>
      </c>
      <c r="L431" s="17">
        <v>1.4833299999999999E-3</v>
      </c>
      <c r="M431" s="16">
        <f t="shared" si="33"/>
        <v>0.1</v>
      </c>
      <c r="N431" s="16">
        <f t="shared" si="34"/>
        <v>0.15</v>
      </c>
      <c r="O431" s="14"/>
      <c r="P431" s="210" t="str">
        <f>VLOOKUP(C431,'WO Descriptions'!$A$5:$D$345,4)</f>
        <v>Approved by: Kevin Driskell on 06/05/2014,  ISRS LAY 101' - 4" PE DUE TO LEAK ON EXISTING 4" CI MAIN ON EAST SIDE OF BROOKLYN AVE.  ABANDON 112'-4" CI (UNKNOWN W.O.).  ONE WAY FEED.</v>
      </c>
    </row>
    <row r="432" spans="1:16" outlineLevel="2">
      <c r="A432" s="14" t="s">
        <v>54</v>
      </c>
      <c r="B432" s="15" t="s">
        <v>913</v>
      </c>
      <c r="C432" s="15" t="s">
        <v>914</v>
      </c>
      <c r="D432" s="14" t="s">
        <v>915</v>
      </c>
      <c r="E432" s="15" t="s">
        <v>36</v>
      </c>
      <c r="F432" s="14" t="s">
        <v>22</v>
      </c>
      <c r="G432" s="15" t="s">
        <v>23</v>
      </c>
      <c r="H432" s="15" t="s">
        <v>1525</v>
      </c>
      <c r="I432" s="15">
        <v>201410</v>
      </c>
      <c r="J432" s="16">
        <v>38.01</v>
      </c>
      <c r="K432" s="171">
        <f t="shared" si="32"/>
        <v>8</v>
      </c>
      <c r="L432" s="17">
        <v>1.4833299999999999E-3</v>
      </c>
      <c r="M432" s="16">
        <f t="shared" si="33"/>
        <v>0.45</v>
      </c>
      <c r="N432" s="16">
        <f t="shared" si="34"/>
        <v>0.68</v>
      </c>
      <c r="O432" s="14"/>
      <c r="P432" s="210" t="str">
        <f>VLOOKUP(C432,'WO Descriptions'!$A$5:$D$345,4)</f>
        <v>Approved by: Gary Williams on 06/10/2014,  Replace PBS due to down project</v>
      </c>
    </row>
    <row r="433" spans="1:16" ht="30" outlineLevel="2">
      <c r="A433" s="14" t="s">
        <v>54</v>
      </c>
      <c r="B433" s="15" t="s">
        <v>916</v>
      </c>
      <c r="C433" s="15" t="s">
        <v>917</v>
      </c>
      <c r="D433" s="14" t="s">
        <v>918</v>
      </c>
      <c r="E433" s="15" t="s">
        <v>909</v>
      </c>
      <c r="F433" s="14" t="s">
        <v>22</v>
      </c>
      <c r="G433" s="15" t="s">
        <v>23</v>
      </c>
      <c r="H433" s="15" t="s">
        <v>1525</v>
      </c>
      <c r="I433" s="15">
        <v>201410</v>
      </c>
      <c r="J433" s="16">
        <v>0.82</v>
      </c>
      <c r="K433" s="171">
        <f t="shared" si="32"/>
        <v>8</v>
      </c>
      <c r="L433" s="17">
        <v>1.4833299999999999E-3</v>
      </c>
      <c r="M433" s="16">
        <f t="shared" si="33"/>
        <v>0.01</v>
      </c>
      <c r="N433" s="16">
        <f t="shared" si="34"/>
        <v>0.01</v>
      </c>
      <c r="O433" s="14"/>
      <c r="P433" s="210" t="str">
        <f>VLOOKUP(C433,'WO Descriptions'!$A$5:$D$345,4)</f>
        <v>Approved by: Gary Williams on 06/10/2014,  Replace PBS due to down project. Pressure system C-01</v>
      </c>
    </row>
    <row r="434" spans="1:16" ht="45" outlineLevel="2">
      <c r="A434" s="14" t="s">
        <v>54</v>
      </c>
      <c r="B434" s="15" t="s">
        <v>926</v>
      </c>
      <c r="C434" s="15" t="s">
        <v>927</v>
      </c>
      <c r="D434" s="14" t="s">
        <v>928</v>
      </c>
      <c r="E434" s="15" t="s">
        <v>141</v>
      </c>
      <c r="F434" s="14" t="s">
        <v>142</v>
      </c>
      <c r="G434" s="15" t="s">
        <v>23</v>
      </c>
      <c r="H434" s="15" t="s">
        <v>1525</v>
      </c>
      <c r="I434" s="15">
        <v>201410</v>
      </c>
      <c r="J434" s="16">
        <v>129.80000000000001</v>
      </c>
      <c r="K434" s="171">
        <f t="shared" si="32"/>
        <v>8</v>
      </c>
      <c r="L434" s="17">
        <v>1.4833299999999999E-3</v>
      </c>
      <c r="M434" s="16">
        <f t="shared" si="33"/>
        <v>1.54</v>
      </c>
      <c r="N434" s="16">
        <f t="shared" si="34"/>
        <v>2.31</v>
      </c>
      <c r="O434" s="14"/>
      <c r="P434" s="210" t="str">
        <f>VLOOKUP(C434,'WO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435" spans="1:16" ht="30" outlineLevel="2">
      <c r="A435" s="14" t="s">
        <v>54</v>
      </c>
      <c r="B435" s="15" t="s">
        <v>938</v>
      </c>
      <c r="C435" s="15" t="s">
        <v>939</v>
      </c>
      <c r="D435" s="14" t="s">
        <v>940</v>
      </c>
      <c r="E435" s="15" t="s">
        <v>141</v>
      </c>
      <c r="F435" s="14" t="s">
        <v>142</v>
      </c>
      <c r="G435" s="15" t="s">
        <v>23</v>
      </c>
      <c r="H435" s="15" t="s">
        <v>1525</v>
      </c>
      <c r="I435" s="15">
        <v>201410</v>
      </c>
      <c r="J435" s="16">
        <v>9145.27</v>
      </c>
      <c r="K435" s="171">
        <f t="shared" si="32"/>
        <v>8</v>
      </c>
      <c r="L435" s="17">
        <v>1.4833299999999999E-3</v>
      </c>
      <c r="M435" s="16">
        <f t="shared" si="33"/>
        <v>108.52</v>
      </c>
      <c r="N435" s="16">
        <f t="shared" si="34"/>
        <v>162.79</v>
      </c>
      <c r="O435" s="14"/>
      <c r="P435" s="210" t="str">
        <f>VLOOKUP(C435,'WO Descriptions'!$A$5:$D$345,4)</f>
        <v>Approved by: Steve Holcomb on 06/30/2014,  Replace 8'' CI WITH 6'' PE DUE TO LEAKS. PRESSURE SYSTEM C-01</v>
      </c>
    </row>
    <row r="436" spans="1:16" ht="75" outlineLevel="2">
      <c r="A436" s="14" t="s">
        <v>54</v>
      </c>
      <c r="B436" s="15" t="s">
        <v>947</v>
      </c>
      <c r="C436" s="15" t="s">
        <v>948</v>
      </c>
      <c r="D436" s="14" t="s">
        <v>949</v>
      </c>
      <c r="E436" s="15" t="s">
        <v>141</v>
      </c>
      <c r="F436" s="14" t="s">
        <v>142</v>
      </c>
      <c r="G436" s="15" t="s">
        <v>23</v>
      </c>
      <c r="H436" s="15" t="s">
        <v>1525</v>
      </c>
      <c r="I436" s="15">
        <v>201410</v>
      </c>
      <c r="J436" s="16">
        <v>110798.91</v>
      </c>
      <c r="K436" s="171">
        <f t="shared" si="32"/>
        <v>8</v>
      </c>
      <c r="L436" s="17">
        <v>1.4833299999999999E-3</v>
      </c>
      <c r="M436" s="16">
        <f t="shared" si="33"/>
        <v>1314.81</v>
      </c>
      <c r="N436" s="16">
        <f t="shared" si="34"/>
        <v>1972.22</v>
      </c>
      <c r="O436" s="14"/>
      <c r="P436" s="210" t="str">
        <f>VLOOKUP(C436,'WO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437" spans="1:16" ht="45" outlineLevel="2">
      <c r="A437" s="14" t="s">
        <v>54</v>
      </c>
      <c r="B437" s="15" t="s">
        <v>950</v>
      </c>
      <c r="C437" s="15" t="s">
        <v>951</v>
      </c>
      <c r="D437" s="14" t="s">
        <v>952</v>
      </c>
      <c r="E437" s="15" t="s">
        <v>141</v>
      </c>
      <c r="F437" s="14" t="s">
        <v>142</v>
      </c>
      <c r="G437" s="15" t="s">
        <v>23</v>
      </c>
      <c r="H437" s="15" t="s">
        <v>1525</v>
      </c>
      <c r="I437" s="15">
        <v>201410</v>
      </c>
      <c r="J437" s="16">
        <v>15389.95</v>
      </c>
      <c r="K437" s="171">
        <f t="shared" si="32"/>
        <v>8</v>
      </c>
      <c r="L437" s="17">
        <v>1.4833299999999999E-3</v>
      </c>
      <c r="M437" s="16">
        <f t="shared" si="33"/>
        <v>182.63</v>
      </c>
      <c r="N437" s="16">
        <f t="shared" si="34"/>
        <v>273.94</v>
      </c>
      <c r="O437" s="14"/>
      <c r="P437" s="210" t="str">
        <f>VLOOKUP(C437,'WO Descriptions'!$A$5:$D$345,4)</f>
        <v>Approved by: Steve Holcomb on 07/09/2014,  Replace 4'' and 6'' CI main due to graphitization. CI break 12-1018 - 122' NNC of 50th St and 4' EEC of highland. Due 09-28-2014. Pressure System C-001</v>
      </c>
    </row>
    <row r="438" spans="1:16" ht="45" outlineLevel="2">
      <c r="A438" s="14" t="s">
        <v>54</v>
      </c>
      <c r="B438" s="15" t="s">
        <v>974</v>
      </c>
      <c r="C438" s="15" t="s">
        <v>975</v>
      </c>
      <c r="D438" s="14" t="s">
        <v>976</v>
      </c>
      <c r="E438" s="15" t="s">
        <v>141</v>
      </c>
      <c r="F438" s="14" t="s">
        <v>142</v>
      </c>
      <c r="G438" s="15" t="s">
        <v>23</v>
      </c>
      <c r="H438" s="15" t="s">
        <v>1525</v>
      </c>
      <c r="I438" s="15">
        <v>201410</v>
      </c>
      <c r="J438" s="16">
        <v>4514.09</v>
      </c>
      <c r="K438" s="171">
        <f t="shared" si="32"/>
        <v>8</v>
      </c>
      <c r="L438" s="17">
        <v>1.4833299999999999E-3</v>
      </c>
      <c r="M438" s="16">
        <f t="shared" si="33"/>
        <v>53.57</v>
      </c>
      <c r="N438" s="16">
        <f t="shared" si="34"/>
        <v>80.349999999999994</v>
      </c>
      <c r="O438" s="14"/>
      <c r="P438" s="210" t="str">
        <f>VLOOKUP(C438,'WO Descriptions'!$A$5:$D$345,4)</f>
        <v>Approved by: Kevin Driskell on 07/23/2014,  AOR.  Replace 40' of 4in CI with 4in PE due to exposure of CI coupling.  AOR location: 46' SSCB of 8th Street.  Must be finished by 9-21-2014.  Tie over 3 services.  Replace one service.  COST PER FOOT $554.14</v>
      </c>
    </row>
    <row r="439" spans="1:16" ht="30" outlineLevel="2">
      <c r="A439" s="14" t="s">
        <v>54</v>
      </c>
      <c r="B439" s="15" t="s">
        <v>977</v>
      </c>
      <c r="C439" s="15" t="s">
        <v>978</v>
      </c>
      <c r="D439" s="14" t="s">
        <v>979</v>
      </c>
      <c r="E439" s="15" t="s">
        <v>980</v>
      </c>
      <c r="F439" s="14" t="s">
        <v>259</v>
      </c>
      <c r="G439" s="15" t="s">
        <v>23</v>
      </c>
      <c r="H439" s="15" t="s">
        <v>1525</v>
      </c>
      <c r="I439" s="15">
        <v>201410</v>
      </c>
      <c r="J439" s="16">
        <v>0.51</v>
      </c>
      <c r="K439" s="171">
        <f t="shared" si="32"/>
        <v>8</v>
      </c>
      <c r="L439" s="17">
        <v>1.4833299999999999E-3</v>
      </c>
      <c r="M439" s="16">
        <f t="shared" si="33"/>
        <v>0.01</v>
      </c>
      <c r="N439" s="16">
        <f t="shared" si="34"/>
        <v>0.01</v>
      </c>
      <c r="O439" s="14"/>
      <c r="P439" s="210" t="str">
        <f>VLOOKUP(C439,'WO Descriptions'!$A$5:$D$345,4)</f>
        <v>Approved by: Kevin Driskell on 07/25/2014,  Replace 3' of 2in BS and 4' of 2in PE due to third party damage.</v>
      </c>
    </row>
    <row r="440" spans="1:16" ht="75" outlineLevel="2">
      <c r="A440" s="14" t="s">
        <v>54</v>
      </c>
      <c r="B440" s="15" t="s">
        <v>990</v>
      </c>
      <c r="C440" s="15" t="s">
        <v>991</v>
      </c>
      <c r="D440" s="14" t="s">
        <v>992</v>
      </c>
      <c r="E440" s="15" t="s">
        <v>141</v>
      </c>
      <c r="F440" s="14" t="s">
        <v>142</v>
      </c>
      <c r="G440" s="15" t="s">
        <v>23</v>
      </c>
      <c r="H440" s="15" t="s">
        <v>1525</v>
      </c>
      <c r="I440" s="15">
        <v>201410</v>
      </c>
      <c r="J440" s="16">
        <v>123284.96</v>
      </c>
      <c r="K440" s="171">
        <f t="shared" si="32"/>
        <v>8</v>
      </c>
      <c r="L440" s="17">
        <v>1.4833299999999999E-3</v>
      </c>
      <c r="M440" s="16">
        <f t="shared" si="33"/>
        <v>1462.98</v>
      </c>
      <c r="N440" s="16">
        <f t="shared" si="34"/>
        <v>2194.4699999999998</v>
      </c>
      <c r="O440" s="14"/>
      <c r="P440" s="210" t="str">
        <f>VLOOKUP(C440,'WO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441" spans="1:16" ht="45" outlineLevel="2">
      <c r="A441" s="14" t="s">
        <v>54</v>
      </c>
      <c r="B441" s="15" t="s">
        <v>1005</v>
      </c>
      <c r="C441" s="15" t="s">
        <v>1006</v>
      </c>
      <c r="D441" s="14" t="s">
        <v>1007</v>
      </c>
      <c r="E441" s="15" t="s">
        <v>141</v>
      </c>
      <c r="F441" s="14" t="s">
        <v>142</v>
      </c>
      <c r="G441" s="15" t="s">
        <v>23</v>
      </c>
      <c r="H441" s="15" t="s">
        <v>1525</v>
      </c>
      <c r="I441" s="15">
        <v>201410</v>
      </c>
      <c r="J441" s="16">
        <v>28474.67</v>
      </c>
      <c r="K441" s="171">
        <f t="shared" si="32"/>
        <v>8</v>
      </c>
      <c r="L441" s="17">
        <v>1.4833299999999999E-3</v>
      </c>
      <c r="M441" s="16">
        <f t="shared" si="33"/>
        <v>337.9</v>
      </c>
      <c r="N441" s="16">
        <f t="shared" si="34"/>
        <v>506.85</v>
      </c>
      <c r="O441" s="14"/>
      <c r="P441" s="210" t="str">
        <f>VLOOKUP(C441,'WO Descriptions'!$A$5:$D$345,4)</f>
        <v>Approved by: Gary Williams on 09/08/2014,  AOR.  This job must be completed by Dec. 12, 2014.  Replace 65ft of 6in CI with 6in PE due to 29' of exposed pipe.  CI pipe was exposed from 6' NSCB TO 23' SSCB of 29th Street.  No services to tie over.</v>
      </c>
    </row>
    <row r="442" spans="1:16" ht="45" outlineLevel="2">
      <c r="A442" s="14" t="s">
        <v>54</v>
      </c>
      <c r="B442" s="15" t="s">
        <v>1008</v>
      </c>
      <c r="C442" s="15" t="s">
        <v>1009</v>
      </c>
      <c r="D442" s="14" t="s">
        <v>1010</v>
      </c>
      <c r="E442" s="15" t="s">
        <v>49</v>
      </c>
      <c r="F442" s="14" t="s">
        <v>22</v>
      </c>
      <c r="G442" s="15" t="s">
        <v>23</v>
      </c>
      <c r="H442" s="15" t="s">
        <v>1525</v>
      </c>
      <c r="I442" s="15">
        <v>201410</v>
      </c>
      <c r="J442" s="16">
        <v>19575.849999999999</v>
      </c>
      <c r="K442" s="171">
        <f t="shared" si="32"/>
        <v>8</v>
      </c>
      <c r="L442" s="17">
        <v>1.4833299999999999E-3</v>
      </c>
      <c r="M442" s="16">
        <f t="shared" si="33"/>
        <v>232.3</v>
      </c>
      <c r="N442" s="16">
        <f t="shared" si="34"/>
        <v>348.45</v>
      </c>
      <c r="O442" s="14"/>
      <c r="P442" s="210" t="str">
        <f>VLOOKUP(C442,'WO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443" spans="1:16" ht="45" outlineLevel="2">
      <c r="A443" s="14" t="s">
        <v>54</v>
      </c>
      <c r="B443" s="15" t="s">
        <v>1014</v>
      </c>
      <c r="C443" s="15" t="s">
        <v>1015</v>
      </c>
      <c r="D443" s="14" t="s">
        <v>1016</v>
      </c>
      <c r="E443" s="15" t="s">
        <v>296</v>
      </c>
      <c r="F443" s="14" t="s">
        <v>28</v>
      </c>
      <c r="G443" s="15" t="s">
        <v>23</v>
      </c>
      <c r="H443" s="15" t="s">
        <v>1525</v>
      </c>
      <c r="I443" s="15">
        <v>201410</v>
      </c>
      <c r="J443" s="16">
        <v>8804.85</v>
      </c>
      <c r="K443" s="171">
        <f t="shared" si="32"/>
        <v>8</v>
      </c>
      <c r="L443" s="17">
        <v>1.4833299999999999E-3</v>
      </c>
      <c r="M443" s="16">
        <f t="shared" si="33"/>
        <v>104.48</v>
      </c>
      <c r="N443" s="16">
        <f t="shared" si="34"/>
        <v>156.72999999999999</v>
      </c>
      <c r="O443" s="14"/>
      <c r="P443" s="210" t="str">
        <f>VLOOKUP(C443,'WO Descriptions'!$A$5:$D$345,4)</f>
        <v>Approved by: Galen Shoemaker on 09/15/2014,  Lower 167' - 2" PE main (WO#: 92-6050) due to construction over shallow main. Project Location: Doughboy Dr North of 32nd St; Pressure System: C-1; MOP: 58 psig; MAOP: 58 psig; Design: 58 psig; Test: 100 psig; $34.34/ft</v>
      </c>
    </row>
    <row r="444" spans="1:16" ht="45" outlineLevel="2">
      <c r="A444" s="14" t="s">
        <v>54</v>
      </c>
      <c r="B444" s="15" t="s">
        <v>1017</v>
      </c>
      <c r="C444" s="15" t="s">
        <v>1018</v>
      </c>
      <c r="D444" s="14" t="s">
        <v>1019</v>
      </c>
      <c r="E444" s="15" t="s">
        <v>1020</v>
      </c>
      <c r="F444" s="14" t="s">
        <v>22</v>
      </c>
      <c r="G444" s="15" t="s">
        <v>23</v>
      </c>
      <c r="H444" s="15" t="s">
        <v>1525</v>
      </c>
      <c r="I444" s="15">
        <v>201410</v>
      </c>
      <c r="J444" s="16">
        <v>6323.2</v>
      </c>
      <c r="K444" s="171">
        <f t="shared" si="32"/>
        <v>8</v>
      </c>
      <c r="L444" s="17">
        <v>1.4833299999999999E-3</v>
      </c>
      <c r="M444" s="16">
        <f t="shared" si="33"/>
        <v>75.040000000000006</v>
      </c>
      <c r="N444" s="16">
        <f t="shared" si="34"/>
        <v>112.55</v>
      </c>
      <c r="O444" s="14"/>
      <c r="P444" s="210" t="str">
        <f>VLOOKUP(C444,'WO Descriptions'!$A$5:$D$345,4)</f>
        <v>Approved by: Galen Shoemaker on 09/18/2014,  Lay 479ft of 2in Plastic Main to replace 391ft of 2in PBS from WO JO10B and 86ft of 2in CS from WO 66-7352 and 2'-2" PE from 82-0762. MOP=20# MAOP=20# TEST=100# SYSTEM=S-1</v>
      </c>
    </row>
    <row r="445" spans="1:16" ht="45" outlineLevel="2">
      <c r="A445" s="14" t="s">
        <v>54</v>
      </c>
      <c r="B445" s="15" t="s">
        <v>1021</v>
      </c>
      <c r="C445" s="15" t="s">
        <v>1022</v>
      </c>
      <c r="D445" s="14" t="s">
        <v>1023</v>
      </c>
      <c r="E445" s="15" t="s">
        <v>108</v>
      </c>
      <c r="F445" s="14" t="s">
        <v>28</v>
      </c>
      <c r="G445" s="15" t="s">
        <v>23</v>
      </c>
      <c r="H445" s="15" t="s">
        <v>1525</v>
      </c>
      <c r="I445" s="15">
        <v>201410</v>
      </c>
      <c r="J445" s="16">
        <v>293.01</v>
      </c>
      <c r="K445" s="171">
        <f t="shared" si="32"/>
        <v>8</v>
      </c>
      <c r="L445" s="17">
        <v>1.4833299999999999E-3</v>
      </c>
      <c r="M445" s="16">
        <f t="shared" si="33"/>
        <v>3.48</v>
      </c>
      <c r="N445" s="16">
        <f t="shared" si="34"/>
        <v>5.22</v>
      </c>
      <c r="O445" s="14"/>
      <c r="P445" s="210" t="str">
        <f>VLOOKUP(C445,'WO Descriptions'!$A$5:$D$345,4)</f>
        <v>Approved by: Kevin Driskell on 09/24/2014,  Abandoned 3' of 2'' PE. Installed 8' of 2'' PE due to third party damage. When work was done pressure system was C-002 (1psig). As of 9/16/2014 pressure system C-002 (33psig).</v>
      </c>
    </row>
    <row r="446" spans="1:16" ht="75" outlineLevel="2">
      <c r="A446" s="14" t="s">
        <v>17</v>
      </c>
      <c r="B446" s="15" t="s">
        <v>105</v>
      </c>
      <c r="C446" s="15" t="s">
        <v>106</v>
      </c>
      <c r="D446" s="14" t="s">
        <v>107</v>
      </c>
      <c r="E446" s="15" t="s">
        <v>108</v>
      </c>
      <c r="F446" s="14" t="s">
        <v>28</v>
      </c>
      <c r="G446" s="15" t="s">
        <v>23</v>
      </c>
      <c r="H446" s="15" t="s">
        <v>1525</v>
      </c>
      <c r="I446" s="15">
        <v>201411</v>
      </c>
      <c r="J446" s="16">
        <v>132.91</v>
      </c>
      <c r="K446" s="171">
        <f t="shared" si="32"/>
        <v>7</v>
      </c>
      <c r="L446" s="17">
        <v>1.4833299999999999E-3</v>
      </c>
      <c r="M446" s="16">
        <f t="shared" si="33"/>
        <v>1.38</v>
      </c>
      <c r="N446" s="16">
        <f t="shared" si="34"/>
        <v>2.37</v>
      </c>
      <c r="O446" s="14"/>
      <c r="P446" s="210" t="str">
        <f>VLOOKUP(C446,'WO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447" spans="1:16" ht="165" outlineLevel="2">
      <c r="A447" s="18" t="s">
        <v>17</v>
      </c>
      <c r="B447" s="15" t="s">
        <v>189</v>
      </c>
      <c r="C447" s="15" t="s">
        <v>190</v>
      </c>
      <c r="D447" s="14" t="s">
        <v>191</v>
      </c>
      <c r="E447" s="15" t="s">
        <v>62</v>
      </c>
      <c r="F447" s="14" t="s">
        <v>22</v>
      </c>
      <c r="G447" s="15" t="s">
        <v>23</v>
      </c>
      <c r="H447" s="15" t="s">
        <v>1525</v>
      </c>
      <c r="I447" s="15">
        <v>201411</v>
      </c>
      <c r="J447" s="16">
        <v>-151959.22</v>
      </c>
      <c r="K447" s="171">
        <f t="shared" si="32"/>
        <v>7</v>
      </c>
      <c r="L447" s="17">
        <v>1.4833299999999999E-3</v>
      </c>
      <c r="M447" s="16">
        <f t="shared" si="33"/>
        <v>-1577.84</v>
      </c>
      <c r="N447" s="16">
        <f t="shared" si="34"/>
        <v>-2704.87</v>
      </c>
      <c r="O447" s="14"/>
      <c r="P447" s="210" t="str">
        <f>VLOOKUP(C447,'WO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448" spans="1:16" ht="105" outlineLevel="2">
      <c r="A448" s="14" t="s">
        <v>17</v>
      </c>
      <c r="B448" s="15" t="s">
        <v>347</v>
      </c>
      <c r="C448" s="15" t="s">
        <v>348</v>
      </c>
      <c r="D448" s="14" t="s">
        <v>349</v>
      </c>
      <c r="E448" s="15" t="s">
        <v>324</v>
      </c>
      <c r="F448" s="14" t="s">
        <v>325</v>
      </c>
      <c r="G448" s="15" t="s">
        <v>23</v>
      </c>
      <c r="H448" s="15" t="s">
        <v>1525</v>
      </c>
      <c r="I448" s="15">
        <v>201411</v>
      </c>
      <c r="J448" s="16">
        <v>1085.29</v>
      </c>
      <c r="K448" s="171">
        <f t="shared" si="32"/>
        <v>7</v>
      </c>
      <c r="L448" s="17">
        <v>1.4833299999999999E-3</v>
      </c>
      <c r="M448" s="16">
        <f t="shared" si="33"/>
        <v>11.27</v>
      </c>
      <c r="N448" s="16">
        <f t="shared" si="34"/>
        <v>19.32</v>
      </c>
      <c r="O448" s="14"/>
      <c r="P448" s="210" t="str">
        <f>VLOOKUP(C448,'WO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449" spans="1:16" ht="45" outlineLevel="2">
      <c r="A449" s="14" t="s">
        <v>17</v>
      </c>
      <c r="B449" s="15" t="s">
        <v>480</v>
      </c>
      <c r="C449" s="15" t="s">
        <v>481</v>
      </c>
      <c r="D449" s="14" t="s">
        <v>482</v>
      </c>
      <c r="E449" s="15" t="s">
        <v>141</v>
      </c>
      <c r="F449" s="14" t="s">
        <v>142</v>
      </c>
      <c r="G449" s="15" t="s">
        <v>23</v>
      </c>
      <c r="H449" s="15" t="s">
        <v>1525</v>
      </c>
      <c r="I449" s="15">
        <v>201411</v>
      </c>
      <c r="J449" s="16">
        <v>-143.49</v>
      </c>
      <c r="K449" s="171">
        <f t="shared" si="32"/>
        <v>7</v>
      </c>
      <c r="L449" s="17">
        <v>1.4833299999999999E-3</v>
      </c>
      <c r="M449" s="16">
        <f t="shared" si="33"/>
        <v>-1.49</v>
      </c>
      <c r="N449" s="16">
        <f t="shared" si="34"/>
        <v>-2.5499999999999998</v>
      </c>
      <c r="O449" s="14"/>
      <c r="P449" s="210" t="str">
        <f>VLOOKUP(C449,'WO Descriptions'!$A$5:$D$345,4)</f>
        <v>Approved by: Gary Williams on 12/02/2013,  AOR.  Replace 40'-6in CI with 6in PE.  13' of CI was exposed at 2551 Chelsea.  Tie-over two services and replace one service (2553 Chelsea).Retire 35'-6in CI, B30P88; 5'-6in CI, B18P103.</v>
      </c>
    </row>
    <row r="450" spans="1:16" ht="90" outlineLevel="2">
      <c r="A450" s="14" t="s">
        <v>17</v>
      </c>
      <c r="B450" s="15" t="s">
        <v>552</v>
      </c>
      <c r="C450" s="15" t="s">
        <v>553</v>
      </c>
      <c r="D450" s="14" t="s">
        <v>554</v>
      </c>
      <c r="E450" s="15" t="s">
        <v>62</v>
      </c>
      <c r="F450" s="14" t="s">
        <v>22</v>
      </c>
      <c r="G450" s="15" t="s">
        <v>23</v>
      </c>
      <c r="H450" s="15" t="s">
        <v>1525</v>
      </c>
      <c r="I450" s="15">
        <v>201411</v>
      </c>
      <c r="J450" s="16">
        <v>-5700.68</v>
      </c>
      <c r="K450" s="171">
        <f t="shared" si="32"/>
        <v>7</v>
      </c>
      <c r="L450" s="17">
        <v>1.4833299999999999E-3</v>
      </c>
      <c r="M450" s="16">
        <f t="shared" si="33"/>
        <v>-59.19</v>
      </c>
      <c r="N450" s="16">
        <f t="shared" si="34"/>
        <v>-101.47</v>
      </c>
      <c r="O450" s="14"/>
      <c r="P450" s="210" t="str">
        <f>VLOOKUP(C450,'WO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51" spans="1:16" ht="75" outlineLevel="2">
      <c r="A451" s="18" t="s">
        <v>17</v>
      </c>
      <c r="B451" s="15" t="s">
        <v>646</v>
      </c>
      <c r="C451" s="15" t="s">
        <v>647</v>
      </c>
      <c r="D451" s="14" t="s">
        <v>648</v>
      </c>
      <c r="E451" s="15" t="s">
        <v>176</v>
      </c>
      <c r="F451" s="14" t="s">
        <v>28</v>
      </c>
      <c r="G451" s="15" t="s">
        <v>23</v>
      </c>
      <c r="H451" s="15" t="s">
        <v>1525</v>
      </c>
      <c r="I451" s="15">
        <v>201411</v>
      </c>
      <c r="J451" s="16">
        <v>18.21</v>
      </c>
      <c r="K451" s="171">
        <f t="shared" si="32"/>
        <v>7</v>
      </c>
      <c r="L451" s="17">
        <v>1.4833299999999999E-3</v>
      </c>
      <c r="M451" s="16">
        <f t="shared" si="33"/>
        <v>0.19</v>
      </c>
      <c r="N451" s="16">
        <f t="shared" si="34"/>
        <v>0.32</v>
      </c>
      <c r="O451" s="14"/>
      <c r="P451" s="210" t="str">
        <f>VLOOKUP(C451,'WO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452" spans="1:16" ht="105" outlineLevel="2">
      <c r="A452" s="18" t="s">
        <v>17</v>
      </c>
      <c r="B452" s="15" t="s">
        <v>704</v>
      </c>
      <c r="C452" s="15" t="s">
        <v>705</v>
      </c>
      <c r="D452" s="14" t="s">
        <v>706</v>
      </c>
      <c r="E452" s="15" t="s">
        <v>58</v>
      </c>
      <c r="F452" s="14" t="s">
        <v>22</v>
      </c>
      <c r="G452" s="15" t="s">
        <v>23</v>
      </c>
      <c r="H452" s="15" t="s">
        <v>1525</v>
      </c>
      <c r="I452" s="15">
        <v>201411</v>
      </c>
      <c r="J452" s="16">
        <v>5238.34</v>
      </c>
      <c r="K452" s="171">
        <f t="shared" si="32"/>
        <v>7</v>
      </c>
      <c r="L452" s="17">
        <v>1.4833299999999999E-3</v>
      </c>
      <c r="M452" s="16">
        <f t="shared" si="33"/>
        <v>54.39</v>
      </c>
      <c r="N452" s="16">
        <f t="shared" si="34"/>
        <v>93.24</v>
      </c>
      <c r="O452" s="14"/>
      <c r="P452" s="210" t="str">
        <f>VLOOKUP(C452,'WO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453" spans="1:16" ht="75" outlineLevel="2">
      <c r="A453" s="14" t="s">
        <v>17</v>
      </c>
      <c r="B453" s="15" t="s">
        <v>759</v>
      </c>
      <c r="C453" s="15" t="s">
        <v>760</v>
      </c>
      <c r="D453" s="14" t="s">
        <v>761</v>
      </c>
      <c r="E453" s="15" t="s">
        <v>62</v>
      </c>
      <c r="F453" s="14" t="s">
        <v>22</v>
      </c>
      <c r="G453" s="15" t="s">
        <v>23</v>
      </c>
      <c r="H453" s="15" t="s">
        <v>1525</v>
      </c>
      <c r="I453" s="15">
        <v>201411</v>
      </c>
      <c r="J453" s="16">
        <v>205.63</v>
      </c>
      <c r="K453" s="171">
        <f t="shared" si="32"/>
        <v>7</v>
      </c>
      <c r="L453" s="17">
        <v>1.4833299999999999E-3</v>
      </c>
      <c r="M453" s="16">
        <f t="shared" si="33"/>
        <v>2.14</v>
      </c>
      <c r="N453" s="16">
        <f t="shared" si="34"/>
        <v>3.66</v>
      </c>
      <c r="O453" s="14"/>
      <c r="P453" s="210" t="str">
        <f>VLOOKUP(C453,'WO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454" spans="1:16" ht="30" outlineLevel="2">
      <c r="A454" s="14" t="s">
        <v>17</v>
      </c>
      <c r="B454" s="15" t="s">
        <v>843</v>
      </c>
      <c r="C454" s="15" t="s">
        <v>844</v>
      </c>
      <c r="D454" s="14" t="s">
        <v>845</v>
      </c>
      <c r="E454" s="15" t="s">
        <v>45</v>
      </c>
      <c r="F454" s="14" t="s">
        <v>22</v>
      </c>
      <c r="G454" s="15" t="s">
        <v>23</v>
      </c>
      <c r="H454" s="15" t="s">
        <v>1525</v>
      </c>
      <c r="I454" s="15">
        <v>201411</v>
      </c>
      <c r="J454" s="16">
        <v>-85.84</v>
      </c>
      <c r="K454" s="171">
        <f t="shared" si="32"/>
        <v>7</v>
      </c>
      <c r="L454" s="17">
        <v>1.4833299999999999E-3</v>
      </c>
      <c r="M454" s="16">
        <f t="shared" si="33"/>
        <v>-0.89</v>
      </c>
      <c r="N454" s="16">
        <f t="shared" si="34"/>
        <v>-1.53</v>
      </c>
      <c r="O454" s="14"/>
      <c r="P454" s="210" t="str">
        <f>VLOOKUP(C454,'WO Descriptions'!$A$5:$D$345,4)</f>
        <v>Approved by: Kevin Driskell on 04/07/2014,  Replace 3in and 2in PBS due to leak.  Lay 10'-3in thin film and 14'-2in thin film.  Work done by MGE crew.Original JO 7740C &amp; 7740B, year 1949</v>
      </c>
    </row>
    <row r="455" spans="1:16" ht="30" outlineLevel="2">
      <c r="A455" s="14" t="s">
        <v>17</v>
      </c>
      <c r="B455" s="15" t="s">
        <v>894</v>
      </c>
      <c r="C455" s="15" t="s">
        <v>895</v>
      </c>
      <c r="D455" s="14" t="s">
        <v>896</v>
      </c>
      <c r="E455" s="15" t="s">
        <v>440</v>
      </c>
      <c r="F455" s="14" t="s">
        <v>28</v>
      </c>
      <c r="G455" s="15" t="s">
        <v>23</v>
      </c>
      <c r="H455" s="15" t="s">
        <v>1525</v>
      </c>
      <c r="I455" s="15">
        <v>201411</v>
      </c>
      <c r="J455" s="16">
        <v>63.81</v>
      </c>
      <c r="K455" s="171">
        <f t="shared" si="32"/>
        <v>7</v>
      </c>
      <c r="L455" s="17">
        <v>1.4833299999999999E-3</v>
      </c>
      <c r="M455" s="16">
        <f t="shared" si="33"/>
        <v>0.66</v>
      </c>
      <c r="N455" s="16">
        <f t="shared" si="34"/>
        <v>1.1399999999999999</v>
      </c>
      <c r="O455" s="14"/>
      <c r="P455" s="210" t="str">
        <f>VLOOKUP(C455,'WO Descriptions'!$A$5:$D$345,4)</f>
        <v>Approved by: Kevin Driskell on 05/28/2014,  Replace 16ft of 8'' PCS due to 3rd party damage. Pressure system C-041 Ret 16'-8in coated steel, year 1967, wo 67-1440.</v>
      </c>
    </row>
    <row r="456" spans="1:16" ht="60" outlineLevel="2">
      <c r="A456" s="14" t="s">
        <v>17</v>
      </c>
      <c r="B456" s="15" t="s">
        <v>903</v>
      </c>
      <c r="C456" s="15" t="s">
        <v>904</v>
      </c>
      <c r="D456" s="14" t="s">
        <v>905</v>
      </c>
      <c r="E456" s="15" t="s">
        <v>49</v>
      </c>
      <c r="F456" s="14" t="s">
        <v>22</v>
      </c>
      <c r="G456" s="15" t="s">
        <v>23</v>
      </c>
      <c r="H456" s="15" t="s">
        <v>1525</v>
      </c>
      <c r="I456" s="15">
        <v>201411</v>
      </c>
      <c r="J456" s="16">
        <v>-25.51</v>
      </c>
      <c r="K456" s="171">
        <f t="shared" si="32"/>
        <v>7</v>
      </c>
      <c r="L456" s="17">
        <v>1.4833299999999999E-3</v>
      </c>
      <c r="M456" s="16">
        <f t="shared" si="33"/>
        <v>-0.26</v>
      </c>
      <c r="N456" s="16">
        <f t="shared" si="34"/>
        <v>-0.45</v>
      </c>
      <c r="O456" s="14"/>
      <c r="P456" s="210" t="str">
        <f>VLOOKUP(C456,'WO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457" spans="1:16" ht="60" outlineLevel="2">
      <c r="A457" s="14" t="s">
        <v>17</v>
      </c>
      <c r="B457" s="15" t="s">
        <v>999</v>
      </c>
      <c r="C457" s="15" t="s">
        <v>1000</v>
      </c>
      <c r="D457" s="14" t="s">
        <v>1001</v>
      </c>
      <c r="E457" s="15" t="s">
        <v>176</v>
      </c>
      <c r="F457" s="14" t="s">
        <v>28</v>
      </c>
      <c r="G457" s="15" t="s">
        <v>23</v>
      </c>
      <c r="H457" s="15" t="s">
        <v>1525</v>
      </c>
      <c r="I457" s="15">
        <v>201411</v>
      </c>
      <c r="J457" s="16">
        <v>-626</v>
      </c>
      <c r="K457" s="171">
        <f t="shared" si="32"/>
        <v>7</v>
      </c>
      <c r="L457" s="17">
        <v>1.4833299999999999E-3</v>
      </c>
      <c r="M457" s="16">
        <f t="shared" si="33"/>
        <v>-6.5</v>
      </c>
      <c r="N457" s="16">
        <f t="shared" si="34"/>
        <v>-11.14</v>
      </c>
      <c r="O457" s="14"/>
      <c r="P457" s="210" t="str">
        <f>VLOOKUP(C457,'WO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458" spans="1:16" ht="120" outlineLevel="2">
      <c r="A458" s="14" t="s">
        <v>54</v>
      </c>
      <c r="B458" s="15" t="s">
        <v>55</v>
      </c>
      <c r="C458" s="15" t="s">
        <v>56</v>
      </c>
      <c r="D458" s="14" t="s">
        <v>57</v>
      </c>
      <c r="E458" s="15" t="s">
        <v>58</v>
      </c>
      <c r="F458" s="14" t="s">
        <v>22</v>
      </c>
      <c r="G458" s="15" t="s">
        <v>23</v>
      </c>
      <c r="H458" s="15" t="s">
        <v>1525</v>
      </c>
      <c r="I458" s="15">
        <v>201411</v>
      </c>
      <c r="J458" s="16">
        <v>180848.77</v>
      </c>
      <c r="K458" s="171">
        <f t="shared" si="32"/>
        <v>7</v>
      </c>
      <c r="L458" s="17">
        <v>1.4833299999999999E-3</v>
      </c>
      <c r="M458" s="16">
        <f t="shared" si="33"/>
        <v>1877.81</v>
      </c>
      <c r="N458" s="16">
        <f t="shared" si="34"/>
        <v>3219.1</v>
      </c>
      <c r="O458" s="14"/>
      <c r="P458" s="210" t="str">
        <f>VLOOKUP(C458,'WO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row>
    <row r="459" spans="1:16" ht="105" outlineLevel="2">
      <c r="A459" s="14" t="s">
        <v>54</v>
      </c>
      <c r="B459" s="15" t="s">
        <v>146</v>
      </c>
      <c r="C459" s="15" t="s">
        <v>147</v>
      </c>
      <c r="D459" s="14" t="s">
        <v>148</v>
      </c>
      <c r="E459" s="15" t="s">
        <v>62</v>
      </c>
      <c r="F459" s="14" t="s">
        <v>22</v>
      </c>
      <c r="G459" s="15" t="s">
        <v>23</v>
      </c>
      <c r="H459" s="15" t="s">
        <v>1525</v>
      </c>
      <c r="I459" s="15">
        <v>201411</v>
      </c>
      <c r="J459" s="16">
        <v>800090.36</v>
      </c>
      <c r="K459" s="171">
        <f t="shared" si="32"/>
        <v>7</v>
      </c>
      <c r="L459" s="17">
        <v>1.4833299999999999E-3</v>
      </c>
      <c r="M459" s="16">
        <f t="shared" si="33"/>
        <v>8307.59</v>
      </c>
      <c r="N459" s="16">
        <f t="shared" si="34"/>
        <v>14241.58</v>
      </c>
      <c r="O459" s="14"/>
      <c r="P459" s="210" t="str">
        <f>VLOOKUP(C459,'WO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460" spans="1:16" ht="165" outlineLevel="2">
      <c r="A460" s="18" t="s">
        <v>54</v>
      </c>
      <c r="B460" s="15" t="s">
        <v>189</v>
      </c>
      <c r="C460" s="15" t="s">
        <v>190</v>
      </c>
      <c r="D460" s="14" t="s">
        <v>191</v>
      </c>
      <c r="E460" s="15" t="s">
        <v>62</v>
      </c>
      <c r="F460" s="14" t="s">
        <v>22</v>
      </c>
      <c r="G460" s="15" t="s">
        <v>23</v>
      </c>
      <c r="H460" s="15" t="s">
        <v>1525</v>
      </c>
      <c r="I460" s="15">
        <v>201411</v>
      </c>
      <c r="J460" s="16">
        <v>151959.22</v>
      </c>
      <c r="K460" s="171">
        <f t="shared" si="32"/>
        <v>7</v>
      </c>
      <c r="L460" s="17">
        <v>1.4833299999999999E-3</v>
      </c>
      <c r="M460" s="16">
        <f t="shared" si="33"/>
        <v>1577.84</v>
      </c>
      <c r="N460" s="16">
        <f t="shared" si="34"/>
        <v>2704.87</v>
      </c>
      <c r="O460" s="14"/>
      <c r="P460" s="210" t="str">
        <f>VLOOKUP(C460,'WO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461" spans="1:16" ht="75" outlineLevel="2">
      <c r="A461" s="14" t="s">
        <v>54</v>
      </c>
      <c r="B461" s="15" t="s">
        <v>309</v>
      </c>
      <c r="C461" s="15" t="s">
        <v>310</v>
      </c>
      <c r="D461" s="14" t="s">
        <v>311</v>
      </c>
      <c r="E461" s="15" t="s">
        <v>216</v>
      </c>
      <c r="F461" s="14" t="s">
        <v>22</v>
      </c>
      <c r="G461" s="15" t="s">
        <v>23</v>
      </c>
      <c r="H461" s="15" t="s">
        <v>1525</v>
      </c>
      <c r="I461" s="15">
        <v>201411</v>
      </c>
      <c r="J461" s="16">
        <v>40780.9</v>
      </c>
      <c r="K461" s="171">
        <f t="shared" si="32"/>
        <v>7</v>
      </c>
      <c r="L461" s="17">
        <v>1.4833299999999999E-3</v>
      </c>
      <c r="M461" s="16">
        <f t="shared" si="33"/>
        <v>423.44</v>
      </c>
      <c r="N461" s="16">
        <f t="shared" si="34"/>
        <v>725.9</v>
      </c>
      <c r="O461" s="14"/>
      <c r="P461" s="210" t="str">
        <f>VLOOKUP(C461,'WO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462" spans="1:16" ht="75" outlineLevel="2">
      <c r="A462" s="14" t="s">
        <v>54</v>
      </c>
      <c r="B462" s="15" t="s">
        <v>419</v>
      </c>
      <c r="C462" s="15" t="s">
        <v>420</v>
      </c>
      <c r="D462" s="14" t="s">
        <v>421</v>
      </c>
      <c r="E462" s="15" t="s">
        <v>32</v>
      </c>
      <c r="F462" s="14" t="s">
        <v>22</v>
      </c>
      <c r="G462" s="15" t="s">
        <v>23</v>
      </c>
      <c r="H462" s="15" t="s">
        <v>1525</v>
      </c>
      <c r="I462" s="15">
        <v>201411</v>
      </c>
      <c r="J462" s="16">
        <v>-3.53</v>
      </c>
      <c r="K462" s="171">
        <f t="shared" si="32"/>
        <v>7</v>
      </c>
      <c r="L462" s="17">
        <v>1.4833299999999999E-3</v>
      </c>
      <c r="M462" s="16">
        <f t="shared" si="33"/>
        <v>-0.04</v>
      </c>
      <c r="N462" s="16">
        <f t="shared" si="34"/>
        <v>-0.06</v>
      </c>
      <c r="O462" s="14"/>
      <c r="P462" s="210" t="str">
        <f>VLOOKUP(C462,'WO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463" spans="1:16" ht="75" outlineLevel="2">
      <c r="A463" s="14" t="s">
        <v>54</v>
      </c>
      <c r="B463" s="15" t="s">
        <v>453</v>
      </c>
      <c r="C463" s="15" t="s">
        <v>454</v>
      </c>
      <c r="D463" s="14" t="s">
        <v>455</v>
      </c>
      <c r="E463" s="15" t="s">
        <v>62</v>
      </c>
      <c r="F463" s="14" t="s">
        <v>22</v>
      </c>
      <c r="G463" s="15" t="s">
        <v>23</v>
      </c>
      <c r="H463" s="15" t="s">
        <v>1525</v>
      </c>
      <c r="I463" s="15">
        <v>201411</v>
      </c>
      <c r="J463" s="16">
        <v>-29.65</v>
      </c>
      <c r="K463" s="171">
        <f t="shared" si="32"/>
        <v>7</v>
      </c>
      <c r="L463" s="17">
        <v>1.4833299999999999E-3</v>
      </c>
      <c r="M463" s="16">
        <f t="shared" si="33"/>
        <v>-0.31</v>
      </c>
      <c r="N463" s="16">
        <f t="shared" si="34"/>
        <v>-0.53</v>
      </c>
      <c r="O463" s="14"/>
      <c r="P463" s="210" t="str">
        <f>VLOOKUP(C463,'WO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464" spans="1:16" ht="30" outlineLevel="2">
      <c r="A464" s="14" t="s">
        <v>54</v>
      </c>
      <c r="B464" s="15" t="s">
        <v>543</v>
      </c>
      <c r="C464" s="15" t="s">
        <v>544</v>
      </c>
      <c r="D464" s="14" t="s">
        <v>545</v>
      </c>
      <c r="E464" s="15" t="s">
        <v>62</v>
      </c>
      <c r="F464" s="14" t="s">
        <v>22</v>
      </c>
      <c r="G464" s="15" t="s">
        <v>23</v>
      </c>
      <c r="H464" s="15" t="s">
        <v>1525</v>
      </c>
      <c r="I464" s="15">
        <v>201411</v>
      </c>
      <c r="J464" s="16">
        <v>26447.34</v>
      </c>
      <c r="K464" s="171">
        <f t="shared" si="32"/>
        <v>7</v>
      </c>
      <c r="L464" s="17">
        <v>1.4833299999999999E-3</v>
      </c>
      <c r="M464" s="16">
        <f t="shared" si="33"/>
        <v>274.61</v>
      </c>
      <c r="N464" s="16">
        <f t="shared" si="34"/>
        <v>470.76</v>
      </c>
      <c r="O464" s="14"/>
      <c r="P464" s="210" t="str">
        <f>VLOOKUP(C464,'WO Descriptions'!$A$5:$D$345,4)</f>
        <v>Approved by: Ralph Janes on 03/11/2014,  Replace and abandon 732' - 2" pbs main (Unknown) by installing 730' - 2" pe main due to leakage under pavement. (ISRS)</v>
      </c>
    </row>
    <row r="465" spans="1:16" ht="105" outlineLevel="2">
      <c r="A465" s="14" t="s">
        <v>54</v>
      </c>
      <c r="B465" s="15" t="s">
        <v>719</v>
      </c>
      <c r="C465" s="15" t="s">
        <v>720</v>
      </c>
      <c r="D465" s="14" t="s">
        <v>721</v>
      </c>
      <c r="E465" s="15" t="s">
        <v>27</v>
      </c>
      <c r="F465" s="14" t="s">
        <v>28</v>
      </c>
      <c r="G465" s="15" t="s">
        <v>23</v>
      </c>
      <c r="H465" s="15" t="s">
        <v>1525</v>
      </c>
      <c r="I465" s="15">
        <v>201411</v>
      </c>
      <c r="J465" s="16">
        <v>0</v>
      </c>
      <c r="K465" s="171">
        <f t="shared" si="32"/>
        <v>7</v>
      </c>
      <c r="L465" s="17">
        <v>1.4833299999999999E-3</v>
      </c>
      <c r="M465" s="16">
        <f t="shared" si="33"/>
        <v>0</v>
      </c>
      <c r="N465" s="16">
        <f t="shared" si="34"/>
        <v>0</v>
      </c>
      <c r="O465" s="14"/>
      <c r="P465" s="210" t="str">
        <f>VLOOKUP(C465,'WO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466" spans="1:16" ht="210" outlineLevel="2">
      <c r="A466" s="14" t="s">
        <v>54</v>
      </c>
      <c r="B466" s="15" t="s">
        <v>813</v>
      </c>
      <c r="C466" s="15" t="s">
        <v>814</v>
      </c>
      <c r="D466" s="14" t="s">
        <v>815</v>
      </c>
      <c r="E466" s="15" t="s">
        <v>62</v>
      </c>
      <c r="F466" s="14" t="s">
        <v>22</v>
      </c>
      <c r="G466" s="15" t="s">
        <v>23</v>
      </c>
      <c r="H466" s="15" t="s">
        <v>1525</v>
      </c>
      <c r="I466" s="15">
        <v>201411</v>
      </c>
      <c r="J466" s="16">
        <v>611627.82999999996</v>
      </c>
      <c r="K466" s="171">
        <f t="shared" si="32"/>
        <v>7</v>
      </c>
      <c r="L466" s="17">
        <v>1.4833299999999999E-3</v>
      </c>
      <c r="M466" s="16">
        <f t="shared" si="33"/>
        <v>6350.72</v>
      </c>
      <c r="N466" s="16">
        <f t="shared" si="34"/>
        <v>10886.95</v>
      </c>
      <c r="O466" s="14"/>
      <c r="P466" s="210" t="str">
        <f>VLOOKUP(C466,'WO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467" spans="1:16" ht="60" outlineLevel="2">
      <c r="A467" s="14" t="s">
        <v>54</v>
      </c>
      <c r="B467" s="15" t="s">
        <v>830</v>
      </c>
      <c r="C467" s="15" t="s">
        <v>831</v>
      </c>
      <c r="D467" s="14" t="s">
        <v>832</v>
      </c>
      <c r="E467" s="15" t="s">
        <v>62</v>
      </c>
      <c r="F467" s="14" t="s">
        <v>22</v>
      </c>
      <c r="G467" s="15" t="s">
        <v>23</v>
      </c>
      <c r="H467" s="15" t="s">
        <v>1525</v>
      </c>
      <c r="I467" s="15">
        <v>201411</v>
      </c>
      <c r="J467" s="16">
        <v>35798.080000000002</v>
      </c>
      <c r="K467" s="171">
        <f t="shared" si="32"/>
        <v>7</v>
      </c>
      <c r="L467" s="17">
        <v>1.4833299999999999E-3</v>
      </c>
      <c r="M467" s="16">
        <f t="shared" si="33"/>
        <v>371.7</v>
      </c>
      <c r="N467" s="16">
        <f t="shared" si="34"/>
        <v>637.20000000000005</v>
      </c>
      <c r="O467" s="14"/>
      <c r="P467" s="210" t="str">
        <f>VLOOKUP(C467,'WO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468" spans="1:16" ht="135" outlineLevel="2">
      <c r="A468" s="14" t="s">
        <v>54</v>
      </c>
      <c r="B468" s="15" t="s">
        <v>846</v>
      </c>
      <c r="C468" s="15" t="s">
        <v>847</v>
      </c>
      <c r="D468" s="14" t="s">
        <v>848</v>
      </c>
      <c r="E468" s="15" t="s">
        <v>141</v>
      </c>
      <c r="F468" s="14" t="s">
        <v>142</v>
      </c>
      <c r="G468" s="15" t="s">
        <v>23</v>
      </c>
      <c r="H468" s="15" t="s">
        <v>1525</v>
      </c>
      <c r="I468" s="15">
        <v>201411</v>
      </c>
      <c r="J468" s="16">
        <v>11927.86</v>
      </c>
      <c r="K468" s="171">
        <f t="shared" si="32"/>
        <v>7</v>
      </c>
      <c r="L468" s="17">
        <v>1.4833299999999999E-3</v>
      </c>
      <c r="M468" s="16">
        <f t="shared" si="33"/>
        <v>123.85</v>
      </c>
      <c r="N468" s="16">
        <f t="shared" si="34"/>
        <v>212.32</v>
      </c>
      <c r="O468" s="14"/>
      <c r="P468" s="210" t="str">
        <f>VLOOKUP(C468,'WO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469" spans="1:16" ht="75" outlineLevel="2">
      <c r="A469" s="14" t="s">
        <v>54</v>
      </c>
      <c r="B469" s="15" t="s">
        <v>852</v>
      </c>
      <c r="C469" s="15" t="s">
        <v>853</v>
      </c>
      <c r="D469" s="14" t="s">
        <v>854</v>
      </c>
      <c r="E469" s="15" t="s">
        <v>62</v>
      </c>
      <c r="F469" s="14" t="s">
        <v>22</v>
      </c>
      <c r="G469" s="15" t="s">
        <v>23</v>
      </c>
      <c r="H469" s="15" t="s">
        <v>1525</v>
      </c>
      <c r="I469" s="15">
        <v>201411</v>
      </c>
      <c r="J469" s="16">
        <v>2279.85</v>
      </c>
      <c r="K469" s="171">
        <f t="shared" si="32"/>
        <v>7</v>
      </c>
      <c r="L469" s="17">
        <v>1.4833299999999999E-3</v>
      </c>
      <c r="M469" s="16">
        <f t="shared" si="33"/>
        <v>23.67</v>
      </c>
      <c r="N469" s="16">
        <f t="shared" si="34"/>
        <v>40.58</v>
      </c>
      <c r="O469" s="14"/>
      <c r="P469" s="210" t="str">
        <f>VLOOKUP(C469,'WO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470" spans="1:16" ht="180" outlineLevel="2">
      <c r="A470" s="14" t="s">
        <v>54</v>
      </c>
      <c r="B470" s="15" t="s">
        <v>858</v>
      </c>
      <c r="C470" s="15" t="s">
        <v>859</v>
      </c>
      <c r="D470" s="14" t="s">
        <v>860</v>
      </c>
      <c r="E470" s="15" t="s">
        <v>62</v>
      </c>
      <c r="F470" s="14" t="s">
        <v>22</v>
      </c>
      <c r="G470" s="15" t="s">
        <v>23</v>
      </c>
      <c r="H470" s="15" t="s">
        <v>1525</v>
      </c>
      <c r="I470" s="15">
        <v>201411</v>
      </c>
      <c r="J470" s="16">
        <v>-3013.95</v>
      </c>
      <c r="K470" s="171">
        <f t="shared" ref="K470:K532" si="35">VLOOKUP(I470,$T$7:$U$15,2)</f>
        <v>7</v>
      </c>
      <c r="L470" s="17">
        <v>1.4833299999999999E-3</v>
      </c>
      <c r="M470" s="16">
        <f t="shared" ref="M470:M532" si="36">ROUND(J470*K470*L470,2)</f>
        <v>-31.29</v>
      </c>
      <c r="N470" s="16">
        <f t="shared" ref="N470:N532" si="37">ROUND(J470*L470*12,2)</f>
        <v>-53.65</v>
      </c>
      <c r="O470" s="14"/>
      <c r="P470" s="210" t="str">
        <f>VLOOKUP(C470,'WO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471" spans="1:16" ht="60" outlineLevel="2">
      <c r="A471" s="14" t="s">
        <v>54</v>
      </c>
      <c r="B471" s="15" t="s">
        <v>876</v>
      </c>
      <c r="C471" s="15" t="s">
        <v>877</v>
      </c>
      <c r="D471" s="14" t="s">
        <v>878</v>
      </c>
      <c r="E471" s="15" t="s">
        <v>62</v>
      </c>
      <c r="F471" s="14" t="s">
        <v>22</v>
      </c>
      <c r="G471" s="15" t="s">
        <v>23</v>
      </c>
      <c r="H471" s="15" t="s">
        <v>1525</v>
      </c>
      <c r="I471" s="15">
        <v>201411</v>
      </c>
      <c r="J471" s="16">
        <v>8478.08</v>
      </c>
      <c r="K471" s="171">
        <f t="shared" si="35"/>
        <v>7</v>
      </c>
      <c r="L471" s="17">
        <v>1.4833299999999999E-3</v>
      </c>
      <c r="M471" s="16">
        <f t="shared" si="36"/>
        <v>88.03</v>
      </c>
      <c r="N471" s="16">
        <f t="shared" si="37"/>
        <v>150.91</v>
      </c>
      <c r="O471" s="14"/>
      <c r="P471" s="210" t="str">
        <f>VLOOKUP(C471,'WO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472" spans="1:16" ht="30" outlineLevel="2">
      <c r="A472" s="14" t="s">
        <v>54</v>
      </c>
      <c r="B472" s="15" t="s">
        <v>906</v>
      </c>
      <c r="C472" s="15" t="s">
        <v>907</v>
      </c>
      <c r="D472" s="14" t="s">
        <v>908</v>
      </c>
      <c r="E472" s="15" t="s">
        <v>909</v>
      </c>
      <c r="F472" s="14" t="s">
        <v>22</v>
      </c>
      <c r="G472" s="15" t="s">
        <v>23</v>
      </c>
      <c r="H472" s="15" t="s">
        <v>1525</v>
      </c>
      <c r="I472" s="15">
        <v>201411</v>
      </c>
      <c r="J472" s="16">
        <v>0</v>
      </c>
      <c r="K472" s="171">
        <f t="shared" si="35"/>
        <v>7</v>
      </c>
      <c r="L472" s="17">
        <v>1.4833299999999999E-3</v>
      </c>
      <c r="M472" s="16">
        <f t="shared" si="36"/>
        <v>0</v>
      </c>
      <c r="N472" s="16">
        <f t="shared" si="37"/>
        <v>0</v>
      </c>
      <c r="O472" s="14"/>
      <c r="P472" s="210" t="str">
        <f>VLOOKUP(C472,'WO Descriptions'!$A$5:$D$345,4)</f>
        <v>Approved by: Gary Williams on 06/10/2014,  Replace PBS due to down project. Pressure system C-01</v>
      </c>
    </row>
    <row r="473" spans="1:16" outlineLevel="2">
      <c r="A473" s="14" t="s">
        <v>54</v>
      </c>
      <c r="B473" s="15" t="s">
        <v>913</v>
      </c>
      <c r="C473" s="15" t="s">
        <v>914</v>
      </c>
      <c r="D473" s="14" t="s">
        <v>915</v>
      </c>
      <c r="E473" s="15" t="s">
        <v>36</v>
      </c>
      <c r="F473" s="14" t="s">
        <v>22</v>
      </c>
      <c r="G473" s="15" t="s">
        <v>23</v>
      </c>
      <c r="H473" s="15" t="s">
        <v>1525</v>
      </c>
      <c r="I473" s="15">
        <v>201411</v>
      </c>
      <c r="J473" s="16">
        <v>-1080.8800000000001</v>
      </c>
      <c r="K473" s="171">
        <f t="shared" si="35"/>
        <v>7</v>
      </c>
      <c r="L473" s="17">
        <v>1.4833299999999999E-3</v>
      </c>
      <c r="M473" s="16">
        <f t="shared" si="36"/>
        <v>-11.22</v>
      </c>
      <c r="N473" s="16">
        <f t="shared" si="37"/>
        <v>-19.239999999999998</v>
      </c>
      <c r="O473" s="14"/>
      <c r="P473" s="210" t="str">
        <f>VLOOKUP(C473,'WO Descriptions'!$A$5:$D$345,4)</f>
        <v>Approved by: Gary Williams on 06/10/2014,  Replace PBS due to down project</v>
      </c>
    </row>
    <row r="474" spans="1:16" ht="30" outlineLevel="2">
      <c r="A474" s="14" t="s">
        <v>54</v>
      </c>
      <c r="B474" s="15" t="s">
        <v>938</v>
      </c>
      <c r="C474" s="15" t="s">
        <v>939</v>
      </c>
      <c r="D474" s="14" t="s">
        <v>940</v>
      </c>
      <c r="E474" s="15" t="s">
        <v>141</v>
      </c>
      <c r="F474" s="14" t="s">
        <v>142</v>
      </c>
      <c r="G474" s="15" t="s">
        <v>23</v>
      </c>
      <c r="H474" s="15" t="s">
        <v>1525</v>
      </c>
      <c r="I474" s="15">
        <v>201411</v>
      </c>
      <c r="J474" s="16">
        <v>-767.04</v>
      </c>
      <c r="K474" s="171">
        <f t="shared" si="35"/>
        <v>7</v>
      </c>
      <c r="L474" s="17">
        <v>1.4833299999999999E-3</v>
      </c>
      <c r="M474" s="16">
        <f t="shared" si="36"/>
        <v>-7.96</v>
      </c>
      <c r="N474" s="16">
        <f t="shared" si="37"/>
        <v>-13.65</v>
      </c>
      <c r="O474" s="14"/>
      <c r="P474" s="210" t="str">
        <f>VLOOKUP(C474,'WO Descriptions'!$A$5:$D$345,4)</f>
        <v>Approved by: Steve Holcomb on 06/30/2014,  Replace 8'' CI WITH 6'' PE DUE TO LEAKS. PRESSURE SYSTEM C-01</v>
      </c>
    </row>
    <row r="475" spans="1:16" ht="75" outlineLevel="2">
      <c r="A475" s="14" t="s">
        <v>54</v>
      </c>
      <c r="B475" s="15" t="s">
        <v>947</v>
      </c>
      <c r="C475" s="15" t="s">
        <v>948</v>
      </c>
      <c r="D475" s="14" t="s">
        <v>949</v>
      </c>
      <c r="E475" s="15" t="s">
        <v>141</v>
      </c>
      <c r="F475" s="14" t="s">
        <v>142</v>
      </c>
      <c r="G475" s="15" t="s">
        <v>23</v>
      </c>
      <c r="H475" s="15" t="s">
        <v>1525</v>
      </c>
      <c r="I475" s="15">
        <v>201411</v>
      </c>
      <c r="J475" s="16">
        <v>88675.88</v>
      </c>
      <c r="K475" s="171">
        <f t="shared" si="35"/>
        <v>7</v>
      </c>
      <c r="L475" s="17">
        <v>1.4833299999999999E-3</v>
      </c>
      <c r="M475" s="16">
        <f t="shared" si="36"/>
        <v>920.75</v>
      </c>
      <c r="N475" s="16">
        <f t="shared" si="37"/>
        <v>1578.43</v>
      </c>
      <c r="O475" s="14"/>
      <c r="P475" s="210" t="str">
        <f>VLOOKUP(C475,'WO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476" spans="1:16" ht="45" outlineLevel="2">
      <c r="A476" s="14" t="s">
        <v>54</v>
      </c>
      <c r="B476" s="15" t="s">
        <v>950</v>
      </c>
      <c r="C476" s="15" t="s">
        <v>951</v>
      </c>
      <c r="D476" s="14" t="s">
        <v>952</v>
      </c>
      <c r="E476" s="15" t="s">
        <v>141</v>
      </c>
      <c r="F476" s="14" t="s">
        <v>142</v>
      </c>
      <c r="G476" s="15" t="s">
        <v>23</v>
      </c>
      <c r="H476" s="15" t="s">
        <v>1525</v>
      </c>
      <c r="I476" s="15">
        <v>201411</v>
      </c>
      <c r="J476" s="16">
        <v>11910.35</v>
      </c>
      <c r="K476" s="171">
        <f t="shared" si="35"/>
        <v>7</v>
      </c>
      <c r="L476" s="17">
        <v>1.4833299999999999E-3</v>
      </c>
      <c r="M476" s="16">
        <f t="shared" si="36"/>
        <v>123.67</v>
      </c>
      <c r="N476" s="16">
        <f t="shared" si="37"/>
        <v>212</v>
      </c>
      <c r="O476" s="14"/>
      <c r="P476" s="210" t="str">
        <f>VLOOKUP(C476,'WO Descriptions'!$A$5:$D$345,4)</f>
        <v>Approved by: Steve Holcomb on 07/09/2014,  Replace 4'' and 6'' CI main due to graphitization. CI break 12-1018 - 122' NNC of 50th St and 4' EEC of highland. Due 09-28-2014. Pressure System C-001</v>
      </c>
    </row>
    <row r="477" spans="1:16" ht="45" outlineLevel="2">
      <c r="A477" s="14" t="s">
        <v>54</v>
      </c>
      <c r="B477" s="15" t="s">
        <v>974</v>
      </c>
      <c r="C477" s="15" t="s">
        <v>975</v>
      </c>
      <c r="D477" s="14" t="s">
        <v>976</v>
      </c>
      <c r="E477" s="15" t="s">
        <v>141</v>
      </c>
      <c r="F477" s="14" t="s">
        <v>142</v>
      </c>
      <c r="G477" s="15" t="s">
        <v>23</v>
      </c>
      <c r="H477" s="15" t="s">
        <v>1525</v>
      </c>
      <c r="I477" s="15">
        <v>201411</v>
      </c>
      <c r="J477" s="16">
        <v>-208.96</v>
      </c>
      <c r="K477" s="171">
        <f t="shared" si="35"/>
        <v>7</v>
      </c>
      <c r="L477" s="17">
        <v>1.4833299999999999E-3</v>
      </c>
      <c r="M477" s="16">
        <f t="shared" si="36"/>
        <v>-2.17</v>
      </c>
      <c r="N477" s="16">
        <f t="shared" si="37"/>
        <v>-3.72</v>
      </c>
      <c r="O477" s="14"/>
      <c r="P477" s="210" t="str">
        <f>VLOOKUP(C477,'WO Descriptions'!$A$5:$D$345,4)</f>
        <v>Approved by: Kevin Driskell on 07/23/2014,  AOR.  Replace 40' of 4in CI with 4in PE due to exposure of CI coupling.  AOR location: 46' SSCB of 8th Street.  Must be finished by 9-21-2014.  Tie over 3 services.  Replace one service.  COST PER FOOT $554.14</v>
      </c>
    </row>
    <row r="478" spans="1:16" ht="75" outlineLevel="2">
      <c r="A478" s="14" t="s">
        <v>54</v>
      </c>
      <c r="B478" s="15" t="s">
        <v>990</v>
      </c>
      <c r="C478" s="15" t="s">
        <v>991</v>
      </c>
      <c r="D478" s="14" t="s">
        <v>992</v>
      </c>
      <c r="E478" s="15" t="s">
        <v>141</v>
      </c>
      <c r="F478" s="14" t="s">
        <v>142</v>
      </c>
      <c r="G478" s="15" t="s">
        <v>23</v>
      </c>
      <c r="H478" s="15" t="s">
        <v>1525</v>
      </c>
      <c r="I478" s="15">
        <v>201411</v>
      </c>
      <c r="J478" s="16">
        <v>-8191.63</v>
      </c>
      <c r="K478" s="171">
        <f t="shared" si="35"/>
        <v>7</v>
      </c>
      <c r="L478" s="17">
        <v>1.4833299999999999E-3</v>
      </c>
      <c r="M478" s="16">
        <f t="shared" si="36"/>
        <v>-85.06</v>
      </c>
      <c r="N478" s="16">
        <f t="shared" si="37"/>
        <v>-145.81</v>
      </c>
      <c r="O478" s="14"/>
      <c r="P478" s="210" t="str">
        <f>VLOOKUP(C478,'WO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479" spans="1:16" ht="75" outlineLevel="2">
      <c r="A479" s="14" t="s">
        <v>54</v>
      </c>
      <c r="B479" s="15" t="s">
        <v>996</v>
      </c>
      <c r="C479" s="15" t="s">
        <v>997</v>
      </c>
      <c r="D479" s="14" t="s">
        <v>998</v>
      </c>
      <c r="E479" s="15" t="s">
        <v>27</v>
      </c>
      <c r="F479" s="14" t="s">
        <v>28</v>
      </c>
      <c r="G479" s="15" t="s">
        <v>23</v>
      </c>
      <c r="H479" s="15" t="s">
        <v>1525</v>
      </c>
      <c r="I479" s="15">
        <v>201411</v>
      </c>
      <c r="J479" s="16">
        <v>20478.060000000001</v>
      </c>
      <c r="K479" s="171">
        <f t="shared" si="35"/>
        <v>7</v>
      </c>
      <c r="L479" s="17">
        <v>1.4833299999999999E-3</v>
      </c>
      <c r="M479" s="16">
        <f t="shared" si="36"/>
        <v>212.63</v>
      </c>
      <c r="N479" s="16">
        <f t="shared" si="37"/>
        <v>364.51</v>
      </c>
      <c r="O479" s="14"/>
      <c r="P479" s="210" t="str">
        <f>VLOOKUP(C479,'WO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row>
    <row r="480" spans="1:16" ht="75" outlineLevel="2">
      <c r="A480" s="14" t="s">
        <v>54</v>
      </c>
      <c r="B480" s="15" t="s">
        <v>1002</v>
      </c>
      <c r="C480" s="15" t="s">
        <v>1003</v>
      </c>
      <c r="D480" s="14" t="s">
        <v>1004</v>
      </c>
      <c r="E480" s="15" t="s">
        <v>216</v>
      </c>
      <c r="F480" s="14" t="s">
        <v>22</v>
      </c>
      <c r="G480" s="15" t="s">
        <v>23</v>
      </c>
      <c r="H480" s="15" t="s">
        <v>1525</v>
      </c>
      <c r="I480" s="15">
        <v>201411</v>
      </c>
      <c r="J480" s="16">
        <v>19239.02</v>
      </c>
      <c r="K480" s="171">
        <f t="shared" si="35"/>
        <v>7</v>
      </c>
      <c r="L480" s="17">
        <v>1.4833299999999999E-3</v>
      </c>
      <c r="M480" s="16">
        <f t="shared" si="36"/>
        <v>199.76</v>
      </c>
      <c r="N480" s="16">
        <f t="shared" si="37"/>
        <v>342.45</v>
      </c>
      <c r="O480" s="14"/>
      <c r="P480" s="210" t="str">
        <f>VLOOKUP(C480,'WO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481" spans="1:16" ht="45" outlineLevel="2">
      <c r="A481" s="14" t="s">
        <v>54</v>
      </c>
      <c r="B481" s="15" t="s">
        <v>1005</v>
      </c>
      <c r="C481" s="15" t="s">
        <v>1006</v>
      </c>
      <c r="D481" s="14" t="s">
        <v>1007</v>
      </c>
      <c r="E481" s="15" t="s">
        <v>141</v>
      </c>
      <c r="F481" s="14" t="s">
        <v>142</v>
      </c>
      <c r="G481" s="15" t="s">
        <v>23</v>
      </c>
      <c r="H481" s="15" t="s">
        <v>1525</v>
      </c>
      <c r="I481" s="15">
        <v>201411</v>
      </c>
      <c r="J481" s="16">
        <v>8538.86</v>
      </c>
      <c r="K481" s="171">
        <f t="shared" si="35"/>
        <v>7</v>
      </c>
      <c r="L481" s="17">
        <v>1.4833299999999999E-3</v>
      </c>
      <c r="M481" s="16">
        <f t="shared" si="36"/>
        <v>88.66</v>
      </c>
      <c r="N481" s="16">
        <f t="shared" si="37"/>
        <v>151.99</v>
      </c>
      <c r="O481" s="14"/>
      <c r="P481" s="210" t="str">
        <f>VLOOKUP(C481,'WO Descriptions'!$A$5:$D$345,4)</f>
        <v>Approved by: Gary Williams on 09/08/2014,  AOR.  This job must be completed by Dec. 12, 2014.  Replace 65ft of 6in CI with 6in PE due to 29' of exposed pipe.  CI pipe was exposed from 6' NSCB TO 23' SSCB of 29th Street.  No services to tie over.</v>
      </c>
    </row>
    <row r="482" spans="1:16" ht="45" outlineLevel="2">
      <c r="A482" s="14" t="s">
        <v>54</v>
      </c>
      <c r="B482" s="15" t="s">
        <v>1008</v>
      </c>
      <c r="C482" s="15" t="s">
        <v>1009</v>
      </c>
      <c r="D482" s="14" t="s">
        <v>1010</v>
      </c>
      <c r="E482" s="15" t="s">
        <v>49</v>
      </c>
      <c r="F482" s="14" t="s">
        <v>22</v>
      </c>
      <c r="G482" s="15" t="s">
        <v>23</v>
      </c>
      <c r="H482" s="15" t="s">
        <v>1525</v>
      </c>
      <c r="I482" s="15">
        <v>201411</v>
      </c>
      <c r="J482" s="16">
        <v>-4489.25</v>
      </c>
      <c r="K482" s="171">
        <f t="shared" si="35"/>
        <v>7</v>
      </c>
      <c r="L482" s="17">
        <v>1.4833299999999999E-3</v>
      </c>
      <c r="M482" s="16">
        <f t="shared" si="36"/>
        <v>-46.61</v>
      </c>
      <c r="N482" s="16">
        <f t="shared" si="37"/>
        <v>-79.91</v>
      </c>
      <c r="O482" s="14"/>
      <c r="P482" s="210" t="str">
        <f>VLOOKUP(C482,'WO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483" spans="1:16" ht="45" outlineLevel="2">
      <c r="A483" s="14" t="s">
        <v>54</v>
      </c>
      <c r="B483" s="15" t="s">
        <v>1014</v>
      </c>
      <c r="C483" s="15" t="s">
        <v>1015</v>
      </c>
      <c r="D483" s="14" t="s">
        <v>1016</v>
      </c>
      <c r="E483" s="15" t="s">
        <v>296</v>
      </c>
      <c r="F483" s="14" t="s">
        <v>28</v>
      </c>
      <c r="G483" s="15" t="s">
        <v>23</v>
      </c>
      <c r="H483" s="15" t="s">
        <v>1525</v>
      </c>
      <c r="I483" s="15">
        <v>201411</v>
      </c>
      <c r="J483" s="16">
        <v>-4496.3500000000004</v>
      </c>
      <c r="K483" s="171">
        <f t="shared" si="35"/>
        <v>7</v>
      </c>
      <c r="L483" s="17">
        <v>1.4833299999999999E-3</v>
      </c>
      <c r="M483" s="16">
        <f t="shared" si="36"/>
        <v>-46.69</v>
      </c>
      <c r="N483" s="16">
        <f t="shared" si="37"/>
        <v>-80.03</v>
      </c>
      <c r="O483" s="14"/>
      <c r="P483" s="210" t="str">
        <f>VLOOKUP(C483,'WO Descriptions'!$A$5:$D$345,4)</f>
        <v>Approved by: Galen Shoemaker on 09/15/2014,  Lower 167' - 2" PE main (WO#: 92-6050) due to construction over shallow main. Project Location: Doughboy Dr North of 32nd St; Pressure System: C-1; MOP: 58 psig; MAOP: 58 psig; Design: 58 psig; Test: 100 psig; $34.34/ft</v>
      </c>
    </row>
    <row r="484" spans="1:16" ht="45" outlineLevel="2">
      <c r="A484" s="14" t="s">
        <v>54</v>
      </c>
      <c r="B484" s="15" t="s">
        <v>1017</v>
      </c>
      <c r="C484" s="15" t="s">
        <v>1018</v>
      </c>
      <c r="D484" s="14" t="s">
        <v>1019</v>
      </c>
      <c r="E484" s="15" t="s">
        <v>1020</v>
      </c>
      <c r="F484" s="14" t="s">
        <v>22</v>
      </c>
      <c r="G484" s="15" t="s">
        <v>23</v>
      </c>
      <c r="H484" s="15" t="s">
        <v>1525</v>
      </c>
      <c r="I484" s="15">
        <v>201411</v>
      </c>
      <c r="J484" s="16">
        <v>5145.3999999999996</v>
      </c>
      <c r="K484" s="171">
        <f t="shared" si="35"/>
        <v>7</v>
      </c>
      <c r="L484" s="17">
        <v>1.4833299999999999E-3</v>
      </c>
      <c r="M484" s="16">
        <f t="shared" si="36"/>
        <v>53.43</v>
      </c>
      <c r="N484" s="16">
        <f t="shared" si="37"/>
        <v>91.59</v>
      </c>
      <c r="O484" s="14"/>
      <c r="P484" s="210" t="str">
        <f>VLOOKUP(C484,'WO Descriptions'!$A$5:$D$345,4)</f>
        <v>Approved by: Galen Shoemaker on 09/18/2014,  Lay 479ft of 2in Plastic Main to replace 391ft of 2in PBS from WO JO10B and 86ft of 2in CS from WO 66-7352 and 2'-2" PE from 82-0762. MOP=20# MAOP=20# TEST=100# SYSTEM=S-1</v>
      </c>
    </row>
    <row r="485" spans="1:16" ht="45" outlineLevel="2">
      <c r="A485" s="14" t="s">
        <v>54</v>
      </c>
      <c r="B485" s="15" t="s">
        <v>1021</v>
      </c>
      <c r="C485" s="15" t="s">
        <v>1022</v>
      </c>
      <c r="D485" s="14" t="s">
        <v>1023</v>
      </c>
      <c r="E485" s="15" t="s">
        <v>108</v>
      </c>
      <c r="F485" s="14" t="s">
        <v>28</v>
      </c>
      <c r="G485" s="15" t="s">
        <v>23</v>
      </c>
      <c r="H485" s="15" t="s">
        <v>1525</v>
      </c>
      <c r="I485" s="15">
        <v>201411</v>
      </c>
      <c r="J485" s="16">
        <v>-13.74</v>
      </c>
      <c r="K485" s="171">
        <f t="shared" si="35"/>
        <v>7</v>
      </c>
      <c r="L485" s="17">
        <v>1.4833299999999999E-3</v>
      </c>
      <c r="M485" s="16">
        <f t="shared" si="36"/>
        <v>-0.14000000000000001</v>
      </c>
      <c r="N485" s="16">
        <f t="shared" si="37"/>
        <v>-0.24</v>
      </c>
      <c r="O485" s="14"/>
      <c r="P485" s="210" t="str">
        <f>VLOOKUP(C485,'WO Descriptions'!$A$5:$D$345,4)</f>
        <v>Approved by: Kevin Driskell on 09/24/2014,  Abandoned 3' of 2'' PE. Installed 8' of 2'' PE due to third party damage. When work was done pressure system was C-002 (1psig). As of 9/16/2014 pressure system C-002 (33psig).</v>
      </c>
    </row>
    <row r="486" spans="1:16" ht="90" outlineLevel="2">
      <c r="A486" s="14" t="s">
        <v>17</v>
      </c>
      <c r="B486" s="15" t="s">
        <v>1024</v>
      </c>
      <c r="C486" s="15" t="s">
        <v>1025</v>
      </c>
      <c r="D486" s="14" t="s">
        <v>1026</v>
      </c>
      <c r="E486" s="15" t="s">
        <v>216</v>
      </c>
      <c r="F486" s="14" t="s">
        <v>22</v>
      </c>
      <c r="G486" s="15" t="s">
        <v>23</v>
      </c>
      <c r="H486" s="15" t="s">
        <v>1525</v>
      </c>
      <c r="I486" s="15">
        <v>201412</v>
      </c>
      <c r="J486" s="16">
        <v>48840.31</v>
      </c>
      <c r="K486" s="171">
        <f t="shared" si="35"/>
        <v>6</v>
      </c>
      <c r="L486" s="17">
        <v>1.4833299999999999E-3</v>
      </c>
      <c r="M486" s="16">
        <f t="shared" si="36"/>
        <v>434.68</v>
      </c>
      <c r="N486" s="16">
        <f t="shared" si="37"/>
        <v>869.36</v>
      </c>
      <c r="O486" s="14"/>
      <c r="P486" s="210" t="str">
        <f>VLOOKUP(C486,'WO Descriptions'!$A$5:$D$345,4)</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row>
    <row r="487" spans="1:16" ht="105" outlineLevel="2">
      <c r="A487" s="14" t="s">
        <v>17</v>
      </c>
      <c r="B487" s="15" t="s">
        <v>347</v>
      </c>
      <c r="C487" s="15" t="s">
        <v>348</v>
      </c>
      <c r="D487" s="14" t="s">
        <v>349</v>
      </c>
      <c r="E487" s="15" t="s">
        <v>324</v>
      </c>
      <c r="F487" s="14" t="s">
        <v>325</v>
      </c>
      <c r="G487" s="15" t="s">
        <v>23</v>
      </c>
      <c r="H487" s="15" t="s">
        <v>1525</v>
      </c>
      <c r="I487" s="15">
        <v>201412</v>
      </c>
      <c r="J487" s="16">
        <v>5.46</v>
      </c>
      <c r="K487" s="171">
        <f t="shared" si="35"/>
        <v>6</v>
      </c>
      <c r="L487" s="17">
        <v>1.4833299999999999E-3</v>
      </c>
      <c r="M487" s="16">
        <f t="shared" si="36"/>
        <v>0.05</v>
      </c>
      <c r="N487" s="16">
        <f t="shared" si="37"/>
        <v>0.1</v>
      </c>
      <c r="O487" s="14"/>
      <c r="P487" s="210" t="str">
        <f>VLOOKUP(C487,'WO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488" spans="1:16" ht="45" outlineLevel="2">
      <c r="A488" s="14" t="s">
        <v>17</v>
      </c>
      <c r="B488" s="15" t="s">
        <v>480</v>
      </c>
      <c r="C488" s="15" t="s">
        <v>481</v>
      </c>
      <c r="D488" s="14" t="s">
        <v>482</v>
      </c>
      <c r="E488" s="15" t="s">
        <v>141</v>
      </c>
      <c r="F488" s="14" t="s">
        <v>142</v>
      </c>
      <c r="G488" s="15" t="s">
        <v>23</v>
      </c>
      <c r="H488" s="15" t="s">
        <v>1525</v>
      </c>
      <c r="I488" s="15">
        <v>201412</v>
      </c>
      <c r="J488" s="16">
        <v>-12.75</v>
      </c>
      <c r="K488" s="171">
        <f t="shared" si="35"/>
        <v>6</v>
      </c>
      <c r="L488" s="17">
        <v>1.4833299999999999E-3</v>
      </c>
      <c r="M488" s="16">
        <f t="shared" si="36"/>
        <v>-0.11</v>
      </c>
      <c r="N488" s="16">
        <f t="shared" si="37"/>
        <v>-0.23</v>
      </c>
      <c r="O488" s="14"/>
      <c r="P488" s="210" t="str">
        <f>VLOOKUP(C488,'WO Descriptions'!$A$5:$D$345,4)</f>
        <v>Approved by: Gary Williams on 12/02/2013,  AOR.  Replace 40'-6in CI with 6in PE.  13' of CI was exposed at 2551 Chelsea.  Tie-over two services and replace one service (2553 Chelsea).Retire 35'-6in CI, B30P88; 5'-6in CI, B18P103.</v>
      </c>
    </row>
    <row r="489" spans="1:16" ht="90" outlineLevel="2">
      <c r="A489" s="14" t="s">
        <v>17</v>
      </c>
      <c r="B489" s="15" t="s">
        <v>552</v>
      </c>
      <c r="C489" s="15" t="s">
        <v>553</v>
      </c>
      <c r="D489" s="14" t="s">
        <v>554</v>
      </c>
      <c r="E489" s="15" t="s">
        <v>62</v>
      </c>
      <c r="F489" s="14" t="s">
        <v>22</v>
      </c>
      <c r="G489" s="15" t="s">
        <v>23</v>
      </c>
      <c r="H489" s="15" t="s">
        <v>1525</v>
      </c>
      <c r="I489" s="15">
        <v>201412</v>
      </c>
      <c r="J489" s="16">
        <v>2866.12</v>
      </c>
      <c r="K489" s="171">
        <f t="shared" si="35"/>
        <v>6</v>
      </c>
      <c r="L489" s="17">
        <v>1.4833299999999999E-3</v>
      </c>
      <c r="M489" s="16">
        <f t="shared" si="36"/>
        <v>25.51</v>
      </c>
      <c r="N489" s="16">
        <f t="shared" si="37"/>
        <v>51.02</v>
      </c>
      <c r="O489" s="14"/>
      <c r="P489" s="210" t="str">
        <f>VLOOKUP(C489,'WO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90" spans="1:16" ht="75" outlineLevel="2">
      <c r="A490" s="14" t="s">
        <v>17</v>
      </c>
      <c r="B490" s="15" t="s">
        <v>646</v>
      </c>
      <c r="C490" s="15" t="s">
        <v>647</v>
      </c>
      <c r="D490" s="14" t="s">
        <v>648</v>
      </c>
      <c r="E490" s="15" t="s">
        <v>176</v>
      </c>
      <c r="F490" s="14" t="s">
        <v>28</v>
      </c>
      <c r="G490" s="15" t="s">
        <v>23</v>
      </c>
      <c r="H490" s="15" t="s">
        <v>1525</v>
      </c>
      <c r="I490" s="15">
        <v>201412</v>
      </c>
      <c r="J490" s="16">
        <v>-0.08</v>
      </c>
      <c r="K490" s="171">
        <f t="shared" si="35"/>
        <v>6</v>
      </c>
      <c r="L490" s="17">
        <v>1.4833299999999999E-3</v>
      </c>
      <c r="M490" s="16">
        <f t="shared" si="36"/>
        <v>0</v>
      </c>
      <c r="N490" s="16">
        <f t="shared" si="37"/>
        <v>0</v>
      </c>
      <c r="O490" s="14"/>
      <c r="P490" s="210" t="str">
        <f>VLOOKUP(C490,'WO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491" spans="1:16" ht="105" outlineLevel="2">
      <c r="A491" s="14" t="s">
        <v>17</v>
      </c>
      <c r="B491" s="15" t="s">
        <v>704</v>
      </c>
      <c r="C491" s="15" t="s">
        <v>705</v>
      </c>
      <c r="D491" s="14" t="s">
        <v>706</v>
      </c>
      <c r="E491" s="15" t="s">
        <v>58</v>
      </c>
      <c r="F491" s="14" t="s">
        <v>22</v>
      </c>
      <c r="G491" s="15" t="s">
        <v>23</v>
      </c>
      <c r="H491" s="15" t="s">
        <v>1525</v>
      </c>
      <c r="I491" s="15">
        <v>201412</v>
      </c>
      <c r="J491" s="16">
        <v>7983.95</v>
      </c>
      <c r="K491" s="171">
        <f t="shared" si="35"/>
        <v>6</v>
      </c>
      <c r="L491" s="17">
        <v>1.4833299999999999E-3</v>
      </c>
      <c r="M491" s="16">
        <f t="shared" si="36"/>
        <v>71.06</v>
      </c>
      <c r="N491" s="16">
        <f t="shared" si="37"/>
        <v>142.11000000000001</v>
      </c>
      <c r="O491" s="14"/>
      <c r="P491" s="210" t="str">
        <f>VLOOKUP(C491,'WO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492" spans="1:16" ht="90" outlineLevel="2">
      <c r="A492" s="14" t="s">
        <v>17</v>
      </c>
      <c r="B492" s="15" t="s">
        <v>1033</v>
      </c>
      <c r="C492" s="15" t="s">
        <v>1034</v>
      </c>
      <c r="D492" s="14" t="s">
        <v>1035</v>
      </c>
      <c r="E492" s="15" t="s">
        <v>58</v>
      </c>
      <c r="F492" s="14" t="s">
        <v>22</v>
      </c>
      <c r="G492" s="15" t="s">
        <v>23</v>
      </c>
      <c r="H492" s="15" t="s">
        <v>1525</v>
      </c>
      <c r="I492" s="15">
        <v>201412</v>
      </c>
      <c r="J492" s="16">
        <v>192036.17</v>
      </c>
      <c r="K492" s="171">
        <f t="shared" si="35"/>
        <v>6</v>
      </c>
      <c r="L492" s="17">
        <v>1.4833299999999999E-3</v>
      </c>
      <c r="M492" s="16">
        <f t="shared" si="36"/>
        <v>1709.12</v>
      </c>
      <c r="N492" s="16">
        <f t="shared" si="37"/>
        <v>3418.24</v>
      </c>
      <c r="O492" s="14"/>
      <c r="P492" s="210" t="str">
        <f>VLOOKUP(C492,'WO Descriptions'!$A$5:$D$345,4)</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row>
    <row r="493" spans="1:16" ht="75" outlineLevel="2">
      <c r="A493" s="14" t="s">
        <v>17</v>
      </c>
      <c r="B493" s="15" t="s">
        <v>759</v>
      </c>
      <c r="C493" s="15" t="s">
        <v>760</v>
      </c>
      <c r="D493" s="14" t="s">
        <v>761</v>
      </c>
      <c r="E493" s="15" t="s">
        <v>62</v>
      </c>
      <c r="F493" s="14" t="s">
        <v>22</v>
      </c>
      <c r="G493" s="15" t="s">
        <v>23</v>
      </c>
      <c r="H493" s="15" t="s">
        <v>1525</v>
      </c>
      <c r="I493" s="15">
        <v>201412</v>
      </c>
      <c r="J493" s="16">
        <v>-35.33</v>
      </c>
      <c r="K493" s="171">
        <f t="shared" si="35"/>
        <v>6</v>
      </c>
      <c r="L493" s="17">
        <v>1.4833299999999999E-3</v>
      </c>
      <c r="M493" s="16">
        <f t="shared" si="36"/>
        <v>-0.31</v>
      </c>
      <c r="N493" s="16">
        <f t="shared" si="37"/>
        <v>-0.63</v>
      </c>
      <c r="O493" s="14"/>
      <c r="P493" s="210" t="str">
        <f>VLOOKUP(C493,'WO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494" spans="1:16" ht="30" outlineLevel="2">
      <c r="A494" s="14" t="s">
        <v>17</v>
      </c>
      <c r="B494" s="15" t="s">
        <v>843</v>
      </c>
      <c r="C494" s="15" t="s">
        <v>844</v>
      </c>
      <c r="D494" s="14" t="s">
        <v>845</v>
      </c>
      <c r="E494" s="15" t="s">
        <v>45</v>
      </c>
      <c r="F494" s="14" t="s">
        <v>22</v>
      </c>
      <c r="G494" s="15" t="s">
        <v>23</v>
      </c>
      <c r="H494" s="15" t="s">
        <v>1525</v>
      </c>
      <c r="I494" s="15">
        <v>201412</v>
      </c>
      <c r="J494" s="16">
        <v>-122.95</v>
      </c>
      <c r="K494" s="171">
        <f t="shared" si="35"/>
        <v>6</v>
      </c>
      <c r="L494" s="17">
        <v>1.4833299999999999E-3</v>
      </c>
      <c r="M494" s="16">
        <f t="shared" si="36"/>
        <v>-1.0900000000000001</v>
      </c>
      <c r="N494" s="16">
        <f t="shared" si="37"/>
        <v>-2.19</v>
      </c>
      <c r="O494" s="14"/>
      <c r="P494" s="210" t="str">
        <f>VLOOKUP(C494,'WO Descriptions'!$A$5:$D$345,4)</f>
        <v>Approved by: Kevin Driskell on 04/07/2014,  Replace 3in and 2in PBS due to leak.  Lay 10'-3in thin film and 14'-2in thin film.  Work done by MGE crew.Original JO 7740C &amp; 7740B, year 1949</v>
      </c>
    </row>
    <row r="495" spans="1:16" ht="60" outlineLevel="2">
      <c r="A495" s="14" t="s">
        <v>17</v>
      </c>
      <c r="B495" s="15" t="s">
        <v>849</v>
      </c>
      <c r="C495" s="15" t="s">
        <v>850</v>
      </c>
      <c r="D495" s="14" t="s">
        <v>851</v>
      </c>
      <c r="E495" s="15" t="s">
        <v>27</v>
      </c>
      <c r="F495" s="14" t="s">
        <v>28</v>
      </c>
      <c r="G495" s="15" t="s">
        <v>23</v>
      </c>
      <c r="H495" s="15" t="s">
        <v>1525</v>
      </c>
      <c r="I495" s="15">
        <v>201412</v>
      </c>
      <c r="J495" s="16">
        <v>58.38</v>
      </c>
      <c r="K495" s="171">
        <f t="shared" si="35"/>
        <v>6</v>
      </c>
      <c r="L495" s="17">
        <v>1.4833299999999999E-3</v>
      </c>
      <c r="M495" s="16">
        <f t="shared" si="36"/>
        <v>0.52</v>
      </c>
      <c r="N495" s="16">
        <f t="shared" si="37"/>
        <v>1.04</v>
      </c>
      <c r="O495" s="14"/>
      <c r="P495" s="210" t="str">
        <f>VLOOKUP(C495,'WO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496" spans="1:16" ht="135" outlineLevel="2">
      <c r="A496" s="14" t="s">
        <v>17</v>
      </c>
      <c r="B496" s="15" t="s">
        <v>891</v>
      </c>
      <c r="C496" s="15" t="s">
        <v>892</v>
      </c>
      <c r="D496" s="14" t="s">
        <v>893</v>
      </c>
      <c r="E496" s="15" t="s">
        <v>32</v>
      </c>
      <c r="F496" s="14" t="s">
        <v>22</v>
      </c>
      <c r="G496" s="15" t="s">
        <v>23</v>
      </c>
      <c r="H496" s="15" t="s">
        <v>1525</v>
      </c>
      <c r="I496" s="15">
        <v>201412</v>
      </c>
      <c r="J496" s="16">
        <v>-568.53</v>
      </c>
      <c r="K496" s="171">
        <f t="shared" si="35"/>
        <v>6</v>
      </c>
      <c r="L496" s="17">
        <v>1.4833299999999999E-3</v>
      </c>
      <c r="M496" s="16">
        <f t="shared" si="36"/>
        <v>-5.0599999999999996</v>
      </c>
      <c r="N496" s="16">
        <f t="shared" si="37"/>
        <v>-10.119999999999999</v>
      </c>
      <c r="O496" s="14"/>
      <c r="P496" s="210" t="str">
        <f>VLOOKUP(C496,'WO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497" spans="1:16" ht="60" outlineLevel="2">
      <c r="A497" s="14" t="s">
        <v>17</v>
      </c>
      <c r="B497" s="15" t="s">
        <v>903</v>
      </c>
      <c r="C497" s="15" t="s">
        <v>904</v>
      </c>
      <c r="D497" s="14" t="s">
        <v>905</v>
      </c>
      <c r="E497" s="15" t="s">
        <v>49</v>
      </c>
      <c r="F497" s="14" t="s">
        <v>22</v>
      </c>
      <c r="G497" s="15" t="s">
        <v>23</v>
      </c>
      <c r="H497" s="15" t="s">
        <v>1525</v>
      </c>
      <c r="I497" s="15">
        <v>201412</v>
      </c>
      <c r="J497" s="16">
        <v>-20.71</v>
      </c>
      <c r="K497" s="171">
        <f t="shared" si="35"/>
        <v>6</v>
      </c>
      <c r="L497" s="17">
        <v>1.4833299999999999E-3</v>
      </c>
      <c r="M497" s="16">
        <f t="shared" si="36"/>
        <v>-0.18</v>
      </c>
      <c r="N497" s="16">
        <f t="shared" si="37"/>
        <v>-0.37</v>
      </c>
      <c r="O497" s="14"/>
      <c r="P497" s="210" t="str">
        <f>VLOOKUP(C497,'WO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498" spans="1:16" ht="30" outlineLevel="2">
      <c r="A498" s="14" t="s">
        <v>17</v>
      </c>
      <c r="B498" s="15" t="s">
        <v>987</v>
      </c>
      <c r="C498" s="15" t="s">
        <v>988</v>
      </c>
      <c r="D498" s="14" t="s">
        <v>989</v>
      </c>
      <c r="E498" s="15" t="s">
        <v>45</v>
      </c>
      <c r="F498" s="14" t="s">
        <v>22</v>
      </c>
      <c r="G498" s="15" t="s">
        <v>23</v>
      </c>
      <c r="H498" s="15" t="s">
        <v>1525</v>
      </c>
      <c r="I498" s="15">
        <v>201412</v>
      </c>
      <c r="J498" s="16">
        <v>445.28</v>
      </c>
      <c r="K498" s="171">
        <f t="shared" si="35"/>
        <v>6</v>
      </c>
      <c r="L498" s="17">
        <v>1.4833299999999999E-3</v>
      </c>
      <c r="M498" s="16">
        <f t="shared" si="36"/>
        <v>3.96</v>
      </c>
      <c r="N498" s="16">
        <f t="shared" si="37"/>
        <v>7.93</v>
      </c>
      <c r="O498" s="14"/>
      <c r="P498" s="210" t="str">
        <f>VLOOKUP(C498,'WO Descriptions'!$A$5:$D$345,4)</f>
        <v>Approved by: Kevin Driskell on 08/03/2014,  Relocated 2'' PBS because it was going through a curb inlet box. Pressure System C-26.</v>
      </c>
    </row>
    <row r="499" spans="1:16" ht="105" outlineLevel="2">
      <c r="A499" s="14" t="s">
        <v>17</v>
      </c>
      <c r="B499" s="15" t="s">
        <v>1063</v>
      </c>
      <c r="C499" s="15" t="s">
        <v>1064</v>
      </c>
      <c r="D499" s="14" t="s">
        <v>1065</v>
      </c>
      <c r="E499" s="15" t="s">
        <v>125</v>
      </c>
      <c r="F499" s="14" t="s">
        <v>126</v>
      </c>
      <c r="G499" s="15" t="s">
        <v>23</v>
      </c>
      <c r="H499" s="15" t="s">
        <v>1525</v>
      </c>
      <c r="I499" s="15">
        <v>201412</v>
      </c>
      <c r="J499" s="16">
        <v>21760.85</v>
      </c>
      <c r="K499" s="171">
        <f t="shared" si="35"/>
        <v>6</v>
      </c>
      <c r="L499" s="17">
        <v>1.4833299999999999E-3</v>
      </c>
      <c r="M499" s="16">
        <f t="shared" si="36"/>
        <v>193.67</v>
      </c>
      <c r="N499" s="16">
        <f t="shared" si="37"/>
        <v>387.34</v>
      </c>
      <c r="O499" s="14"/>
      <c r="P499" s="210" t="str">
        <f>VLOOKUP(C499,'WO Descriptions'!$A$5:$D$345,4)</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row>
    <row r="500" spans="1:16" ht="60" outlineLevel="2">
      <c r="A500" s="14" t="s">
        <v>17</v>
      </c>
      <c r="B500" s="15" t="s">
        <v>999</v>
      </c>
      <c r="C500" s="15" t="s">
        <v>1000</v>
      </c>
      <c r="D500" s="14" t="s">
        <v>1001</v>
      </c>
      <c r="E500" s="15" t="s">
        <v>176</v>
      </c>
      <c r="F500" s="14" t="s">
        <v>28</v>
      </c>
      <c r="G500" s="15" t="s">
        <v>23</v>
      </c>
      <c r="H500" s="15" t="s">
        <v>1525</v>
      </c>
      <c r="I500" s="15">
        <v>201412</v>
      </c>
      <c r="J500" s="16">
        <v>203.95</v>
      </c>
      <c r="K500" s="171">
        <f t="shared" si="35"/>
        <v>6</v>
      </c>
      <c r="L500" s="17">
        <v>1.4833299999999999E-3</v>
      </c>
      <c r="M500" s="16">
        <f t="shared" si="36"/>
        <v>1.82</v>
      </c>
      <c r="N500" s="16">
        <f t="shared" si="37"/>
        <v>3.63</v>
      </c>
      <c r="O500" s="14"/>
      <c r="P500" s="210" t="str">
        <f>VLOOKUP(C500,'WO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501" spans="1:16" ht="120" outlineLevel="2">
      <c r="A501" s="14" t="s">
        <v>54</v>
      </c>
      <c r="B501" s="15" t="s">
        <v>55</v>
      </c>
      <c r="C501" s="15" t="s">
        <v>56</v>
      </c>
      <c r="D501" s="14" t="s">
        <v>57</v>
      </c>
      <c r="E501" s="15" t="s">
        <v>58</v>
      </c>
      <c r="F501" s="14" t="s">
        <v>22</v>
      </c>
      <c r="G501" s="15" t="s">
        <v>23</v>
      </c>
      <c r="H501" s="15" t="s">
        <v>1525</v>
      </c>
      <c r="I501" s="15">
        <v>201412</v>
      </c>
      <c r="J501" s="16">
        <v>395.39</v>
      </c>
      <c r="K501" s="171">
        <f t="shared" si="35"/>
        <v>6</v>
      </c>
      <c r="L501" s="17">
        <v>1.4833299999999999E-3</v>
      </c>
      <c r="M501" s="16">
        <f t="shared" si="36"/>
        <v>3.52</v>
      </c>
      <c r="N501" s="16">
        <f t="shared" si="37"/>
        <v>7.04</v>
      </c>
      <c r="O501" s="14"/>
      <c r="P501" s="210" t="str">
        <f>VLOOKUP(C501,'WO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row>
    <row r="502" spans="1:16" ht="105" outlineLevel="2">
      <c r="A502" s="14" t="s">
        <v>54</v>
      </c>
      <c r="B502" s="15" t="s">
        <v>146</v>
      </c>
      <c r="C502" s="15" t="s">
        <v>147</v>
      </c>
      <c r="D502" s="14" t="s">
        <v>148</v>
      </c>
      <c r="E502" s="15" t="s">
        <v>62</v>
      </c>
      <c r="F502" s="14" t="s">
        <v>22</v>
      </c>
      <c r="G502" s="15" t="s">
        <v>23</v>
      </c>
      <c r="H502" s="15" t="s">
        <v>1525</v>
      </c>
      <c r="I502" s="15">
        <v>201412</v>
      </c>
      <c r="J502" s="16">
        <v>4971.3500000000004</v>
      </c>
      <c r="K502" s="171">
        <f t="shared" si="35"/>
        <v>6</v>
      </c>
      <c r="L502" s="17">
        <v>1.4833299999999999E-3</v>
      </c>
      <c r="M502" s="16">
        <f t="shared" si="36"/>
        <v>44.24</v>
      </c>
      <c r="N502" s="16">
        <f t="shared" si="37"/>
        <v>88.49</v>
      </c>
      <c r="O502" s="14"/>
      <c r="P502" s="210" t="str">
        <f>VLOOKUP(C502,'WO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503" spans="1:16" ht="75" outlineLevel="2">
      <c r="A503" s="14" t="s">
        <v>54</v>
      </c>
      <c r="B503" s="15" t="s">
        <v>309</v>
      </c>
      <c r="C503" s="15" t="s">
        <v>310</v>
      </c>
      <c r="D503" s="14" t="s">
        <v>311</v>
      </c>
      <c r="E503" s="15" t="s">
        <v>216</v>
      </c>
      <c r="F503" s="14" t="s">
        <v>22</v>
      </c>
      <c r="G503" s="15" t="s">
        <v>23</v>
      </c>
      <c r="H503" s="15" t="s">
        <v>1525</v>
      </c>
      <c r="I503" s="15">
        <v>201412</v>
      </c>
      <c r="J503" s="16">
        <v>-104.47</v>
      </c>
      <c r="K503" s="171">
        <f t="shared" si="35"/>
        <v>6</v>
      </c>
      <c r="L503" s="17">
        <v>1.4833299999999999E-3</v>
      </c>
      <c r="M503" s="16">
        <f t="shared" si="36"/>
        <v>-0.93</v>
      </c>
      <c r="N503" s="16">
        <f t="shared" si="37"/>
        <v>-1.86</v>
      </c>
      <c r="O503" s="14"/>
      <c r="P503" s="210" t="str">
        <f>VLOOKUP(C503,'WO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504" spans="1:16" ht="75" outlineLevel="2">
      <c r="A504" s="14" t="s">
        <v>54</v>
      </c>
      <c r="B504" s="15" t="s">
        <v>419</v>
      </c>
      <c r="C504" s="15" t="s">
        <v>420</v>
      </c>
      <c r="D504" s="14" t="s">
        <v>421</v>
      </c>
      <c r="E504" s="15" t="s">
        <v>32</v>
      </c>
      <c r="F504" s="14" t="s">
        <v>22</v>
      </c>
      <c r="G504" s="15" t="s">
        <v>23</v>
      </c>
      <c r="H504" s="15" t="s">
        <v>1525</v>
      </c>
      <c r="I504" s="15">
        <v>201412</v>
      </c>
      <c r="J504" s="16">
        <v>-11.23</v>
      </c>
      <c r="K504" s="171">
        <f t="shared" si="35"/>
        <v>6</v>
      </c>
      <c r="L504" s="17">
        <v>1.4833299999999999E-3</v>
      </c>
      <c r="M504" s="16">
        <f t="shared" si="36"/>
        <v>-0.1</v>
      </c>
      <c r="N504" s="16">
        <f t="shared" si="37"/>
        <v>-0.2</v>
      </c>
      <c r="O504" s="14"/>
      <c r="P504" s="210" t="str">
        <f>VLOOKUP(C504,'WO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505" spans="1:16" ht="75" outlineLevel="2">
      <c r="A505" s="14" t="s">
        <v>54</v>
      </c>
      <c r="B505" s="15" t="s">
        <v>453</v>
      </c>
      <c r="C505" s="15" t="s">
        <v>454</v>
      </c>
      <c r="D505" s="14" t="s">
        <v>455</v>
      </c>
      <c r="E505" s="15" t="s">
        <v>62</v>
      </c>
      <c r="F505" s="14" t="s">
        <v>22</v>
      </c>
      <c r="G505" s="15" t="s">
        <v>23</v>
      </c>
      <c r="H505" s="15" t="s">
        <v>1525</v>
      </c>
      <c r="I505" s="15">
        <v>201412</v>
      </c>
      <c r="J505" s="16">
        <v>-93.8</v>
      </c>
      <c r="K505" s="171">
        <f t="shared" si="35"/>
        <v>6</v>
      </c>
      <c r="L505" s="17">
        <v>1.4833299999999999E-3</v>
      </c>
      <c r="M505" s="16">
        <f t="shared" si="36"/>
        <v>-0.83</v>
      </c>
      <c r="N505" s="16">
        <f t="shared" si="37"/>
        <v>-1.67</v>
      </c>
      <c r="O505" s="14"/>
      <c r="P505" s="210" t="str">
        <f>VLOOKUP(C505,'WO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506" spans="1:16" ht="30" outlineLevel="2">
      <c r="A506" s="14" t="s">
        <v>54</v>
      </c>
      <c r="B506" s="15" t="s">
        <v>543</v>
      </c>
      <c r="C506" s="15" t="s">
        <v>544</v>
      </c>
      <c r="D506" s="14" t="s">
        <v>545</v>
      </c>
      <c r="E506" s="15" t="s">
        <v>62</v>
      </c>
      <c r="F506" s="14" t="s">
        <v>22</v>
      </c>
      <c r="G506" s="15" t="s">
        <v>23</v>
      </c>
      <c r="H506" s="15" t="s">
        <v>1525</v>
      </c>
      <c r="I506" s="15">
        <v>201412</v>
      </c>
      <c r="J506" s="16">
        <v>-151.33000000000001</v>
      </c>
      <c r="K506" s="171">
        <f t="shared" si="35"/>
        <v>6</v>
      </c>
      <c r="L506" s="17">
        <v>1.4833299999999999E-3</v>
      </c>
      <c r="M506" s="16">
        <f t="shared" si="36"/>
        <v>-1.35</v>
      </c>
      <c r="N506" s="16">
        <f t="shared" si="37"/>
        <v>-2.69</v>
      </c>
      <c r="O506" s="14"/>
      <c r="P506" s="210" t="str">
        <f>VLOOKUP(C506,'WO Descriptions'!$A$5:$D$345,4)</f>
        <v>Approved by: Ralph Janes on 03/11/2014,  Replace and abandon 732' - 2" pbs main (Unknown) by installing 730' - 2" pe main due to leakage under pavement. (ISRS)</v>
      </c>
    </row>
    <row r="507" spans="1:16" ht="210" outlineLevel="2">
      <c r="A507" s="14" t="s">
        <v>54</v>
      </c>
      <c r="B507" s="15" t="s">
        <v>813</v>
      </c>
      <c r="C507" s="15" t="s">
        <v>814</v>
      </c>
      <c r="D507" s="14" t="s">
        <v>815</v>
      </c>
      <c r="E507" s="15" t="s">
        <v>62</v>
      </c>
      <c r="F507" s="14" t="s">
        <v>22</v>
      </c>
      <c r="G507" s="15" t="s">
        <v>23</v>
      </c>
      <c r="H507" s="15" t="s">
        <v>1525</v>
      </c>
      <c r="I507" s="15">
        <v>201412</v>
      </c>
      <c r="J507" s="16">
        <v>14879.8</v>
      </c>
      <c r="K507" s="171">
        <f t="shared" si="35"/>
        <v>6</v>
      </c>
      <c r="L507" s="17">
        <v>1.4833299999999999E-3</v>
      </c>
      <c r="M507" s="16">
        <f t="shared" si="36"/>
        <v>132.43</v>
      </c>
      <c r="N507" s="16">
        <f t="shared" si="37"/>
        <v>264.86</v>
      </c>
      <c r="O507" s="14"/>
      <c r="P507" s="210" t="str">
        <f>VLOOKUP(C507,'WO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508" spans="1:16" ht="60" outlineLevel="2">
      <c r="A508" s="14" t="s">
        <v>54</v>
      </c>
      <c r="B508" s="15" t="s">
        <v>830</v>
      </c>
      <c r="C508" s="15" t="s">
        <v>831</v>
      </c>
      <c r="D508" s="14" t="s">
        <v>832</v>
      </c>
      <c r="E508" s="15" t="s">
        <v>62</v>
      </c>
      <c r="F508" s="14" t="s">
        <v>22</v>
      </c>
      <c r="G508" s="15" t="s">
        <v>23</v>
      </c>
      <c r="H508" s="15" t="s">
        <v>1525</v>
      </c>
      <c r="I508" s="15">
        <v>201412</v>
      </c>
      <c r="J508" s="16">
        <v>-96.51</v>
      </c>
      <c r="K508" s="171">
        <f t="shared" si="35"/>
        <v>6</v>
      </c>
      <c r="L508" s="17">
        <v>1.4833299999999999E-3</v>
      </c>
      <c r="M508" s="16">
        <f t="shared" si="36"/>
        <v>-0.86</v>
      </c>
      <c r="N508" s="16">
        <f t="shared" si="37"/>
        <v>-1.72</v>
      </c>
      <c r="O508" s="14"/>
      <c r="P508" s="210" t="str">
        <f>VLOOKUP(C508,'WO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509" spans="1:16" ht="135" outlineLevel="2">
      <c r="A509" s="14" t="s">
        <v>54</v>
      </c>
      <c r="B509" s="15" t="s">
        <v>846</v>
      </c>
      <c r="C509" s="15" t="s">
        <v>847</v>
      </c>
      <c r="D509" s="14" t="s">
        <v>848</v>
      </c>
      <c r="E509" s="15" t="s">
        <v>141</v>
      </c>
      <c r="F509" s="14" t="s">
        <v>142</v>
      </c>
      <c r="G509" s="15" t="s">
        <v>23</v>
      </c>
      <c r="H509" s="15" t="s">
        <v>1525</v>
      </c>
      <c r="I509" s="15">
        <v>201412</v>
      </c>
      <c r="J509" s="16">
        <v>-1373.08</v>
      </c>
      <c r="K509" s="171">
        <f t="shared" si="35"/>
        <v>6</v>
      </c>
      <c r="L509" s="17">
        <v>1.4833299999999999E-3</v>
      </c>
      <c r="M509" s="16">
        <f t="shared" si="36"/>
        <v>-12.22</v>
      </c>
      <c r="N509" s="16">
        <f t="shared" si="37"/>
        <v>-24.44</v>
      </c>
      <c r="O509" s="14"/>
      <c r="P509" s="210" t="str">
        <f>VLOOKUP(C509,'WO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510" spans="1:16" ht="75" outlineLevel="2">
      <c r="A510" s="14" t="s">
        <v>54</v>
      </c>
      <c r="B510" s="15" t="s">
        <v>852</v>
      </c>
      <c r="C510" s="15" t="s">
        <v>853</v>
      </c>
      <c r="D510" s="14" t="s">
        <v>854</v>
      </c>
      <c r="E510" s="15" t="s">
        <v>62</v>
      </c>
      <c r="F510" s="14" t="s">
        <v>22</v>
      </c>
      <c r="G510" s="15" t="s">
        <v>23</v>
      </c>
      <c r="H510" s="15" t="s">
        <v>1525</v>
      </c>
      <c r="I510" s="15">
        <v>201412</v>
      </c>
      <c r="J510" s="16">
        <v>-428.47</v>
      </c>
      <c r="K510" s="171">
        <f t="shared" si="35"/>
        <v>6</v>
      </c>
      <c r="L510" s="17">
        <v>1.4833299999999999E-3</v>
      </c>
      <c r="M510" s="16">
        <f t="shared" si="36"/>
        <v>-3.81</v>
      </c>
      <c r="N510" s="16">
        <f t="shared" si="37"/>
        <v>-7.63</v>
      </c>
      <c r="O510" s="14"/>
      <c r="P510" s="210" t="str">
        <f>VLOOKUP(C510,'WO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511" spans="1:16" ht="180" outlineLevel="2">
      <c r="A511" s="14" t="s">
        <v>54</v>
      </c>
      <c r="B511" s="15" t="s">
        <v>858</v>
      </c>
      <c r="C511" s="15" t="s">
        <v>859</v>
      </c>
      <c r="D511" s="14" t="s">
        <v>860</v>
      </c>
      <c r="E511" s="15" t="s">
        <v>62</v>
      </c>
      <c r="F511" s="14" t="s">
        <v>22</v>
      </c>
      <c r="G511" s="15" t="s">
        <v>23</v>
      </c>
      <c r="H511" s="15" t="s">
        <v>1525</v>
      </c>
      <c r="I511" s="15">
        <v>201412</v>
      </c>
      <c r="J511" s="16">
        <v>45.84</v>
      </c>
      <c r="K511" s="171">
        <f t="shared" si="35"/>
        <v>6</v>
      </c>
      <c r="L511" s="17">
        <v>1.4833299999999999E-3</v>
      </c>
      <c r="M511" s="16">
        <f t="shared" si="36"/>
        <v>0.41</v>
      </c>
      <c r="N511" s="16">
        <f t="shared" si="37"/>
        <v>0.82</v>
      </c>
      <c r="O511" s="14"/>
      <c r="P511" s="210" t="str">
        <f>VLOOKUP(C511,'WO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512" spans="1:16" ht="60" outlineLevel="2">
      <c r="A512" s="14" t="s">
        <v>54</v>
      </c>
      <c r="B512" s="15" t="s">
        <v>876</v>
      </c>
      <c r="C512" s="15" t="s">
        <v>877</v>
      </c>
      <c r="D512" s="14" t="s">
        <v>878</v>
      </c>
      <c r="E512" s="15" t="s">
        <v>62</v>
      </c>
      <c r="F512" s="14" t="s">
        <v>22</v>
      </c>
      <c r="G512" s="15" t="s">
        <v>23</v>
      </c>
      <c r="H512" s="15" t="s">
        <v>1525</v>
      </c>
      <c r="I512" s="15">
        <v>201412</v>
      </c>
      <c r="J512" s="16">
        <v>-865.92</v>
      </c>
      <c r="K512" s="171">
        <f t="shared" si="35"/>
        <v>6</v>
      </c>
      <c r="L512" s="17">
        <v>1.4833299999999999E-3</v>
      </c>
      <c r="M512" s="16">
        <f t="shared" si="36"/>
        <v>-7.71</v>
      </c>
      <c r="N512" s="16">
        <f t="shared" si="37"/>
        <v>-15.41</v>
      </c>
      <c r="O512" s="14"/>
      <c r="P512" s="210" t="str">
        <f>VLOOKUP(C512,'WO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513" spans="1:16" ht="30" outlineLevel="2">
      <c r="A513" s="14" t="s">
        <v>54</v>
      </c>
      <c r="B513" s="15" t="s">
        <v>1045</v>
      </c>
      <c r="C513" s="15" t="s">
        <v>1046</v>
      </c>
      <c r="D513" s="14" t="s">
        <v>1047</v>
      </c>
      <c r="E513" s="15" t="s">
        <v>462</v>
      </c>
      <c r="F513" s="14" t="s">
        <v>142</v>
      </c>
      <c r="G513" s="15" t="s">
        <v>23</v>
      </c>
      <c r="H513" s="15" t="s">
        <v>1525</v>
      </c>
      <c r="I513" s="15">
        <v>201412</v>
      </c>
      <c r="J513" s="16">
        <v>5321.09</v>
      </c>
      <c r="K513" s="171">
        <f t="shared" si="35"/>
        <v>6</v>
      </c>
      <c r="L513" s="17">
        <v>1.4833299999999999E-3</v>
      </c>
      <c r="M513" s="16">
        <f t="shared" si="36"/>
        <v>47.36</v>
      </c>
      <c r="N513" s="16">
        <f t="shared" si="37"/>
        <v>94.72</v>
      </c>
      <c r="O513" s="14"/>
      <c r="P513" s="210" t="str">
        <f>VLOOKUP(C513,'WO Descriptions'!$A$5:$D$345,4)</f>
        <v>Approved by: Kevin Driskell on 03/28/2014,  Replace 4in CI w/ 190'-4in PE due to leak.  Tie-over 3 services and replace 1 service.</v>
      </c>
    </row>
    <row r="514" spans="1:16" ht="60" outlineLevel="2">
      <c r="A514" s="14" t="s">
        <v>54</v>
      </c>
      <c r="B514" s="15" t="s">
        <v>1051</v>
      </c>
      <c r="C514" s="15" t="s">
        <v>1052</v>
      </c>
      <c r="D514" s="14" t="s">
        <v>1053</v>
      </c>
      <c r="E514" s="15" t="s">
        <v>45</v>
      </c>
      <c r="F514" s="14" t="s">
        <v>22</v>
      </c>
      <c r="G514" s="15" t="s">
        <v>23</v>
      </c>
      <c r="H514" s="15" t="s">
        <v>1525</v>
      </c>
      <c r="I514" s="15">
        <v>201412</v>
      </c>
      <c r="J514" s="16">
        <v>74180.240000000005</v>
      </c>
      <c r="K514" s="171">
        <f t="shared" si="35"/>
        <v>6</v>
      </c>
      <c r="L514" s="17">
        <v>1.4833299999999999E-3</v>
      </c>
      <c r="M514" s="16">
        <f t="shared" si="36"/>
        <v>660.2</v>
      </c>
      <c r="N514" s="16">
        <f t="shared" si="37"/>
        <v>1320.41</v>
      </c>
      <c r="O514" s="14"/>
      <c r="P514" s="210" t="str">
        <f>VLOOKUP(C514,'WO Descriptions'!$A$5:$D$345,4)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515" spans="1:16" ht="135" outlineLevel="2">
      <c r="A515" s="14" t="s">
        <v>54</v>
      </c>
      <c r="B515" s="15" t="s">
        <v>891</v>
      </c>
      <c r="C515" s="15" t="s">
        <v>892</v>
      </c>
      <c r="D515" s="14" t="s">
        <v>893</v>
      </c>
      <c r="E515" s="15" t="s">
        <v>32</v>
      </c>
      <c r="F515" s="14" t="s">
        <v>22</v>
      </c>
      <c r="G515" s="15" t="s">
        <v>23</v>
      </c>
      <c r="H515" s="15" t="s">
        <v>1525</v>
      </c>
      <c r="I515" s="15">
        <v>201412</v>
      </c>
      <c r="J515" s="16">
        <v>446.02</v>
      </c>
      <c r="K515" s="171">
        <f t="shared" si="35"/>
        <v>6</v>
      </c>
      <c r="L515" s="17">
        <v>1.4833299999999999E-3</v>
      </c>
      <c r="M515" s="16">
        <f t="shared" si="36"/>
        <v>3.97</v>
      </c>
      <c r="N515" s="16">
        <f t="shared" si="37"/>
        <v>7.94</v>
      </c>
      <c r="O515" s="14"/>
      <c r="P515" s="210" t="str">
        <f>VLOOKUP(C515,'WO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516" spans="1:16" ht="120" outlineLevel="2">
      <c r="A516" s="14" t="s">
        <v>54</v>
      </c>
      <c r="B516" s="15" t="s">
        <v>1054</v>
      </c>
      <c r="C516" s="15" t="s">
        <v>1055</v>
      </c>
      <c r="D516" s="14" t="s">
        <v>1056</v>
      </c>
      <c r="E516" s="15" t="s">
        <v>141</v>
      </c>
      <c r="F516" s="14" t="s">
        <v>142</v>
      </c>
      <c r="G516" s="15" t="s">
        <v>23</v>
      </c>
      <c r="H516" s="15" t="s">
        <v>1525</v>
      </c>
      <c r="I516" s="15">
        <v>201412</v>
      </c>
      <c r="J516" s="16">
        <v>887506.89</v>
      </c>
      <c r="K516" s="171">
        <f t="shared" si="35"/>
        <v>6</v>
      </c>
      <c r="L516" s="17">
        <v>1.4833299999999999E-3</v>
      </c>
      <c r="M516" s="16">
        <f t="shared" si="36"/>
        <v>7898.79</v>
      </c>
      <c r="N516" s="16">
        <f t="shared" si="37"/>
        <v>15797.59</v>
      </c>
      <c r="O516" s="14"/>
      <c r="P516" s="210" t="str">
        <f>VLOOKUP(C516,'WO Descriptions'!$A$5:$D$345,4)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517" spans="1:16" ht="30" outlineLevel="2">
      <c r="A517" s="14" t="s">
        <v>54</v>
      </c>
      <c r="B517" s="15" t="s">
        <v>906</v>
      </c>
      <c r="C517" s="15" t="s">
        <v>907</v>
      </c>
      <c r="D517" s="14" t="s">
        <v>908</v>
      </c>
      <c r="E517" s="15" t="s">
        <v>909</v>
      </c>
      <c r="F517" s="14" t="s">
        <v>22</v>
      </c>
      <c r="G517" s="15" t="s">
        <v>23</v>
      </c>
      <c r="H517" s="15" t="s">
        <v>1525</v>
      </c>
      <c r="I517" s="15">
        <v>201412</v>
      </c>
      <c r="J517" s="16">
        <v>1.08</v>
      </c>
      <c r="K517" s="171">
        <f t="shared" si="35"/>
        <v>6</v>
      </c>
      <c r="L517" s="17">
        <v>1.4833299999999999E-3</v>
      </c>
      <c r="M517" s="16">
        <f t="shared" si="36"/>
        <v>0.01</v>
      </c>
      <c r="N517" s="16">
        <f t="shared" si="37"/>
        <v>0.02</v>
      </c>
      <c r="O517" s="14"/>
      <c r="P517" s="210" t="str">
        <f>VLOOKUP(C517,'WO Descriptions'!$A$5:$D$345,4)</f>
        <v>Approved by: Gary Williams on 06/10/2014,  Replace PBS due to down project. Pressure system C-01</v>
      </c>
    </row>
    <row r="518" spans="1:16" outlineLevel="2">
      <c r="A518" s="14" t="s">
        <v>54</v>
      </c>
      <c r="B518" s="15" t="s">
        <v>913</v>
      </c>
      <c r="C518" s="15" t="s">
        <v>914</v>
      </c>
      <c r="D518" s="14" t="s">
        <v>915</v>
      </c>
      <c r="E518" s="15" t="s">
        <v>36</v>
      </c>
      <c r="F518" s="14" t="s">
        <v>22</v>
      </c>
      <c r="G518" s="15" t="s">
        <v>23</v>
      </c>
      <c r="H518" s="15" t="s">
        <v>1525</v>
      </c>
      <c r="I518" s="15">
        <v>201412</v>
      </c>
      <c r="J518" s="16">
        <v>136.69</v>
      </c>
      <c r="K518" s="171">
        <f t="shared" si="35"/>
        <v>6</v>
      </c>
      <c r="L518" s="17">
        <v>1.4833299999999999E-3</v>
      </c>
      <c r="M518" s="16">
        <f t="shared" si="36"/>
        <v>1.22</v>
      </c>
      <c r="N518" s="16">
        <f t="shared" si="37"/>
        <v>2.4300000000000002</v>
      </c>
      <c r="O518" s="14"/>
      <c r="P518" s="210" t="str">
        <f>VLOOKUP(C518,'WO Descriptions'!$A$5:$D$345,4)</f>
        <v>Approved by: Gary Williams on 06/10/2014,  Replace PBS due to down project</v>
      </c>
    </row>
    <row r="519" spans="1:16" ht="30" outlineLevel="2">
      <c r="A519" s="14" t="s">
        <v>54</v>
      </c>
      <c r="B519" s="15" t="s">
        <v>938</v>
      </c>
      <c r="C519" s="15" t="s">
        <v>939</v>
      </c>
      <c r="D519" s="14" t="s">
        <v>940</v>
      </c>
      <c r="E519" s="15" t="s">
        <v>141</v>
      </c>
      <c r="F519" s="14" t="s">
        <v>142</v>
      </c>
      <c r="G519" s="15" t="s">
        <v>23</v>
      </c>
      <c r="H519" s="15" t="s">
        <v>1525</v>
      </c>
      <c r="I519" s="15">
        <v>201412</v>
      </c>
      <c r="J519" s="16">
        <v>-683.61</v>
      </c>
      <c r="K519" s="171">
        <f t="shared" si="35"/>
        <v>6</v>
      </c>
      <c r="L519" s="17">
        <v>1.4833299999999999E-3</v>
      </c>
      <c r="M519" s="16">
        <f t="shared" si="36"/>
        <v>-6.08</v>
      </c>
      <c r="N519" s="16">
        <f t="shared" si="37"/>
        <v>-12.17</v>
      </c>
      <c r="O519" s="14"/>
      <c r="P519" s="210" t="str">
        <f>VLOOKUP(C519,'WO Descriptions'!$A$5:$D$345,4)</f>
        <v>Approved by: Steve Holcomb on 06/30/2014,  Replace 8'' CI WITH 6'' PE DUE TO LEAKS. PRESSURE SYSTEM C-01</v>
      </c>
    </row>
    <row r="520" spans="1:16" ht="75" outlineLevel="2">
      <c r="A520" s="14" t="s">
        <v>54</v>
      </c>
      <c r="B520" s="15" t="s">
        <v>947</v>
      </c>
      <c r="C520" s="15" t="s">
        <v>948</v>
      </c>
      <c r="D520" s="14" t="s">
        <v>949</v>
      </c>
      <c r="E520" s="15" t="s">
        <v>141</v>
      </c>
      <c r="F520" s="14" t="s">
        <v>142</v>
      </c>
      <c r="G520" s="15" t="s">
        <v>23</v>
      </c>
      <c r="H520" s="15" t="s">
        <v>1525</v>
      </c>
      <c r="I520" s="15">
        <v>201412</v>
      </c>
      <c r="J520" s="16">
        <v>18827.39</v>
      </c>
      <c r="K520" s="171">
        <f t="shared" si="35"/>
        <v>6</v>
      </c>
      <c r="L520" s="17">
        <v>1.4833299999999999E-3</v>
      </c>
      <c r="M520" s="16">
        <f t="shared" si="36"/>
        <v>167.56</v>
      </c>
      <c r="N520" s="16">
        <f t="shared" si="37"/>
        <v>335.13</v>
      </c>
      <c r="O520" s="14"/>
      <c r="P520" s="210" t="str">
        <f>VLOOKUP(C520,'WO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521" spans="1:16" ht="45" outlineLevel="2">
      <c r="A521" s="14" t="s">
        <v>54</v>
      </c>
      <c r="B521" s="15" t="s">
        <v>950</v>
      </c>
      <c r="C521" s="15" t="s">
        <v>951</v>
      </c>
      <c r="D521" s="14" t="s">
        <v>952</v>
      </c>
      <c r="E521" s="15" t="s">
        <v>141</v>
      </c>
      <c r="F521" s="14" t="s">
        <v>142</v>
      </c>
      <c r="G521" s="15" t="s">
        <v>23</v>
      </c>
      <c r="H521" s="15" t="s">
        <v>1525</v>
      </c>
      <c r="I521" s="15">
        <v>201412</v>
      </c>
      <c r="J521" s="16">
        <v>-2384.0100000000002</v>
      </c>
      <c r="K521" s="171">
        <f t="shared" si="35"/>
        <v>6</v>
      </c>
      <c r="L521" s="17">
        <v>1.4833299999999999E-3</v>
      </c>
      <c r="M521" s="16">
        <f t="shared" si="36"/>
        <v>-21.22</v>
      </c>
      <c r="N521" s="16">
        <f t="shared" si="37"/>
        <v>-42.44</v>
      </c>
      <c r="O521" s="14"/>
      <c r="P521" s="210" t="str">
        <f>VLOOKUP(C521,'WO Descriptions'!$A$5:$D$345,4)</f>
        <v>Approved by: Steve Holcomb on 07/09/2014,  Replace 4'' and 6'' CI main due to graphitization. CI break 12-1018 - 122' NNC of 50th St and 4' EEC of highland. Due 09-28-2014. Pressure System C-001</v>
      </c>
    </row>
    <row r="522" spans="1:16" ht="45" outlineLevel="2">
      <c r="A522" s="14" t="s">
        <v>54</v>
      </c>
      <c r="B522" s="15" t="s">
        <v>974</v>
      </c>
      <c r="C522" s="15" t="s">
        <v>975</v>
      </c>
      <c r="D522" s="14" t="s">
        <v>976</v>
      </c>
      <c r="E522" s="15" t="s">
        <v>141</v>
      </c>
      <c r="F522" s="14" t="s">
        <v>142</v>
      </c>
      <c r="G522" s="15" t="s">
        <v>23</v>
      </c>
      <c r="H522" s="15" t="s">
        <v>1525</v>
      </c>
      <c r="I522" s="15">
        <v>201412</v>
      </c>
      <c r="J522" s="16">
        <v>-298.91000000000003</v>
      </c>
      <c r="K522" s="171">
        <f t="shared" si="35"/>
        <v>6</v>
      </c>
      <c r="L522" s="17">
        <v>1.4833299999999999E-3</v>
      </c>
      <c r="M522" s="16">
        <f t="shared" si="36"/>
        <v>-2.66</v>
      </c>
      <c r="N522" s="16">
        <f t="shared" si="37"/>
        <v>-5.32</v>
      </c>
      <c r="O522" s="14"/>
      <c r="P522" s="210" t="str">
        <f>VLOOKUP(C522,'WO Descriptions'!$A$5:$D$345,4)</f>
        <v>Approved by: Kevin Driskell on 07/23/2014,  AOR.  Replace 40' of 4in CI with 4in PE due to exposure of CI coupling.  AOR location: 46' SSCB of 8th Street.  Must be finished by 9-21-2014.  Tie over 3 services.  Replace one service.  COST PER FOOT $554.14</v>
      </c>
    </row>
    <row r="523" spans="1:16" ht="30" outlineLevel="2">
      <c r="A523" s="14" t="s">
        <v>54</v>
      </c>
      <c r="B523" s="15" t="s">
        <v>977</v>
      </c>
      <c r="C523" s="15" t="s">
        <v>978</v>
      </c>
      <c r="D523" s="14" t="s">
        <v>979</v>
      </c>
      <c r="E523" s="15" t="s">
        <v>980</v>
      </c>
      <c r="F523" s="14" t="s">
        <v>259</v>
      </c>
      <c r="G523" s="15" t="s">
        <v>23</v>
      </c>
      <c r="H523" s="15" t="s">
        <v>1525</v>
      </c>
      <c r="I523" s="15">
        <v>201412</v>
      </c>
      <c r="J523" s="16">
        <v>640.08000000000004</v>
      </c>
      <c r="K523" s="171">
        <f t="shared" si="35"/>
        <v>6</v>
      </c>
      <c r="L523" s="17">
        <v>1.4833299999999999E-3</v>
      </c>
      <c r="M523" s="16">
        <f t="shared" si="36"/>
        <v>5.7</v>
      </c>
      <c r="N523" s="16">
        <f t="shared" si="37"/>
        <v>11.39</v>
      </c>
      <c r="O523" s="14"/>
      <c r="P523" s="210" t="str">
        <f>VLOOKUP(C523,'WO Descriptions'!$A$5:$D$345,4)</f>
        <v>Approved by: Kevin Driskell on 07/25/2014,  Replace 3' of 2in BS and 4' of 2in PE due to third party damage.</v>
      </c>
    </row>
    <row r="524" spans="1:16" ht="30" outlineLevel="2">
      <c r="A524" s="14" t="s">
        <v>54</v>
      </c>
      <c r="B524" s="15" t="s">
        <v>984</v>
      </c>
      <c r="C524" s="15" t="s">
        <v>985</v>
      </c>
      <c r="D524" s="14" t="s">
        <v>986</v>
      </c>
      <c r="E524" s="15" t="s">
        <v>141</v>
      </c>
      <c r="F524" s="14" t="s">
        <v>142</v>
      </c>
      <c r="G524" s="15" t="s">
        <v>23</v>
      </c>
      <c r="H524" s="15" t="s">
        <v>1525</v>
      </c>
      <c r="I524" s="15">
        <v>201412</v>
      </c>
      <c r="J524" s="16">
        <v>1481.62</v>
      </c>
      <c r="K524" s="171">
        <f t="shared" si="35"/>
        <v>6</v>
      </c>
      <c r="L524" s="17">
        <v>1.4833299999999999E-3</v>
      </c>
      <c r="M524" s="16">
        <f t="shared" si="36"/>
        <v>13.19</v>
      </c>
      <c r="N524" s="16">
        <f t="shared" si="37"/>
        <v>26.37</v>
      </c>
      <c r="O524" s="14"/>
      <c r="P524" s="210" t="str">
        <f>VLOOKUP(C524,'WO Descriptions'!$A$5:$D$345,4)</f>
        <v>Approved by: Kevin Driskell on 08/03/2014,  Replaced 6'' CI with 6'' PE due to Cast Iron Break. System C-1.</v>
      </c>
    </row>
    <row r="525" spans="1:16" ht="75" outlineLevel="2">
      <c r="A525" s="14" t="s">
        <v>54</v>
      </c>
      <c r="B525" s="15" t="s">
        <v>990</v>
      </c>
      <c r="C525" s="15" t="s">
        <v>991</v>
      </c>
      <c r="D525" s="14" t="s">
        <v>992</v>
      </c>
      <c r="E525" s="15" t="s">
        <v>141</v>
      </c>
      <c r="F525" s="14" t="s">
        <v>142</v>
      </c>
      <c r="G525" s="15" t="s">
        <v>23</v>
      </c>
      <c r="H525" s="15" t="s">
        <v>1525</v>
      </c>
      <c r="I525" s="15">
        <v>201412</v>
      </c>
      <c r="J525" s="16">
        <v>3203.04</v>
      </c>
      <c r="K525" s="171">
        <f t="shared" si="35"/>
        <v>6</v>
      </c>
      <c r="L525" s="17">
        <v>1.4833299999999999E-3</v>
      </c>
      <c r="M525" s="16">
        <f t="shared" si="36"/>
        <v>28.51</v>
      </c>
      <c r="N525" s="16">
        <f t="shared" si="37"/>
        <v>57.01</v>
      </c>
      <c r="O525" s="14"/>
      <c r="P525" s="210" t="str">
        <f>VLOOKUP(C525,'WO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526" spans="1:16" ht="75" outlineLevel="2">
      <c r="A526" s="14" t="s">
        <v>54</v>
      </c>
      <c r="B526" s="15" t="s">
        <v>996</v>
      </c>
      <c r="C526" s="15" t="s">
        <v>997</v>
      </c>
      <c r="D526" s="14" t="s">
        <v>998</v>
      </c>
      <c r="E526" s="15" t="s">
        <v>27</v>
      </c>
      <c r="F526" s="14" t="s">
        <v>28</v>
      </c>
      <c r="G526" s="15" t="s">
        <v>23</v>
      </c>
      <c r="H526" s="15" t="s">
        <v>1525</v>
      </c>
      <c r="I526" s="15">
        <v>201412</v>
      </c>
      <c r="J526" s="16">
        <v>-628.98</v>
      </c>
      <c r="K526" s="171">
        <f t="shared" si="35"/>
        <v>6</v>
      </c>
      <c r="L526" s="17">
        <v>1.4833299999999999E-3</v>
      </c>
      <c r="M526" s="16">
        <f t="shared" si="36"/>
        <v>-5.6</v>
      </c>
      <c r="N526" s="16">
        <f t="shared" si="37"/>
        <v>-11.2</v>
      </c>
      <c r="O526" s="14"/>
      <c r="P526" s="210" t="str">
        <f>VLOOKUP(C526,'WO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row>
    <row r="527" spans="1:16" ht="75" outlineLevel="2">
      <c r="A527" s="14" t="s">
        <v>54</v>
      </c>
      <c r="B527" s="15" t="s">
        <v>1002</v>
      </c>
      <c r="C527" s="15" t="s">
        <v>1003</v>
      </c>
      <c r="D527" s="14" t="s">
        <v>1004</v>
      </c>
      <c r="E527" s="15" t="s">
        <v>216</v>
      </c>
      <c r="F527" s="14" t="s">
        <v>22</v>
      </c>
      <c r="G527" s="15" t="s">
        <v>23</v>
      </c>
      <c r="H527" s="15" t="s">
        <v>1525</v>
      </c>
      <c r="I527" s="15">
        <v>201412</v>
      </c>
      <c r="J527" s="16">
        <v>2460.33</v>
      </c>
      <c r="K527" s="171">
        <f t="shared" si="35"/>
        <v>6</v>
      </c>
      <c r="L527" s="17">
        <v>1.4833299999999999E-3</v>
      </c>
      <c r="M527" s="16">
        <f t="shared" si="36"/>
        <v>21.9</v>
      </c>
      <c r="N527" s="16">
        <f t="shared" si="37"/>
        <v>43.79</v>
      </c>
      <c r="O527" s="14"/>
      <c r="P527" s="210" t="str">
        <f>VLOOKUP(C527,'WO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528" spans="1:16" ht="45" outlineLevel="2">
      <c r="A528" s="14" t="s">
        <v>54</v>
      </c>
      <c r="B528" s="15" t="s">
        <v>1005</v>
      </c>
      <c r="C528" s="15" t="s">
        <v>1006</v>
      </c>
      <c r="D528" s="14" t="s">
        <v>1007</v>
      </c>
      <c r="E528" s="15" t="s">
        <v>141</v>
      </c>
      <c r="F528" s="14" t="s">
        <v>142</v>
      </c>
      <c r="G528" s="15" t="s">
        <v>23</v>
      </c>
      <c r="H528" s="15" t="s">
        <v>1525</v>
      </c>
      <c r="I528" s="15">
        <v>201412</v>
      </c>
      <c r="J528" s="16">
        <v>-2188.61</v>
      </c>
      <c r="K528" s="171">
        <f t="shared" si="35"/>
        <v>6</v>
      </c>
      <c r="L528" s="17">
        <v>1.4833299999999999E-3</v>
      </c>
      <c r="M528" s="16">
        <f t="shared" si="36"/>
        <v>-19.48</v>
      </c>
      <c r="N528" s="16">
        <f t="shared" si="37"/>
        <v>-38.96</v>
      </c>
      <c r="O528" s="14"/>
      <c r="P528" s="210" t="str">
        <f>VLOOKUP(C528,'WO Descriptions'!$A$5:$D$345,4)</f>
        <v>Approved by: Gary Williams on 09/08/2014,  AOR.  This job must be completed by Dec. 12, 2014.  Replace 65ft of 6in CI with 6in PE due to 29' of exposed pipe.  CI pipe was exposed from 6' NSCB TO 23' SSCB of 29th Street.  No services to tie over.</v>
      </c>
    </row>
    <row r="529" spans="1:16" ht="45" outlineLevel="2">
      <c r="A529" s="14" t="s">
        <v>54</v>
      </c>
      <c r="B529" s="15" t="s">
        <v>1008</v>
      </c>
      <c r="C529" s="15" t="s">
        <v>1009</v>
      </c>
      <c r="D529" s="14" t="s">
        <v>1010</v>
      </c>
      <c r="E529" s="15" t="s">
        <v>49</v>
      </c>
      <c r="F529" s="14" t="s">
        <v>22</v>
      </c>
      <c r="G529" s="15" t="s">
        <v>23</v>
      </c>
      <c r="H529" s="15" t="s">
        <v>1525</v>
      </c>
      <c r="I529" s="15">
        <v>201412</v>
      </c>
      <c r="J529" s="16">
        <v>2556.02</v>
      </c>
      <c r="K529" s="171">
        <f t="shared" si="35"/>
        <v>6</v>
      </c>
      <c r="L529" s="17">
        <v>1.4833299999999999E-3</v>
      </c>
      <c r="M529" s="16">
        <f t="shared" si="36"/>
        <v>22.75</v>
      </c>
      <c r="N529" s="16">
        <f t="shared" si="37"/>
        <v>45.5</v>
      </c>
      <c r="O529" s="14"/>
      <c r="P529" s="210" t="str">
        <f>VLOOKUP(C529,'WO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530" spans="1:16" ht="45" outlineLevel="2">
      <c r="A530" s="14" t="s">
        <v>54</v>
      </c>
      <c r="B530" s="15" t="s">
        <v>1014</v>
      </c>
      <c r="C530" s="15" t="s">
        <v>1015</v>
      </c>
      <c r="D530" s="14" t="s">
        <v>1016</v>
      </c>
      <c r="E530" s="15" t="s">
        <v>296</v>
      </c>
      <c r="F530" s="14" t="s">
        <v>28</v>
      </c>
      <c r="G530" s="15" t="s">
        <v>23</v>
      </c>
      <c r="H530" s="15" t="s">
        <v>1525</v>
      </c>
      <c r="I530" s="15">
        <v>201412</v>
      </c>
      <c r="J530" s="16">
        <v>133.1</v>
      </c>
      <c r="K530" s="171">
        <f t="shared" si="35"/>
        <v>6</v>
      </c>
      <c r="L530" s="17">
        <v>1.4833299999999999E-3</v>
      </c>
      <c r="M530" s="16">
        <f t="shared" si="36"/>
        <v>1.18</v>
      </c>
      <c r="N530" s="16">
        <f t="shared" si="37"/>
        <v>2.37</v>
      </c>
      <c r="O530" s="14"/>
      <c r="P530" s="210" t="str">
        <f>VLOOKUP(C530,'WO Descriptions'!$A$5:$D$345,4)</f>
        <v>Approved by: Galen Shoemaker on 09/15/2014,  Lower 167' - 2" PE main (WO#: 92-6050) due to construction over shallow main. Project Location: Doughboy Dr North of 32nd St; Pressure System: C-1; MOP: 58 psig; MAOP: 58 psig; Design: 58 psig; Test: 100 psig; $34.34/ft</v>
      </c>
    </row>
    <row r="531" spans="1:16" ht="45" outlineLevel="2">
      <c r="A531" s="14" t="s">
        <v>54</v>
      </c>
      <c r="B531" s="15" t="s">
        <v>1017</v>
      </c>
      <c r="C531" s="15" t="s">
        <v>1018</v>
      </c>
      <c r="D531" s="14" t="s">
        <v>1019</v>
      </c>
      <c r="E531" s="15" t="s">
        <v>1020</v>
      </c>
      <c r="F531" s="14" t="s">
        <v>22</v>
      </c>
      <c r="G531" s="15" t="s">
        <v>23</v>
      </c>
      <c r="H531" s="15" t="s">
        <v>1525</v>
      </c>
      <c r="I531" s="15">
        <v>201412</v>
      </c>
      <c r="J531" s="16">
        <v>2679.48</v>
      </c>
      <c r="K531" s="171">
        <f t="shared" si="35"/>
        <v>6</v>
      </c>
      <c r="L531" s="17">
        <v>1.4833299999999999E-3</v>
      </c>
      <c r="M531" s="16">
        <f t="shared" si="36"/>
        <v>23.85</v>
      </c>
      <c r="N531" s="16">
        <f t="shared" si="37"/>
        <v>47.69</v>
      </c>
      <c r="O531" s="14"/>
      <c r="P531" s="210" t="str">
        <f>VLOOKUP(C531,'WO Descriptions'!$A$5:$D$345,4)</f>
        <v>Approved by: Galen Shoemaker on 09/18/2014,  Lay 479ft of 2in Plastic Main to replace 391ft of 2in PBS from WO JO10B and 86ft of 2in CS from WO 66-7352 and 2'-2" PE from 82-0762. MOP=20# MAOP=20# TEST=100# SYSTEM=S-1</v>
      </c>
    </row>
    <row r="532" spans="1:16" ht="75" outlineLevel="2">
      <c r="A532" s="14" t="s">
        <v>54</v>
      </c>
      <c r="B532" s="15" t="s">
        <v>1069</v>
      </c>
      <c r="C532" s="15" t="s">
        <v>1070</v>
      </c>
      <c r="D532" s="14" t="s">
        <v>1071</v>
      </c>
      <c r="E532" s="15" t="s">
        <v>296</v>
      </c>
      <c r="F532" s="14" t="s">
        <v>28</v>
      </c>
      <c r="G532" s="15" t="s">
        <v>23</v>
      </c>
      <c r="H532" s="15" t="s">
        <v>1525</v>
      </c>
      <c r="I532" s="15">
        <v>201412</v>
      </c>
      <c r="J532" s="16">
        <v>-310.58999999999997</v>
      </c>
      <c r="K532" s="171">
        <f t="shared" si="35"/>
        <v>6</v>
      </c>
      <c r="L532" s="17">
        <v>1.4833299999999999E-3</v>
      </c>
      <c r="M532" s="16">
        <f t="shared" si="36"/>
        <v>-2.76</v>
      </c>
      <c r="N532" s="16">
        <f t="shared" si="37"/>
        <v>-5.53</v>
      </c>
      <c r="O532" s="14"/>
      <c r="P532" s="210" t="str">
        <f>VLOOKUP(C532,'WO Descriptions'!$A$5:$D$345,4)</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row>
    <row r="533" spans="1:16" ht="180" outlineLevel="2">
      <c r="A533" s="14" t="s">
        <v>54</v>
      </c>
      <c r="B533" s="15" t="s">
        <v>1072</v>
      </c>
      <c r="C533" s="15" t="s">
        <v>1073</v>
      </c>
      <c r="D533" s="14" t="s">
        <v>1074</v>
      </c>
      <c r="E533" s="15" t="s">
        <v>296</v>
      </c>
      <c r="F533" s="14" t="s">
        <v>28</v>
      </c>
      <c r="G533" s="15" t="s">
        <v>23</v>
      </c>
      <c r="H533" s="15" t="s">
        <v>1525</v>
      </c>
      <c r="I533" s="15">
        <v>201412</v>
      </c>
      <c r="J533" s="16">
        <v>24647.69</v>
      </c>
      <c r="K533" s="171">
        <f t="shared" ref="K533:K702" si="38">VLOOKUP(I533,$T$7:$U$15,2)</f>
        <v>6</v>
      </c>
      <c r="L533" s="17">
        <v>1.4833299999999999E-3</v>
      </c>
      <c r="M533" s="16">
        <f t="shared" ref="M533:M542" si="39">ROUND(J533*K533*L533,2)</f>
        <v>219.36</v>
      </c>
      <c r="N533" s="16">
        <f t="shared" ref="N533:N542" si="40">ROUND(J533*L533*12,2)</f>
        <v>438.73</v>
      </c>
      <c r="O533" s="14"/>
      <c r="P533" s="210" t="str">
        <f>VLOOKUP(C533,'WO Descriptions'!$A$5:$D$345,4)</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row>
    <row r="534" spans="1:16" ht="45" outlineLevel="2">
      <c r="A534" s="14" t="s">
        <v>54</v>
      </c>
      <c r="B534" s="15" t="s">
        <v>1075</v>
      </c>
      <c r="C534" s="15" t="s">
        <v>1076</v>
      </c>
      <c r="D534" s="14" t="s">
        <v>1077</v>
      </c>
      <c r="E534" s="15" t="s">
        <v>62</v>
      </c>
      <c r="F534" s="14" t="s">
        <v>22</v>
      </c>
      <c r="G534" s="15" t="s">
        <v>23</v>
      </c>
      <c r="H534" s="15" t="s">
        <v>1525</v>
      </c>
      <c r="I534" s="15">
        <v>201412</v>
      </c>
      <c r="J534" s="16">
        <v>25101.279999999999</v>
      </c>
      <c r="K534" s="171">
        <f t="shared" si="38"/>
        <v>6</v>
      </c>
      <c r="L534" s="17">
        <v>1.4833299999999999E-3</v>
      </c>
      <c r="M534" s="16">
        <f t="shared" si="39"/>
        <v>223.4</v>
      </c>
      <c r="N534" s="16">
        <f t="shared" si="40"/>
        <v>446.8</v>
      </c>
      <c r="O534" s="14"/>
      <c r="P534" s="210" t="str">
        <f>VLOOKUP(C534,'WO Descriptions'!$A$5:$D$345,4)</f>
        <v>Approved by: Ralph Janes on 09/23/2014,  Replace and Abandon 164'- 4"PCS (692513), 62' - 4"PBS (28302), 527' - 4" PBS (Unknown) 31' - 4" PCS (691388) and 58' - 4"PCS (732376). Main currently runs in an easement between 5th and 6th St. and W of Miller St. (ISRS)</v>
      </c>
    </row>
    <row r="535" spans="1:16" ht="45" outlineLevel="2">
      <c r="A535" s="14" t="s">
        <v>54</v>
      </c>
      <c r="B535" s="15" t="s">
        <v>1021</v>
      </c>
      <c r="C535" s="15" t="s">
        <v>1022</v>
      </c>
      <c r="D535" s="14" t="s">
        <v>1023</v>
      </c>
      <c r="E535" s="15" t="s">
        <v>108</v>
      </c>
      <c r="F535" s="14" t="s">
        <v>28</v>
      </c>
      <c r="G535" s="15" t="s">
        <v>23</v>
      </c>
      <c r="H535" s="15" t="s">
        <v>1525</v>
      </c>
      <c r="I535" s="15">
        <v>201412</v>
      </c>
      <c r="J535" s="16">
        <v>-22.55</v>
      </c>
      <c r="K535" s="171">
        <f t="shared" si="38"/>
        <v>6</v>
      </c>
      <c r="L535" s="17">
        <v>1.4833299999999999E-3</v>
      </c>
      <c r="M535" s="16">
        <f t="shared" si="39"/>
        <v>-0.2</v>
      </c>
      <c r="N535" s="16">
        <f t="shared" si="40"/>
        <v>-0.4</v>
      </c>
      <c r="O535" s="14"/>
      <c r="P535" s="210" t="str">
        <f>VLOOKUP(C535,'WO Descriptions'!$A$5:$D$345,4)</f>
        <v>Approved by: Kevin Driskell on 09/24/2014,  Abandoned 3' of 2'' PE. Installed 8' of 2'' PE due to third party damage. When work was done pressure system was C-002 (1psig). As of 9/16/2014 pressure system C-002 (33psig).</v>
      </c>
    </row>
    <row r="536" spans="1:16" ht="45" outlineLevel="2">
      <c r="A536" s="14" t="s">
        <v>54</v>
      </c>
      <c r="B536" s="15" t="s">
        <v>1078</v>
      </c>
      <c r="C536" s="15" t="s">
        <v>1079</v>
      </c>
      <c r="D536" s="14" t="s">
        <v>1080</v>
      </c>
      <c r="E536" s="15" t="s">
        <v>62</v>
      </c>
      <c r="F536" s="14" t="s">
        <v>22</v>
      </c>
      <c r="G536" s="15" t="s">
        <v>23</v>
      </c>
      <c r="H536" s="15" t="s">
        <v>1525</v>
      </c>
      <c r="I536" s="15">
        <v>201412</v>
      </c>
      <c r="J536" s="16">
        <v>5227.7</v>
      </c>
      <c r="K536" s="171">
        <f t="shared" si="38"/>
        <v>6</v>
      </c>
      <c r="L536" s="17">
        <v>1.4833299999999999E-3</v>
      </c>
      <c r="M536" s="16">
        <f t="shared" si="39"/>
        <v>46.53</v>
      </c>
      <c r="N536" s="16">
        <f t="shared" si="40"/>
        <v>93.05</v>
      </c>
      <c r="O536" s="14"/>
      <c r="P536" s="210" t="str">
        <f>VLOOKUP(C536,'WO Descriptions'!$A$5:$D$345,4)</f>
        <v>Approved by: Ray Wilson on 10/01/2014,  Replace 95' - 6" PBS (WO# JO4528) with 111' of 6" PE main due to leakage. 120' of 6" checked out with 9' junked. Job worked by Holman crew 9/22-24. (ISRS)</v>
      </c>
    </row>
    <row r="537" spans="1:16" ht="45" outlineLevel="2">
      <c r="A537" s="14" t="s">
        <v>54</v>
      </c>
      <c r="B537" s="15" t="s">
        <v>1081</v>
      </c>
      <c r="C537" s="15" t="s">
        <v>1082</v>
      </c>
      <c r="D537" s="14" t="s">
        <v>1083</v>
      </c>
      <c r="E537" s="15" t="s">
        <v>141</v>
      </c>
      <c r="F537" s="14" t="s">
        <v>142</v>
      </c>
      <c r="G537" s="15" t="s">
        <v>23</v>
      </c>
      <c r="H537" s="15" t="s">
        <v>1525</v>
      </c>
      <c r="I537" s="15">
        <v>201412</v>
      </c>
      <c r="J537" s="16">
        <v>75631.14</v>
      </c>
      <c r="K537" s="171">
        <f t="shared" si="38"/>
        <v>6</v>
      </c>
      <c r="L537" s="17">
        <v>1.4833299999999999E-3</v>
      </c>
      <c r="M537" s="16">
        <f t="shared" si="39"/>
        <v>673.12</v>
      </c>
      <c r="N537" s="16">
        <f t="shared" si="40"/>
        <v>1346.23</v>
      </c>
      <c r="O537" s="14"/>
      <c r="P537" s="210" t="str">
        <f>VLOOKUP(C537,'WO Descriptions'!$A$5:$D$345,4)</f>
        <v>Approved by: Steve Holcomb on 09/29/2014,  ISRS Replace 6in CI with 2,430 ft of 4in PE due to cast iron breaks.  This job must be completed by Jan. 13, 2015.  Tie-over 18 services. Replace 5 services.</v>
      </c>
    </row>
    <row r="538" spans="1:16" ht="60" outlineLevel="2">
      <c r="A538" s="14" t="s">
        <v>54</v>
      </c>
      <c r="B538" s="15" t="s">
        <v>1084</v>
      </c>
      <c r="C538" s="15" t="s">
        <v>1085</v>
      </c>
      <c r="D538" s="14" t="s">
        <v>1086</v>
      </c>
      <c r="E538" s="15" t="s">
        <v>21</v>
      </c>
      <c r="F538" s="14" t="s">
        <v>22</v>
      </c>
      <c r="G538" s="15" t="s">
        <v>23</v>
      </c>
      <c r="H538" s="15" t="s">
        <v>1525</v>
      </c>
      <c r="I538" s="15">
        <v>201412</v>
      </c>
      <c r="J538" s="16">
        <v>36271.120000000003</v>
      </c>
      <c r="K538" s="171">
        <f t="shared" si="38"/>
        <v>6</v>
      </c>
      <c r="L538" s="17">
        <v>1.4833299999999999E-3</v>
      </c>
      <c r="M538" s="16">
        <f t="shared" si="39"/>
        <v>322.81</v>
      </c>
      <c r="N538" s="16">
        <f t="shared" si="40"/>
        <v>645.62</v>
      </c>
      <c r="O538" s="14"/>
      <c r="P538" s="210" t="str">
        <f>VLOOKUP(C538,'WO Descriptions'!$A$5:$D$345,4)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539" spans="1:16" ht="30" outlineLevel="2">
      <c r="A539" s="14" t="s">
        <v>54</v>
      </c>
      <c r="B539" s="15" t="s">
        <v>1087</v>
      </c>
      <c r="C539" s="15" t="s">
        <v>1088</v>
      </c>
      <c r="D539" s="14" t="s">
        <v>1089</v>
      </c>
      <c r="E539" s="15" t="s">
        <v>1020</v>
      </c>
      <c r="F539" s="14" t="s">
        <v>22</v>
      </c>
      <c r="G539" s="15" t="s">
        <v>23</v>
      </c>
      <c r="H539" s="15" t="s">
        <v>1525</v>
      </c>
      <c r="I539" s="15">
        <v>201412</v>
      </c>
      <c r="J539" s="16">
        <v>6257.37</v>
      </c>
      <c r="K539" s="171">
        <f t="shared" si="38"/>
        <v>6</v>
      </c>
      <c r="L539" s="17">
        <v>1.4833299999999999E-3</v>
      </c>
      <c r="M539" s="16">
        <f t="shared" si="39"/>
        <v>55.69</v>
      </c>
      <c r="N539" s="16">
        <f t="shared" si="40"/>
        <v>111.38</v>
      </c>
      <c r="O539" s="14"/>
      <c r="P539" s="210" t="str">
        <f>VLOOKUP(C539,'WO Descriptions'!$A$5:$D$345,4)</f>
        <v>Approved by: Galen Shoemaker on 10/09/2014,  Lay 180ft 2in Plastic Main to replace 177ft of 2in Protected Bare Steel from WO 21411. MOP=40# MAOP=44# TEST=100# SYSTEM=C-1</v>
      </c>
    </row>
    <row r="540" spans="1:16" ht="60" outlineLevel="2">
      <c r="A540" s="14" t="s">
        <v>54</v>
      </c>
      <c r="B540" s="15" t="s">
        <v>1090</v>
      </c>
      <c r="C540" s="15" t="s">
        <v>1091</v>
      </c>
      <c r="D540" s="14" t="s">
        <v>1092</v>
      </c>
      <c r="E540" s="15" t="s">
        <v>216</v>
      </c>
      <c r="F540" s="14" t="s">
        <v>22</v>
      </c>
      <c r="G540" s="15" t="s">
        <v>23</v>
      </c>
      <c r="H540" s="15" t="s">
        <v>1525</v>
      </c>
      <c r="I540" s="15">
        <v>201412</v>
      </c>
      <c r="J540" s="16">
        <v>11632.66</v>
      </c>
      <c r="K540" s="171">
        <f t="shared" si="38"/>
        <v>6</v>
      </c>
      <c r="L540" s="17">
        <v>1.4833299999999999E-3</v>
      </c>
      <c r="M540" s="16">
        <f t="shared" si="39"/>
        <v>103.53</v>
      </c>
      <c r="N540" s="16">
        <f t="shared" si="40"/>
        <v>207.06</v>
      </c>
      <c r="O540" s="14"/>
      <c r="P540" s="210" t="str">
        <f>VLOOKUP(C540,'WO Descriptions'!$A$5:$D$345,4)</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row>
    <row r="541" spans="1:16" ht="30" outlineLevel="2">
      <c r="A541" s="14" t="s">
        <v>54</v>
      </c>
      <c r="B541" s="15" t="s">
        <v>1093</v>
      </c>
      <c r="C541" s="15" t="s">
        <v>1094</v>
      </c>
      <c r="D541" s="14" t="s">
        <v>1095</v>
      </c>
      <c r="E541" s="15" t="s">
        <v>27</v>
      </c>
      <c r="F541" s="14" t="s">
        <v>28</v>
      </c>
      <c r="G541" s="15" t="s">
        <v>23</v>
      </c>
      <c r="H541" s="15" t="s">
        <v>1525</v>
      </c>
      <c r="I541" s="15">
        <v>201412</v>
      </c>
      <c r="J541" s="16">
        <v>134.33000000000001</v>
      </c>
      <c r="K541" s="171">
        <f t="shared" si="38"/>
        <v>6</v>
      </c>
      <c r="L541" s="17">
        <v>1.4833299999999999E-3</v>
      </c>
      <c r="M541" s="16">
        <f t="shared" si="39"/>
        <v>1.2</v>
      </c>
      <c r="N541" s="16">
        <f t="shared" si="40"/>
        <v>2.39</v>
      </c>
      <c r="O541" s="14"/>
      <c r="P541" s="210" t="str">
        <f>VLOOKUP(C541,'WO Descriptions'!$A$5:$D$345,4)</f>
        <v>Approved by: Gary Williams on 11/03/2014,  Replace 60' of 2"plastic main due to third party damage.Installed 60' of 2"PE.</v>
      </c>
    </row>
    <row r="542" spans="1:16" ht="45" outlineLevel="2">
      <c r="A542" s="14" t="s">
        <v>54</v>
      </c>
      <c r="B542" s="15" t="s">
        <v>1096</v>
      </c>
      <c r="C542" s="15" t="s">
        <v>1097</v>
      </c>
      <c r="D542" s="14" t="s">
        <v>1098</v>
      </c>
      <c r="E542" s="15" t="s">
        <v>462</v>
      </c>
      <c r="F542" s="14" t="s">
        <v>142</v>
      </c>
      <c r="G542" s="15" t="s">
        <v>23</v>
      </c>
      <c r="H542" s="15" t="s">
        <v>1525</v>
      </c>
      <c r="I542" s="15">
        <v>201412</v>
      </c>
      <c r="J542" s="16">
        <v>16814.27</v>
      </c>
      <c r="K542" s="171">
        <f t="shared" si="38"/>
        <v>6</v>
      </c>
      <c r="L542" s="17">
        <v>1.4833299999999999E-3</v>
      </c>
      <c r="M542" s="16">
        <f t="shared" si="39"/>
        <v>149.65</v>
      </c>
      <c r="N542" s="16">
        <f t="shared" si="40"/>
        <v>299.29000000000002</v>
      </c>
      <c r="O542" s="14"/>
      <c r="P542" s="210" t="str">
        <f>VLOOKUP(C542,'WO Descriptions'!$A$5:$D$384,4)</f>
        <v>Approved by: Kevin Driskell on 11/06/2014,  Replace a total of 80' of 2'' PCS (57' WO- A5579D and 23' WO- 761745) with 2'' PCS due to leaks. Make sure to bottle the old tap on the 12'' PCS. Pressure system C-039 MOP 135psig. Pressure test at 230psig.</v>
      </c>
    </row>
    <row r="543" spans="1:16" ht="120" outlineLevel="2">
      <c r="A543" s="223" t="s">
        <v>54</v>
      </c>
      <c r="B543" s="250" t="s">
        <v>55</v>
      </c>
      <c r="C543" s="250" t="s">
        <v>56</v>
      </c>
      <c r="D543" s="223" t="s">
        <v>57</v>
      </c>
      <c r="E543" s="250" t="s">
        <v>58</v>
      </c>
      <c r="F543" s="223" t="s">
        <v>22</v>
      </c>
      <c r="G543" s="250" t="s">
        <v>23</v>
      </c>
      <c r="H543" s="250" t="s">
        <v>1525</v>
      </c>
      <c r="I543" s="250">
        <v>201501</v>
      </c>
      <c r="J543" s="251">
        <v>-87.81</v>
      </c>
      <c r="K543" s="171">
        <f t="shared" si="38"/>
        <v>5</v>
      </c>
      <c r="L543" s="253">
        <v>1.4833299999999999E-3</v>
      </c>
      <c r="M543" s="251">
        <f t="shared" ref="M543:M574" si="41">ROUND(J543*K543*L543,2)</f>
        <v>-0.65</v>
      </c>
      <c r="N543" s="251">
        <f t="shared" ref="N543:N574" si="42">ROUND(J543*L543*12,2)</f>
        <v>-1.56</v>
      </c>
      <c r="O543" s="223"/>
      <c r="P543" s="210" t="str">
        <f>VLOOKUP(C543,'WO Descriptions'!$A$5:$D$384,4)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row>
    <row r="544" spans="1:16" ht="105" outlineLevel="2">
      <c r="A544" s="223" t="s">
        <v>54</v>
      </c>
      <c r="B544" s="250" t="s">
        <v>146</v>
      </c>
      <c r="C544" s="250" t="s">
        <v>147</v>
      </c>
      <c r="D544" s="223" t="s">
        <v>148</v>
      </c>
      <c r="E544" s="250" t="s">
        <v>62</v>
      </c>
      <c r="F544" s="223" t="s">
        <v>22</v>
      </c>
      <c r="G544" s="250" t="s">
        <v>23</v>
      </c>
      <c r="H544" s="250" t="s">
        <v>1525</v>
      </c>
      <c r="I544" s="250">
        <v>201501</v>
      </c>
      <c r="J544" s="251">
        <v>1145.8699999999999</v>
      </c>
      <c r="K544" s="171">
        <f t="shared" si="38"/>
        <v>5</v>
      </c>
      <c r="L544" s="253">
        <v>1.4833299999999999E-3</v>
      </c>
      <c r="M544" s="251">
        <f t="shared" si="41"/>
        <v>8.5</v>
      </c>
      <c r="N544" s="251">
        <f t="shared" si="42"/>
        <v>20.399999999999999</v>
      </c>
      <c r="O544" s="223"/>
      <c r="P544" s="210" t="str">
        <f>VLOOKUP(C544,'WO Descriptions'!$A$5:$D$384,4)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545" spans="1:16" ht="90" outlineLevel="2">
      <c r="A545" s="223" t="s">
        <v>17</v>
      </c>
      <c r="B545" s="250" t="s">
        <v>1024</v>
      </c>
      <c r="C545" s="250" t="s">
        <v>1025</v>
      </c>
      <c r="D545" s="223" t="s">
        <v>1026</v>
      </c>
      <c r="E545" s="250" t="s">
        <v>216</v>
      </c>
      <c r="F545" s="223" t="s">
        <v>22</v>
      </c>
      <c r="G545" s="250" t="s">
        <v>23</v>
      </c>
      <c r="H545" s="250" t="s">
        <v>1525</v>
      </c>
      <c r="I545" s="250">
        <v>201501</v>
      </c>
      <c r="J545" s="251">
        <v>87.89</v>
      </c>
      <c r="K545" s="171">
        <f t="shared" si="38"/>
        <v>5</v>
      </c>
      <c r="L545" s="253">
        <v>1.4833299999999999E-3</v>
      </c>
      <c r="M545" s="251">
        <f t="shared" si="41"/>
        <v>0.65</v>
      </c>
      <c r="N545" s="251">
        <f t="shared" si="42"/>
        <v>1.56</v>
      </c>
      <c r="O545" s="223"/>
      <c r="P545" s="210" t="str">
        <f>VLOOKUP(C545,'WO Descriptions'!$A$5:$D$384,4)</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row>
    <row r="546" spans="1:16" ht="75" outlineLevel="2">
      <c r="A546" s="223" t="s">
        <v>54</v>
      </c>
      <c r="B546" s="250" t="s">
        <v>309</v>
      </c>
      <c r="C546" s="250" t="s">
        <v>310</v>
      </c>
      <c r="D546" s="223" t="s">
        <v>311</v>
      </c>
      <c r="E546" s="250" t="s">
        <v>216</v>
      </c>
      <c r="F546" s="223" t="s">
        <v>22</v>
      </c>
      <c r="G546" s="250" t="s">
        <v>23</v>
      </c>
      <c r="H546" s="250" t="s">
        <v>1525</v>
      </c>
      <c r="I546" s="250">
        <v>201501</v>
      </c>
      <c r="J546" s="251">
        <v>-55.84</v>
      </c>
      <c r="K546" s="171">
        <f t="shared" si="38"/>
        <v>5</v>
      </c>
      <c r="L546" s="253">
        <v>1.4833299999999999E-3</v>
      </c>
      <c r="M546" s="251">
        <f t="shared" si="41"/>
        <v>-0.41</v>
      </c>
      <c r="N546" s="251">
        <f t="shared" si="42"/>
        <v>-0.99</v>
      </c>
      <c r="O546" s="223"/>
      <c r="P546" s="210" t="str">
        <f>VLOOKUP(C546,'WO Descriptions'!$A$5:$D$384,4)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547" spans="1:16" ht="105" outlineLevel="2">
      <c r="A547" s="223" t="s">
        <v>17</v>
      </c>
      <c r="B547" s="250" t="s">
        <v>347</v>
      </c>
      <c r="C547" s="250" t="s">
        <v>348</v>
      </c>
      <c r="D547" s="223" t="s">
        <v>349</v>
      </c>
      <c r="E547" s="250" t="s">
        <v>324</v>
      </c>
      <c r="F547" s="223" t="s">
        <v>325</v>
      </c>
      <c r="G547" s="250" t="s">
        <v>23</v>
      </c>
      <c r="H547" s="250" t="s">
        <v>1525</v>
      </c>
      <c r="I547" s="250">
        <v>201501</v>
      </c>
      <c r="J547" s="251">
        <v>138.51</v>
      </c>
      <c r="K547" s="171">
        <f t="shared" si="38"/>
        <v>5</v>
      </c>
      <c r="L547" s="253">
        <v>1.4833299999999999E-3</v>
      </c>
      <c r="M547" s="251">
        <f t="shared" si="41"/>
        <v>1.03</v>
      </c>
      <c r="N547" s="251">
        <f t="shared" si="42"/>
        <v>2.4700000000000002</v>
      </c>
      <c r="O547" s="223"/>
      <c r="P547" s="210" t="str">
        <f>VLOOKUP(C547,'WO Descriptions'!$A$5:$D$384,4)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548" spans="1:16" ht="75" outlineLevel="2">
      <c r="A548" s="223" t="s">
        <v>54</v>
      </c>
      <c r="B548" s="250" t="s">
        <v>419</v>
      </c>
      <c r="C548" s="250" t="s">
        <v>420</v>
      </c>
      <c r="D548" s="223" t="s">
        <v>421</v>
      </c>
      <c r="E548" s="250" t="s">
        <v>32</v>
      </c>
      <c r="F548" s="223" t="s">
        <v>22</v>
      </c>
      <c r="G548" s="250" t="s">
        <v>23</v>
      </c>
      <c r="H548" s="250" t="s">
        <v>1525</v>
      </c>
      <c r="I548" s="250">
        <v>201501</v>
      </c>
      <c r="J548" s="251">
        <v>-0.52</v>
      </c>
      <c r="K548" s="171">
        <f t="shared" si="38"/>
        <v>5</v>
      </c>
      <c r="L548" s="253">
        <v>1.4833299999999999E-3</v>
      </c>
      <c r="M548" s="251">
        <f t="shared" si="41"/>
        <v>0</v>
      </c>
      <c r="N548" s="251">
        <f t="shared" si="42"/>
        <v>-0.01</v>
      </c>
      <c r="O548" s="223"/>
      <c r="P548" s="210" t="str">
        <f>VLOOKUP(C548,'WO Descriptions'!$A$5:$D$384,4)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549" spans="1:16" ht="150" outlineLevel="2">
      <c r="A549" s="223" t="s">
        <v>54</v>
      </c>
      <c r="B549" s="250" t="s">
        <v>441</v>
      </c>
      <c r="C549" s="250" t="s">
        <v>442</v>
      </c>
      <c r="D549" s="223" t="s">
        <v>443</v>
      </c>
      <c r="E549" s="250" t="s">
        <v>141</v>
      </c>
      <c r="F549" s="223" t="s">
        <v>142</v>
      </c>
      <c r="G549" s="250" t="s">
        <v>23</v>
      </c>
      <c r="H549" s="250" t="s">
        <v>1525</v>
      </c>
      <c r="I549" s="250">
        <v>201501</v>
      </c>
      <c r="J549" s="251">
        <v>-9550.68</v>
      </c>
      <c r="K549" s="171">
        <f t="shared" si="38"/>
        <v>5</v>
      </c>
      <c r="L549" s="253">
        <v>1.4833299999999999E-3</v>
      </c>
      <c r="M549" s="251">
        <f t="shared" si="41"/>
        <v>-70.83</v>
      </c>
      <c r="N549" s="251">
        <f t="shared" si="42"/>
        <v>-170</v>
      </c>
      <c r="O549" s="223"/>
      <c r="P549" s="210" t="str">
        <f>VLOOKUP(C549,'WO Descriptions'!$A$5:$D$384,4)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550" spans="1:16" ht="75" outlineLevel="2">
      <c r="A550" s="223" t="s">
        <v>54</v>
      </c>
      <c r="B550" s="250" t="s">
        <v>453</v>
      </c>
      <c r="C550" s="250" t="s">
        <v>454</v>
      </c>
      <c r="D550" s="223" t="s">
        <v>455</v>
      </c>
      <c r="E550" s="250" t="s">
        <v>62</v>
      </c>
      <c r="F550" s="223" t="s">
        <v>22</v>
      </c>
      <c r="G550" s="250" t="s">
        <v>23</v>
      </c>
      <c r="H550" s="250" t="s">
        <v>1525</v>
      </c>
      <c r="I550" s="250">
        <v>201501</v>
      </c>
      <c r="J550" s="251">
        <v>-4.4000000000000004</v>
      </c>
      <c r="K550" s="171">
        <f t="shared" si="38"/>
        <v>5</v>
      </c>
      <c r="L550" s="253">
        <v>1.4833299999999999E-3</v>
      </c>
      <c r="M550" s="251">
        <f t="shared" si="41"/>
        <v>-0.03</v>
      </c>
      <c r="N550" s="251">
        <f t="shared" si="42"/>
        <v>-0.08</v>
      </c>
      <c r="O550" s="223"/>
      <c r="P550" s="210" t="str">
        <f>VLOOKUP(C550,'WO Descriptions'!$A$5:$D$384,4)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551" spans="1:16" ht="45" outlineLevel="2">
      <c r="A551" s="223" t="s">
        <v>17</v>
      </c>
      <c r="B551" s="250" t="s">
        <v>480</v>
      </c>
      <c r="C551" s="250" t="s">
        <v>481</v>
      </c>
      <c r="D551" s="223" t="s">
        <v>482</v>
      </c>
      <c r="E551" s="250" t="s">
        <v>141</v>
      </c>
      <c r="F551" s="223" t="s">
        <v>142</v>
      </c>
      <c r="G551" s="250" t="s">
        <v>23</v>
      </c>
      <c r="H551" s="250" t="s">
        <v>1525</v>
      </c>
      <c r="I551" s="250">
        <v>201501</v>
      </c>
      <c r="J551" s="251">
        <v>-10.74</v>
      </c>
      <c r="K551" s="171">
        <f t="shared" si="38"/>
        <v>5</v>
      </c>
      <c r="L551" s="253">
        <v>1.4833299999999999E-3</v>
      </c>
      <c r="M551" s="251">
        <f t="shared" si="41"/>
        <v>-0.08</v>
      </c>
      <c r="N551" s="251">
        <f t="shared" si="42"/>
        <v>-0.19</v>
      </c>
      <c r="O551" s="223"/>
      <c r="P551" s="210" t="str">
        <f>VLOOKUP(C551,'WO Descriptions'!$A$5:$D$384,4)</f>
        <v>Approved by: Gary Williams on 12/02/2013,  AOR.  Replace 40'-6in CI with 6in PE.  13' of CI was exposed at 2551 Chelsea.  Tie-over two services and replace one service (2553 Chelsea).Retire 35'-6in CI, B30P88; 5'-6in CI, B18P103.</v>
      </c>
    </row>
    <row r="552" spans="1:16" ht="30" outlineLevel="2">
      <c r="A552" s="223" t="s">
        <v>54</v>
      </c>
      <c r="B552" s="250" t="s">
        <v>543</v>
      </c>
      <c r="C552" s="250" t="s">
        <v>544</v>
      </c>
      <c r="D552" s="223" t="s">
        <v>545</v>
      </c>
      <c r="E552" s="250" t="s">
        <v>62</v>
      </c>
      <c r="F552" s="223" t="s">
        <v>22</v>
      </c>
      <c r="G552" s="250" t="s">
        <v>23</v>
      </c>
      <c r="H552" s="250" t="s">
        <v>1525</v>
      </c>
      <c r="I552" s="250">
        <v>201501</v>
      </c>
      <c r="J552" s="251">
        <v>3264.89</v>
      </c>
      <c r="K552" s="171">
        <f t="shared" si="38"/>
        <v>5</v>
      </c>
      <c r="L552" s="253">
        <v>1.4833299999999999E-3</v>
      </c>
      <c r="M552" s="251">
        <f t="shared" si="41"/>
        <v>24.21</v>
      </c>
      <c r="N552" s="251">
        <f t="shared" si="42"/>
        <v>58.11</v>
      </c>
      <c r="O552" s="223"/>
      <c r="P552" s="210" t="str">
        <f>VLOOKUP(C552,'WO Descriptions'!$A$5:$D$384,4)</f>
        <v>Approved by: Ralph Janes on 03/11/2014,  Replace and abandon 732' - 2" pbs main (Unknown) by installing 730' - 2" pe main due to leakage under pavement. (ISRS)</v>
      </c>
    </row>
    <row r="553" spans="1:16" ht="90" outlineLevel="2">
      <c r="A553" s="223" t="s">
        <v>17</v>
      </c>
      <c r="B553" s="250" t="s">
        <v>552</v>
      </c>
      <c r="C553" s="250" t="s">
        <v>553</v>
      </c>
      <c r="D553" s="223" t="s">
        <v>554</v>
      </c>
      <c r="E553" s="250" t="s">
        <v>62</v>
      </c>
      <c r="F553" s="223" t="s">
        <v>22</v>
      </c>
      <c r="G553" s="250" t="s">
        <v>23</v>
      </c>
      <c r="H553" s="250" t="s">
        <v>1525</v>
      </c>
      <c r="I553" s="250">
        <v>201501</v>
      </c>
      <c r="J553" s="251">
        <v>-1070.2</v>
      </c>
      <c r="K553" s="171">
        <f t="shared" si="38"/>
        <v>5</v>
      </c>
      <c r="L553" s="253">
        <v>1.4833299999999999E-3</v>
      </c>
      <c r="M553" s="251">
        <f t="shared" si="41"/>
        <v>-7.94</v>
      </c>
      <c r="N553" s="251">
        <f t="shared" si="42"/>
        <v>-19.05</v>
      </c>
      <c r="O553" s="223"/>
      <c r="P553" s="210" t="str">
        <f>VLOOKUP(C553,'WO Descriptions'!$A$5:$D$384,4)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554" spans="1:16" ht="135" outlineLevel="2">
      <c r="A554" s="223" t="s">
        <v>17</v>
      </c>
      <c r="B554" s="250" t="s">
        <v>611</v>
      </c>
      <c r="C554" s="250" t="s">
        <v>612</v>
      </c>
      <c r="D554" s="223" t="s">
        <v>613</v>
      </c>
      <c r="E554" s="250" t="s">
        <v>324</v>
      </c>
      <c r="F554" s="223" t="s">
        <v>325</v>
      </c>
      <c r="G554" s="250" t="s">
        <v>23</v>
      </c>
      <c r="H554" s="250" t="s">
        <v>1525</v>
      </c>
      <c r="I554" s="250">
        <v>201501</v>
      </c>
      <c r="J554" s="251">
        <v>-2038.46</v>
      </c>
      <c r="K554" s="171">
        <f t="shared" si="38"/>
        <v>5</v>
      </c>
      <c r="L554" s="253">
        <v>1.4833299999999999E-3</v>
      </c>
      <c r="M554" s="251">
        <f t="shared" si="41"/>
        <v>-15.12</v>
      </c>
      <c r="N554" s="251">
        <f t="shared" si="42"/>
        <v>-36.28</v>
      </c>
      <c r="O554" s="223"/>
      <c r="P554" s="210" t="str">
        <f>VLOOKUP(C554,'WO Descriptions'!$A$5:$D$384,4)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555" spans="1:16" ht="75" outlineLevel="2">
      <c r="A555" s="223" t="s">
        <v>17</v>
      </c>
      <c r="B555" s="250" t="s">
        <v>646</v>
      </c>
      <c r="C555" s="250" t="s">
        <v>647</v>
      </c>
      <c r="D555" s="223" t="s">
        <v>648</v>
      </c>
      <c r="E555" s="250" t="s">
        <v>176</v>
      </c>
      <c r="F555" s="223" t="s">
        <v>28</v>
      </c>
      <c r="G555" s="250" t="s">
        <v>23</v>
      </c>
      <c r="H555" s="250" t="s">
        <v>1525</v>
      </c>
      <c r="I555" s="250">
        <v>201501</v>
      </c>
      <c r="J555" s="251">
        <v>0.05</v>
      </c>
      <c r="K555" s="171">
        <f t="shared" si="38"/>
        <v>5</v>
      </c>
      <c r="L555" s="253">
        <v>1.4833299999999999E-3</v>
      </c>
      <c r="M555" s="251">
        <f t="shared" si="41"/>
        <v>0</v>
      </c>
      <c r="N555" s="251">
        <f t="shared" si="42"/>
        <v>0</v>
      </c>
      <c r="O555" s="223"/>
      <c r="P555" s="210" t="str">
        <f>VLOOKUP(C555,'WO Descriptions'!$A$5:$D$384,4)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556" spans="1:16" ht="105" outlineLevel="2">
      <c r="A556" s="223" t="s">
        <v>17</v>
      </c>
      <c r="B556" s="250" t="s">
        <v>704</v>
      </c>
      <c r="C556" s="250" t="s">
        <v>705</v>
      </c>
      <c r="D556" s="223" t="s">
        <v>706</v>
      </c>
      <c r="E556" s="250" t="s">
        <v>58</v>
      </c>
      <c r="F556" s="223" t="s">
        <v>22</v>
      </c>
      <c r="G556" s="250" t="s">
        <v>23</v>
      </c>
      <c r="H556" s="250" t="s">
        <v>1525</v>
      </c>
      <c r="I556" s="250">
        <v>201501</v>
      </c>
      <c r="J556" s="251">
        <v>1635.5</v>
      </c>
      <c r="K556" s="171">
        <f t="shared" si="38"/>
        <v>5</v>
      </c>
      <c r="L556" s="253">
        <v>1.4833299999999999E-3</v>
      </c>
      <c r="M556" s="251">
        <f t="shared" si="41"/>
        <v>12.13</v>
      </c>
      <c r="N556" s="251">
        <f t="shared" si="42"/>
        <v>29.11</v>
      </c>
      <c r="O556" s="223"/>
      <c r="P556" s="210" t="str">
        <f>VLOOKUP(C556,'WO Descriptions'!$A$5:$D$384,4)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57" spans="1:16" ht="90" outlineLevel="2">
      <c r="A557" s="223" t="s">
        <v>17</v>
      </c>
      <c r="B557" s="250" t="s">
        <v>1033</v>
      </c>
      <c r="C557" s="250" t="s">
        <v>1034</v>
      </c>
      <c r="D557" s="223" t="s">
        <v>1035</v>
      </c>
      <c r="E557" s="250" t="s">
        <v>58</v>
      </c>
      <c r="F557" s="223" t="s">
        <v>22</v>
      </c>
      <c r="G557" s="250" t="s">
        <v>23</v>
      </c>
      <c r="H557" s="250" t="s">
        <v>1525</v>
      </c>
      <c r="I557" s="250">
        <v>201501</v>
      </c>
      <c r="J557" s="251">
        <v>62.58</v>
      </c>
      <c r="K557" s="171">
        <f t="shared" si="38"/>
        <v>5</v>
      </c>
      <c r="L557" s="253">
        <v>1.4833299999999999E-3</v>
      </c>
      <c r="M557" s="251">
        <f t="shared" si="41"/>
        <v>0.46</v>
      </c>
      <c r="N557" s="251">
        <f t="shared" si="42"/>
        <v>1.1100000000000001</v>
      </c>
      <c r="O557" s="223"/>
      <c r="P557" s="210" t="str">
        <f>VLOOKUP(C557,'WO Descriptions'!$A$5:$D$384,4)</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row>
    <row r="558" spans="1:16" ht="75" outlineLevel="2">
      <c r="A558" s="223" t="s">
        <v>17</v>
      </c>
      <c r="B558" s="250" t="s">
        <v>759</v>
      </c>
      <c r="C558" s="250" t="s">
        <v>760</v>
      </c>
      <c r="D558" s="223" t="s">
        <v>761</v>
      </c>
      <c r="E558" s="250" t="s">
        <v>62</v>
      </c>
      <c r="F558" s="223" t="s">
        <v>22</v>
      </c>
      <c r="G558" s="250" t="s">
        <v>23</v>
      </c>
      <c r="H558" s="250" t="s">
        <v>1525</v>
      </c>
      <c r="I558" s="250">
        <v>201501</v>
      </c>
      <c r="J558" s="251">
        <v>2472.9499999999998</v>
      </c>
      <c r="K558" s="171">
        <f t="shared" si="38"/>
        <v>5</v>
      </c>
      <c r="L558" s="253">
        <v>1.4833299999999999E-3</v>
      </c>
      <c r="M558" s="251">
        <f t="shared" si="41"/>
        <v>18.34</v>
      </c>
      <c r="N558" s="251">
        <f t="shared" si="42"/>
        <v>44.02</v>
      </c>
      <c r="O558" s="223"/>
      <c r="P558" s="210" t="str">
        <f>VLOOKUP(C558,'WO Descriptions'!$A$5:$D$384,4)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559" spans="1:16" ht="210" outlineLevel="2">
      <c r="A559" s="223" t="s">
        <v>54</v>
      </c>
      <c r="B559" s="250" t="s">
        <v>813</v>
      </c>
      <c r="C559" s="250" t="s">
        <v>814</v>
      </c>
      <c r="D559" s="223" t="s">
        <v>815</v>
      </c>
      <c r="E559" s="250" t="s">
        <v>62</v>
      </c>
      <c r="F559" s="223" t="s">
        <v>22</v>
      </c>
      <c r="G559" s="250" t="s">
        <v>23</v>
      </c>
      <c r="H559" s="250" t="s">
        <v>1525</v>
      </c>
      <c r="I559" s="250">
        <v>201501</v>
      </c>
      <c r="J559" s="251">
        <v>-265.87</v>
      </c>
      <c r="K559" s="171">
        <f t="shared" si="38"/>
        <v>5</v>
      </c>
      <c r="L559" s="253">
        <v>1.4833299999999999E-3</v>
      </c>
      <c r="M559" s="251">
        <f t="shared" si="41"/>
        <v>-1.97</v>
      </c>
      <c r="N559" s="251">
        <f t="shared" si="42"/>
        <v>-4.7300000000000004</v>
      </c>
      <c r="O559" s="223"/>
      <c r="P559" s="210" t="str">
        <f>VLOOKUP(C559,'WO Descriptions'!$A$5:$D$384,4)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560" spans="1:16" ht="210" outlineLevel="2">
      <c r="A560" s="223" t="s">
        <v>54</v>
      </c>
      <c r="B560" s="250" t="s">
        <v>2181</v>
      </c>
      <c r="C560" s="250" t="s">
        <v>1729</v>
      </c>
      <c r="D560" s="223" t="s">
        <v>1730</v>
      </c>
      <c r="E560" s="250" t="s">
        <v>62</v>
      </c>
      <c r="F560" s="223" t="s">
        <v>22</v>
      </c>
      <c r="G560" s="250" t="s">
        <v>23</v>
      </c>
      <c r="H560" s="250" t="s">
        <v>1525</v>
      </c>
      <c r="I560" s="250">
        <v>201501</v>
      </c>
      <c r="J560" s="251">
        <v>219686.48</v>
      </c>
      <c r="K560" s="171">
        <f t="shared" si="38"/>
        <v>5</v>
      </c>
      <c r="L560" s="253">
        <v>1.4833299999999999E-3</v>
      </c>
      <c r="M560" s="251">
        <f t="shared" si="41"/>
        <v>1629.34</v>
      </c>
      <c r="N560" s="251">
        <f t="shared" si="42"/>
        <v>3910.41</v>
      </c>
      <c r="O560" s="223"/>
      <c r="P560" s="210" t="str">
        <f>VLOOKUP(C560,'WO Descriptions'!$A$5:$D$384,4)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561" spans="1:16" ht="60" outlineLevel="2">
      <c r="A561" s="223" t="s">
        <v>54</v>
      </c>
      <c r="B561" s="250" t="s">
        <v>830</v>
      </c>
      <c r="C561" s="250" t="s">
        <v>831</v>
      </c>
      <c r="D561" s="223" t="s">
        <v>832</v>
      </c>
      <c r="E561" s="250" t="s">
        <v>62</v>
      </c>
      <c r="F561" s="223" t="s">
        <v>22</v>
      </c>
      <c r="G561" s="250" t="s">
        <v>23</v>
      </c>
      <c r="H561" s="250" t="s">
        <v>1525</v>
      </c>
      <c r="I561" s="250">
        <v>201501</v>
      </c>
      <c r="J561" s="251">
        <v>3752</v>
      </c>
      <c r="K561" s="171">
        <f t="shared" si="38"/>
        <v>5</v>
      </c>
      <c r="L561" s="253">
        <v>1.4833299999999999E-3</v>
      </c>
      <c r="M561" s="251">
        <f t="shared" si="41"/>
        <v>27.83</v>
      </c>
      <c r="N561" s="251">
        <f t="shared" si="42"/>
        <v>66.790000000000006</v>
      </c>
      <c r="O561" s="223"/>
      <c r="P561" s="210" t="str">
        <f>VLOOKUP(C561,'WO Descriptions'!$A$5:$D$384,4)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562" spans="1:16" ht="30" outlineLevel="2">
      <c r="A562" s="223" t="s">
        <v>17</v>
      </c>
      <c r="B562" s="250" t="s">
        <v>843</v>
      </c>
      <c r="C562" s="250" t="s">
        <v>844</v>
      </c>
      <c r="D562" s="223" t="s">
        <v>845</v>
      </c>
      <c r="E562" s="250" t="s">
        <v>45</v>
      </c>
      <c r="F562" s="223" t="s">
        <v>22</v>
      </c>
      <c r="G562" s="250" t="s">
        <v>23</v>
      </c>
      <c r="H562" s="250" t="s">
        <v>1525</v>
      </c>
      <c r="I562" s="250">
        <v>201501</v>
      </c>
      <c r="J562" s="251">
        <v>-3.48</v>
      </c>
      <c r="K562" s="171">
        <f t="shared" si="38"/>
        <v>5</v>
      </c>
      <c r="L562" s="253">
        <v>1.4833299999999999E-3</v>
      </c>
      <c r="M562" s="251">
        <f t="shared" si="41"/>
        <v>-0.03</v>
      </c>
      <c r="N562" s="251">
        <f t="shared" si="42"/>
        <v>-0.06</v>
      </c>
      <c r="O562" s="223"/>
      <c r="P562" s="210" t="str">
        <f>VLOOKUP(C562,'WO Descriptions'!$A$5:$D$384,4)</f>
        <v>Approved by: Kevin Driskell on 04/07/2014,  Replace 3in and 2in PBS due to leak.  Lay 10'-3in thin film and 14'-2in thin film.  Work done by MGE crew.Original JO 7740C &amp; 7740B, year 1949</v>
      </c>
    </row>
    <row r="563" spans="1:16" ht="135" outlineLevel="2">
      <c r="A563" s="223" t="s">
        <v>54</v>
      </c>
      <c r="B563" s="250" t="s">
        <v>846</v>
      </c>
      <c r="C563" s="250" t="s">
        <v>847</v>
      </c>
      <c r="D563" s="223" t="s">
        <v>848</v>
      </c>
      <c r="E563" s="250" t="s">
        <v>141</v>
      </c>
      <c r="F563" s="223" t="s">
        <v>142</v>
      </c>
      <c r="G563" s="250" t="s">
        <v>23</v>
      </c>
      <c r="H563" s="250" t="s">
        <v>1525</v>
      </c>
      <c r="I563" s="250">
        <v>201501</v>
      </c>
      <c r="J563" s="251">
        <v>70805.5</v>
      </c>
      <c r="K563" s="171">
        <f t="shared" si="38"/>
        <v>5</v>
      </c>
      <c r="L563" s="253">
        <v>1.4833299999999999E-3</v>
      </c>
      <c r="M563" s="251">
        <f t="shared" si="41"/>
        <v>525.14</v>
      </c>
      <c r="N563" s="251">
        <f t="shared" si="42"/>
        <v>1260.3399999999999</v>
      </c>
      <c r="O563" s="223"/>
      <c r="P563" s="210" t="str">
        <f>VLOOKUP(C563,'WO Descriptions'!$A$5:$D$384,4)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564" spans="1:16" ht="75" outlineLevel="2">
      <c r="A564" s="223" t="s">
        <v>54</v>
      </c>
      <c r="B564" s="250" t="s">
        <v>852</v>
      </c>
      <c r="C564" s="250" t="s">
        <v>853</v>
      </c>
      <c r="D564" s="223" t="s">
        <v>854</v>
      </c>
      <c r="E564" s="250" t="s">
        <v>62</v>
      </c>
      <c r="F564" s="223" t="s">
        <v>22</v>
      </c>
      <c r="G564" s="250" t="s">
        <v>23</v>
      </c>
      <c r="H564" s="250" t="s">
        <v>1525</v>
      </c>
      <c r="I564" s="250">
        <v>201501</v>
      </c>
      <c r="J564" s="251">
        <v>1761.71</v>
      </c>
      <c r="K564" s="171">
        <f t="shared" si="38"/>
        <v>5</v>
      </c>
      <c r="L564" s="253">
        <v>1.4833299999999999E-3</v>
      </c>
      <c r="M564" s="251">
        <f t="shared" si="41"/>
        <v>13.07</v>
      </c>
      <c r="N564" s="251">
        <f t="shared" si="42"/>
        <v>31.36</v>
      </c>
      <c r="O564" s="223"/>
      <c r="P564" s="210" t="str">
        <f>VLOOKUP(C564,'WO Descriptions'!$A$5:$D$384,4)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565" spans="1:16" ht="75" outlineLevel="2">
      <c r="A565" s="223" t="s">
        <v>17</v>
      </c>
      <c r="B565" s="250" t="s">
        <v>2182</v>
      </c>
      <c r="C565" s="250" t="s">
        <v>1714</v>
      </c>
      <c r="D565" s="223" t="s">
        <v>1715</v>
      </c>
      <c r="E565" s="250" t="s">
        <v>574</v>
      </c>
      <c r="F565" s="223" t="s">
        <v>28</v>
      </c>
      <c r="G565" s="250" t="s">
        <v>23</v>
      </c>
      <c r="H565" s="250" t="s">
        <v>1525</v>
      </c>
      <c r="I565" s="250">
        <v>201501</v>
      </c>
      <c r="J565" s="251">
        <v>146040.44</v>
      </c>
      <c r="K565" s="171">
        <f t="shared" si="38"/>
        <v>5</v>
      </c>
      <c r="L565" s="253">
        <v>1.4833299999999999E-3</v>
      </c>
      <c r="M565" s="251">
        <f t="shared" si="41"/>
        <v>1083.1300000000001</v>
      </c>
      <c r="N565" s="251">
        <f t="shared" si="42"/>
        <v>2599.5100000000002</v>
      </c>
      <c r="O565" s="223"/>
      <c r="P565" s="210" t="str">
        <f>VLOOKUP(C565,'WO Descriptions'!$A$5:$D$384,4)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566" spans="1:16" ht="180" outlineLevel="2">
      <c r="A566" s="223" t="s">
        <v>54</v>
      </c>
      <c r="B566" s="250" t="s">
        <v>858</v>
      </c>
      <c r="C566" s="250" t="s">
        <v>859</v>
      </c>
      <c r="D566" s="223" t="s">
        <v>860</v>
      </c>
      <c r="E566" s="250" t="s">
        <v>62</v>
      </c>
      <c r="F566" s="223" t="s">
        <v>22</v>
      </c>
      <c r="G566" s="250" t="s">
        <v>23</v>
      </c>
      <c r="H566" s="250" t="s">
        <v>1525</v>
      </c>
      <c r="I566" s="250">
        <v>201501</v>
      </c>
      <c r="J566" s="251">
        <v>-0.61</v>
      </c>
      <c r="K566" s="171">
        <f t="shared" si="38"/>
        <v>5</v>
      </c>
      <c r="L566" s="253">
        <v>1.4833299999999999E-3</v>
      </c>
      <c r="M566" s="251">
        <f t="shared" si="41"/>
        <v>0</v>
      </c>
      <c r="N566" s="251">
        <f t="shared" si="42"/>
        <v>-0.01</v>
      </c>
      <c r="O566" s="223"/>
      <c r="P566" s="210" t="str">
        <f>VLOOKUP(C566,'WO Descriptions'!$A$5:$D$384,4)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567" spans="1:16" ht="60" outlineLevel="2">
      <c r="A567" s="223" t="s">
        <v>54</v>
      </c>
      <c r="B567" s="250" t="s">
        <v>876</v>
      </c>
      <c r="C567" s="250" t="s">
        <v>877</v>
      </c>
      <c r="D567" s="223" t="s">
        <v>878</v>
      </c>
      <c r="E567" s="250" t="s">
        <v>62</v>
      </c>
      <c r="F567" s="223" t="s">
        <v>22</v>
      </c>
      <c r="G567" s="250" t="s">
        <v>23</v>
      </c>
      <c r="H567" s="250" t="s">
        <v>1525</v>
      </c>
      <c r="I567" s="250">
        <v>201501</v>
      </c>
      <c r="J567" s="251">
        <v>48299.15</v>
      </c>
      <c r="K567" s="171">
        <f t="shared" si="38"/>
        <v>5</v>
      </c>
      <c r="L567" s="253">
        <v>1.4833299999999999E-3</v>
      </c>
      <c r="M567" s="251">
        <f t="shared" si="41"/>
        <v>358.22</v>
      </c>
      <c r="N567" s="251">
        <f t="shared" si="42"/>
        <v>859.72</v>
      </c>
      <c r="O567" s="223"/>
      <c r="P567" s="210" t="str">
        <f>VLOOKUP(C567,'WO Descriptions'!$A$5:$D$384,4)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568" spans="1:16" ht="60" outlineLevel="2">
      <c r="A568" s="223" t="s">
        <v>54</v>
      </c>
      <c r="B568" s="250" t="s">
        <v>876</v>
      </c>
      <c r="C568" s="250" t="s">
        <v>877</v>
      </c>
      <c r="D568" s="223" t="s">
        <v>878</v>
      </c>
      <c r="E568" s="250" t="s">
        <v>62</v>
      </c>
      <c r="F568" s="223" t="s">
        <v>22</v>
      </c>
      <c r="G568" s="250" t="s">
        <v>23</v>
      </c>
      <c r="H568" s="250" t="s">
        <v>1525</v>
      </c>
      <c r="I568" s="250">
        <v>201501</v>
      </c>
      <c r="J568" s="251">
        <v>-48303.040000000001</v>
      </c>
      <c r="K568" s="171">
        <f t="shared" si="38"/>
        <v>5</v>
      </c>
      <c r="L568" s="253">
        <v>1.4833299999999999E-3</v>
      </c>
      <c r="M568" s="251">
        <f t="shared" si="41"/>
        <v>-358.25</v>
      </c>
      <c r="N568" s="251">
        <f t="shared" si="42"/>
        <v>-859.79</v>
      </c>
      <c r="O568" s="223"/>
      <c r="P568" s="210" t="str">
        <f>VLOOKUP(C568,'WO Descriptions'!$A$5:$D$384,4)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569" spans="1:16" ht="60" outlineLevel="2">
      <c r="A569" s="223" t="s">
        <v>54</v>
      </c>
      <c r="B569" s="250" t="s">
        <v>2183</v>
      </c>
      <c r="C569" s="250" t="s">
        <v>2184</v>
      </c>
      <c r="D569" s="223" t="s">
        <v>2185</v>
      </c>
      <c r="E569" s="250" t="s">
        <v>62</v>
      </c>
      <c r="F569" s="223" t="s">
        <v>22</v>
      </c>
      <c r="G569" s="250" t="s">
        <v>23</v>
      </c>
      <c r="H569" s="250" t="s">
        <v>1525</v>
      </c>
      <c r="I569" s="250">
        <v>201501</v>
      </c>
      <c r="J569" s="251">
        <v>93860.72</v>
      </c>
      <c r="K569" s="171">
        <f t="shared" si="38"/>
        <v>5</v>
      </c>
      <c r="L569" s="253">
        <v>1.4833299999999999E-3</v>
      </c>
      <c r="M569" s="251">
        <f t="shared" si="41"/>
        <v>696.13</v>
      </c>
      <c r="N569" s="251">
        <f t="shared" si="42"/>
        <v>1670.72</v>
      </c>
      <c r="O569" s="223"/>
      <c r="P569" s="210" t="str">
        <f>VLOOKUP(C569,'WO Descriptions'!$A$5:$D$384,4)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570" spans="1:16" ht="30" outlineLevel="2">
      <c r="A570" s="223" t="s">
        <v>54</v>
      </c>
      <c r="B570" s="250" t="s">
        <v>1045</v>
      </c>
      <c r="C570" s="250" t="s">
        <v>1046</v>
      </c>
      <c r="D570" s="223" t="s">
        <v>1047</v>
      </c>
      <c r="E570" s="250" t="s">
        <v>462</v>
      </c>
      <c r="F570" s="223" t="s">
        <v>142</v>
      </c>
      <c r="G570" s="250" t="s">
        <v>23</v>
      </c>
      <c r="H570" s="250" t="s">
        <v>1525</v>
      </c>
      <c r="I570" s="250">
        <v>201501</v>
      </c>
      <c r="J570" s="251">
        <v>4423.05</v>
      </c>
      <c r="K570" s="171">
        <f t="shared" si="38"/>
        <v>5</v>
      </c>
      <c r="L570" s="253">
        <v>1.4833299999999999E-3</v>
      </c>
      <c r="M570" s="251">
        <f t="shared" si="41"/>
        <v>32.799999999999997</v>
      </c>
      <c r="N570" s="251">
        <f t="shared" si="42"/>
        <v>78.73</v>
      </c>
      <c r="O570" s="223"/>
      <c r="P570" s="210" t="str">
        <f>VLOOKUP(C570,'WO Descriptions'!$A$5:$D$384,4)</f>
        <v>Approved by: Kevin Driskell on 03/28/2014,  Replace 4in CI w/ 190'-4in PE due to leak.  Tie-over 3 services and replace 1 service.</v>
      </c>
    </row>
    <row r="571" spans="1:16" ht="60" outlineLevel="2">
      <c r="A571" s="223" t="s">
        <v>54</v>
      </c>
      <c r="B571" s="250" t="s">
        <v>2186</v>
      </c>
      <c r="C571" s="250" t="s">
        <v>2187</v>
      </c>
      <c r="D571" s="223" t="s">
        <v>2188</v>
      </c>
      <c r="E571" s="250" t="s">
        <v>27</v>
      </c>
      <c r="F571" s="223" t="s">
        <v>28</v>
      </c>
      <c r="G571" s="250" t="s">
        <v>23</v>
      </c>
      <c r="H571" s="250" t="s">
        <v>1525</v>
      </c>
      <c r="I571" s="250">
        <v>201501</v>
      </c>
      <c r="J571" s="251">
        <v>21847.29</v>
      </c>
      <c r="K571" s="171">
        <f t="shared" si="38"/>
        <v>5</v>
      </c>
      <c r="L571" s="253">
        <v>1.4833299999999999E-3</v>
      </c>
      <c r="M571" s="251">
        <f t="shared" si="41"/>
        <v>162.03</v>
      </c>
      <c r="N571" s="251">
        <f t="shared" si="42"/>
        <v>388.88</v>
      </c>
      <c r="O571" s="223"/>
      <c r="P571" s="210" t="str">
        <f>VLOOKUP(C571,'WO Descriptions'!$A$5:$D$384,4)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572" spans="1:16" ht="60" outlineLevel="2">
      <c r="A572" s="223" t="s">
        <v>54</v>
      </c>
      <c r="B572" s="250" t="s">
        <v>1051</v>
      </c>
      <c r="C572" s="250" t="s">
        <v>1052</v>
      </c>
      <c r="D572" s="223" t="s">
        <v>1053</v>
      </c>
      <c r="E572" s="250" t="s">
        <v>45</v>
      </c>
      <c r="F572" s="223" t="s">
        <v>22</v>
      </c>
      <c r="G572" s="250" t="s">
        <v>23</v>
      </c>
      <c r="H572" s="250" t="s">
        <v>1525</v>
      </c>
      <c r="I572" s="250">
        <v>201501</v>
      </c>
      <c r="J572" s="251">
        <v>7190.75</v>
      </c>
      <c r="K572" s="171">
        <f t="shared" si="38"/>
        <v>5</v>
      </c>
      <c r="L572" s="253">
        <v>1.4833299999999999E-3</v>
      </c>
      <c r="M572" s="251">
        <f t="shared" si="41"/>
        <v>53.33</v>
      </c>
      <c r="N572" s="251">
        <f t="shared" si="42"/>
        <v>128</v>
      </c>
      <c r="O572" s="223"/>
      <c r="P572" s="210" t="str">
        <f>VLOOKUP(C572,'WO Descriptions'!$A$5:$D$384,4)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573" spans="1:16" ht="75" outlineLevel="2">
      <c r="A573" s="223" t="s">
        <v>54</v>
      </c>
      <c r="B573" s="250" t="s">
        <v>888</v>
      </c>
      <c r="C573" s="250" t="s">
        <v>889</v>
      </c>
      <c r="D573" s="223" t="s">
        <v>890</v>
      </c>
      <c r="E573" s="250" t="s">
        <v>32</v>
      </c>
      <c r="F573" s="223" t="s">
        <v>22</v>
      </c>
      <c r="G573" s="250" t="s">
        <v>23</v>
      </c>
      <c r="H573" s="250" t="s">
        <v>1525</v>
      </c>
      <c r="I573" s="250">
        <v>201501</v>
      </c>
      <c r="J573" s="251">
        <v>0.26</v>
      </c>
      <c r="K573" s="171">
        <f t="shared" si="38"/>
        <v>5</v>
      </c>
      <c r="L573" s="253">
        <v>1.4833299999999999E-3</v>
      </c>
      <c r="M573" s="251">
        <f t="shared" si="41"/>
        <v>0</v>
      </c>
      <c r="N573" s="251">
        <f t="shared" si="42"/>
        <v>0</v>
      </c>
      <c r="O573" s="223"/>
      <c r="P573" s="210" t="str">
        <f>VLOOKUP(C573,'WO Descriptions'!$A$5:$D$384,4)</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row>
    <row r="574" spans="1:16" ht="30" outlineLevel="2">
      <c r="A574" s="223" t="s">
        <v>54</v>
      </c>
      <c r="B574" s="250" t="s">
        <v>2189</v>
      </c>
      <c r="C574" s="250" t="s">
        <v>1731</v>
      </c>
      <c r="D574" s="223" t="s">
        <v>1732</v>
      </c>
      <c r="E574" s="250" t="s">
        <v>62</v>
      </c>
      <c r="F574" s="223" t="s">
        <v>22</v>
      </c>
      <c r="G574" s="250" t="s">
        <v>23</v>
      </c>
      <c r="H574" s="250" t="s">
        <v>1525</v>
      </c>
      <c r="I574" s="250">
        <v>201501</v>
      </c>
      <c r="J574" s="251">
        <v>769399.64</v>
      </c>
      <c r="K574" s="171">
        <f t="shared" si="38"/>
        <v>5</v>
      </c>
      <c r="L574" s="253">
        <v>1.4833299999999999E-3</v>
      </c>
      <c r="M574" s="251">
        <f t="shared" si="41"/>
        <v>5706.37</v>
      </c>
      <c r="N574" s="251">
        <f t="shared" si="42"/>
        <v>13695.28</v>
      </c>
      <c r="O574" s="223"/>
      <c r="P574" s="210" t="str">
        <f>VLOOKUP(C574,'WO Descriptions'!$A$5:$D$384,4)</f>
        <v>Approved by: Kevin Driskell on 05/28/2014,  Replace 16ft of 8'' PCS due to 3rd party damage. Pressure system C-041 Ret 16'-8in coated steel, year 1967, wo 67-1440.</v>
      </c>
    </row>
    <row r="575" spans="1:16" ht="30" outlineLevel="2">
      <c r="A575" s="223" t="s">
        <v>54</v>
      </c>
      <c r="B575" s="250" t="s">
        <v>897</v>
      </c>
      <c r="C575" s="250" t="s">
        <v>898</v>
      </c>
      <c r="D575" s="223" t="s">
        <v>899</v>
      </c>
      <c r="E575" s="250" t="s">
        <v>45</v>
      </c>
      <c r="F575" s="223" t="s">
        <v>22</v>
      </c>
      <c r="G575" s="250" t="s">
        <v>23</v>
      </c>
      <c r="H575" s="250" t="s">
        <v>1525</v>
      </c>
      <c r="I575" s="250">
        <v>201501</v>
      </c>
      <c r="J575" s="251">
        <v>0</v>
      </c>
      <c r="K575" s="171">
        <f t="shared" si="38"/>
        <v>5</v>
      </c>
      <c r="L575" s="253">
        <v>1.4833299999999999E-3</v>
      </c>
      <c r="M575" s="251">
        <f t="shared" ref="M575:M605" si="43">ROUND(J575*K575*L575,2)</f>
        <v>0</v>
      </c>
      <c r="N575" s="251">
        <f t="shared" ref="N575:N605" si="44">ROUND(J575*L575*12,2)</f>
        <v>0</v>
      </c>
      <c r="O575" s="223"/>
      <c r="P575" s="210" t="str">
        <f>VLOOKUP(C575,'WO Descriptions'!$A$5:$D$384,4)</f>
        <v>Approved by: Steve Holcomb on 05/28/2014,  Replace 4'' PBS, 4'' PCS, and 3'' PCS with 2" and 4" PE due to down project. Pressure System - C-02</v>
      </c>
    </row>
    <row r="576" spans="1:16" ht="120" outlineLevel="2">
      <c r="A576" s="223" t="s">
        <v>54</v>
      </c>
      <c r="B576" s="250" t="s">
        <v>1054</v>
      </c>
      <c r="C576" s="250" t="s">
        <v>1055</v>
      </c>
      <c r="D576" s="223" t="s">
        <v>1056</v>
      </c>
      <c r="E576" s="250" t="s">
        <v>141</v>
      </c>
      <c r="F576" s="223" t="s">
        <v>142</v>
      </c>
      <c r="G576" s="250" t="s">
        <v>23</v>
      </c>
      <c r="H576" s="250" t="s">
        <v>1525</v>
      </c>
      <c r="I576" s="250">
        <v>201501</v>
      </c>
      <c r="J576" s="251">
        <v>18395.05</v>
      </c>
      <c r="K576" s="171">
        <f t="shared" si="38"/>
        <v>5</v>
      </c>
      <c r="L576" s="253">
        <v>1.4833299999999999E-3</v>
      </c>
      <c r="M576" s="251">
        <f t="shared" si="43"/>
        <v>136.43</v>
      </c>
      <c r="N576" s="251">
        <f t="shared" si="44"/>
        <v>327.43</v>
      </c>
      <c r="O576" s="223"/>
      <c r="P576" s="210" t="str">
        <f>VLOOKUP(C576,'WO Descriptions'!$A$5:$D$384,4)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577" spans="1:16" ht="60" outlineLevel="2">
      <c r="A577" s="223" t="s">
        <v>17</v>
      </c>
      <c r="B577" s="250" t="s">
        <v>903</v>
      </c>
      <c r="C577" s="250" t="s">
        <v>904</v>
      </c>
      <c r="D577" s="223" t="s">
        <v>905</v>
      </c>
      <c r="E577" s="250" t="s">
        <v>49</v>
      </c>
      <c r="F577" s="223" t="s">
        <v>22</v>
      </c>
      <c r="G577" s="250" t="s">
        <v>23</v>
      </c>
      <c r="H577" s="250" t="s">
        <v>1525</v>
      </c>
      <c r="I577" s="250">
        <v>201501</v>
      </c>
      <c r="J577" s="251">
        <v>0.2</v>
      </c>
      <c r="K577" s="171">
        <f t="shared" si="38"/>
        <v>5</v>
      </c>
      <c r="L577" s="253">
        <v>1.4833299999999999E-3</v>
      </c>
      <c r="M577" s="251">
        <f t="shared" si="43"/>
        <v>0</v>
      </c>
      <c r="N577" s="251">
        <f t="shared" si="44"/>
        <v>0</v>
      </c>
      <c r="O577" s="223"/>
      <c r="P577" s="210" t="str">
        <f>VLOOKUP(C577,'WO Descriptions'!$A$5:$D$384,4)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578" spans="1:16" outlineLevel="2">
      <c r="A578" s="223" t="s">
        <v>54</v>
      </c>
      <c r="B578" s="250" t="s">
        <v>913</v>
      </c>
      <c r="C578" s="250" t="s">
        <v>914</v>
      </c>
      <c r="D578" s="223" t="s">
        <v>915</v>
      </c>
      <c r="E578" s="250" t="s">
        <v>36</v>
      </c>
      <c r="F578" s="223" t="s">
        <v>22</v>
      </c>
      <c r="G578" s="250" t="s">
        <v>23</v>
      </c>
      <c r="H578" s="250" t="s">
        <v>1525</v>
      </c>
      <c r="I578" s="250">
        <v>201501</v>
      </c>
      <c r="J578" s="251">
        <v>47.73</v>
      </c>
      <c r="K578" s="171">
        <f t="shared" si="38"/>
        <v>5</v>
      </c>
      <c r="L578" s="253">
        <v>1.4833299999999999E-3</v>
      </c>
      <c r="M578" s="251">
        <f t="shared" si="43"/>
        <v>0.35</v>
      </c>
      <c r="N578" s="251">
        <f t="shared" si="44"/>
        <v>0.85</v>
      </c>
      <c r="O578" s="223"/>
      <c r="P578" s="210" t="str">
        <f>VLOOKUP(C578,'WO Descriptions'!$A$5:$D$384,4)</f>
        <v>Approved by: Gary Williams on 06/10/2014,  Replace PBS due to down project</v>
      </c>
    </row>
    <row r="579" spans="1:16" ht="30" outlineLevel="2">
      <c r="A579" s="223" t="s">
        <v>54</v>
      </c>
      <c r="B579" s="250" t="s">
        <v>916</v>
      </c>
      <c r="C579" s="250" t="s">
        <v>917</v>
      </c>
      <c r="D579" s="223" t="s">
        <v>918</v>
      </c>
      <c r="E579" s="250" t="s">
        <v>909</v>
      </c>
      <c r="F579" s="223" t="s">
        <v>22</v>
      </c>
      <c r="G579" s="250" t="s">
        <v>23</v>
      </c>
      <c r="H579" s="250" t="s">
        <v>1525</v>
      </c>
      <c r="I579" s="250">
        <v>201501</v>
      </c>
      <c r="J579" s="251">
        <v>0</v>
      </c>
      <c r="K579" s="171">
        <f t="shared" si="38"/>
        <v>5</v>
      </c>
      <c r="L579" s="253">
        <v>1.4833299999999999E-3</v>
      </c>
      <c r="M579" s="251">
        <f t="shared" si="43"/>
        <v>0</v>
      </c>
      <c r="N579" s="251">
        <f t="shared" si="44"/>
        <v>0</v>
      </c>
      <c r="O579" s="223"/>
      <c r="P579" s="210" t="str">
        <f>VLOOKUP(C579,'WO Descriptions'!$A$5:$D$384,4)</f>
        <v>Approved by: Gary Williams on 06/10/2014,  Replace PBS due to down project. Pressure system C-01</v>
      </c>
    </row>
    <row r="580" spans="1:16" ht="30" outlineLevel="2">
      <c r="A580" s="223" t="s">
        <v>54</v>
      </c>
      <c r="B580" s="250" t="s">
        <v>2190</v>
      </c>
      <c r="C580" s="250" t="s">
        <v>1733</v>
      </c>
      <c r="D580" s="223" t="s">
        <v>1734</v>
      </c>
      <c r="E580" s="250" t="s">
        <v>216</v>
      </c>
      <c r="F580" s="223" t="s">
        <v>22</v>
      </c>
      <c r="G580" s="250" t="s">
        <v>23</v>
      </c>
      <c r="H580" s="250" t="s">
        <v>1525</v>
      </c>
      <c r="I580" s="250">
        <v>201501</v>
      </c>
      <c r="J580" s="251">
        <v>34182.43</v>
      </c>
      <c r="K580" s="171">
        <f t="shared" si="38"/>
        <v>5</v>
      </c>
      <c r="L580" s="253">
        <v>1.4833299999999999E-3</v>
      </c>
      <c r="M580" s="251">
        <f t="shared" si="43"/>
        <v>253.52</v>
      </c>
      <c r="N580" s="251">
        <f t="shared" si="44"/>
        <v>608.45000000000005</v>
      </c>
      <c r="O580" s="223"/>
      <c r="P580" s="210" t="str">
        <f>VLOOKUP(C580,'WO Descriptions'!$A$5:$D$384,4)</f>
        <v>Approved by: Gary Williams on 06/10/2014,  Replace PBS due to down project. Pressure system C-01</v>
      </c>
    </row>
    <row r="581" spans="1:16" ht="75" outlineLevel="2">
      <c r="A581" s="223" t="s">
        <v>54</v>
      </c>
      <c r="B581" s="250" t="s">
        <v>938</v>
      </c>
      <c r="C581" s="250" t="s">
        <v>939</v>
      </c>
      <c r="D581" s="223" t="s">
        <v>940</v>
      </c>
      <c r="E581" s="250" t="s">
        <v>141</v>
      </c>
      <c r="F581" s="223" t="s">
        <v>142</v>
      </c>
      <c r="G581" s="250" t="s">
        <v>23</v>
      </c>
      <c r="H581" s="250" t="s">
        <v>1525</v>
      </c>
      <c r="I581" s="250">
        <v>201501</v>
      </c>
      <c r="J581" s="251">
        <v>-2.04</v>
      </c>
      <c r="K581" s="171">
        <f t="shared" si="38"/>
        <v>5</v>
      </c>
      <c r="L581" s="253">
        <v>1.4833299999999999E-3</v>
      </c>
      <c r="M581" s="251">
        <f t="shared" si="43"/>
        <v>-0.02</v>
      </c>
      <c r="N581" s="251">
        <f t="shared" si="44"/>
        <v>-0.04</v>
      </c>
      <c r="O581" s="223"/>
      <c r="P581" s="210" t="str">
        <f>VLOOKUP(C581,'WO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2" spans="1:16" ht="75" outlineLevel="2">
      <c r="A582" s="223" t="s">
        <v>54</v>
      </c>
      <c r="B582" s="250" t="s">
        <v>2191</v>
      </c>
      <c r="C582" s="250" t="s">
        <v>2192</v>
      </c>
      <c r="D582" s="223" t="s">
        <v>2193</v>
      </c>
      <c r="E582" s="250" t="s">
        <v>45</v>
      </c>
      <c r="F582" s="223" t="s">
        <v>22</v>
      </c>
      <c r="G582" s="250" t="s">
        <v>23</v>
      </c>
      <c r="H582" s="250" t="s">
        <v>1525</v>
      </c>
      <c r="I582" s="250">
        <v>201501</v>
      </c>
      <c r="J582" s="251">
        <v>2643.04</v>
      </c>
      <c r="K582" s="171">
        <f t="shared" si="38"/>
        <v>5</v>
      </c>
      <c r="L582" s="253">
        <v>1.4833299999999999E-3</v>
      </c>
      <c r="M582" s="251">
        <f t="shared" si="43"/>
        <v>19.600000000000001</v>
      </c>
      <c r="N582" s="251">
        <f t="shared" si="44"/>
        <v>47.05</v>
      </c>
      <c r="O582" s="223"/>
      <c r="P582" s="210" t="str">
        <f>VLOOKUP(C582,'WO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3" spans="1:16" ht="75" outlineLevel="2">
      <c r="A583" s="223" t="s">
        <v>54</v>
      </c>
      <c r="B583" s="250" t="s">
        <v>947</v>
      </c>
      <c r="C583" s="250" t="s">
        <v>948</v>
      </c>
      <c r="D583" s="223" t="s">
        <v>949</v>
      </c>
      <c r="E583" s="250" t="s">
        <v>141</v>
      </c>
      <c r="F583" s="223" t="s">
        <v>142</v>
      </c>
      <c r="G583" s="250" t="s">
        <v>23</v>
      </c>
      <c r="H583" s="250" t="s">
        <v>1525</v>
      </c>
      <c r="I583" s="250">
        <v>201501</v>
      </c>
      <c r="J583" s="251">
        <v>-20078.13</v>
      </c>
      <c r="K583" s="171">
        <f t="shared" si="38"/>
        <v>5</v>
      </c>
      <c r="L583" s="253">
        <v>1.4833299999999999E-3</v>
      </c>
      <c r="M583" s="251">
        <f t="shared" si="43"/>
        <v>-148.91</v>
      </c>
      <c r="N583" s="251">
        <f t="shared" si="44"/>
        <v>-357.39</v>
      </c>
      <c r="O583" s="223"/>
      <c r="P583" s="210" t="str">
        <f>VLOOKUP(C583,'WO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4" spans="1:16" ht="75" outlineLevel="2">
      <c r="A584" s="223" t="s">
        <v>54</v>
      </c>
      <c r="B584" s="250" t="s">
        <v>950</v>
      </c>
      <c r="C584" s="250" t="s">
        <v>951</v>
      </c>
      <c r="D584" s="223" t="s">
        <v>952</v>
      </c>
      <c r="E584" s="250" t="s">
        <v>141</v>
      </c>
      <c r="F584" s="223" t="s">
        <v>142</v>
      </c>
      <c r="G584" s="250" t="s">
        <v>23</v>
      </c>
      <c r="H584" s="250" t="s">
        <v>1525</v>
      </c>
      <c r="I584" s="250">
        <v>201501</v>
      </c>
      <c r="J584" s="251">
        <v>234.22</v>
      </c>
      <c r="K584" s="171">
        <f t="shared" si="38"/>
        <v>5</v>
      </c>
      <c r="L584" s="253">
        <v>1.4833299999999999E-3</v>
      </c>
      <c r="M584" s="251">
        <f t="shared" si="43"/>
        <v>1.74</v>
      </c>
      <c r="N584" s="251">
        <f t="shared" si="44"/>
        <v>4.17</v>
      </c>
      <c r="O584" s="223"/>
      <c r="P584" s="210" t="str">
        <f>VLOOKUP(C584,'WO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5" spans="1:16" ht="75" outlineLevel="2">
      <c r="A585" s="223" t="s">
        <v>54</v>
      </c>
      <c r="B585" s="250" t="s">
        <v>974</v>
      </c>
      <c r="C585" s="250" t="s">
        <v>975</v>
      </c>
      <c r="D585" s="223" t="s">
        <v>976</v>
      </c>
      <c r="E585" s="250" t="s">
        <v>141</v>
      </c>
      <c r="F585" s="223" t="s">
        <v>142</v>
      </c>
      <c r="G585" s="250" t="s">
        <v>23</v>
      </c>
      <c r="H585" s="250" t="s">
        <v>1525</v>
      </c>
      <c r="I585" s="250">
        <v>201501</v>
      </c>
      <c r="J585" s="251">
        <v>-8.36</v>
      </c>
      <c r="K585" s="171">
        <f t="shared" si="38"/>
        <v>5</v>
      </c>
      <c r="L585" s="253">
        <v>1.4833299999999999E-3</v>
      </c>
      <c r="M585" s="251">
        <f t="shared" si="43"/>
        <v>-0.06</v>
      </c>
      <c r="N585" s="251">
        <f t="shared" si="44"/>
        <v>-0.15</v>
      </c>
      <c r="O585" s="223"/>
      <c r="P585" s="210" t="str">
        <f>VLOOKUP(C585,'WO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6" spans="1:16" ht="75" outlineLevel="2">
      <c r="A586" s="223" t="s">
        <v>54</v>
      </c>
      <c r="B586" s="250" t="s">
        <v>977</v>
      </c>
      <c r="C586" s="250" t="s">
        <v>978</v>
      </c>
      <c r="D586" s="223" t="s">
        <v>979</v>
      </c>
      <c r="E586" s="250" t="s">
        <v>980</v>
      </c>
      <c r="F586" s="223" t="s">
        <v>259</v>
      </c>
      <c r="G586" s="250" t="s">
        <v>23</v>
      </c>
      <c r="H586" s="250" t="s">
        <v>1525</v>
      </c>
      <c r="I586" s="250">
        <v>201501</v>
      </c>
      <c r="J586" s="251">
        <v>-7.91</v>
      </c>
      <c r="K586" s="171">
        <f t="shared" si="38"/>
        <v>5</v>
      </c>
      <c r="L586" s="253">
        <v>1.4833299999999999E-3</v>
      </c>
      <c r="M586" s="251">
        <f t="shared" si="43"/>
        <v>-0.06</v>
      </c>
      <c r="N586" s="251">
        <f t="shared" si="44"/>
        <v>-0.14000000000000001</v>
      </c>
      <c r="O586" s="223"/>
      <c r="P586" s="210" t="str">
        <f>VLOOKUP(C586,'WO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7" spans="1:16" ht="75" outlineLevel="2">
      <c r="A587" s="223" t="s">
        <v>17</v>
      </c>
      <c r="B587" s="250" t="s">
        <v>981</v>
      </c>
      <c r="C587" s="250" t="s">
        <v>982</v>
      </c>
      <c r="D587" s="223" t="s">
        <v>983</v>
      </c>
      <c r="E587" s="250" t="s">
        <v>440</v>
      </c>
      <c r="F587" s="223" t="s">
        <v>28</v>
      </c>
      <c r="G587" s="250" t="s">
        <v>23</v>
      </c>
      <c r="H587" s="250" t="s">
        <v>1525</v>
      </c>
      <c r="I587" s="250">
        <v>201501</v>
      </c>
      <c r="J587" s="251">
        <v>2.63</v>
      </c>
      <c r="K587" s="171">
        <f t="shared" si="38"/>
        <v>5</v>
      </c>
      <c r="L587" s="253">
        <v>1.4833299999999999E-3</v>
      </c>
      <c r="M587" s="251">
        <f t="shared" si="43"/>
        <v>0.02</v>
      </c>
      <c r="N587" s="251">
        <f t="shared" si="44"/>
        <v>0.05</v>
      </c>
      <c r="O587" s="223"/>
      <c r="P587" s="210" t="str">
        <f>VLOOKUP(C587,'WO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8" spans="1:16" ht="75" outlineLevel="2">
      <c r="A588" s="223" t="s">
        <v>54</v>
      </c>
      <c r="B588" s="250" t="s">
        <v>984</v>
      </c>
      <c r="C588" s="250" t="s">
        <v>985</v>
      </c>
      <c r="D588" s="223" t="s">
        <v>986</v>
      </c>
      <c r="E588" s="250" t="s">
        <v>141</v>
      </c>
      <c r="F588" s="223" t="s">
        <v>142</v>
      </c>
      <c r="G588" s="250" t="s">
        <v>23</v>
      </c>
      <c r="H588" s="250" t="s">
        <v>1525</v>
      </c>
      <c r="I588" s="250">
        <v>201501</v>
      </c>
      <c r="J588" s="251">
        <v>-4.32</v>
      </c>
      <c r="K588" s="171">
        <f t="shared" si="38"/>
        <v>5</v>
      </c>
      <c r="L588" s="253">
        <v>1.4833299999999999E-3</v>
      </c>
      <c r="M588" s="251">
        <f t="shared" si="43"/>
        <v>-0.03</v>
      </c>
      <c r="N588" s="251">
        <f t="shared" si="44"/>
        <v>-0.08</v>
      </c>
      <c r="O588" s="223"/>
      <c r="P588" s="210" t="str">
        <f>VLOOKUP(C588,'WO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89" spans="1:16" ht="75" outlineLevel="2">
      <c r="A589" s="223" t="s">
        <v>17</v>
      </c>
      <c r="B589" s="250" t="s">
        <v>987</v>
      </c>
      <c r="C589" s="250" t="s">
        <v>988</v>
      </c>
      <c r="D589" s="223" t="s">
        <v>989</v>
      </c>
      <c r="E589" s="250" t="s">
        <v>45</v>
      </c>
      <c r="F589" s="223" t="s">
        <v>22</v>
      </c>
      <c r="G589" s="250" t="s">
        <v>23</v>
      </c>
      <c r="H589" s="250" t="s">
        <v>1525</v>
      </c>
      <c r="I589" s="250">
        <v>201501</v>
      </c>
      <c r="J589" s="251">
        <v>-5.49</v>
      </c>
      <c r="K589" s="171">
        <f t="shared" si="38"/>
        <v>5</v>
      </c>
      <c r="L589" s="253">
        <v>1.4833299999999999E-3</v>
      </c>
      <c r="M589" s="251">
        <f t="shared" si="43"/>
        <v>-0.04</v>
      </c>
      <c r="N589" s="251">
        <f t="shared" si="44"/>
        <v>-0.1</v>
      </c>
      <c r="O589" s="223"/>
      <c r="P589" s="210" t="str">
        <f>VLOOKUP(C589,'WO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0" spans="1:16" ht="75" outlineLevel="2">
      <c r="A590" s="223" t="s">
        <v>54</v>
      </c>
      <c r="B590" s="250" t="s">
        <v>990</v>
      </c>
      <c r="C590" s="250" t="s">
        <v>991</v>
      </c>
      <c r="D590" s="223" t="s">
        <v>992</v>
      </c>
      <c r="E590" s="250" t="s">
        <v>141</v>
      </c>
      <c r="F590" s="223" t="s">
        <v>142</v>
      </c>
      <c r="G590" s="250" t="s">
        <v>23</v>
      </c>
      <c r="H590" s="250" t="s">
        <v>1525</v>
      </c>
      <c r="I590" s="250">
        <v>201501</v>
      </c>
      <c r="J590" s="251">
        <v>-180.44</v>
      </c>
      <c r="K590" s="171">
        <f t="shared" si="38"/>
        <v>5</v>
      </c>
      <c r="L590" s="253">
        <v>1.4833299999999999E-3</v>
      </c>
      <c r="M590" s="251">
        <f t="shared" si="43"/>
        <v>-1.34</v>
      </c>
      <c r="N590" s="251">
        <f t="shared" si="44"/>
        <v>-3.21</v>
      </c>
      <c r="O590" s="223"/>
      <c r="P590" s="210" t="str">
        <f>VLOOKUP(C590,'WO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1" spans="1:16" ht="75" outlineLevel="2">
      <c r="A591" s="223" t="s">
        <v>54</v>
      </c>
      <c r="B591" s="250" t="s">
        <v>996</v>
      </c>
      <c r="C591" s="250" t="s">
        <v>997</v>
      </c>
      <c r="D591" s="223" t="s">
        <v>998</v>
      </c>
      <c r="E591" s="250" t="s">
        <v>27</v>
      </c>
      <c r="F591" s="223" t="s">
        <v>28</v>
      </c>
      <c r="G591" s="250" t="s">
        <v>23</v>
      </c>
      <c r="H591" s="250" t="s">
        <v>1525</v>
      </c>
      <c r="I591" s="250">
        <v>201501</v>
      </c>
      <c r="J591" s="251">
        <v>-127.94</v>
      </c>
      <c r="K591" s="171">
        <f t="shared" si="38"/>
        <v>5</v>
      </c>
      <c r="L591" s="253">
        <v>1.4833299999999999E-3</v>
      </c>
      <c r="M591" s="251">
        <f t="shared" si="43"/>
        <v>-0.95</v>
      </c>
      <c r="N591" s="251">
        <f t="shared" si="44"/>
        <v>-2.2799999999999998</v>
      </c>
      <c r="O591" s="223"/>
      <c r="P591" s="210" t="str">
        <f>VLOOKUP(C591,'WO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2" spans="1:16" ht="75" outlineLevel="2">
      <c r="A592" s="223" t="s">
        <v>17</v>
      </c>
      <c r="B592" s="250" t="s">
        <v>1063</v>
      </c>
      <c r="C592" s="250" t="s">
        <v>1064</v>
      </c>
      <c r="D592" s="223" t="s">
        <v>1065</v>
      </c>
      <c r="E592" s="250" t="s">
        <v>125</v>
      </c>
      <c r="F592" s="223" t="s">
        <v>126</v>
      </c>
      <c r="G592" s="250" t="s">
        <v>23</v>
      </c>
      <c r="H592" s="250" t="s">
        <v>1525</v>
      </c>
      <c r="I592" s="250">
        <v>201501</v>
      </c>
      <c r="J592" s="251">
        <v>-4051.45</v>
      </c>
      <c r="K592" s="171">
        <f t="shared" si="38"/>
        <v>5</v>
      </c>
      <c r="L592" s="253">
        <v>1.4833299999999999E-3</v>
      </c>
      <c r="M592" s="251">
        <f t="shared" si="43"/>
        <v>-30.05</v>
      </c>
      <c r="N592" s="251">
        <f t="shared" si="44"/>
        <v>-72.12</v>
      </c>
      <c r="O592" s="223"/>
      <c r="P592" s="210" t="str">
        <f>VLOOKUP(C592,'WO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3" spans="1:16" ht="75" outlineLevel="2">
      <c r="A593" s="223" t="s">
        <v>17</v>
      </c>
      <c r="B593" s="250" t="s">
        <v>999</v>
      </c>
      <c r="C593" s="250" t="s">
        <v>1000</v>
      </c>
      <c r="D593" s="223" t="s">
        <v>1001</v>
      </c>
      <c r="E593" s="250" t="s">
        <v>176</v>
      </c>
      <c r="F593" s="223" t="s">
        <v>28</v>
      </c>
      <c r="G593" s="250" t="s">
        <v>23</v>
      </c>
      <c r="H593" s="250" t="s">
        <v>1525</v>
      </c>
      <c r="I593" s="250">
        <v>201501</v>
      </c>
      <c r="J593" s="251">
        <v>-35.4</v>
      </c>
      <c r="K593" s="171">
        <f t="shared" si="38"/>
        <v>5</v>
      </c>
      <c r="L593" s="253">
        <v>1.4833299999999999E-3</v>
      </c>
      <c r="M593" s="251">
        <f t="shared" si="43"/>
        <v>-0.26</v>
      </c>
      <c r="N593" s="251">
        <f t="shared" si="44"/>
        <v>-0.63</v>
      </c>
      <c r="O593" s="223"/>
      <c r="P593" s="210" t="str">
        <f>VLOOKUP(C593,'WO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4" spans="1:16" ht="75" outlineLevel="2">
      <c r="A594" s="223" t="s">
        <v>54</v>
      </c>
      <c r="B594" s="250" t="s">
        <v>1002</v>
      </c>
      <c r="C594" s="250" t="s">
        <v>1003</v>
      </c>
      <c r="D594" s="223" t="s">
        <v>1004</v>
      </c>
      <c r="E594" s="250" t="s">
        <v>216</v>
      </c>
      <c r="F594" s="223" t="s">
        <v>22</v>
      </c>
      <c r="G594" s="250" t="s">
        <v>23</v>
      </c>
      <c r="H594" s="250" t="s">
        <v>1525</v>
      </c>
      <c r="I594" s="250">
        <v>201501</v>
      </c>
      <c r="J594" s="251">
        <v>-2560.84</v>
      </c>
      <c r="K594" s="171">
        <f t="shared" si="38"/>
        <v>5</v>
      </c>
      <c r="L594" s="253">
        <v>1.4833299999999999E-3</v>
      </c>
      <c r="M594" s="251">
        <f t="shared" si="43"/>
        <v>-18.989999999999998</v>
      </c>
      <c r="N594" s="251">
        <f t="shared" si="44"/>
        <v>-45.58</v>
      </c>
      <c r="O594" s="223"/>
      <c r="P594" s="210" t="str">
        <f>VLOOKUP(C594,'WO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5" spans="1:16" ht="75" outlineLevel="2">
      <c r="A595" s="223" t="s">
        <v>54</v>
      </c>
      <c r="B595" s="250" t="s">
        <v>1005</v>
      </c>
      <c r="C595" s="250" t="s">
        <v>1006</v>
      </c>
      <c r="D595" s="223" t="s">
        <v>1007</v>
      </c>
      <c r="E595" s="250" t="s">
        <v>141</v>
      </c>
      <c r="F595" s="223" t="s">
        <v>142</v>
      </c>
      <c r="G595" s="250" t="s">
        <v>23</v>
      </c>
      <c r="H595" s="250" t="s">
        <v>1525</v>
      </c>
      <c r="I595" s="250">
        <v>201501</v>
      </c>
      <c r="J595" s="251">
        <v>-125.4</v>
      </c>
      <c r="K595" s="171">
        <f t="shared" si="38"/>
        <v>5</v>
      </c>
      <c r="L595" s="253">
        <v>1.4833299999999999E-3</v>
      </c>
      <c r="M595" s="251">
        <f t="shared" si="43"/>
        <v>-0.93</v>
      </c>
      <c r="N595" s="251">
        <f t="shared" si="44"/>
        <v>-2.23</v>
      </c>
      <c r="O595" s="223"/>
      <c r="P595" s="210" t="str">
        <f>VLOOKUP(C595,'WO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6" spans="1:16" ht="75" outlineLevel="2">
      <c r="A596" s="223" t="s">
        <v>54</v>
      </c>
      <c r="B596" s="250" t="s">
        <v>2194</v>
      </c>
      <c r="C596" s="250" t="s">
        <v>2195</v>
      </c>
      <c r="D596" s="223" t="s">
        <v>2196</v>
      </c>
      <c r="E596" s="250" t="s">
        <v>36</v>
      </c>
      <c r="F596" s="223" t="s">
        <v>22</v>
      </c>
      <c r="G596" s="250" t="s">
        <v>23</v>
      </c>
      <c r="H596" s="250" t="s">
        <v>1525</v>
      </c>
      <c r="I596" s="250">
        <v>201501</v>
      </c>
      <c r="J596" s="251">
        <v>23997.22</v>
      </c>
      <c r="K596" s="171">
        <f t="shared" si="38"/>
        <v>5</v>
      </c>
      <c r="L596" s="253">
        <v>1.4833299999999999E-3</v>
      </c>
      <c r="M596" s="251">
        <f t="shared" si="43"/>
        <v>177.98</v>
      </c>
      <c r="N596" s="251">
        <f t="shared" si="44"/>
        <v>427.15</v>
      </c>
      <c r="O596" s="223"/>
      <c r="P596" s="210" t="str">
        <f>VLOOKUP(C596,'WO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7" spans="1:16" ht="75" outlineLevel="2">
      <c r="A597" s="223" t="s">
        <v>54</v>
      </c>
      <c r="B597" s="250" t="s">
        <v>1008</v>
      </c>
      <c r="C597" s="250" t="s">
        <v>1009</v>
      </c>
      <c r="D597" s="223" t="s">
        <v>1010</v>
      </c>
      <c r="E597" s="250" t="s">
        <v>49</v>
      </c>
      <c r="F597" s="223" t="s">
        <v>22</v>
      </c>
      <c r="G597" s="250" t="s">
        <v>23</v>
      </c>
      <c r="H597" s="250" t="s">
        <v>1525</v>
      </c>
      <c r="I597" s="250">
        <v>201501</v>
      </c>
      <c r="J597" s="251">
        <v>-222.36</v>
      </c>
      <c r="K597" s="171">
        <f t="shared" si="38"/>
        <v>5</v>
      </c>
      <c r="L597" s="253">
        <v>1.4833299999999999E-3</v>
      </c>
      <c r="M597" s="251">
        <f t="shared" si="43"/>
        <v>-1.65</v>
      </c>
      <c r="N597" s="251">
        <f t="shared" si="44"/>
        <v>-3.96</v>
      </c>
      <c r="O597" s="223"/>
      <c r="P597" s="210" t="str">
        <f>VLOOKUP(C597,'WO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8" spans="1:16" ht="75" outlineLevel="2">
      <c r="A598" s="223" t="s">
        <v>54</v>
      </c>
      <c r="B598" s="250" t="s">
        <v>1014</v>
      </c>
      <c r="C598" s="250" t="s">
        <v>1015</v>
      </c>
      <c r="D598" s="223" t="s">
        <v>1016</v>
      </c>
      <c r="E598" s="250" t="s">
        <v>296</v>
      </c>
      <c r="F598" s="223" t="s">
        <v>28</v>
      </c>
      <c r="G598" s="250" t="s">
        <v>23</v>
      </c>
      <c r="H598" s="250" t="s">
        <v>1525</v>
      </c>
      <c r="I598" s="250">
        <v>201501</v>
      </c>
      <c r="J598" s="251">
        <v>-6.33</v>
      </c>
      <c r="K598" s="171">
        <f t="shared" si="38"/>
        <v>5</v>
      </c>
      <c r="L598" s="253">
        <v>1.4833299999999999E-3</v>
      </c>
      <c r="M598" s="251">
        <f t="shared" si="43"/>
        <v>-0.05</v>
      </c>
      <c r="N598" s="251">
        <f t="shared" si="44"/>
        <v>-0.11</v>
      </c>
      <c r="O598" s="223"/>
      <c r="P598" s="210" t="str">
        <f>VLOOKUP(C598,'WO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599" spans="1:16" ht="75" outlineLevel="2">
      <c r="A599" s="223" t="s">
        <v>54</v>
      </c>
      <c r="B599" s="250" t="s">
        <v>1017</v>
      </c>
      <c r="C599" s="250" t="s">
        <v>1018</v>
      </c>
      <c r="D599" s="223" t="s">
        <v>1019</v>
      </c>
      <c r="E599" s="250" t="s">
        <v>1020</v>
      </c>
      <c r="F599" s="223" t="s">
        <v>22</v>
      </c>
      <c r="G599" s="250" t="s">
        <v>23</v>
      </c>
      <c r="H599" s="250" t="s">
        <v>1525</v>
      </c>
      <c r="I599" s="250">
        <v>201501</v>
      </c>
      <c r="J599" s="251">
        <v>-1626.32</v>
      </c>
      <c r="K599" s="171">
        <f t="shared" si="38"/>
        <v>5</v>
      </c>
      <c r="L599" s="253">
        <v>1.4833299999999999E-3</v>
      </c>
      <c r="M599" s="251">
        <f t="shared" si="43"/>
        <v>-12.06</v>
      </c>
      <c r="N599" s="251">
        <f t="shared" si="44"/>
        <v>-28.95</v>
      </c>
      <c r="O599" s="223"/>
      <c r="P599" s="210" t="str">
        <f>VLOOKUP(C599,'WO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0" spans="1:16" ht="75" outlineLevel="2">
      <c r="A600" s="223" t="s">
        <v>54</v>
      </c>
      <c r="B600" s="250" t="s">
        <v>1069</v>
      </c>
      <c r="C600" s="250" t="s">
        <v>1070</v>
      </c>
      <c r="D600" s="223" t="s">
        <v>1071</v>
      </c>
      <c r="E600" s="250" t="s">
        <v>296</v>
      </c>
      <c r="F600" s="223" t="s">
        <v>28</v>
      </c>
      <c r="G600" s="250" t="s">
        <v>23</v>
      </c>
      <c r="H600" s="250" t="s">
        <v>1525</v>
      </c>
      <c r="I600" s="250">
        <v>201501</v>
      </c>
      <c r="J600" s="251">
        <v>-19.29</v>
      </c>
      <c r="K600" s="171">
        <f t="shared" si="38"/>
        <v>5</v>
      </c>
      <c r="L600" s="253">
        <v>1.4833299999999999E-3</v>
      </c>
      <c r="M600" s="251">
        <f t="shared" si="43"/>
        <v>-0.14000000000000001</v>
      </c>
      <c r="N600" s="251">
        <f t="shared" si="44"/>
        <v>-0.34</v>
      </c>
      <c r="O600" s="223"/>
      <c r="P600" s="210" t="str">
        <f>VLOOKUP(C600,'WO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1" spans="1:16" ht="75" outlineLevel="2">
      <c r="A601" s="223" t="s">
        <v>54</v>
      </c>
      <c r="B601" s="250" t="s">
        <v>1072</v>
      </c>
      <c r="C601" s="250" t="s">
        <v>1073</v>
      </c>
      <c r="D601" s="223" t="s">
        <v>1074</v>
      </c>
      <c r="E601" s="250" t="s">
        <v>296</v>
      </c>
      <c r="F601" s="223" t="s">
        <v>28</v>
      </c>
      <c r="G601" s="250" t="s">
        <v>23</v>
      </c>
      <c r="H601" s="250" t="s">
        <v>1525</v>
      </c>
      <c r="I601" s="250">
        <v>201501</v>
      </c>
      <c r="J601" s="251">
        <v>-34.159999999999997</v>
      </c>
      <c r="K601" s="171">
        <f t="shared" si="38"/>
        <v>5</v>
      </c>
      <c r="L601" s="253">
        <v>1.4833299999999999E-3</v>
      </c>
      <c r="M601" s="251">
        <f t="shared" si="43"/>
        <v>-0.25</v>
      </c>
      <c r="N601" s="251">
        <f t="shared" si="44"/>
        <v>-0.61</v>
      </c>
      <c r="O601" s="223"/>
      <c r="P601" s="210" t="str">
        <f>VLOOKUP(C601,'WO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2" spans="1:16" ht="75" outlineLevel="2">
      <c r="A602" s="223" t="s">
        <v>54</v>
      </c>
      <c r="B602" s="250" t="s">
        <v>1075</v>
      </c>
      <c r="C602" s="250" t="s">
        <v>1076</v>
      </c>
      <c r="D602" s="223" t="s">
        <v>1077</v>
      </c>
      <c r="E602" s="250" t="s">
        <v>62</v>
      </c>
      <c r="F602" s="223" t="s">
        <v>22</v>
      </c>
      <c r="G602" s="250" t="s">
        <v>23</v>
      </c>
      <c r="H602" s="250" t="s">
        <v>1525</v>
      </c>
      <c r="I602" s="250">
        <v>201501</v>
      </c>
      <c r="J602" s="251">
        <v>-264.39</v>
      </c>
      <c r="K602" s="171">
        <f t="shared" si="38"/>
        <v>5</v>
      </c>
      <c r="L602" s="253">
        <v>1.4833299999999999E-3</v>
      </c>
      <c r="M602" s="251">
        <f t="shared" si="43"/>
        <v>-1.96</v>
      </c>
      <c r="N602" s="251">
        <f t="shared" si="44"/>
        <v>-4.71</v>
      </c>
      <c r="O602" s="223"/>
      <c r="P602" s="210" t="str">
        <f>VLOOKUP(C602,'WO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3" spans="1:16" ht="75" outlineLevel="2">
      <c r="A603" s="223" t="s">
        <v>54</v>
      </c>
      <c r="B603" s="250" t="s">
        <v>1021</v>
      </c>
      <c r="C603" s="250" t="s">
        <v>1022</v>
      </c>
      <c r="D603" s="223" t="s">
        <v>1023</v>
      </c>
      <c r="E603" s="250" t="s">
        <v>108</v>
      </c>
      <c r="F603" s="223" t="s">
        <v>28</v>
      </c>
      <c r="G603" s="250" t="s">
        <v>23</v>
      </c>
      <c r="H603" s="250" t="s">
        <v>1525</v>
      </c>
      <c r="I603" s="250">
        <v>201501</v>
      </c>
      <c r="J603" s="251">
        <v>-0.54</v>
      </c>
      <c r="K603" s="171">
        <f t="shared" si="38"/>
        <v>5</v>
      </c>
      <c r="L603" s="253">
        <v>1.4833299999999999E-3</v>
      </c>
      <c r="M603" s="251">
        <f t="shared" si="43"/>
        <v>0</v>
      </c>
      <c r="N603" s="251">
        <f t="shared" si="44"/>
        <v>-0.01</v>
      </c>
      <c r="O603" s="223"/>
      <c r="P603" s="210" t="str">
        <f>VLOOKUP(C603,'WO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4" spans="1:16" ht="75" outlineLevel="2">
      <c r="A604" s="223" t="s">
        <v>54</v>
      </c>
      <c r="B604" s="250" t="s">
        <v>1078</v>
      </c>
      <c r="C604" s="250" t="s">
        <v>1079</v>
      </c>
      <c r="D604" s="223" t="s">
        <v>1080</v>
      </c>
      <c r="E604" s="250" t="s">
        <v>62</v>
      </c>
      <c r="F604" s="223" t="s">
        <v>22</v>
      </c>
      <c r="G604" s="250" t="s">
        <v>23</v>
      </c>
      <c r="H604" s="250" t="s">
        <v>1525</v>
      </c>
      <c r="I604" s="250">
        <v>201501</v>
      </c>
      <c r="J604" s="251">
        <v>-9.73</v>
      </c>
      <c r="K604" s="171">
        <f t="shared" si="38"/>
        <v>5</v>
      </c>
      <c r="L604" s="253">
        <v>1.4833299999999999E-3</v>
      </c>
      <c r="M604" s="251">
        <f t="shared" si="43"/>
        <v>-7.0000000000000007E-2</v>
      </c>
      <c r="N604" s="251">
        <f t="shared" si="44"/>
        <v>-0.17</v>
      </c>
      <c r="O604" s="223"/>
      <c r="P604" s="210" t="str">
        <f>VLOOKUP(C604,'WO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5" spans="1:16" ht="75" outlineLevel="2">
      <c r="A605" s="223" t="s">
        <v>54</v>
      </c>
      <c r="B605" s="250" t="s">
        <v>1081</v>
      </c>
      <c r="C605" s="250" t="s">
        <v>1082</v>
      </c>
      <c r="D605" s="223" t="s">
        <v>1083</v>
      </c>
      <c r="E605" s="250" t="s">
        <v>141</v>
      </c>
      <c r="F605" s="223" t="s">
        <v>142</v>
      </c>
      <c r="G605" s="250" t="s">
        <v>23</v>
      </c>
      <c r="H605" s="250" t="s">
        <v>1525</v>
      </c>
      <c r="I605" s="250">
        <v>201501</v>
      </c>
      <c r="J605" s="251">
        <v>40504.11</v>
      </c>
      <c r="K605" s="171">
        <f t="shared" si="38"/>
        <v>5</v>
      </c>
      <c r="L605" s="253">
        <v>1.4833299999999999E-3</v>
      </c>
      <c r="M605" s="251">
        <f t="shared" si="43"/>
        <v>300.39999999999998</v>
      </c>
      <c r="N605" s="251">
        <f t="shared" si="44"/>
        <v>720.97</v>
      </c>
      <c r="O605" s="223"/>
      <c r="P605" s="210" t="str">
        <f>VLOOKUP(C605,'WO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6" spans="1:16" ht="75" outlineLevel="2">
      <c r="A606" s="223" t="s">
        <v>54</v>
      </c>
      <c r="B606" s="250" t="s">
        <v>1084</v>
      </c>
      <c r="C606" s="250" t="s">
        <v>1085</v>
      </c>
      <c r="D606" s="223" t="s">
        <v>1086</v>
      </c>
      <c r="E606" s="250" t="s">
        <v>21</v>
      </c>
      <c r="F606" s="223" t="s">
        <v>22</v>
      </c>
      <c r="G606" s="250" t="s">
        <v>23</v>
      </c>
      <c r="H606" s="250" t="s">
        <v>1525</v>
      </c>
      <c r="I606" s="250">
        <v>201501</v>
      </c>
      <c r="J606" s="251">
        <v>3371.22</v>
      </c>
      <c r="K606" s="171">
        <f t="shared" si="38"/>
        <v>5</v>
      </c>
      <c r="L606" s="253">
        <v>1.4833299999999999E-3</v>
      </c>
      <c r="M606" s="251">
        <f t="shared" ref="M606:M620" si="45">ROUND(J606*K606*L606,2)</f>
        <v>25</v>
      </c>
      <c r="N606" s="251">
        <f t="shared" ref="N606:N669" si="46">ROUND(J606*L606*12,2)</f>
        <v>60.01</v>
      </c>
      <c r="O606" s="223"/>
      <c r="P606" s="210" t="str">
        <f>VLOOKUP(C606,'WO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7" spans="1:16" ht="75" outlineLevel="2">
      <c r="A607" s="223" t="s">
        <v>54</v>
      </c>
      <c r="B607" s="250" t="s">
        <v>2197</v>
      </c>
      <c r="C607" s="250" t="s">
        <v>1741</v>
      </c>
      <c r="D607" s="223" t="s">
        <v>1742</v>
      </c>
      <c r="E607" s="250" t="s">
        <v>216</v>
      </c>
      <c r="F607" s="223" t="s">
        <v>22</v>
      </c>
      <c r="G607" s="250" t="s">
        <v>23</v>
      </c>
      <c r="H607" s="250" t="s">
        <v>1525</v>
      </c>
      <c r="I607" s="250">
        <v>201501</v>
      </c>
      <c r="J607" s="251">
        <v>43695.4</v>
      </c>
      <c r="K607" s="171">
        <f t="shared" si="38"/>
        <v>5</v>
      </c>
      <c r="L607" s="253">
        <v>1.4833299999999999E-3</v>
      </c>
      <c r="M607" s="251">
        <f t="shared" si="45"/>
        <v>324.07</v>
      </c>
      <c r="N607" s="251">
        <f t="shared" si="46"/>
        <v>777.78</v>
      </c>
      <c r="O607" s="223"/>
      <c r="P607" s="210" t="str">
        <f>VLOOKUP(C607,'WO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8" spans="1:16" ht="75" outlineLevel="2">
      <c r="A608" s="223" t="s">
        <v>54</v>
      </c>
      <c r="B608" s="250" t="s">
        <v>1087</v>
      </c>
      <c r="C608" s="250" t="s">
        <v>1088</v>
      </c>
      <c r="D608" s="223" t="s">
        <v>1089</v>
      </c>
      <c r="E608" s="250" t="s">
        <v>1020</v>
      </c>
      <c r="F608" s="223" t="s">
        <v>22</v>
      </c>
      <c r="G608" s="250" t="s">
        <v>23</v>
      </c>
      <c r="H608" s="250" t="s">
        <v>1525</v>
      </c>
      <c r="I608" s="250">
        <v>201501</v>
      </c>
      <c r="J608" s="251">
        <v>-355.88</v>
      </c>
      <c r="K608" s="171">
        <f t="shared" si="38"/>
        <v>5</v>
      </c>
      <c r="L608" s="253">
        <v>1.4833299999999999E-3</v>
      </c>
      <c r="M608" s="251">
        <f t="shared" si="45"/>
        <v>-2.64</v>
      </c>
      <c r="N608" s="251">
        <f t="shared" si="46"/>
        <v>-6.33</v>
      </c>
      <c r="O608" s="223"/>
      <c r="P608" s="210" t="str">
        <f>VLOOKUP(C608,'WO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09" spans="1:16" ht="75" outlineLevel="2">
      <c r="A609" s="223" t="s">
        <v>54</v>
      </c>
      <c r="B609" s="250" t="s">
        <v>1090</v>
      </c>
      <c r="C609" s="250" t="s">
        <v>1091</v>
      </c>
      <c r="D609" s="223" t="s">
        <v>1092</v>
      </c>
      <c r="E609" s="250" t="s">
        <v>216</v>
      </c>
      <c r="F609" s="223" t="s">
        <v>22</v>
      </c>
      <c r="G609" s="250" t="s">
        <v>23</v>
      </c>
      <c r="H609" s="250" t="s">
        <v>1525</v>
      </c>
      <c r="I609" s="250">
        <v>201501</v>
      </c>
      <c r="J609" s="251">
        <v>-806.13</v>
      </c>
      <c r="K609" s="171">
        <f t="shared" si="38"/>
        <v>5</v>
      </c>
      <c r="L609" s="253">
        <v>1.4833299999999999E-3</v>
      </c>
      <c r="M609" s="251">
        <f t="shared" si="45"/>
        <v>-5.98</v>
      </c>
      <c r="N609" s="251">
        <f t="shared" si="46"/>
        <v>-14.35</v>
      </c>
      <c r="O609" s="223"/>
      <c r="P609" s="210" t="str">
        <f>VLOOKUP(C609,'WO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10" spans="1:16" ht="75" outlineLevel="2">
      <c r="A610" s="223" t="s">
        <v>54</v>
      </c>
      <c r="B610" s="250" t="s">
        <v>2198</v>
      </c>
      <c r="C610" s="250" t="s">
        <v>2199</v>
      </c>
      <c r="D610" s="223" t="s">
        <v>2200</v>
      </c>
      <c r="E610" s="250" t="s">
        <v>176</v>
      </c>
      <c r="F610" s="223" t="s">
        <v>28</v>
      </c>
      <c r="G610" s="250" t="s">
        <v>23</v>
      </c>
      <c r="H610" s="250" t="s">
        <v>1525</v>
      </c>
      <c r="I610" s="250">
        <v>201501</v>
      </c>
      <c r="J610" s="251">
        <v>128.97999999999999</v>
      </c>
      <c r="K610" s="171">
        <f t="shared" si="38"/>
        <v>5</v>
      </c>
      <c r="L610" s="253">
        <v>1.4833299999999999E-3</v>
      </c>
      <c r="M610" s="251">
        <f t="shared" si="45"/>
        <v>0.96</v>
      </c>
      <c r="N610" s="251">
        <f t="shared" si="46"/>
        <v>2.2999999999999998</v>
      </c>
      <c r="O610" s="223"/>
      <c r="P610" s="210" t="str">
        <f>VLOOKUP(C610,'WO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11" spans="1:16" ht="75" outlineLevel="2">
      <c r="A611" s="223" t="s">
        <v>54</v>
      </c>
      <c r="B611" s="250" t="s">
        <v>2201</v>
      </c>
      <c r="C611" s="250" t="s">
        <v>2202</v>
      </c>
      <c r="D611" s="223" t="s">
        <v>2203</v>
      </c>
      <c r="E611" s="250" t="s">
        <v>909</v>
      </c>
      <c r="F611" s="223" t="s">
        <v>22</v>
      </c>
      <c r="G611" s="250" t="s">
        <v>23</v>
      </c>
      <c r="H611" s="250" t="s">
        <v>1525</v>
      </c>
      <c r="I611" s="250">
        <v>201501</v>
      </c>
      <c r="J611" s="251">
        <v>3215.27</v>
      </c>
      <c r="K611" s="171">
        <f t="shared" si="38"/>
        <v>5</v>
      </c>
      <c r="L611" s="253">
        <v>1.4833299999999999E-3</v>
      </c>
      <c r="M611" s="251">
        <f t="shared" si="45"/>
        <v>23.85</v>
      </c>
      <c r="N611" s="251">
        <f t="shared" si="46"/>
        <v>57.23</v>
      </c>
      <c r="O611" s="223"/>
      <c r="P611" s="210" t="str">
        <f>VLOOKUP(C611,'WO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12" spans="1:16" ht="75" outlineLevel="2">
      <c r="A612" s="223" t="s">
        <v>54</v>
      </c>
      <c r="B612" s="250" t="s">
        <v>1093</v>
      </c>
      <c r="C612" s="250" t="s">
        <v>1094</v>
      </c>
      <c r="D612" s="223" t="s">
        <v>1095</v>
      </c>
      <c r="E612" s="250" t="s">
        <v>27</v>
      </c>
      <c r="F612" s="223" t="s">
        <v>28</v>
      </c>
      <c r="G612" s="250" t="s">
        <v>23</v>
      </c>
      <c r="H612" s="250" t="s">
        <v>1525</v>
      </c>
      <c r="I612" s="250">
        <v>201501</v>
      </c>
      <c r="J612" s="251">
        <v>-1.69</v>
      </c>
      <c r="K612" s="171">
        <f t="shared" si="38"/>
        <v>5</v>
      </c>
      <c r="L612" s="253">
        <v>1.4833299999999999E-3</v>
      </c>
      <c r="M612" s="251">
        <f t="shared" si="45"/>
        <v>-0.01</v>
      </c>
      <c r="N612" s="251">
        <f t="shared" si="46"/>
        <v>-0.03</v>
      </c>
      <c r="O612" s="223"/>
      <c r="P612" s="210" t="str">
        <f>VLOOKUP(C612,'WO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13" spans="1:16" ht="45" outlineLevel="2">
      <c r="A613" s="223" t="s">
        <v>17</v>
      </c>
      <c r="B613" s="250" t="s">
        <v>2204</v>
      </c>
      <c r="C613" s="250" t="s">
        <v>2205</v>
      </c>
      <c r="D613" s="223" t="s">
        <v>2206</v>
      </c>
      <c r="E613" s="250" t="s">
        <v>440</v>
      </c>
      <c r="F613" s="223" t="s">
        <v>28</v>
      </c>
      <c r="G613" s="250" t="s">
        <v>23</v>
      </c>
      <c r="H613" s="250" t="s">
        <v>1525</v>
      </c>
      <c r="I613" s="250">
        <v>201501</v>
      </c>
      <c r="J613" s="251">
        <v>22886.23</v>
      </c>
      <c r="K613" s="171">
        <f t="shared" si="38"/>
        <v>5</v>
      </c>
      <c r="L613" s="253">
        <v>1.4833299999999999E-3</v>
      </c>
      <c r="M613" s="251">
        <f t="shared" si="45"/>
        <v>169.74</v>
      </c>
      <c r="N613" s="251">
        <f t="shared" si="46"/>
        <v>407.37</v>
      </c>
      <c r="O613" s="223"/>
      <c r="P613" s="210" t="str">
        <f>VLOOKUP(C613,'WO Descriptions'!$A$5:$D$384,4)</f>
        <v>Approved by: Kevin Driskell on 11/06/2014,  Replace a total of 80' of 2'' PCS (57' WO- A5579D and 23' WO- 761745) with 2'' PCS due to leaks. Make sure to bottle the old tap on the 12'' PCS. Pressure system C-039 MOP 135psig. Pressure test at 230psig.</v>
      </c>
    </row>
    <row r="614" spans="1:16" ht="45" outlineLevel="2">
      <c r="A614" s="223" t="s">
        <v>54</v>
      </c>
      <c r="B614" s="250" t="s">
        <v>1096</v>
      </c>
      <c r="C614" s="250" t="s">
        <v>1097</v>
      </c>
      <c r="D614" s="223" t="s">
        <v>1098</v>
      </c>
      <c r="E614" s="250" t="s">
        <v>462</v>
      </c>
      <c r="F614" s="223" t="s">
        <v>142</v>
      </c>
      <c r="G614" s="250" t="s">
        <v>23</v>
      </c>
      <c r="H614" s="250" t="s">
        <v>1525</v>
      </c>
      <c r="I614" s="250">
        <v>201501</v>
      </c>
      <c r="J614" s="251">
        <v>740.17</v>
      </c>
      <c r="K614" s="171">
        <f t="shared" si="38"/>
        <v>5</v>
      </c>
      <c r="L614" s="253">
        <v>1.4833299999999999E-3</v>
      </c>
      <c r="M614" s="251">
        <f t="shared" si="45"/>
        <v>5.49</v>
      </c>
      <c r="N614" s="251">
        <f t="shared" si="46"/>
        <v>13.17</v>
      </c>
      <c r="O614" s="223"/>
      <c r="P614" s="210" t="str">
        <f>VLOOKUP(C614,'WO Descriptions'!$A$5:$D$384,4)</f>
        <v>Approved by: Kevin Driskell on 11/06/2014,  Replace a total of 80' of 2'' PCS (57' WO- A5579D and 23' WO- 761745) with 2'' PCS due to leaks. Make sure to bottle the old tap on the 12'' PCS. Pressure system C-039 MOP 135psig. Pressure test at 230psig.</v>
      </c>
    </row>
    <row r="615" spans="1:16" ht="45" outlineLevel="2">
      <c r="A615" s="223" t="s">
        <v>54</v>
      </c>
      <c r="B615" s="250" t="s">
        <v>2207</v>
      </c>
      <c r="C615" s="250" t="s">
        <v>2208</v>
      </c>
      <c r="D615" s="223" t="s">
        <v>2209</v>
      </c>
      <c r="E615" s="250" t="s">
        <v>141</v>
      </c>
      <c r="F615" s="223" t="s">
        <v>142</v>
      </c>
      <c r="G615" s="250" t="s">
        <v>23</v>
      </c>
      <c r="H615" s="250" t="s">
        <v>1525</v>
      </c>
      <c r="I615" s="250">
        <v>201501</v>
      </c>
      <c r="J615" s="251">
        <v>65796.67</v>
      </c>
      <c r="K615" s="171">
        <f t="shared" si="38"/>
        <v>5</v>
      </c>
      <c r="L615" s="253">
        <v>1.4833299999999999E-3</v>
      </c>
      <c r="M615" s="251">
        <f t="shared" si="45"/>
        <v>487.99</v>
      </c>
      <c r="N615" s="251">
        <f t="shared" si="46"/>
        <v>1171.18</v>
      </c>
      <c r="O615" s="223"/>
      <c r="P615" s="210" t="str">
        <f>VLOOKUP(C615,'WO Descriptions'!$A$5:$D$384,4)</f>
        <v>Approved by: Kevin Driskell on 11/06/2014,  Replace a total of 80' of 2'' PCS (57' WO- A5579D and 23' WO- 761745) with 2'' PCS due to leaks. Make sure to bottle the old tap on the 12'' PCS. Pressure system C-039 MOP 135psig. Pressure test at 230psig.</v>
      </c>
    </row>
    <row r="616" spans="1:16" ht="45" outlineLevel="2">
      <c r="A616" s="223" t="s">
        <v>54</v>
      </c>
      <c r="B616" s="250" t="s">
        <v>2210</v>
      </c>
      <c r="C616" s="250" t="s">
        <v>2211</v>
      </c>
      <c r="D616" s="223" t="s">
        <v>2212</v>
      </c>
      <c r="E616" s="250" t="s">
        <v>45</v>
      </c>
      <c r="F616" s="223" t="s">
        <v>22</v>
      </c>
      <c r="G616" s="250" t="s">
        <v>23</v>
      </c>
      <c r="H616" s="250" t="s">
        <v>1525</v>
      </c>
      <c r="I616" s="250">
        <v>201501</v>
      </c>
      <c r="J616" s="251">
        <v>32651.14</v>
      </c>
      <c r="K616" s="171">
        <f t="shared" si="38"/>
        <v>5</v>
      </c>
      <c r="L616" s="253">
        <v>1.4833299999999999E-3</v>
      </c>
      <c r="M616" s="251">
        <f t="shared" si="45"/>
        <v>242.16</v>
      </c>
      <c r="N616" s="251">
        <f t="shared" si="46"/>
        <v>581.19000000000005</v>
      </c>
      <c r="O616" s="223"/>
      <c r="P616" s="210" t="str">
        <f>VLOOKUP(C616,'WO Descriptions'!$A$5:$D$384,4)</f>
        <v>Approved by: Kevin Driskell on 11/21/2014,  Replace 385' of 4" Bare Steel pipe with 530' of 4" PE due to leak on above ground creek crossing (leaks are at pipe supports). Existing 4" bare steel lays in blanket easement and will replace in road ROW due to creek crossing.</v>
      </c>
    </row>
    <row r="617" spans="1:16" ht="60" outlineLevel="2">
      <c r="A617" s="223" t="s">
        <v>17</v>
      </c>
      <c r="B617" s="250" t="s">
        <v>2213</v>
      </c>
      <c r="C617" s="250" t="s">
        <v>2214</v>
      </c>
      <c r="D617" s="223" t="s">
        <v>2215</v>
      </c>
      <c r="E617" s="250" t="s">
        <v>108</v>
      </c>
      <c r="F617" s="223" t="s">
        <v>28</v>
      </c>
      <c r="G617" s="250" t="s">
        <v>23</v>
      </c>
      <c r="H617" s="250" t="s">
        <v>1525</v>
      </c>
      <c r="I617" s="250">
        <v>201501</v>
      </c>
      <c r="J617" s="251">
        <v>3822.71</v>
      </c>
      <c r="K617" s="171">
        <f t="shared" si="38"/>
        <v>5</v>
      </c>
      <c r="L617" s="253">
        <v>1.4833299999999999E-3</v>
      </c>
      <c r="M617" s="251">
        <f t="shared" si="45"/>
        <v>28.35</v>
      </c>
      <c r="N617" s="251">
        <f t="shared" si="46"/>
        <v>68.040000000000006</v>
      </c>
      <c r="O617" s="223"/>
      <c r="P617" s="210" t="str">
        <f>VLOOKUP(C617,'WO Descriptions'!$A$5:$D$384,4)</f>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
    </row>
    <row r="618" spans="1:16" ht="60" outlineLevel="2">
      <c r="A618" s="223" t="s">
        <v>17</v>
      </c>
      <c r="B618" s="250" t="s">
        <v>2216</v>
      </c>
      <c r="C618" s="250" t="s">
        <v>2217</v>
      </c>
      <c r="D618" s="223" t="s">
        <v>2218</v>
      </c>
      <c r="E618" s="250" t="s">
        <v>324</v>
      </c>
      <c r="F618" s="223" t="s">
        <v>325</v>
      </c>
      <c r="G618" s="250" t="s">
        <v>23</v>
      </c>
      <c r="H618" s="250" t="s">
        <v>1525</v>
      </c>
      <c r="I618" s="250">
        <v>201501</v>
      </c>
      <c r="J618" s="251">
        <v>11034.87</v>
      </c>
      <c r="K618" s="171">
        <f t="shared" si="38"/>
        <v>5</v>
      </c>
      <c r="L618" s="253">
        <v>1.4833299999999999E-3</v>
      </c>
      <c r="M618" s="251">
        <f t="shared" si="45"/>
        <v>81.84</v>
      </c>
      <c r="N618" s="251">
        <f t="shared" si="46"/>
        <v>196.42</v>
      </c>
      <c r="O618" s="223"/>
      <c r="P618" s="210" t="str">
        <f>VLOOKUP(C618,'WO Descriptions'!$A$5:$D$384,4)</f>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
    </row>
    <row r="619" spans="1:16" ht="120" outlineLevel="2">
      <c r="A619" s="223" t="s">
        <v>54</v>
      </c>
      <c r="B619" s="250" t="s">
        <v>55</v>
      </c>
      <c r="C619" s="250" t="s">
        <v>56</v>
      </c>
      <c r="D619" s="223" t="s">
        <v>57</v>
      </c>
      <c r="E619" s="250" t="s">
        <v>58</v>
      </c>
      <c r="F619" s="223" t="s">
        <v>22</v>
      </c>
      <c r="G619" s="250" t="s">
        <v>23</v>
      </c>
      <c r="H619" s="250" t="s">
        <v>1525</v>
      </c>
      <c r="I619" s="250">
        <v>201502</v>
      </c>
      <c r="J619" s="251">
        <v>-145.28</v>
      </c>
      <c r="K619" s="171">
        <f t="shared" si="38"/>
        <v>4</v>
      </c>
      <c r="L619" s="253">
        <v>1.4833299999999999E-3</v>
      </c>
      <c r="M619" s="251">
        <f t="shared" si="45"/>
        <v>-0.86</v>
      </c>
      <c r="N619" s="251">
        <f t="shared" si="46"/>
        <v>-2.59</v>
      </c>
      <c r="O619" s="223"/>
      <c r="P619" s="210" t="str">
        <f>VLOOKUP(C619,'WO Descriptions'!$A$5:$D$384,4)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row>
    <row r="620" spans="1:16" ht="105" outlineLevel="2">
      <c r="A620" s="223" t="s">
        <v>54</v>
      </c>
      <c r="B620" s="250" t="s">
        <v>146</v>
      </c>
      <c r="C620" s="250" t="s">
        <v>147</v>
      </c>
      <c r="D620" s="223" t="s">
        <v>148</v>
      </c>
      <c r="E620" s="250" t="s">
        <v>62</v>
      </c>
      <c r="F620" s="223" t="s">
        <v>22</v>
      </c>
      <c r="G620" s="250" t="s">
        <v>23</v>
      </c>
      <c r="H620" s="250" t="s">
        <v>1525</v>
      </c>
      <c r="I620" s="250">
        <v>201502</v>
      </c>
      <c r="J620" s="251">
        <v>6528.61</v>
      </c>
      <c r="K620" s="171">
        <f t="shared" si="38"/>
        <v>4</v>
      </c>
      <c r="L620" s="253">
        <v>1.4833299999999999E-3</v>
      </c>
      <c r="M620" s="251">
        <f t="shared" si="45"/>
        <v>38.74</v>
      </c>
      <c r="N620" s="251">
        <f t="shared" si="46"/>
        <v>116.21</v>
      </c>
      <c r="O620" s="223"/>
      <c r="P620" s="210" t="str">
        <f>VLOOKUP(C620,'WO Descriptions'!$A$5:$D$384,4)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621" spans="1:16" ht="90" outlineLevel="2">
      <c r="A621" s="223" t="s">
        <v>17</v>
      </c>
      <c r="B621" s="250" t="s">
        <v>1024</v>
      </c>
      <c r="C621" s="250" t="s">
        <v>1025</v>
      </c>
      <c r="D621" s="223" t="s">
        <v>1026</v>
      </c>
      <c r="E621" s="250" t="s">
        <v>216</v>
      </c>
      <c r="F621" s="223" t="s">
        <v>22</v>
      </c>
      <c r="G621" s="250" t="s">
        <v>23</v>
      </c>
      <c r="H621" s="250" t="s">
        <v>1525</v>
      </c>
      <c r="I621" s="250">
        <v>201502</v>
      </c>
      <c r="J621" s="251">
        <v>10.91</v>
      </c>
      <c r="K621" s="171">
        <f t="shared" si="38"/>
        <v>4</v>
      </c>
      <c r="L621" s="253">
        <v>1.4833299999999999E-3</v>
      </c>
      <c r="M621" s="251">
        <f t="shared" ref="M621:M684" si="47">ROUND(J621*K621*L621,2)</f>
        <v>0.06</v>
      </c>
      <c r="N621" s="251">
        <f t="shared" si="46"/>
        <v>0.19</v>
      </c>
      <c r="O621" s="223"/>
      <c r="P621" s="210" t="str">
        <f>VLOOKUP(C621,'WO Descriptions'!$A$5:$D$384,4)</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row>
    <row r="622" spans="1:16" ht="75" outlineLevel="2">
      <c r="A622" s="223" t="s">
        <v>54</v>
      </c>
      <c r="B622" s="250" t="s">
        <v>309</v>
      </c>
      <c r="C622" s="250" t="s">
        <v>310</v>
      </c>
      <c r="D622" s="223" t="s">
        <v>311</v>
      </c>
      <c r="E622" s="250" t="s">
        <v>216</v>
      </c>
      <c r="F622" s="223" t="s">
        <v>22</v>
      </c>
      <c r="G622" s="250" t="s">
        <v>23</v>
      </c>
      <c r="H622" s="250" t="s">
        <v>1525</v>
      </c>
      <c r="I622" s="250">
        <v>201502</v>
      </c>
      <c r="J622" s="251">
        <v>-166.18</v>
      </c>
      <c r="K622" s="171">
        <f t="shared" si="38"/>
        <v>4</v>
      </c>
      <c r="L622" s="253">
        <v>1.4833299999999999E-3</v>
      </c>
      <c r="M622" s="251">
        <f t="shared" si="47"/>
        <v>-0.99</v>
      </c>
      <c r="N622" s="251">
        <f t="shared" si="46"/>
        <v>-2.96</v>
      </c>
      <c r="O622" s="223"/>
      <c r="P622" s="210" t="str">
        <f>VLOOKUP(C622,'WO Descriptions'!$A$5:$D$384,4)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623" spans="1:16" ht="105" outlineLevel="2">
      <c r="A623" s="223" t="s">
        <v>17</v>
      </c>
      <c r="B623" s="250" t="s">
        <v>347</v>
      </c>
      <c r="C623" s="250" t="s">
        <v>348</v>
      </c>
      <c r="D623" s="223" t="s">
        <v>349</v>
      </c>
      <c r="E623" s="250" t="s">
        <v>324</v>
      </c>
      <c r="F623" s="223" t="s">
        <v>325</v>
      </c>
      <c r="G623" s="250" t="s">
        <v>23</v>
      </c>
      <c r="H623" s="250" t="s">
        <v>1525</v>
      </c>
      <c r="I623" s="250">
        <v>201502</v>
      </c>
      <c r="J623" s="251">
        <v>-37.24</v>
      </c>
      <c r="K623" s="171">
        <f t="shared" si="38"/>
        <v>4</v>
      </c>
      <c r="L623" s="253">
        <v>1.4833299999999999E-3</v>
      </c>
      <c r="M623" s="251">
        <f t="shared" si="47"/>
        <v>-0.22</v>
      </c>
      <c r="N623" s="251">
        <f t="shared" si="46"/>
        <v>-0.66</v>
      </c>
      <c r="O623" s="223"/>
      <c r="P623" s="210" t="str">
        <f>VLOOKUP(C623,'WO Descriptions'!$A$5:$D$384,4)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624" spans="1:16" ht="75" outlineLevel="2">
      <c r="A624" s="223" t="s">
        <v>54</v>
      </c>
      <c r="B624" s="250" t="s">
        <v>419</v>
      </c>
      <c r="C624" s="250" t="s">
        <v>420</v>
      </c>
      <c r="D624" s="223" t="s">
        <v>421</v>
      </c>
      <c r="E624" s="250" t="s">
        <v>32</v>
      </c>
      <c r="F624" s="223" t="s">
        <v>22</v>
      </c>
      <c r="G624" s="250" t="s">
        <v>23</v>
      </c>
      <c r="H624" s="250" t="s">
        <v>1525</v>
      </c>
      <c r="I624" s="250">
        <v>201502</v>
      </c>
      <c r="J624" s="251">
        <v>-1.1299999999999999</v>
      </c>
      <c r="K624" s="171">
        <f t="shared" si="38"/>
        <v>4</v>
      </c>
      <c r="L624" s="253">
        <v>1.4833299999999999E-3</v>
      </c>
      <c r="M624" s="251">
        <f t="shared" si="47"/>
        <v>-0.01</v>
      </c>
      <c r="N624" s="251">
        <f t="shared" si="46"/>
        <v>-0.02</v>
      </c>
      <c r="O624" s="223"/>
      <c r="P624" s="210" t="str">
        <f>VLOOKUP(C624,'WO Descriptions'!$A$5:$D$384,4)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625" spans="1:16" ht="150" outlineLevel="2">
      <c r="A625" s="223" t="s">
        <v>54</v>
      </c>
      <c r="B625" s="250" t="s">
        <v>441</v>
      </c>
      <c r="C625" s="250" t="s">
        <v>442</v>
      </c>
      <c r="D625" s="223" t="s">
        <v>443</v>
      </c>
      <c r="E625" s="250" t="s">
        <v>141</v>
      </c>
      <c r="F625" s="223" t="s">
        <v>142</v>
      </c>
      <c r="G625" s="250" t="s">
        <v>23</v>
      </c>
      <c r="H625" s="250" t="s">
        <v>1525</v>
      </c>
      <c r="I625" s="250">
        <v>201502</v>
      </c>
      <c r="J625" s="251">
        <v>84.58</v>
      </c>
      <c r="K625" s="171">
        <f t="shared" si="38"/>
        <v>4</v>
      </c>
      <c r="L625" s="253">
        <v>1.4833299999999999E-3</v>
      </c>
      <c r="M625" s="251">
        <f t="shared" si="47"/>
        <v>0.5</v>
      </c>
      <c r="N625" s="251">
        <f t="shared" si="46"/>
        <v>1.51</v>
      </c>
      <c r="O625" s="223"/>
      <c r="P625" s="210" t="str">
        <f>VLOOKUP(C625,'WO Descriptions'!$A$5:$D$384,4)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626" spans="1:16" ht="75" outlineLevel="2">
      <c r="A626" s="223" t="s">
        <v>54</v>
      </c>
      <c r="B626" s="250" t="s">
        <v>453</v>
      </c>
      <c r="C626" s="250" t="s">
        <v>454</v>
      </c>
      <c r="D626" s="223" t="s">
        <v>455</v>
      </c>
      <c r="E626" s="250" t="s">
        <v>62</v>
      </c>
      <c r="F626" s="223" t="s">
        <v>22</v>
      </c>
      <c r="G626" s="250" t="s">
        <v>23</v>
      </c>
      <c r="H626" s="250" t="s">
        <v>1525</v>
      </c>
      <c r="I626" s="250">
        <v>201502</v>
      </c>
      <c r="J626" s="251">
        <v>-9.2899999999999991</v>
      </c>
      <c r="K626" s="171">
        <f t="shared" si="38"/>
        <v>4</v>
      </c>
      <c r="L626" s="253">
        <v>1.4833299999999999E-3</v>
      </c>
      <c r="M626" s="251">
        <f t="shared" si="47"/>
        <v>-0.06</v>
      </c>
      <c r="N626" s="251">
        <f t="shared" si="46"/>
        <v>-0.17</v>
      </c>
      <c r="O626" s="223"/>
      <c r="P626" s="210" t="str">
        <f>VLOOKUP(C626,'WO Descriptions'!$A$5:$D$384,4)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627" spans="1:16" ht="45" outlineLevel="2">
      <c r="A627" s="223" t="s">
        <v>17</v>
      </c>
      <c r="B627" s="250" t="s">
        <v>480</v>
      </c>
      <c r="C627" s="250" t="s">
        <v>481</v>
      </c>
      <c r="D627" s="223" t="s">
        <v>482</v>
      </c>
      <c r="E627" s="250" t="s">
        <v>141</v>
      </c>
      <c r="F627" s="223" t="s">
        <v>142</v>
      </c>
      <c r="G627" s="250" t="s">
        <v>23</v>
      </c>
      <c r="H627" s="250" t="s">
        <v>1525</v>
      </c>
      <c r="I627" s="250">
        <v>201502</v>
      </c>
      <c r="J627" s="251">
        <v>-2.95</v>
      </c>
      <c r="K627" s="171">
        <f t="shared" si="38"/>
        <v>4</v>
      </c>
      <c r="L627" s="253">
        <v>1.4833299999999999E-3</v>
      </c>
      <c r="M627" s="251">
        <f t="shared" si="47"/>
        <v>-0.02</v>
      </c>
      <c r="N627" s="251">
        <f t="shared" si="46"/>
        <v>-0.05</v>
      </c>
      <c r="O627" s="223"/>
      <c r="P627" s="210" t="str">
        <f>VLOOKUP(C627,'WO Descriptions'!$A$5:$D$384,4)</f>
        <v>Approved by: Gary Williams on 12/02/2013,  AOR.  Replace 40'-6in CI with 6in PE.  13' of CI was exposed at 2551 Chelsea.  Tie-over two services and replace one service (2553 Chelsea).Retire 35'-6in CI, B30P88; 5'-6in CI, B18P103.</v>
      </c>
    </row>
    <row r="628" spans="1:16" ht="30" outlineLevel="2">
      <c r="A628" s="223" t="s">
        <v>54</v>
      </c>
      <c r="B628" s="250" t="s">
        <v>543</v>
      </c>
      <c r="C628" s="250" t="s">
        <v>544</v>
      </c>
      <c r="D628" s="223" t="s">
        <v>545</v>
      </c>
      <c r="E628" s="250" t="s">
        <v>62</v>
      </c>
      <c r="F628" s="223" t="s">
        <v>22</v>
      </c>
      <c r="G628" s="250" t="s">
        <v>23</v>
      </c>
      <c r="H628" s="250" t="s">
        <v>1525</v>
      </c>
      <c r="I628" s="250">
        <v>201502</v>
      </c>
      <c r="J628" s="251">
        <v>-42.42</v>
      </c>
      <c r="K628" s="171">
        <f t="shared" si="38"/>
        <v>4</v>
      </c>
      <c r="L628" s="253">
        <v>1.4833299999999999E-3</v>
      </c>
      <c r="M628" s="251">
        <f t="shared" si="47"/>
        <v>-0.25</v>
      </c>
      <c r="N628" s="251">
        <f t="shared" si="46"/>
        <v>-0.76</v>
      </c>
      <c r="O628" s="223"/>
      <c r="P628" s="210" t="str">
        <f>VLOOKUP(C628,'WO Descriptions'!$A$5:$D$384,4)</f>
        <v>Approved by: Ralph Janes on 03/11/2014,  Replace and abandon 732' - 2" pbs main (Unknown) by installing 730' - 2" pe main due to leakage under pavement. (ISRS)</v>
      </c>
    </row>
    <row r="629" spans="1:16" ht="90" outlineLevel="2">
      <c r="A629" s="223" t="s">
        <v>17</v>
      </c>
      <c r="B629" s="250" t="s">
        <v>552</v>
      </c>
      <c r="C629" s="250" t="s">
        <v>553</v>
      </c>
      <c r="D629" s="223" t="s">
        <v>554</v>
      </c>
      <c r="E629" s="250" t="s">
        <v>62</v>
      </c>
      <c r="F629" s="223" t="s">
        <v>22</v>
      </c>
      <c r="G629" s="250" t="s">
        <v>23</v>
      </c>
      <c r="H629" s="250" t="s">
        <v>1525</v>
      </c>
      <c r="I629" s="250">
        <v>201502</v>
      </c>
      <c r="J629" s="251">
        <v>-1612.64</v>
      </c>
      <c r="K629" s="171">
        <f t="shared" si="38"/>
        <v>4</v>
      </c>
      <c r="L629" s="253">
        <v>1.4833299999999999E-3</v>
      </c>
      <c r="M629" s="251">
        <f t="shared" si="47"/>
        <v>-9.57</v>
      </c>
      <c r="N629" s="251">
        <f t="shared" si="46"/>
        <v>-28.7</v>
      </c>
      <c r="O629" s="223"/>
      <c r="P629" s="210" t="str">
        <f>VLOOKUP(C629,'WO Descriptions'!$A$5:$D$384,4)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630" spans="1:16" ht="105" outlineLevel="2">
      <c r="A630" s="223" t="s">
        <v>17</v>
      </c>
      <c r="B630" s="250" t="s">
        <v>568</v>
      </c>
      <c r="C630" s="250" t="s">
        <v>569</v>
      </c>
      <c r="D630" s="223" t="s">
        <v>570</v>
      </c>
      <c r="E630" s="250" t="s">
        <v>324</v>
      </c>
      <c r="F630" s="223" t="s">
        <v>325</v>
      </c>
      <c r="G630" s="250" t="s">
        <v>23</v>
      </c>
      <c r="H630" s="250" t="s">
        <v>1525</v>
      </c>
      <c r="I630" s="250">
        <v>201502</v>
      </c>
      <c r="J630" s="251">
        <v>391.21</v>
      </c>
      <c r="K630" s="171">
        <f t="shared" si="38"/>
        <v>4</v>
      </c>
      <c r="L630" s="253">
        <v>1.4833299999999999E-3</v>
      </c>
      <c r="M630" s="251">
        <f t="shared" si="47"/>
        <v>2.3199999999999998</v>
      </c>
      <c r="N630" s="251">
        <f t="shared" si="46"/>
        <v>6.96</v>
      </c>
      <c r="O630" s="223"/>
      <c r="P630" s="210" t="str">
        <f>VLOOKUP(C630,'WO Descriptions'!$A$5:$D$384,4)</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row>
    <row r="631" spans="1:16" ht="135" outlineLevel="2">
      <c r="A631" s="223" t="s">
        <v>17</v>
      </c>
      <c r="B631" s="250" t="s">
        <v>611</v>
      </c>
      <c r="C631" s="250" t="s">
        <v>612</v>
      </c>
      <c r="D631" s="223" t="s">
        <v>613</v>
      </c>
      <c r="E631" s="250" t="s">
        <v>324</v>
      </c>
      <c r="F631" s="223" t="s">
        <v>325</v>
      </c>
      <c r="G631" s="250" t="s">
        <v>23</v>
      </c>
      <c r="H631" s="250" t="s">
        <v>1525</v>
      </c>
      <c r="I631" s="250">
        <v>201502</v>
      </c>
      <c r="J631" s="251">
        <v>18.059999999999999</v>
      </c>
      <c r="K631" s="171">
        <f t="shared" si="38"/>
        <v>4</v>
      </c>
      <c r="L631" s="253">
        <v>1.4833299999999999E-3</v>
      </c>
      <c r="M631" s="251">
        <f t="shared" si="47"/>
        <v>0.11</v>
      </c>
      <c r="N631" s="251">
        <f t="shared" si="46"/>
        <v>0.32</v>
      </c>
      <c r="O631" s="223"/>
      <c r="P631" s="210" t="str">
        <f>VLOOKUP(C631,'WO Descriptions'!$A$5:$D$384,4)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632" spans="1:16" ht="45" outlineLevel="2">
      <c r="A632" s="223" t="s">
        <v>17</v>
      </c>
      <c r="B632" s="250" t="s">
        <v>2255</v>
      </c>
      <c r="C632" s="250" t="s">
        <v>2256</v>
      </c>
      <c r="D632" s="223" t="s">
        <v>2257</v>
      </c>
      <c r="E632" s="250" t="s">
        <v>216</v>
      </c>
      <c r="F632" s="223" t="s">
        <v>22</v>
      </c>
      <c r="G632" s="250" t="s">
        <v>23</v>
      </c>
      <c r="H632" s="250" t="s">
        <v>1525</v>
      </c>
      <c r="I632" s="250">
        <v>201502</v>
      </c>
      <c r="J632" s="251">
        <v>106051.23</v>
      </c>
      <c r="K632" s="171">
        <f t="shared" si="38"/>
        <v>4</v>
      </c>
      <c r="L632" s="253">
        <v>1.4833299999999999E-3</v>
      </c>
      <c r="M632" s="251">
        <f t="shared" si="47"/>
        <v>629.24</v>
      </c>
      <c r="N632" s="251">
        <f t="shared" si="46"/>
        <v>1887.71</v>
      </c>
      <c r="O632" s="223"/>
      <c r="P632" s="210" t="str">
        <f>VLOOKUP(C632,'WO Descriptions'!$A$5:$D$384,4)</f>
        <v>Approved by: Kevin Driskell on 09/05/2013,  This work order is necessary to clear leak due to corrosion on 3inch gas main. Install 15'-3in TF steel main; retire 15'-3in PCS main, year 1962, wo 62-1512.</v>
      </c>
    </row>
    <row r="633" spans="1:16" ht="75" outlineLevel="2">
      <c r="A633" s="223" t="s">
        <v>17</v>
      </c>
      <c r="B633" s="250" t="s">
        <v>646</v>
      </c>
      <c r="C633" s="250" t="s">
        <v>647</v>
      </c>
      <c r="D633" s="223" t="s">
        <v>648</v>
      </c>
      <c r="E633" s="250" t="s">
        <v>176</v>
      </c>
      <c r="F633" s="223" t="s">
        <v>28</v>
      </c>
      <c r="G633" s="250" t="s">
        <v>23</v>
      </c>
      <c r="H633" s="250" t="s">
        <v>1525</v>
      </c>
      <c r="I633" s="250">
        <v>201502</v>
      </c>
      <c r="J633" s="251">
        <v>305.37</v>
      </c>
      <c r="K633" s="171">
        <f t="shared" si="38"/>
        <v>4</v>
      </c>
      <c r="L633" s="253">
        <v>1.4833299999999999E-3</v>
      </c>
      <c r="M633" s="251">
        <f t="shared" si="47"/>
        <v>1.81</v>
      </c>
      <c r="N633" s="251">
        <f t="shared" si="46"/>
        <v>5.44</v>
      </c>
      <c r="O633" s="223"/>
      <c r="P633" s="210" t="str">
        <f>VLOOKUP(C633,'WO Descriptions'!$A$5:$D$384,4)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634" spans="1:16" ht="105" outlineLevel="2">
      <c r="A634" s="223" t="s">
        <v>17</v>
      </c>
      <c r="B634" s="250" t="s">
        <v>704</v>
      </c>
      <c r="C634" s="250" t="s">
        <v>705</v>
      </c>
      <c r="D634" s="223" t="s">
        <v>706</v>
      </c>
      <c r="E634" s="250" t="s">
        <v>58</v>
      </c>
      <c r="F634" s="223" t="s">
        <v>22</v>
      </c>
      <c r="G634" s="250" t="s">
        <v>23</v>
      </c>
      <c r="H634" s="250" t="s">
        <v>1525</v>
      </c>
      <c r="I634" s="250">
        <v>201502</v>
      </c>
      <c r="J634" s="251">
        <v>-136.63</v>
      </c>
      <c r="K634" s="171">
        <f t="shared" si="38"/>
        <v>4</v>
      </c>
      <c r="L634" s="253">
        <v>1.4833299999999999E-3</v>
      </c>
      <c r="M634" s="251">
        <f t="shared" si="47"/>
        <v>-0.81</v>
      </c>
      <c r="N634" s="251">
        <f t="shared" si="46"/>
        <v>-2.4300000000000002</v>
      </c>
      <c r="O634" s="223"/>
      <c r="P634" s="210" t="str">
        <f>VLOOKUP(C634,'WO Descriptions'!$A$5:$D$384,4)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635" spans="1:16" ht="90" outlineLevel="2">
      <c r="A635" s="223" t="s">
        <v>17</v>
      </c>
      <c r="B635" s="250" t="s">
        <v>1033</v>
      </c>
      <c r="C635" s="250" t="s">
        <v>1034</v>
      </c>
      <c r="D635" s="223" t="s">
        <v>1035</v>
      </c>
      <c r="E635" s="250" t="s">
        <v>58</v>
      </c>
      <c r="F635" s="223" t="s">
        <v>22</v>
      </c>
      <c r="G635" s="250" t="s">
        <v>23</v>
      </c>
      <c r="H635" s="250" t="s">
        <v>1525</v>
      </c>
      <c r="I635" s="250">
        <v>201502</v>
      </c>
      <c r="J635" s="251">
        <v>123.75</v>
      </c>
      <c r="K635" s="171">
        <f t="shared" si="38"/>
        <v>4</v>
      </c>
      <c r="L635" s="253">
        <v>1.4833299999999999E-3</v>
      </c>
      <c r="M635" s="251">
        <f t="shared" si="47"/>
        <v>0.73</v>
      </c>
      <c r="N635" s="251">
        <f t="shared" si="46"/>
        <v>2.2000000000000002</v>
      </c>
      <c r="O635" s="223"/>
      <c r="P635" s="210" t="str">
        <f>VLOOKUP(C635,'WO Descriptions'!$A$5:$D$384,4)</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row>
    <row r="636" spans="1:16" ht="75" outlineLevel="2">
      <c r="A636" s="223" t="s">
        <v>17</v>
      </c>
      <c r="B636" s="250" t="s">
        <v>759</v>
      </c>
      <c r="C636" s="250" t="s">
        <v>760</v>
      </c>
      <c r="D636" s="223" t="s">
        <v>761</v>
      </c>
      <c r="E636" s="250" t="s">
        <v>62</v>
      </c>
      <c r="F636" s="223" t="s">
        <v>22</v>
      </c>
      <c r="G636" s="250" t="s">
        <v>23</v>
      </c>
      <c r="H636" s="250" t="s">
        <v>1525</v>
      </c>
      <c r="I636" s="250">
        <v>201502</v>
      </c>
      <c r="J636" s="251">
        <v>-453.81</v>
      </c>
      <c r="K636" s="171">
        <f t="shared" si="38"/>
        <v>4</v>
      </c>
      <c r="L636" s="253">
        <v>1.4833299999999999E-3</v>
      </c>
      <c r="M636" s="251">
        <f t="shared" si="47"/>
        <v>-2.69</v>
      </c>
      <c r="N636" s="251">
        <f t="shared" si="46"/>
        <v>-8.08</v>
      </c>
      <c r="O636" s="223"/>
      <c r="P636" s="210" t="str">
        <f>VLOOKUP(C636,'WO Descriptions'!$A$5:$D$384,4)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7" spans="1:16" ht="210" outlineLevel="2">
      <c r="A637" s="223" t="s">
        <v>54</v>
      </c>
      <c r="B637" s="250" t="s">
        <v>813</v>
      </c>
      <c r="C637" s="250" t="s">
        <v>814</v>
      </c>
      <c r="D637" s="223" t="s">
        <v>815</v>
      </c>
      <c r="E637" s="250" t="s">
        <v>62</v>
      </c>
      <c r="F637" s="223" t="s">
        <v>22</v>
      </c>
      <c r="G637" s="250" t="s">
        <v>23</v>
      </c>
      <c r="H637" s="250" t="s">
        <v>1525</v>
      </c>
      <c r="I637" s="250">
        <v>201502</v>
      </c>
      <c r="J637" s="251">
        <v>-456.88</v>
      </c>
      <c r="K637" s="171">
        <f t="shared" si="38"/>
        <v>4</v>
      </c>
      <c r="L637" s="253">
        <v>1.4833299999999999E-3</v>
      </c>
      <c r="M637" s="251">
        <f t="shared" si="47"/>
        <v>-2.71</v>
      </c>
      <c r="N637" s="251">
        <f t="shared" si="46"/>
        <v>-8.1300000000000008</v>
      </c>
      <c r="O637" s="223"/>
      <c r="P637" s="210" t="str">
        <f>VLOOKUP(C637,'WO Descriptions'!$A$5:$D$384,4)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38" spans="1:16" ht="210" outlineLevel="2">
      <c r="A638" s="223" t="s">
        <v>54</v>
      </c>
      <c r="B638" s="250" t="s">
        <v>2181</v>
      </c>
      <c r="C638" s="250" t="s">
        <v>1729</v>
      </c>
      <c r="D638" s="223" t="s">
        <v>1730</v>
      </c>
      <c r="E638" s="250" t="s">
        <v>62</v>
      </c>
      <c r="F638" s="223" t="s">
        <v>22</v>
      </c>
      <c r="G638" s="250" t="s">
        <v>23</v>
      </c>
      <c r="H638" s="250" t="s">
        <v>1525</v>
      </c>
      <c r="I638" s="250">
        <v>201502</v>
      </c>
      <c r="J638" s="251">
        <v>-1020.59</v>
      </c>
      <c r="K638" s="171">
        <f t="shared" si="38"/>
        <v>4</v>
      </c>
      <c r="L638" s="253">
        <v>1.4833299999999999E-3</v>
      </c>
      <c r="M638" s="251">
        <f t="shared" si="47"/>
        <v>-6.06</v>
      </c>
      <c r="N638" s="251">
        <f t="shared" si="46"/>
        <v>-18.170000000000002</v>
      </c>
      <c r="O638" s="223"/>
      <c r="P638" s="210" t="str">
        <f>VLOOKUP(C638,'WO Descriptions'!$A$5:$D$384,4)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39" spans="1:16" ht="60" outlineLevel="2">
      <c r="A639" s="223" t="s">
        <v>54</v>
      </c>
      <c r="B639" s="250" t="s">
        <v>830</v>
      </c>
      <c r="C639" s="250" t="s">
        <v>831</v>
      </c>
      <c r="D639" s="223" t="s">
        <v>832</v>
      </c>
      <c r="E639" s="250" t="s">
        <v>62</v>
      </c>
      <c r="F639" s="223" t="s">
        <v>22</v>
      </c>
      <c r="G639" s="250" t="s">
        <v>23</v>
      </c>
      <c r="H639" s="250" t="s">
        <v>1525</v>
      </c>
      <c r="I639" s="250">
        <v>201502</v>
      </c>
      <c r="J639" s="251">
        <v>-70.510000000000005</v>
      </c>
      <c r="K639" s="171">
        <f t="shared" si="38"/>
        <v>4</v>
      </c>
      <c r="L639" s="253">
        <v>1.4833299999999999E-3</v>
      </c>
      <c r="M639" s="251">
        <f t="shared" si="47"/>
        <v>-0.42</v>
      </c>
      <c r="N639" s="251">
        <f t="shared" si="46"/>
        <v>-1.26</v>
      </c>
      <c r="O639" s="223"/>
      <c r="P639" s="210" t="str">
        <f>VLOOKUP(C639,'WO Descriptions'!$A$5:$D$384,4)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640" spans="1:16" ht="30" outlineLevel="2">
      <c r="A640" s="223" t="s">
        <v>17</v>
      </c>
      <c r="B640" s="250" t="s">
        <v>843</v>
      </c>
      <c r="C640" s="250" t="s">
        <v>844</v>
      </c>
      <c r="D640" s="223" t="s">
        <v>845</v>
      </c>
      <c r="E640" s="250" t="s">
        <v>45</v>
      </c>
      <c r="F640" s="223" t="s">
        <v>22</v>
      </c>
      <c r="G640" s="250" t="s">
        <v>23</v>
      </c>
      <c r="H640" s="250" t="s">
        <v>1525</v>
      </c>
      <c r="I640" s="250">
        <v>201502</v>
      </c>
      <c r="J640" s="251">
        <v>-13.96</v>
      </c>
      <c r="K640" s="171">
        <f t="shared" si="38"/>
        <v>4</v>
      </c>
      <c r="L640" s="253">
        <v>1.4833299999999999E-3</v>
      </c>
      <c r="M640" s="251">
        <f t="shared" si="47"/>
        <v>-0.08</v>
      </c>
      <c r="N640" s="251">
        <f t="shared" si="46"/>
        <v>-0.25</v>
      </c>
      <c r="O640" s="223"/>
      <c r="P640" s="210" t="str">
        <f>VLOOKUP(C640,'WO Descriptions'!$A$5:$D$384,4)</f>
        <v>Approved by: Kevin Driskell on 04/07/2014,  Replace 3in and 2in PBS due to leak.  Lay 10'-3in thin film and 14'-2in thin film.  Work done by MGE crew.Original JO 7740C &amp; 7740B, year 1949</v>
      </c>
    </row>
    <row r="641" spans="1:16" ht="135" outlineLevel="2">
      <c r="A641" s="223" t="s">
        <v>54</v>
      </c>
      <c r="B641" s="250" t="s">
        <v>846</v>
      </c>
      <c r="C641" s="250" t="s">
        <v>847</v>
      </c>
      <c r="D641" s="223" t="s">
        <v>848</v>
      </c>
      <c r="E641" s="250" t="s">
        <v>141</v>
      </c>
      <c r="F641" s="223" t="s">
        <v>142</v>
      </c>
      <c r="G641" s="250" t="s">
        <v>23</v>
      </c>
      <c r="H641" s="250" t="s">
        <v>1525</v>
      </c>
      <c r="I641" s="250">
        <v>201502</v>
      </c>
      <c r="J641" s="251">
        <v>-99.76</v>
      </c>
      <c r="K641" s="171">
        <f t="shared" si="38"/>
        <v>4</v>
      </c>
      <c r="L641" s="253">
        <v>1.4833299999999999E-3</v>
      </c>
      <c r="M641" s="251">
        <f t="shared" si="47"/>
        <v>-0.59</v>
      </c>
      <c r="N641" s="251">
        <f t="shared" si="46"/>
        <v>-1.78</v>
      </c>
      <c r="O641" s="223"/>
      <c r="P641" s="210" t="str">
        <f>VLOOKUP(C641,'WO Descriptions'!$A$5:$D$384,4)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642" spans="1:16" ht="135" outlineLevel="2">
      <c r="A642" s="223" t="s">
        <v>54</v>
      </c>
      <c r="B642" s="250" t="s">
        <v>2258</v>
      </c>
      <c r="C642" s="250" t="s">
        <v>1720</v>
      </c>
      <c r="D642" s="223" t="s">
        <v>1721</v>
      </c>
      <c r="E642" s="250" t="s">
        <v>32</v>
      </c>
      <c r="F642" s="223" t="s">
        <v>22</v>
      </c>
      <c r="G642" s="250" t="s">
        <v>23</v>
      </c>
      <c r="H642" s="250" t="s">
        <v>1525</v>
      </c>
      <c r="I642" s="250">
        <v>201502</v>
      </c>
      <c r="J642" s="251">
        <v>107240.43</v>
      </c>
      <c r="K642" s="171">
        <f t="shared" si="38"/>
        <v>4</v>
      </c>
      <c r="L642" s="253">
        <v>1.4833299999999999E-3</v>
      </c>
      <c r="M642" s="251">
        <f t="shared" si="47"/>
        <v>636.29</v>
      </c>
      <c r="N642" s="251">
        <f t="shared" si="46"/>
        <v>1908.88</v>
      </c>
      <c r="O642" s="223"/>
      <c r="P642" s="210" t="str">
        <f>VLOOKUP(C642,'WO Descriptions'!$A$5:$D$384,4)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643" spans="1:16" ht="75" outlineLevel="2">
      <c r="A643" s="223" t="s">
        <v>54</v>
      </c>
      <c r="B643" s="250" t="s">
        <v>852</v>
      </c>
      <c r="C643" s="250" t="s">
        <v>853</v>
      </c>
      <c r="D643" s="223" t="s">
        <v>854</v>
      </c>
      <c r="E643" s="250" t="s">
        <v>62</v>
      </c>
      <c r="F643" s="223" t="s">
        <v>22</v>
      </c>
      <c r="G643" s="250" t="s">
        <v>23</v>
      </c>
      <c r="H643" s="250" t="s">
        <v>1525</v>
      </c>
      <c r="I643" s="250">
        <v>201502</v>
      </c>
      <c r="J643" s="251">
        <v>-17.649999999999999</v>
      </c>
      <c r="K643" s="171">
        <f t="shared" si="38"/>
        <v>4</v>
      </c>
      <c r="L643" s="253">
        <v>1.4833299999999999E-3</v>
      </c>
      <c r="M643" s="251">
        <f t="shared" si="47"/>
        <v>-0.1</v>
      </c>
      <c r="N643" s="251">
        <f t="shared" si="46"/>
        <v>-0.31</v>
      </c>
      <c r="O643" s="223"/>
      <c r="P643" s="210" t="str">
        <f>VLOOKUP(C643,'WO Descriptions'!$A$5:$D$384,4)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644" spans="1:16" ht="75" outlineLevel="2">
      <c r="A644" s="223" t="s">
        <v>17</v>
      </c>
      <c r="B644" s="250" t="s">
        <v>2182</v>
      </c>
      <c r="C644" s="250" t="s">
        <v>1714</v>
      </c>
      <c r="D644" s="223" t="s">
        <v>1715</v>
      </c>
      <c r="E644" s="250" t="s">
        <v>574</v>
      </c>
      <c r="F644" s="223" t="s">
        <v>28</v>
      </c>
      <c r="G644" s="250" t="s">
        <v>23</v>
      </c>
      <c r="H644" s="250" t="s">
        <v>1525</v>
      </c>
      <c r="I644" s="250">
        <v>201502</v>
      </c>
      <c r="J644" s="251">
        <v>4110.0200000000004</v>
      </c>
      <c r="K644" s="171">
        <f t="shared" si="38"/>
        <v>4</v>
      </c>
      <c r="L644" s="253">
        <v>1.4833299999999999E-3</v>
      </c>
      <c r="M644" s="251">
        <f t="shared" si="47"/>
        <v>24.39</v>
      </c>
      <c r="N644" s="251">
        <f t="shared" si="46"/>
        <v>73.16</v>
      </c>
      <c r="O644" s="223"/>
      <c r="P644" s="210" t="str">
        <f>VLOOKUP(C644,'WO Descriptions'!$A$5:$D$384,4)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645" spans="1:16" ht="180" outlineLevel="2">
      <c r="A645" s="223" t="s">
        <v>54</v>
      </c>
      <c r="B645" s="250" t="s">
        <v>858</v>
      </c>
      <c r="C645" s="250" t="s">
        <v>859</v>
      </c>
      <c r="D645" s="223" t="s">
        <v>860</v>
      </c>
      <c r="E645" s="250" t="s">
        <v>62</v>
      </c>
      <c r="F645" s="223" t="s">
        <v>22</v>
      </c>
      <c r="G645" s="250" t="s">
        <v>23</v>
      </c>
      <c r="H645" s="250" t="s">
        <v>1525</v>
      </c>
      <c r="I645" s="250">
        <v>201502</v>
      </c>
      <c r="J645" s="251">
        <v>-1.78</v>
      </c>
      <c r="K645" s="171">
        <f t="shared" si="38"/>
        <v>4</v>
      </c>
      <c r="L645" s="253">
        <v>1.4833299999999999E-3</v>
      </c>
      <c r="M645" s="251">
        <f t="shared" si="47"/>
        <v>-0.01</v>
      </c>
      <c r="N645" s="251">
        <f t="shared" si="46"/>
        <v>-0.03</v>
      </c>
      <c r="O645" s="223"/>
      <c r="P645" s="210" t="str">
        <f>VLOOKUP(C645,'WO Descriptions'!$A$5:$D$384,4)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646" spans="1:16" ht="60" outlineLevel="2">
      <c r="A646" s="223" t="s">
        <v>54</v>
      </c>
      <c r="B646" s="250" t="s">
        <v>876</v>
      </c>
      <c r="C646" s="250" t="s">
        <v>877</v>
      </c>
      <c r="D646" s="223" t="s">
        <v>878</v>
      </c>
      <c r="E646" s="250" t="s">
        <v>62</v>
      </c>
      <c r="F646" s="223" t="s">
        <v>22</v>
      </c>
      <c r="G646" s="250" t="s">
        <v>23</v>
      </c>
      <c r="H646" s="250" t="s">
        <v>1525</v>
      </c>
      <c r="I646" s="250">
        <v>201502</v>
      </c>
      <c r="J646" s="251">
        <v>2933.77</v>
      </c>
      <c r="K646" s="171">
        <f t="shared" si="38"/>
        <v>4</v>
      </c>
      <c r="L646" s="253">
        <v>1.4833299999999999E-3</v>
      </c>
      <c r="M646" s="251">
        <f t="shared" si="47"/>
        <v>17.41</v>
      </c>
      <c r="N646" s="251">
        <f t="shared" si="46"/>
        <v>52.22</v>
      </c>
      <c r="O646" s="223"/>
      <c r="P646" s="210" t="str">
        <f>VLOOKUP(C646,'WO Descriptions'!$A$5:$D$384,4)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647" spans="1:16" ht="60" outlineLevel="2">
      <c r="A647" s="223" t="s">
        <v>54</v>
      </c>
      <c r="B647" s="250" t="s">
        <v>2183</v>
      </c>
      <c r="C647" s="250" t="s">
        <v>2184</v>
      </c>
      <c r="D647" s="223" t="s">
        <v>2185</v>
      </c>
      <c r="E647" s="250" t="s">
        <v>62</v>
      </c>
      <c r="F647" s="223" t="s">
        <v>22</v>
      </c>
      <c r="G647" s="250" t="s">
        <v>23</v>
      </c>
      <c r="H647" s="250" t="s">
        <v>1525</v>
      </c>
      <c r="I647" s="250">
        <v>201502</v>
      </c>
      <c r="J647" s="251">
        <v>7017.73</v>
      </c>
      <c r="K647" s="171">
        <f t="shared" si="38"/>
        <v>4</v>
      </c>
      <c r="L647" s="253">
        <v>1.4833299999999999E-3</v>
      </c>
      <c r="M647" s="251">
        <f t="shared" si="47"/>
        <v>41.64</v>
      </c>
      <c r="N647" s="251">
        <f t="shared" si="46"/>
        <v>124.92</v>
      </c>
      <c r="O647" s="223"/>
      <c r="P647" s="210" t="str">
        <f>VLOOKUP(C647,'WO Descriptions'!$A$5:$D$384,4)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648" spans="1:16" ht="30" outlineLevel="2">
      <c r="A648" s="223" t="s">
        <v>54</v>
      </c>
      <c r="B648" s="250" t="s">
        <v>1045</v>
      </c>
      <c r="C648" s="250" t="s">
        <v>1046</v>
      </c>
      <c r="D648" s="223" t="s">
        <v>1047</v>
      </c>
      <c r="E648" s="250" t="s">
        <v>462</v>
      </c>
      <c r="F648" s="223" t="s">
        <v>142</v>
      </c>
      <c r="G648" s="250" t="s">
        <v>23</v>
      </c>
      <c r="H648" s="250" t="s">
        <v>1525</v>
      </c>
      <c r="I648" s="250">
        <v>201502</v>
      </c>
      <c r="J648" s="251">
        <v>6074.92</v>
      </c>
      <c r="K648" s="171">
        <f t="shared" si="38"/>
        <v>4</v>
      </c>
      <c r="L648" s="253">
        <v>1.4833299999999999E-3</v>
      </c>
      <c r="M648" s="251">
        <f t="shared" si="47"/>
        <v>36.04</v>
      </c>
      <c r="N648" s="251">
        <f t="shared" si="46"/>
        <v>108.13</v>
      </c>
      <c r="O648" s="223"/>
      <c r="P648" s="210" t="str">
        <f>VLOOKUP(C648,'WO Descriptions'!$A$5:$D$384,4)</f>
        <v>Approved by: Kevin Driskell on 03/28/2014,  Replace 4in CI w/ 190'-4in PE due to leak.  Tie-over 3 services and replace 1 service.</v>
      </c>
    </row>
    <row r="649" spans="1:16" ht="60" outlineLevel="2">
      <c r="A649" s="223" t="s">
        <v>54</v>
      </c>
      <c r="B649" s="250" t="s">
        <v>2186</v>
      </c>
      <c r="C649" s="250" t="s">
        <v>2187</v>
      </c>
      <c r="D649" s="223" t="s">
        <v>2188</v>
      </c>
      <c r="E649" s="250" t="s">
        <v>27</v>
      </c>
      <c r="F649" s="223" t="s">
        <v>28</v>
      </c>
      <c r="G649" s="250" t="s">
        <v>23</v>
      </c>
      <c r="H649" s="250" t="s">
        <v>1525</v>
      </c>
      <c r="I649" s="250">
        <v>201502</v>
      </c>
      <c r="J649" s="251">
        <v>-182.96</v>
      </c>
      <c r="K649" s="171">
        <f t="shared" si="38"/>
        <v>4</v>
      </c>
      <c r="L649" s="253">
        <v>1.4833299999999999E-3</v>
      </c>
      <c r="M649" s="251">
        <f t="shared" si="47"/>
        <v>-1.0900000000000001</v>
      </c>
      <c r="N649" s="251">
        <f t="shared" si="46"/>
        <v>-3.26</v>
      </c>
      <c r="O649" s="223"/>
      <c r="P649" s="210" t="str">
        <f>VLOOKUP(C649,'WO Descriptions'!$A$5:$D$384,4)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650" spans="1:16" ht="60" outlineLevel="2">
      <c r="A650" s="223" t="s">
        <v>54</v>
      </c>
      <c r="B650" s="250" t="s">
        <v>2259</v>
      </c>
      <c r="C650" s="250" t="s">
        <v>1723</v>
      </c>
      <c r="D650" s="223" t="s">
        <v>1724</v>
      </c>
      <c r="E650" s="250" t="s">
        <v>62</v>
      </c>
      <c r="F650" s="223" t="s">
        <v>22</v>
      </c>
      <c r="G650" s="250" t="s">
        <v>23</v>
      </c>
      <c r="H650" s="250" t="s">
        <v>1525</v>
      </c>
      <c r="I650" s="250">
        <v>201502</v>
      </c>
      <c r="J650" s="251">
        <v>901406.9</v>
      </c>
      <c r="K650" s="171">
        <f t="shared" si="38"/>
        <v>4</v>
      </c>
      <c r="L650" s="253">
        <v>1.4833299999999999E-3</v>
      </c>
      <c r="M650" s="251">
        <f t="shared" si="47"/>
        <v>5348.34</v>
      </c>
      <c r="N650" s="251">
        <f t="shared" si="46"/>
        <v>16045.01</v>
      </c>
      <c r="O650" s="223"/>
      <c r="P650" s="210" t="str">
        <f>VLOOKUP(C650,'WO Descriptions'!$A$5:$D$384,4)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651" spans="1:16" ht="60" outlineLevel="2">
      <c r="A651" s="223" t="s">
        <v>54</v>
      </c>
      <c r="B651" s="250" t="s">
        <v>1051</v>
      </c>
      <c r="C651" s="250" t="s">
        <v>1052</v>
      </c>
      <c r="D651" s="223" t="s">
        <v>1053</v>
      </c>
      <c r="E651" s="250" t="s">
        <v>45</v>
      </c>
      <c r="F651" s="223" t="s">
        <v>22</v>
      </c>
      <c r="G651" s="250" t="s">
        <v>23</v>
      </c>
      <c r="H651" s="250" t="s">
        <v>1525</v>
      </c>
      <c r="I651" s="250">
        <v>201502</v>
      </c>
      <c r="J651" s="251">
        <v>-989.1</v>
      </c>
      <c r="K651" s="171">
        <f t="shared" si="38"/>
        <v>4</v>
      </c>
      <c r="L651" s="253">
        <v>1.4833299999999999E-3</v>
      </c>
      <c r="M651" s="251">
        <f t="shared" si="47"/>
        <v>-5.87</v>
      </c>
      <c r="N651" s="251">
        <f t="shared" si="46"/>
        <v>-17.61</v>
      </c>
      <c r="O651" s="223"/>
      <c r="P651" s="210" t="str">
        <f>VLOOKUP(C651,'WO Descriptions'!$A$5:$D$384,4)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652" spans="1:16" ht="30" outlineLevel="2">
      <c r="A652" s="223" t="s">
        <v>54</v>
      </c>
      <c r="B652" s="250" t="s">
        <v>2189</v>
      </c>
      <c r="C652" s="250" t="s">
        <v>1731</v>
      </c>
      <c r="D652" s="223" t="s">
        <v>1732</v>
      </c>
      <c r="E652" s="250" t="s">
        <v>62</v>
      </c>
      <c r="F652" s="223" t="s">
        <v>22</v>
      </c>
      <c r="G652" s="250" t="s">
        <v>23</v>
      </c>
      <c r="H652" s="250" t="s">
        <v>1525</v>
      </c>
      <c r="I652" s="250">
        <v>201502</v>
      </c>
      <c r="J652" s="251">
        <v>45942.82</v>
      </c>
      <c r="K652" s="171">
        <f t="shared" si="38"/>
        <v>4</v>
      </c>
      <c r="L652" s="253">
        <v>1.4833299999999999E-3</v>
      </c>
      <c r="M652" s="251">
        <f t="shared" si="47"/>
        <v>272.58999999999997</v>
      </c>
      <c r="N652" s="251">
        <f t="shared" si="46"/>
        <v>817.78</v>
      </c>
      <c r="O652" s="223"/>
      <c r="P652" s="210" t="str">
        <f>VLOOKUP(C652,'WO Descriptions'!$A$5:$D$384,4)</f>
        <v>Approved by: Kevin Driskell on 05/28/2014,  Replace 16ft of 8'' PCS due to 3rd party damage. Pressure system C-041 Ret 16'-8in coated steel, year 1967, wo 67-1440.</v>
      </c>
    </row>
    <row r="653" spans="1:16" ht="120" outlineLevel="2">
      <c r="A653" s="223" t="s">
        <v>54</v>
      </c>
      <c r="B653" s="250" t="s">
        <v>1054</v>
      </c>
      <c r="C653" s="250" t="s">
        <v>1055</v>
      </c>
      <c r="D653" s="223" t="s">
        <v>1056</v>
      </c>
      <c r="E653" s="250" t="s">
        <v>141</v>
      </c>
      <c r="F653" s="223" t="s">
        <v>142</v>
      </c>
      <c r="G653" s="250" t="s">
        <v>23</v>
      </c>
      <c r="H653" s="250" t="s">
        <v>1525</v>
      </c>
      <c r="I653" s="250">
        <v>201502</v>
      </c>
      <c r="J653" s="251">
        <v>35739.47</v>
      </c>
      <c r="K653" s="171">
        <f t="shared" si="38"/>
        <v>4</v>
      </c>
      <c r="L653" s="253">
        <v>1.4833299999999999E-3</v>
      </c>
      <c r="M653" s="251">
        <f t="shared" si="47"/>
        <v>212.05</v>
      </c>
      <c r="N653" s="251">
        <f t="shared" si="46"/>
        <v>636.16</v>
      </c>
      <c r="O653" s="223"/>
      <c r="P653" s="210" t="str">
        <f>VLOOKUP(C653,'WO Descriptions'!$A$5:$D$384,4)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654" spans="1:16" ht="60" outlineLevel="2">
      <c r="A654" s="223" t="s">
        <v>17</v>
      </c>
      <c r="B654" s="250" t="s">
        <v>903</v>
      </c>
      <c r="C654" s="250" t="s">
        <v>904</v>
      </c>
      <c r="D654" s="223" t="s">
        <v>905</v>
      </c>
      <c r="E654" s="250" t="s">
        <v>49</v>
      </c>
      <c r="F654" s="223" t="s">
        <v>22</v>
      </c>
      <c r="G654" s="250" t="s">
        <v>23</v>
      </c>
      <c r="H654" s="250" t="s">
        <v>1525</v>
      </c>
      <c r="I654" s="250">
        <v>201502</v>
      </c>
      <c r="J654" s="251">
        <v>3.63</v>
      </c>
      <c r="K654" s="171">
        <f t="shared" si="38"/>
        <v>4</v>
      </c>
      <c r="L654" s="253">
        <v>1.4833299999999999E-3</v>
      </c>
      <c r="M654" s="251">
        <f t="shared" si="47"/>
        <v>0.02</v>
      </c>
      <c r="N654" s="251">
        <f t="shared" si="46"/>
        <v>0.06</v>
      </c>
      <c r="O654" s="223"/>
      <c r="P654" s="210" t="str">
        <f>VLOOKUP(C654,'WO Descriptions'!$A$5:$D$384,4)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655" spans="1:16" outlineLevel="2">
      <c r="A655" s="223" t="s">
        <v>54</v>
      </c>
      <c r="B655" s="250" t="s">
        <v>913</v>
      </c>
      <c r="C655" s="250" t="s">
        <v>914</v>
      </c>
      <c r="D655" s="223" t="s">
        <v>915</v>
      </c>
      <c r="E655" s="250" t="s">
        <v>36</v>
      </c>
      <c r="F655" s="223" t="s">
        <v>22</v>
      </c>
      <c r="G655" s="250" t="s">
        <v>23</v>
      </c>
      <c r="H655" s="250" t="s">
        <v>1525</v>
      </c>
      <c r="I655" s="250">
        <v>201502</v>
      </c>
      <c r="J655" s="251">
        <v>17.23</v>
      </c>
      <c r="K655" s="171">
        <f t="shared" si="38"/>
        <v>4</v>
      </c>
      <c r="L655" s="253">
        <v>1.4833299999999999E-3</v>
      </c>
      <c r="M655" s="251">
        <f t="shared" si="47"/>
        <v>0.1</v>
      </c>
      <c r="N655" s="251">
        <f t="shared" si="46"/>
        <v>0.31</v>
      </c>
      <c r="O655" s="223"/>
      <c r="P655" s="210" t="str">
        <f>VLOOKUP(C655,'WO Descriptions'!$A$5:$D$384,4)</f>
        <v>Approved by: Gary Williams on 06/10/2014,  Replace PBS due to down project</v>
      </c>
    </row>
    <row r="656" spans="1:16" ht="30" outlineLevel="2">
      <c r="A656" s="223" t="s">
        <v>54</v>
      </c>
      <c r="B656" s="250" t="s">
        <v>2190</v>
      </c>
      <c r="C656" s="250" t="s">
        <v>1733</v>
      </c>
      <c r="D656" s="223" t="s">
        <v>1734</v>
      </c>
      <c r="E656" s="250" t="s">
        <v>216</v>
      </c>
      <c r="F656" s="223" t="s">
        <v>22</v>
      </c>
      <c r="G656" s="250" t="s">
        <v>23</v>
      </c>
      <c r="H656" s="250" t="s">
        <v>1525</v>
      </c>
      <c r="I656" s="250">
        <v>201502</v>
      </c>
      <c r="J656" s="251">
        <v>236.56</v>
      </c>
      <c r="K656" s="171">
        <f t="shared" si="38"/>
        <v>4</v>
      </c>
      <c r="L656" s="253">
        <v>1.4833299999999999E-3</v>
      </c>
      <c r="M656" s="251">
        <f t="shared" si="47"/>
        <v>1.4</v>
      </c>
      <c r="N656" s="251">
        <f t="shared" si="46"/>
        <v>4.21</v>
      </c>
      <c r="O656" s="223"/>
      <c r="P656" s="210" t="str">
        <f>VLOOKUP(C656,'WO Descriptions'!$A$5:$D$384,4)</f>
        <v>Approved by: Gary Williams on 06/10/2014,  Replace PBS due to down project. Pressure system C-01</v>
      </c>
    </row>
    <row r="657" spans="1:16" ht="75" outlineLevel="2">
      <c r="A657" s="223" t="s">
        <v>54</v>
      </c>
      <c r="B657" s="250" t="s">
        <v>938</v>
      </c>
      <c r="C657" s="250" t="s">
        <v>939</v>
      </c>
      <c r="D657" s="223" t="s">
        <v>940</v>
      </c>
      <c r="E657" s="250" t="s">
        <v>141</v>
      </c>
      <c r="F657" s="223" t="s">
        <v>142</v>
      </c>
      <c r="G657" s="250" t="s">
        <v>23</v>
      </c>
      <c r="H657" s="250" t="s">
        <v>1525</v>
      </c>
      <c r="I657" s="250">
        <v>201502</v>
      </c>
      <c r="J657" s="251">
        <v>-64.540000000000006</v>
      </c>
      <c r="K657" s="171">
        <f t="shared" si="38"/>
        <v>4</v>
      </c>
      <c r="L657" s="253">
        <v>1.4833299999999999E-3</v>
      </c>
      <c r="M657" s="251">
        <f t="shared" si="47"/>
        <v>-0.38</v>
      </c>
      <c r="N657" s="251">
        <f t="shared" si="46"/>
        <v>-1.1499999999999999</v>
      </c>
      <c r="O657" s="223"/>
      <c r="P657" s="210" t="str">
        <f>VLOOKUP(C657,'WO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58" spans="1:16" ht="75" outlineLevel="2">
      <c r="A658" s="223" t="s">
        <v>54</v>
      </c>
      <c r="B658" s="250" t="s">
        <v>2191</v>
      </c>
      <c r="C658" s="250" t="s">
        <v>2192</v>
      </c>
      <c r="D658" s="223" t="s">
        <v>2193</v>
      </c>
      <c r="E658" s="250" t="s">
        <v>45</v>
      </c>
      <c r="F658" s="223" t="s">
        <v>22</v>
      </c>
      <c r="G658" s="250" t="s">
        <v>23</v>
      </c>
      <c r="H658" s="250" t="s">
        <v>1525</v>
      </c>
      <c r="I658" s="250">
        <v>201502</v>
      </c>
      <c r="J658" s="251">
        <v>-99.33</v>
      </c>
      <c r="K658" s="171">
        <f t="shared" si="38"/>
        <v>4</v>
      </c>
      <c r="L658" s="253">
        <v>1.4833299999999999E-3</v>
      </c>
      <c r="M658" s="251">
        <f t="shared" si="47"/>
        <v>-0.59</v>
      </c>
      <c r="N658" s="251">
        <f t="shared" si="46"/>
        <v>-1.77</v>
      </c>
      <c r="O658" s="223"/>
      <c r="P658" s="210" t="str">
        <f>VLOOKUP(C658,'WO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59" spans="1:16" ht="75" outlineLevel="2">
      <c r="A659" s="223" t="s">
        <v>54</v>
      </c>
      <c r="B659" s="250" t="s">
        <v>947</v>
      </c>
      <c r="C659" s="250" t="s">
        <v>948</v>
      </c>
      <c r="D659" s="223" t="s">
        <v>949</v>
      </c>
      <c r="E659" s="250" t="s">
        <v>141</v>
      </c>
      <c r="F659" s="223" t="s">
        <v>142</v>
      </c>
      <c r="G659" s="250" t="s">
        <v>23</v>
      </c>
      <c r="H659" s="250" t="s">
        <v>1525</v>
      </c>
      <c r="I659" s="250">
        <v>201502</v>
      </c>
      <c r="J659" s="251">
        <v>-1756.58</v>
      </c>
      <c r="K659" s="171">
        <f t="shared" si="38"/>
        <v>4</v>
      </c>
      <c r="L659" s="253">
        <v>1.4833299999999999E-3</v>
      </c>
      <c r="M659" s="251">
        <f t="shared" si="47"/>
        <v>-10.42</v>
      </c>
      <c r="N659" s="251">
        <f t="shared" si="46"/>
        <v>-31.27</v>
      </c>
      <c r="O659" s="223"/>
      <c r="P659" s="210" t="str">
        <f>VLOOKUP(C659,'WO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0" spans="1:16" ht="75" outlineLevel="2">
      <c r="A660" s="223" t="s">
        <v>54</v>
      </c>
      <c r="B660" s="250" t="s">
        <v>950</v>
      </c>
      <c r="C660" s="250" t="s">
        <v>951</v>
      </c>
      <c r="D660" s="223" t="s">
        <v>952</v>
      </c>
      <c r="E660" s="250" t="s">
        <v>141</v>
      </c>
      <c r="F660" s="223" t="s">
        <v>142</v>
      </c>
      <c r="G660" s="250" t="s">
        <v>23</v>
      </c>
      <c r="H660" s="250" t="s">
        <v>1525</v>
      </c>
      <c r="I660" s="250">
        <v>201502</v>
      </c>
      <c r="J660" s="251">
        <v>-208.11</v>
      </c>
      <c r="K660" s="171">
        <f t="shared" si="38"/>
        <v>4</v>
      </c>
      <c r="L660" s="253">
        <v>1.4833299999999999E-3</v>
      </c>
      <c r="M660" s="251">
        <f t="shared" si="47"/>
        <v>-1.23</v>
      </c>
      <c r="N660" s="251">
        <f t="shared" si="46"/>
        <v>-3.7</v>
      </c>
      <c r="O660" s="223"/>
      <c r="P660" s="210" t="str">
        <f>VLOOKUP(C660,'WO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1" spans="1:16" ht="75" outlineLevel="2">
      <c r="A661" s="223" t="s">
        <v>54</v>
      </c>
      <c r="B661" s="250" t="s">
        <v>974</v>
      </c>
      <c r="C661" s="250" t="s">
        <v>975</v>
      </c>
      <c r="D661" s="223" t="s">
        <v>976</v>
      </c>
      <c r="E661" s="250" t="s">
        <v>141</v>
      </c>
      <c r="F661" s="223" t="s">
        <v>142</v>
      </c>
      <c r="G661" s="250" t="s">
        <v>23</v>
      </c>
      <c r="H661" s="250" t="s">
        <v>1525</v>
      </c>
      <c r="I661" s="250">
        <v>201502</v>
      </c>
      <c r="J661" s="251">
        <v>-34.11</v>
      </c>
      <c r="K661" s="171">
        <f t="shared" si="38"/>
        <v>4</v>
      </c>
      <c r="L661" s="253">
        <v>1.4833299999999999E-3</v>
      </c>
      <c r="M661" s="251">
        <f t="shared" si="47"/>
        <v>-0.2</v>
      </c>
      <c r="N661" s="251">
        <f t="shared" si="46"/>
        <v>-0.61</v>
      </c>
      <c r="O661" s="223"/>
      <c r="P661" s="210" t="str">
        <f>VLOOKUP(C661,'WO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2" spans="1:16" ht="75" outlineLevel="2">
      <c r="A662" s="223" t="s">
        <v>54</v>
      </c>
      <c r="B662" s="250" t="s">
        <v>977</v>
      </c>
      <c r="C662" s="250" t="s">
        <v>978</v>
      </c>
      <c r="D662" s="223" t="s">
        <v>979</v>
      </c>
      <c r="E662" s="250" t="s">
        <v>980</v>
      </c>
      <c r="F662" s="223" t="s">
        <v>259</v>
      </c>
      <c r="G662" s="250" t="s">
        <v>23</v>
      </c>
      <c r="H662" s="250" t="s">
        <v>1525</v>
      </c>
      <c r="I662" s="250">
        <v>201502</v>
      </c>
      <c r="J662" s="251">
        <v>-5.22</v>
      </c>
      <c r="K662" s="171">
        <f t="shared" si="38"/>
        <v>4</v>
      </c>
      <c r="L662" s="253">
        <v>1.4833299999999999E-3</v>
      </c>
      <c r="M662" s="251">
        <f t="shared" si="47"/>
        <v>-0.03</v>
      </c>
      <c r="N662" s="251">
        <f t="shared" si="46"/>
        <v>-0.09</v>
      </c>
      <c r="O662" s="223"/>
      <c r="P662" s="210" t="str">
        <f>VLOOKUP(C662,'WO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3" spans="1:16" ht="75" outlineLevel="2">
      <c r="A663" s="223" t="s">
        <v>54</v>
      </c>
      <c r="B663" s="250" t="s">
        <v>984</v>
      </c>
      <c r="C663" s="250" t="s">
        <v>985</v>
      </c>
      <c r="D663" s="223" t="s">
        <v>986</v>
      </c>
      <c r="E663" s="250" t="s">
        <v>141</v>
      </c>
      <c r="F663" s="223" t="s">
        <v>142</v>
      </c>
      <c r="G663" s="250" t="s">
        <v>23</v>
      </c>
      <c r="H663" s="250" t="s">
        <v>1525</v>
      </c>
      <c r="I663" s="250">
        <v>201502</v>
      </c>
      <c r="J663" s="251">
        <v>-12.08</v>
      </c>
      <c r="K663" s="171">
        <f t="shared" si="38"/>
        <v>4</v>
      </c>
      <c r="L663" s="253">
        <v>1.4833299999999999E-3</v>
      </c>
      <c r="M663" s="251">
        <f t="shared" si="47"/>
        <v>-7.0000000000000007E-2</v>
      </c>
      <c r="N663" s="251">
        <f t="shared" si="46"/>
        <v>-0.22</v>
      </c>
      <c r="O663" s="223"/>
      <c r="P663" s="210" t="str">
        <f>VLOOKUP(C663,'WO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4" spans="1:16" ht="75" outlineLevel="2">
      <c r="A664" s="223" t="s">
        <v>17</v>
      </c>
      <c r="B664" s="250" t="s">
        <v>987</v>
      </c>
      <c r="C664" s="250" t="s">
        <v>988</v>
      </c>
      <c r="D664" s="223" t="s">
        <v>989</v>
      </c>
      <c r="E664" s="250" t="s">
        <v>45</v>
      </c>
      <c r="F664" s="223" t="s">
        <v>22</v>
      </c>
      <c r="G664" s="250" t="s">
        <v>23</v>
      </c>
      <c r="H664" s="250" t="s">
        <v>1525</v>
      </c>
      <c r="I664" s="250">
        <v>201502</v>
      </c>
      <c r="J664" s="251">
        <v>-3.65</v>
      </c>
      <c r="K664" s="171">
        <f t="shared" si="38"/>
        <v>4</v>
      </c>
      <c r="L664" s="253">
        <v>1.4833299999999999E-3</v>
      </c>
      <c r="M664" s="251">
        <f t="shared" si="47"/>
        <v>-0.02</v>
      </c>
      <c r="N664" s="251">
        <f t="shared" si="46"/>
        <v>-0.06</v>
      </c>
      <c r="O664" s="223"/>
      <c r="P664" s="210" t="str">
        <f>VLOOKUP(C664,'WO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5" spans="1:16" ht="75" outlineLevel="2">
      <c r="A665" s="223" t="s">
        <v>54</v>
      </c>
      <c r="B665" s="250" t="s">
        <v>990</v>
      </c>
      <c r="C665" s="250" t="s">
        <v>991</v>
      </c>
      <c r="D665" s="223" t="s">
        <v>992</v>
      </c>
      <c r="E665" s="250" t="s">
        <v>141</v>
      </c>
      <c r="F665" s="223" t="s">
        <v>142</v>
      </c>
      <c r="G665" s="250" t="s">
        <v>23</v>
      </c>
      <c r="H665" s="250" t="s">
        <v>1525</v>
      </c>
      <c r="I665" s="250">
        <v>201502</v>
      </c>
      <c r="J665" s="251">
        <v>-113.84</v>
      </c>
      <c r="K665" s="171">
        <f t="shared" si="38"/>
        <v>4</v>
      </c>
      <c r="L665" s="253">
        <v>1.4833299999999999E-3</v>
      </c>
      <c r="M665" s="251">
        <f t="shared" si="47"/>
        <v>-0.68</v>
      </c>
      <c r="N665" s="251">
        <f t="shared" si="46"/>
        <v>-2.0299999999999998</v>
      </c>
      <c r="O665" s="223"/>
      <c r="P665" s="210" t="str">
        <f>VLOOKUP(C665,'WO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6" spans="1:16" ht="75" outlineLevel="2">
      <c r="A666" s="223" t="s">
        <v>17</v>
      </c>
      <c r="B666" s="250" t="s">
        <v>2260</v>
      </c>
      <c r="C666" s="250" t="s">
        <v>2261</v>
      </c>
      <c r="D666" s="223" t="s">
        <v>2262</v>
      </c>
      <c r="E666" s="250" t="s">
        <v>535</v>
      </c>
      <c r="F666" s="223" t="s">
        <v>536</v>
      </c>
      <c r="G666" s="250" t="s">
        <v>23</v>
      </c>
      <c r="H666" s="250" t="s">
        <v>1525</v>
      </c>
      <c r="I666" s="250">
        <v>201502</v>
      </c>
      <c r="J666" s="251">
        <v>17732.099999999999</v>
      </c>
      <c r="K666" s="171">
        <f t="shared" si="38"/>
        <v>4</v>
      </c>
      <c r="L666" s="253">
        <v>1.4833299999999999E-3</v>
      </c>
      <c r="M666" s="251">
        <f t="shared" si="47"/>
        <v>105.21</v>
      </c>
      <c r="N666" s="251">
        <f t="shared" si="46"/>
        <v>315.63</v>
      </c>
      <c r="O666" s="223"/>
      <c r="P666" s="210" t="str">
        <f>VLOOKUP(C666,'WO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7" spans="1:16" ht="75" outlineLevel="2">
      <c r="A667" s="223" t="s">
        <v>54</v>
      </c>
      <c r="B667" s="250" t="s">
        <v>996</v>
      </c>
      <c r="C667" s="250" t="s">
        <v>997</v>
      </c>
      <c r="D667" s="223" t="s">
        <v>998</v>
      </c>
      <c r="E667" s="250" t="s">
        <v>27</v>
      </c>
      <c r="F667" s="223" t="s">
        <v>28</v>
      </c>
      <c r="G667" s="250" t="s">
        <v>23</v>
      </c>
      <c r="H667" s="250" t="s">
        <v>1525</v>
      </c>
      <c r="I667" s="250">
        <v>201502</v>
      </c>
      <c r="J667" s="251">
        <v>-355.29</v>
      </c>
      <c r="K667" s="171">
        <f t="shared" si="38"/>
        <v>4</v>
      </c>
      <c r="L667" s="253">
        <v>1.4833299999999999E-3</v>
      </c>
      <c r="M667" s="251">
        <f t="shared" si="47"/>
        <v>-2.11</v>
      </c>
      <c r="N667" s="251">
        <f t="shared" si="46"/>
        <v>-6.32</v>
      </c>
      <c r="O667" s="223"/>
      <c r="P667" s="210" t="str">
        <f>VLOOKUP(C667,'WO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8" spans="1:16" ht="75" outlineLevel="2">
      <c r="A668" s="223" t="s">
        <v>17</v>
      </c>
      <c r="B668" s="250" t="s">
        <v>2263</v>
      </c>
      <c r="C668" s="250" t="s">
        <v>2264</v>
      </c>
      <c r="D668" s="223" t="s">
        <v>2265</v>
      </c>
      <c r="E668" s="250" t="s">
        <v>324</v>
      </c>
      <c r="F668" s="223" t="s">
        <v>325</v>
      </c>
      <c r="G668" s="250" t="s">
        <v>23</v>
      </c>
      <c r="H668" s="250" t="s">
        <v>1525</v>
      </c>
      <c r="I668" s="250">
        <v>201502</v>
      </c>
      <c r="J668" s="251">
        <v>19096.580000000002</v>
      </c>
      <c r="K668" s="171">
        <f t="shared" si="38"/>
        <v>4</v>
      </c>
      <c r="L668" s="253">
        <v>1.4833299999999999E-3</v>
      </c>
      <c r="M668" s="251">
        <f t="shared" si="47"/>
        <v>113.31</v>
      </c>
      <c r="N668" s="251">
        <f t="shared" si="46"/>
        <v>339.92</v>
      </c>
      <c r="O668" s="223"/>
      <c r="P668" s="210" t="str">
        <f>VLOOKUP(C668,'WO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69" spans="1:16" ht="75" outlineLevel="2">
      <c r="A669" s="223" t="s">
        <v>17</v>
      </c>
      <c r="B669" s="250" t="s">
        <v>1063</v>
      </c>
      <c r="C669" s="250" t="s">
        <v>1064</v>
      </c>
      <c r="D669" s="223" t="s">
        <v>1065</v>
      </c>
      <c r="E669" s="250" t="s">
        <v>125</v>
      </c>
      <c r="F669" s="223" t="s">
        <v>126</v>
      </c>
      <c r="G669" s="250" t="s">
        <v>23</v>
      </c>
      <c r="H669" s="250" t="s">
        <v>1525</v>
      </c>
      <c r="I669" s="250">
        <v>201502</v>
      </c>
      <c r="J669" s="251">
        <v>2666.26</v>
      </c>
      <c r="K669" s="171">
        <f t="shared" si="38"/>
        <v>4</v>
      </c>
      <c r="L669" s="253">
        <v>1.4833299999999999E-3</v>
      </c>
      <c r="M669" s="251">
        <f t="shared" si="47"/>
        <v>15.82</v>
      </c>
      <c r="N669" s="251">
        <f t="shared" si="46"/>
        <v>47.46</v>
      </c>
      <c r="O669" s="223"/>
      <c r="P669" s="210" t="str">
        <f>VLOOKUP(C669,'WO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0" spans="1:16" ht="75" outlineLevel="2">
      <c r="A670" s="223" t="s">
        <v>17</v>
      </c>
      <c r="B670" s="250" t="s">
        <v>999</v>
      </c>
      <c r="C670" s="250" t="s">
        <v>1000</v>
      </c>
      <c r="D670" s="223" t="s">
        <v>1001</v>
      </c>
      <c r="E670" s="250" t="s">
        <v>176</v>
      </c>
      <c r="F670" s="223" t="s">
        <v>28</v>
      </c>
      <c r="G670" s="250" t="s">
        <v>23</v>
      </c>
      <c r="H670" s="250" t="s">
        <v>1525</v>
      </c>
      <c r="I670" s="250">
        <v>201502</v>
      </c>
      <c r="J670" s="251">
        <v>-82.2</v>
      </c>
      <c r="K670" s="171">
        <f t="shared" si="38"/>
        <v>4</v>
      </c>
      <c r="L670" s="253">
        <v>1.4833299999999999E-3</v>
      </c>
      <c r="M670" s="251">
        <f t="shared" si="47"/>
        <v>-0.49</v>
      </c>
      <c r="N670" s="251">
        <f t="shared" ref="N670:N702" si="48">ROUND(J670*L670*12,2)</f>
        <v>-1.46</v>
      </c>
      <c r="O670" s="223"/>
      <c r="P670" s="210" t="str">
        <f>VLOOKUP(C670,'WO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1" spans="1:16" ht="75" outlineLevel="2">
      <c r="A671" s="223" t="s">
        <v>17</v>
      </c>
      <c r="B671" s="250" t="s">
        <v>2266</v>
      </c>
      <c r="C671" s="250" t="s">
        <v>1739</v>
      </c>
      <c r="D671" s="223" t="s">
        <v>1740</v>
      </c>
      <c r="E671" s="250" t="s">
        <v>324</v>
      </c>
      <c r="F671" s="223" t="s">
        <v>325</v>
      </c>
      <c r="G671" s="250" t="s">
        <v>23</v>
      </c>
      <c r="H671" s="250" t="s">
        <v>1525</v>
      </c>
      <c r="I671" s="250">
        <v>201502</v>
      </c>
      <c r="J671" s="251">
        <v>19268.349999999999</v>
      </c>
      <c r="K671" s="171">
        <f t="shared" si="38"/>
        <v>4</v>
      </c>
      <c r="L671" s="253">
        <v>1.4833299999999999E-3</v>
      </c>
      <c r="M671" s="251">
        <f t="shared" si="47"/>
        <v>114.33</v>
      </c>
      <c r="N671" s="251">
        <f t="shared" si="48"/>
        <v>342.98</v>
      </c>
      <c r="O671" s="223"/>
      <c r="P671" s="210" t="str">
        <f>VLOOKUP(C671,'WO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2" spans="1:16" ht="75" outlineLevel="2">
      <c r="A672" s="223" t="s">
        <v>54</v>
      </c>
      <c r="B672" s="250" t="s">
        <v>1002</v>
      </c>
      <c r="C672" s="250" t="s">
        <v>1003</v>
      </c>
      <c r="D672" s="223" t="s">
        <v>1004</v>
      </c>
      <c r="E672" s="250" t="s">
        <v>216</v>
      </c>
      <c r="F672" s="223" t="s">
        <v>22</v>
      </c>
      <c r="G672" s="250" t="s">
        <v>23</v>
      </c>
      <c r="H672" s="250" t="s">
        <v>1525</v>
      </c>
      <c r="I672" s="250">
        <v>201502</v>
      </c>
      <c r="J672" s="251">
        <v>-420.75</v>
      </c>
      <c r="K672" s="171">
        <f t="shared" si="38"/>
        <v>4</v>
      </c>
      <c r="L672" s="253">
        <v>1.4833299999999999E-3</v>
      </c>
      <c r="M672" s="251">
        <f t="shared" si="47"/>
        <v>-2.5</v>
      </c>
      <c r="N672" s="251">
        <f t="shared" si="48"/>
        <v>-7.49</v>
      </c>
      <c r="O672" s="223"/>
      <c r="P672" s="210" t="str">
        <f>VLOOKUP(C672,'WO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3" spans="1:16" ht="75" outlineLevel="2">
      <c r="A673" s="223" t="s">
        <v>54</v>
      </c>
      <c r="B673" s="250" t="s">
        <v>1005</v>
      </c>
      <c r="C673" s="250" t="s">
        <v>1006</v>
      </c>
      <c r="D673" s="223" t="s">
        <v>1007</v>
      </c>
      <c r="E673" s="250" t="s">
        <v>141</v>
      </c>
      <c r="F673" s="223" t="s">
        <v>142</v>
      </c>
      <c r="G673" s="250" t="s">
        <v>23</v>
      </c>
      <c r="H673" s="250" t="s">
        <v>1525</v>
      </c>
      <c r="I673" s="250">
        <v>201502</v>
      </c>
      <c r="J673" s="251">
        <v>-479.84</v>
      </c>
      <c r="K673" s="171">
        <f t="shared" si="38"/>
        <v>4</v>
      </c>
      <c r="L673" s="253">
        <v>1.4833299999999999E-3</v>
      </c>
      <c r="M673" s="251">
        <f t="shared" si="47"/>
        <v>-2.85</v>
      </c>
      <c r="N673" s="251">
        <f t="shared" si="48"/>
        <v>-8.5399999999999991</v>
      </c>
      <c r="O673" s="223"/>
      <c r="P673" s="210" t="str">
        <f>VLOOKUP(C673,'WO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4" spans="1:16" ht="75" outlineLevel="2">
      <c r="A674" s="223" t="s">
        <v>54</v>
      </c>
      <c r="B674" s="250" t="s">
        <v>2194</v>
      </c>
      <c r="C674" s="250" t="s">
        <v>2195</v>
      </c>
      <c r="D674" s="223" t="s">
        <v>2196</v>
      </c>
      <c r="E674" s="250" t="s">
        <v>36</v>
      </c>
      <c r="F674" s="223" t="s">
        <v>22</v>
      </c>
      <c r="G674" s="250" t="s">
        <v>23</v>
      </c>
      <c r="H674" s="250" t="s">
        <v>1525</v>
      </c>
      <c r="I674" s="250">
        <v>201502</v>
      </c>
      <c r="J674" s="251">
        <v>23715.55</v>
      </c>
      <c r="K674" s="171">
        <f t="shared" si="38"/>
        <v>4</v>
      </c>
      <c r="L674" s="253">
        <v>1.4833299999999999E-3</v>
      </c>
      <c r="M674" s="251">
        <f t="shared" si="47"/>
        <v>140.71</v>
      </c>
      <c r="N674" s="251">
        <f t="shared" si="48"/>
        <v>422.14</v>
      </c>
      <c r="O674" s="223"/>
      <c r="P674" s="210" t="str">
        <f>VLOOKUP(C674,'WO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5" spans="1:16" ht="75" outlineLevel="2">
      <c r="A675" s="223" t="s">
        <v>54</v>
      </c>
      <c r="B675" s="250" t="s">
        <v>1008</v>
      </c>
      <c r="C675" s="250" t="s">
        <v>1009</v>
      </c>
      <c r="D675" s="223" t="s">
        <v>1010</v>
      </c>
      <c r="E675" s="250" t="s">
        <v>49</v>
      </c>
      <c r="F675" s="223" t="s">
        <v>22</v>
      </c>
      <c r="G675" s="250" t="s">
        <v>23</v>
      </c>
      <c r="H675" s="250" t="s">
        <v>1525</v>
      </c>
      <c r="I675" s="250">
        <v>201502</v>
      </c>
      <c r="J675" s="251">
        <v>-772.01</v>
      </c>
      <c r="K675" s="171">
        <f t="shared" si="38"/>
        <v>4</v>
      </c>
      <c r="L675" s="253">
        <v>1.4833299999999999E-3</v>
      </c>
      <c r="M675" s="251">
        <f t="shared" si="47"/>
        <v>-4.58</v>
      </c>
      <c r="N675" s="251">
        <f t="shared" si="48"/>
        <v>-13.74</v>
      </c>
      <c r="O675" s="223"/>
      <c r="P675" s="210" t="str">
        <f>VLOOKUP(C675,'WO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6" spans="1:16" ht="75" outlineLevel="2">
      <c r="A676" s="223" t="s">
        <v>54</v>
      </c>
      <c r="B676" s="250" t="s">
        <v>1014</v>
      </c>
      <c r="C676" s="250" t="s">
        <v>1015</v>
      </c>
      <c r="D676" s="223" t="s">
        <v>1016</v>
      </c>
      <c r="E676" s="250" t="s">
        <v>296</v>
      </c>
      <c r="F676" s="223" t="s">
        <v>28</v>
      </c>
      <c r="G676" s="250" t="s">
        <v>23</v>
      </c>
      <c r="H676" s="250" t="s">
        <v>1525</v>
      </c>
      <c r="I676" s="250">
        <v>201502</v>
      </c>
      <c r="J676" s="251">
        <v>-20.149999999999999</v>
      </c>
      <c r="K676" s="171">
        <f t="shared" si="38"/>
        <v>4</v>
      </c>
      <c r="L676" s="253">
        <v>1.4833299999999999E-3</v>
      </c>
      <c r="M676" s="251">
        <f t="shared" si="47"/>
        <v>-0.12</v>
      </c>
      <c r="N676" s="251">
        <f t="shared" si="48"/>
        <v>-0.36</v>
      </c>
      <c r="O676" s="223"/>
      <c r="P676" s="210" t="str">
        <f>VLOOKUP(C676,'WO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7" spans="1:16" ht="75" outlineLevel="2">
      <c r="A677" s="223" t="s">
        <v>54</v>
      </c>
      <c r="B677" s="250" t="s">
        <v>1017</v>
      </c>
      <c r="C677" s="250" t="s">
        <v>1018</v>
      </c>
      <c r="D677" s="223" t="s">
        <v>1019</v>
      </c>
      <c r="E677" s="250" t="s">
        <v>1020</v>
      </c>
      <c r="F677" s="223" t="s">
        <v>22</v>
      </c>
      <c r="G677" s="250" t="s">
        <v>23</v>
      </c>
      <c r="H677" s="250" t="s">
        <v>1525</v>
      </c>
      <c r="I677" s="250">
        <v>201502</v>
      </c>
      <c r="J677" s="251">
        <v>-239.93</v>
      </c>
      <c r="K677" s="171">
        <f t="shared" si="38"/>
        <v>4</v>
      </c>
      <c r="L677" s="253">
        <v>1.4833299999999999E-3</v>
      </c>
      <c r="M677" s="251">
        <f t="shared" si="47"/>
        <v>-1.42</v>
      </c>
      <c r="N677" s="251">
        <f t="shared" si="48"/>
        <v>-4.2699999999999996</v>
      </c>
      <c r="O677" s="223"/>
      <c r="P677" s="210" t="str">
        <f>VLOOKUP(C677,'WO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8" spans="1:16" ht="75" outlineLevel="2">
      <c r="A678" s="223" t="s">
        <v>54</v>
      </c>
      <c r="B678" s="250" t="s">
        <v>1069</v>
      </c>
      <c r="C678" s="250" t="s">
        <v>1070</v>
      </c>
      <c r="D678" s="223" t="s">
        <v>1071</v>
      </c>
      <c r="E678" s="250" t="s">
        <v>296</v>
      </c>
      <c r="F678" s="223" t="s">
        <v>28</v>
      </c>
      <c r="G678" s="250" t="s">
        <v>23</v>
      </c>
      <c r="H678" s="250" t="s">
        <v>1525</v>
      </c>
      <c r="I678" s="250">
        <v>201502</v>
      </c>
      <c r="J678" s="251">
        <v>-51.24</v>
      </c>
      <c r="K678" s="171">
        <f t="shared" si="38"/>
        <v>4</v>
      </c>
      <c r="L678" s="253">
        <v>1.4833299999999999E-3</v>
      </c>
      <c r="M678" s="251">
        <f t="shared" si="47"/>
        <v>-0.3</v>
      </c>
      <c r="N678" s="251">
        <f t="shared" si="48"/>
        <v>-0.91</v>
      </c>
      <c r="O678" s="223"/>
      <c r="P678" s="210" t="str">
        <f>VLOOKUP(C678,'WO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79" spans="1:16" ht="75" outlineLevel="2">
      <c r="A679" s="223" t="s">
        <v>54</v>
      </c>
      <c r="B679" s="250" t="s">
        <v>1072</v>
      </c>
      <c r="C679" s="250" t="s">
        <v>1073</v>
      </c>
      <c r="D679" s="223" t="s">
        <v>1074</v>
      </c>
      <c r="E679" s="250" t="s">
        <v>296</v>
      </c>
      <c r="F679" s="223" t="s">
        <v>28</v>
      </c>
      <c r="G679" s="250" t="s">
        <v>23</v>
      </c>
      <c r="H679" s="250" t="s">
        <v>1525</v>
      </c>
      <c r="I679" s="250">
        <v>201502</v>
      </c>
      <c r="J679" s="251">
        <v>10430.549999999999</v>
      </c>
      <c r="K679" s="171">
        <f t="shared" si="38"/>
        <v>4</v>
      </c>
      <c r="L679" s="253">
        <v>1.4833299999999999E-3</v>
      </c>
      <c r="M679" s="251">
        <f t="shared" si="47"/>
        <v>61.89</v>
      </c>
      <c r="N679" s="251">
        <f t="shared" si="48"/>
        <v>185.66</v>
      </c>
      <c r="O679" s="223"/>
      <c r="P679" s="210" t="str">
        <f>VLOOKUP(C679,'WO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0" spans="1:16" ht="75" outlineLevel="2">
      <c r="A680" s="223" t="s">
        <v>54</v>
      </c>
      <c r="B680" s="250" t="s">
        <v>1075</v>
      </c>
      <c r="C680" s="250" t="s">
        <v>1076</v>
      </c>
      <c r="D680" s="223" t="s">
        <v>1077</v>
      </c>
      <c r="E680" s="250" t="s">
        <v>62</v>
      </c>
      <c r="F680" s="223" t="s">
        <v>22</v>
      </c>
      <c r="G680" s="250" t="s">
        <v>23</v>
      </c>
      <c r="H680" s="250" t="s">
        <v>1525</v>
      </c>
      <c r="I680" s="250">
        <v>201502</v>
      </c>
      <c r="J680" s="251">
        <v>-148.15</v>
      </c>
      <c r="K680" s="171">
        <f t="shared" si="38"/>
        <v>4</v>
      </c>
      <c r="L680" s="253">
        <v>1.4833299999999999E-3</v>
      </c>
      <c r="M680" s="251">
        <f t="shared" si="47"/>
        <v>-0.88</v>
      </c>
      <c r="N680" s="251">
        <f t="shared" si="48"/>
        <v>-2.64</v>
      </c>
      <c r="O680" s="223"/>
      <c r="P680" s="210" t="str">
        <f>VLOOKUP(C680,'WO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1" spans="1:16" ht="75" outlineLevel="2">
      <c r="A681" s="223" t="s">
        <v>54</v>
      </c>
      <c r="B681" s="250" t="s">
        <v>1021</v>
      </c>
      <c r="C681" s="250" t="s">
        <v>1022</v>
      </c>
      <c r="D681" s="223" t="s">
        <v>1023</v>
      </c>
      <c r="E681" s="250" t="s">
        <v>108</v>
      </c>
      <c r="F681" s="223" t="s">
        <v>28</v>
      </c>
      <c r="G681" s="250" t="s">
        <v>23</v>
      </c>
      <c r="H681" s="250" t="s">
        <v>1525</v>
      </c>
      <c r="I681" s="250">
        <v>201502</v>
      </c>
      <c r="J681" s="251">
        <v>-2.27</v>
      </c>
      <c r="K681" s="171">
        <f t="shared" si="38"/>
        <v>4</v>
      </c>
      <c r="L681" s="253">
        <v>1.4833299999999999E-3</v>
      </c>
      <c r="M681" s="251">
        <f t="shared" si="47"/>
        <v>-0.01</v>
      </c>
      <c r="N681" s="251">
        <f t="shared" si="48"/>
        <v>-0.04</v>
      </c>
      <c r="O681" s="223"/>
      <c r="P681" s="210" t="str">
        <f>VLOOKUP(C681,'WO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2" spans="1:16" ht="75" outlineLevel="2">
      <c r="A682" s="223" t="s">
        <v>54</v>
      </c>
      <c r="B682" s="250" t="s">
        <v>1078</v>
      </c>
      <c r="C682" s="250" t="s">
        <v>1079</v>
      </c>
      <c r="D682" s="223" t="s">
        <v>1080</v>
      </c>
      <c r="E682" s="250" t="s">
        <v>62</v>
      </c>
      <c r="F682" s="223" t="s">
        <v>22</v>
      </c>
      <c r="G682" s="250" t="s">
        <v>23</v>
      </c>
      <c r="H682" s="250" t="s">
        <v>1525</v>
      </c>
      <c r="I682" s="250">
        <v>201502</v>
      </c>
      <c r="J682" s="251">
        <v>-64.19</v>
      </c>
      <c r="K682" s="171">
        <f t="shared" si="38"/>
        <v>4</v>
      </c>
      <c r="L682" s="253">
        <v>1.4833299999999999E-3</v>
      </c>
      <c r="M682" s="251">
        <f t="shared" si="47"/>
        <v>-0.38</v>
      </c>
      <c r="N682" s="251">
        <f t="shared" si="48"/>
        <v>-1.1399999999999999</v>
      </c>
      <c r="O682" s="223"/>
      <c r="P682" s="210" t="str">
        <f>VLOOKUP(C682,'WO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3" spans="1:16" ht="75" outlineLevel="2">
      <c r="A683" s="223" t="s">
        <v>54</v>
      </c>
      <c r="B683" s="250" t="s">
        <v>1081</v>
      </c>
      <c r="C683" s="250" t="s">
        <v>1082</v>
      </c>
      <c r="D683" s="223" t="s">
        <v>1083</v>
      </c>
      <c r="E683" s="250" t="s">
        <v>141</v>
      </c>
      <c r="F683" s="223" t="s">
        <v>142</v>
      </c>
      <c r="G683" s="250" t="s">
        <v>23</v>
      </c>
      <c r="H683" s="250" t="s">
        <v>1525</v>
      </c>
      <c r="I683" s="250">
        <v>201502</v>
      </c>
      <c r="J683" s="251">
        <v>-413.65</v>
      </c>
      <c r="K683" s="171">
        <f t="shared" si="38"/>
        <v>4</v>
      </c>
      <c r="L683" s="253">
        <v>1.4833299999999999E-3</v>
      </c>
      <c r="M683" s="251">
        <f t="shared" si="47"/>
        <v>-2.4500000000000002</v>
      </c>
      <c r="N683" s="251">
        <f t="shared" si="48"/>
        <v>-7.36</v>
      </c>
      <c r="O683" s="223"/>
      <c r="P683" s="210" t="str">
        <f>VLOOKUP(C683,'WO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4" spans="1:16" ht="75" outlineLevel="2">
      <c r="A684" s="223" t="s">
        <v>54</v>
      </c>
      <c r="B684" s="250" t="s">
        <v>1084</v>
      </c>
      <c r="C684" s="250" t="s">
        <v>1085</v>
      </c>
      <c r="D684" s="223" t="s">
        <v>1086</v>
      </c>
      <c r="E684" s="250" t="s">
        <v>21</v>
      </c>
      <c r="F684" s="223" t="s">
        <v>22</v>
      </c>
      <c r="G684" s="250" t="s">
        <v>23</v>
      </c>
      <c r="H684" s="250" t="s">
        <v>1525</v>
      </c>
      <c r="I684" s="250">
        <v>201502</v>
      </c>
      <c r="J684" s="251">
        <v>-460.31</v>
      </c>
      <c r="K684" s="171">
        <f t="shared" si="38"/>
        <v>4</v>
      </c>
      <c r="L684" s="253">
        <v>1.4833299999999999E-3</v>
      </c>
      <c r="M684" s="251">
        <f t="shared" si="47"/>
        <v>-2.73</v>
      </c>
      <c r="N684" s="251">
        <f t="shared" si="48"/>
        <v>-8.19</v>
      </c>
      <c r="O684" s="223"/>
      <c r="P684" s="210" t="str">
        <f>VLOOKUP(C684,'WO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5" spans="1:16" ht="75" outlineLevel="2">
      <c r="A685" s="223" t="s">
        <v>54</v>
      </c>
      <c r="B685" s="250" t="s">
        <v>2197</v>
      </c>
      <c r="C685" s="250" t="s">
        <v>1741</v>
      </c>
      <c r="D685" s="223" t="s">
        <v>1742</v>
      </c>
      <c r="E685" s="250" t="s">
        <v>216</v>
      </c>
      <c r="F685" s="223" t="s">
        <v>22</v>
      </c>
      <c r="G685" s="250" t="s">
        <v>23</v>
      </c>
      <c r="H685" s="250" t="s">
        <v>1525</v>
      </c>
      <c r="I685" s="250">
        <v>201502</v>
      </c>
      <c r="J685" s="251">
        <v>176.57</v>
      </c>
      <c r="K685" s="171">
        <f t="shared" si="38"/>
        <v>4</v>
      </c>
      <c r="L685" s="253">
        <v>1.4833299999999999E-3</v>
      </c>
      <c r="M685" s="251">
        <f t="shared" ref="M685:M700" si="49">ROUND(J685*K685*L685,2)</f>
        <v>1.05</v>
      </c>
      <c r="N685" s="251">
        <f t="shared" si="48"/>
        <v>3.14</v>
      </c>
      <c r="O685" s="223"/>
      <c r="P685" s="210" t="str">
        <f>VLOOKUP(C685,'WO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6" spans="1:16" ht="75" outlineLevel="2">
      <c r="A686" s="223" t="s">
        <v>54</v>
      </c>
      <c r="B686" s="250" t="s">
        <v>1087</v>
      </c>
      <c r="C686" s="250" t="s">
        <v>1088</v>
      </c>
      <c r="D686" s="223" t="s">
        <v>1089</v>
      </c>
      <c r="E686" s="250" t="s">
        <v>1020</v>
      </c>
      <c r="F686" s="223" t="s">
        <v>22</v>
      </c>
      <c r="G686" s="250" t="s">
        <v>23</v>
      </c>
      <c r="H686" s="250" t="s">
        <v>1525</v>
      </c>
      <c r="I686" s="250">
        <v>201502</v>
      </c>
      <c r="J686" s="251">
        <v>-174.68</v>
      </c>
      <c r="K686" s="171">
        <f t="shared" si="38"/>
        <v>4</v>
      </c>
      <c r="L686" s="253">
        <v>1.4833299999999999E-3</v>
      </c>
      <c r="M686" s="251">
        <f t="shared" si="49"/>
        <v>-1.04</v>
      </c>
      <c r="N686" s="251">
        <f t="shared" si="48"/>
        <v>-3.11</v>
      </c>
      <c r="O686" s="223"/>
      <c r="P686" s="210" t="str">
        <f>VLOOKUP(C686,'WO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7" spans="1:16" ht="75" outlineLevel="2">
      <c r="A687" s="223" t="s">
        <v>54</v>
      </c>
      <c r="B687" s="250" t="s">
        <v>1090</v>
      </c>
      <c r="C687" s="250" t="s">
        <v>1091</v>
      </c>
      <c r="D687" s="223" t="s">
        <v>1092</v>
      </c>
      <c r="E687" s="250" t="s">
        <v>216</v>
      </c>
      <c r="F687" s="223" t="s">
        <v>22</v>
      </c>
      <c r="G687" s="250" t="s">
        <v>23</v>
      </c>
      <c r="H687" s="250" t="s">
        <v>1525</v>
      </c>
      <c r="I687" s="250">
        <v>201502</v>
      </c>
      <c r="J687" s="251">
        <v>-17.309999999999999</v>
      </c>
      <c r="K687" s="171">
        <f t="shared" si="38"/>
        <v>4</v>
      </c>
      <c r="L687" s="253">
        <v>1.4833299999999999E-3</v>
      </c>
      <c r="M687" s="251">
        <f t="shared" si="49"/>
        <v>-0.1</v>
      </c>
      <c r="N687" s="251">
        <f t="shared" si="48"/>
        <v>-0.31</v>
      </c>
      <c r="O687" s="223"/>
      <c r="P687" s="210" t="str">
        <f>VLOOKUP(C687,'WO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8" spans="1:16" ht="75" outlineLevel="2">
      <c r="A688" s="223" t="s">
        <v>54</v>
      </c>
      <c r="B688" s="250" t="s">
        <v>2267</v>
      </c>
      <c r="C688" s="250" t="s">
        <v>2268</v>
      </c>
      <c r="D688" s="223" t="s">
        <v>2269</v>
      </c>
      <c r="E688" s="250" t="s">
        <v>216</v>
      </c>
      <c r="F688" s="223" t="s">
        <v>22</v>
      </c>
      <c r="G688" s="250" t="s">
        <v>23</v>
      </c>
      <c r="H688" s="250" t="s">
        <v>1525</v>
      </c>
      <c r="I688" s="250">
        <v>201502</v>
      </c>
      <c r="J688" s="251">
        <v>30154.54</v>
      </c>
      <c r="K688" s="171">
        <f t="shared" si="38"/>
        <v>4</v>
      </c>
      <c r="L688" s="253">
        <v>1.4833299999999999E-3</v>
      </c>
      <c r="M688" s="251">
        <f t="shared" si="49"/>
        <v>178.92</v>
      </c>
      <c r="N688" s="251">
        <f t="shared" si="48"/>
        <v>536.75</v>
      </c>
      <c r="O688" s="223"/>
      <c r="P688" s="210" t="str">
        <f>VLOOKUP(C688,'WO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89" spans="1:16" ht="75" outlineLevel="2">
      <c r="A689" s="223" t="s">
        <v>54</v>
      </c>
      <c r="B689" s="250" t="s">
        <v>2198</v>
      </c>
      <c r="C689" s="250" t="s">
        <v>2199</v>
      </c>
      <c r="D689" s="223" t="s">
        <v>2200</v>
      </c>
      <c r="E689" s="250" t="s">
        <v>176</v>
      </c>
      <c r="F689" s="223" t="s">
        <v>28</v>
      </c>
      <c r="G689" s="250" t="s">
        <v>23</v>
      </c>
      <c r="H689" s="250" t="s">
        <v>1525</v>
      </c>
      <c r="I689" s="250">
        <v>201502</v>
      </c>
      <c r="J689" s="251">
        <v>2749.93</v>
      </c>
      <c r="K689" s="171">
        <f t="shared" si="38"/>
        <v>4</v>
      </c>
      <c r="L689" s="253">
        <v>1.4833299999999999E-3</v>
      </c>
      <c r="M689" s="251">
        <f t="shared" si="49"/>
        <v>16.32</v>
      </c>
      <c r="N689" s="251">
        <f t="shared" si="48"/>
        <v>48.95</v>
      </c>
      <c r="O689" s="223"/>
      <c r="P689" s="210" t="str">
        <f>VLOOKUP(C689,'WO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90" spans="1:16" ht="75" outlineLevel="2">
      <c r="A690" s="223" t="s">
        <v>54</v>
      </c>
      <c r="B690" s="250" t="s">
        <v>2270</v>
      </c>
      <c r="C690" s="250" t="s">
        <v>2271</v>
      </c>
      <c r="D690" s="223" t="s">
        <v>2272</v>
      </c>
      <c r="E690" s="250" t="s">
        <v>62</v>
      </c>
      <c r="F690" s="223" t="s">
        <v>22</v>
      </c>
      <c r="G690" s="250" t="s">
        <v>23</v>
      </c>
      <c r="H690" s="250" t="s">
        <v>1525</v>
      </c>
      <c r="I690" s="250">
        <v>201502</v>
      </c>
      <c r="J690" s="251">
        <v>19363.54</v>
      </c>
      <c r="K690" s="171">
        <f t="shared" si="38"/>
        <v>4</v>
      </c>
      <c r="L690" s="253">
        <v>1.4833299999999999E-3</v>
      </c>
      <c r="M690" s="251">
        <f t="shared" si="49"/>
        <v>114.89</v>
      </c>
      <c r="N690" s="251">
        <f t="shared" si="48"/>
        <v>344.67</v>
      </c>
      <c r="O690" s="223"/>
      <c r="P690" s="210" t="str">
        <f>VLOOKUP(C690,'WO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91" spans="1:16" ht="75" outlineLevel="2">
      <c r="A691" s="223" t="s">
        <v>54</v>
      </c>
      <c r="B691" s="250" t="s">
        <v>2201</v>
      </c>
      <c r="C691" s="250" t="s">
        <v>2202</v>
      </c>
      <c r="D691" s="223" t="s">
        <v>2203</v>
      </c>
      <c r="E691" s="250" t="s">
        <v>909</v>
      </c>
      <c r="F691" s="223" t="s">
        <v>22</v>
      </c>
      <c r="G691" s="250" t="s">
        <v>23</v>
      </c>
      <c r="H691" s="250" t="s">
        <v>1525</v>
      </c>
      <c r="I691" s="250">
        <v>201502</v>
      </c>
      <c r="J691" s="251">
        <v>8630.08</v>
      </c>
      <c r="K691" s="171">
        <f t="shared" si="38"/>
        <v>4</v>
      </c>
      <c r="L691" s="253">
        <v>1.4833299999999999E-3</v>
      </c>
      <c r="M691" s="251">
        <f t="shared" si="49"/>
        <v>51.21</v>
      </c>
      <c r="N691" s="251">
        <f t="shared" si="48"/>
        <v>153.62</v>
      </c>
      <c r="O691" s="223"/>
      <c r="P691" s="210" t="str">
        <f>VLOOKUP(C691,'WO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92" spans="1:16" ht="75" outlineLevel="2">
      <c r="A692" s="223" t="s">
        <v>54</v>
      </c>
      <c r="B692" s="250" t="s">
        <v>1093</v>
      </c>
      <c r="C692" s="250" t="s">
        <v>1094</v>
      </c>
      <c r="D692" s="223" t="s">
        <v>1095</v>
      </c>
      <c r="E692" s="250" t="s">
        <v>27</v>
      </c>
      <c r="F692" s="223" t="s">
        <v>28</v>
      </c>
      <c r="G692" s="250" t="s">
        <v>23</v>
      </c>
      <c r="H692" s="250" t="s">
        <v>1525</v>
      </c>
      <c r="I692" s="250">
        <v>201502</v>
      </c>
      <c r="J692" s="251">
        <v>1896.67</v>
      </c>
      <c r="K692" s="171">
        <f t="shared" si="38"/>
        <v>4</v>
      </c>
      <c r="L692" s="253">
        <v>1.4833299999999999E-3</v>
      </c>
      <c r="M692" s="251">
        <f t="shared" si="49"/>
        <v>11.25</v>
      </c>
      <c r="N692" s="251">
        <f t="shared" si="48"/>
        <v>33.76</v>
      </c>
      <c r="O692" s="223"/>
      <c r="P692" s="210" t="str">
        <f>VLOOKUP(C692,'WO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93" spans="1:16" ht="75" outlineLevel="2">
      <c r="A693" s="223" t="s">
        <v>54</v>
      </c>
      <c r="B693" s="250" t="s">
        <v>2273</v>
      </c>
      <c r="C693" s="250" t="s">
        <v>2274</v>
      </c>
      <c r="D693" s="223" t="s">
        <v>2275</v>
      </c>
      <c r="E693" s="250" t="s">
        <v>141</v>
      </c>
      <c r="F693" s="223" t="s">
        <v>142</v>
      </c>
      <c r="G693" s="250" t="s">
        <v>23</v>
      </c>
      <c r="H693" s="250" t="s">
        <v>1525</v>
      </c>
      <c r="I693" s="250">
        <v>201502</v>
      </c>
      <c r="J693" s="251">
        <v>111629.67</v>
      </c>
      <c r="K693" s="171">
        <f t="shared" si="38"/>
        <v>4</v>
      </c>
      <c r="L693" s="253">
        <v>1.4833299999999999E-3</v>
      </c>
      <c r="M693" s="251">
        <f t="shared" si="49"/>
        <v>662.33</v>
      </c>
      <c r="N693" s="251">
        <f t="shared" si="48"/>
        <v>1987</v>
      </c>
      <c r="O693" s="223"/>
      <c r="P693" s="210" t="str">
        <f>VLOOKUP(C693,'WO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694" spans="1:16" ht="45" outlineLevel="2">
      <c r="A694" s="223" t="s">
        <v>17</v>
      </c>
      <c r="B694" s="250" t="s">
        <v>2204</v>
      </c>
      <c r="C694" s="250" t="s">
        <v>2205</v>
      </c>
      <c r="D694" s="223" t="s">
        <v>2206</v>
      </c>
      <c r="E694" s="250" t="s">
        <v>440</v>
      </c>
      <c r="F694" s="223" t="s">
        <v>28</v>
      </c>
      <c r="G694" s="250" t="s">
        <v>23</v>
      </c>
      <c r="H694" s="250" t="s">
        <v>1525</v>
      </c>
      <c r="I694" s="250">
        <v>201502</v>
      </c>
      <c r="J694" s="251">
        <v>9463.41</v>
      </c>
      <c r="K694" s="171">
        <f t="shared" si="38"/>
        <v>4</v>
      </c>
      <c r="L694" s="253">
        <v>1.4833299999999999E-3</v>
      </c>
      <c r="M694" s="251">
        <f t="shared" si="49"/>
        <v>56.15</v>
      </c>
      <c r="N694" s="251">
        <f t="shared" si="48"/>
        <v>168.45</v>
      </c>
      <c r="O694" s="223"/>
      <c r="P694" s="210" t="str">
        <f>VLOOKUP(C694,'WO Descriptions'!$A$5:$D$384,4)</f>
        <v>Approved by: Kevin Driskell on 11/06/2014,  Replace a total of 80' of 2'' PCS (57' WO- A5579D and 23' WO- 761745) with 2'' PCS due to leaks. Make sure to bottle the old tap on the 12'' PCS. Pressure system C-039 MOP 135psig. Pressure test at 230psig.</v>
      </c>
    </row>
    <row r="695" spans="1:16" ht="45" outlineLevel="2">
      <c r="A695" s="223" t="s">
        <v>54</v>
      </c>
      <c r="B695" s="250" t="s">
        <v>1096</v>
      </c>
      <c r="C695" s="250" t="s">
        <v>1097</v>
      </c>
      <c r="D695" s="223" t="s">
        <v>1098</v>
      </c>
      <c r="E695" s="250" t="s">
        <v>462</v>
      </c>
      <c r="F695" s="223" t="s">
        <v>142</v>
      </c>
      <c r="G695" s="250" t="s">
        <v>23</v>
      </c>
      <c r="H695" s="250" t="s">
        <v>1525</v>
      </c>
      <c r="I695" s="250">
        <v>201502</v>
      </c>
      <c r="J695" s="251">
        <v>5567.08</v>
      </c>
      <c r="K695" s="171">
        <f t="shared" si="38"/>
        <v>4</v>
      </c>
      <c r="L695" s="253">
        <v>1.4833299999999999E-3</v>
      </c>
      <c r="M695" s="251">
        <f t="shared" si="49"/>
        <v>33.03</v>
      </c>
      <c r="N695" s="251">
        <f t="shared" si="48"/>
        <v>99.09</v>
      </c>
      <c r="O695" s="223"/>
      <c r="P695" s="210" t="str">
        <f>VLOOKUP(C695,'WO Descriptions'!$A$5:$D$384,4)</f>
        <v>Approved by: Kevin Driskell on 11/06/2014,  Replace a total of 80' of 2'' PCS (57' WO- A5579D and 23' WO- 761745) with 2'' PCS due to leaks. Make sure to bottle the old tap on the 12'' PCS. Pressure system C-039 MOP 135psig. Pressure test at 230psig.</v>
      </c>
    </row>
    <row r="696" spans="1:16" ht="45" outlineLevel="2">
      <c r="A696" s="223" t="s">
        <v>54</v>
      </c>
      <c r="B696" s="250" t="s">
        <v>2276</v>
      </c>
      <c r="C696" s="250" t="s">
        <v>2277</v>
      </c>
      <c r="D696" s="223" t="s">
        <v>2278</v>
      </c>
      <c r="E696" s="250" t="s">
        <v>462</v>
      </c>
      <c r="F696" s="223" t="s">
        <v>142</v>
      </c>
      <c r="G696" s="250" t="s">
        <v>23</v>
      </c>
      <c r="H696" s="250" t="s">
        <v>1525</v>
      </c>
      <c r="I696" s="250">
        <v>201502</v>
      </c>
      <c r="J696" s="251">
        <v>196544.7</v>
      </c>
      <c r="K696" s="171">
        <f t="shared" si="38"/>
        <v>4</v>
      </c>
      <c r="L696" s="253">
        <v>1.4833299999999999E-3</v>
      </c>
      <c r="M696" s="251">
        <f t="shared" si="49"/>
        <v>1166.1600000000001</v>
      </c>
      <c r="N696" s="251">
        <f t="shared" si="48"/>
        <v>3498.49</v>
      </c>
      <c r="O696" s="223"/>
      <c r="P696" s="210" t="str">
        <f>VLOOKUP(C696,'WO Descriptions'!$A$5:$D$384,4)</f>
        <v>Approved by: Kevin Driskell on 11/06/2014,  Replace a total of 80' of 2'' PCS (57' WO- A5579D and 23' WO- 761745) with 2'' PCS due to leaks. Make sure to bottle the old tap on the 12'' PCS. Pressure system C-039 MOP 135psig. Pressure test at 230psig.</v>
      </c>
    </row>
    <row r="697" spans="1:16" ht="45" outlineLevel="2">
      <c r="A697" s="223" t="s">
        <v>54</v>
      </c>
      <c r="B697" s="250" t="s">
        <v>2207</v>
      </c>
      <c r="C697" s="250" t="s">
        <v>2208</v>
      </c>
      <c r="D697" s="223" t="s">
        <v>2209</v>
      </c>
      <c r="E697" s="250" t="s">
        <v>141</v>
      </c>
      <c r="F697" s="223" t="s">
        <v>142</v>
      </c>
      <c r="G697" s="250" t="s">
        <v>23</v>
      </c>
      <c r="H697" s="250" t="s">
        <v>1525</v>
      </c>
      <c r="I697" s="250">
        <v>201502</v>
      </c>
      <c r="J697" s="251">
        <v>703.59</v>
      </c>
      <c r="K697" s="171">
        <f t="shared" si="38"/>
        <v>4</v>
      </c>
      <c r="L697" s="253">
        <v>1.4833299999999999E-3</v>
      </c>
      <c r="M697" s="251">
        <f t="shared" si="49"/>
        <v>4.17</v>
      </c>
      <c r="N697" s="251">
        <f t="shared" si="48"/>
        <v>12.52</v>
      </c>
      <c r="O697" s="223"/>
      <c r="P697" s="210" t="str">
        <f>VLOOKUP(C697,'WO Descriptions'!$A$5:$D$384,4)</f>
        <v>Approved by: Kevin Driskell on 11/06/2014,  Replace a total of 80' of 2'' PCS (57' WO- A5579D and 23' WO- 761745) with 2'' PCS due to leaks. Make sure to bottle the old tap on the 12'' PCS. Pressure system C-039 MOP 135psig. Pressure test at 230psig.</v>
      </c>
    </row>
    <row r="698" spans="1:16" ht="45" outlineLevel="2">
      <c r="A698" s="223" t="s">
        <v>54</v>
      </c>
      <c r="B698" s="250" t="s">
        <v>2210</v>
      </c>
      <c r="C698" s="250" t="s">
        <v>2211</v>
      </c>
      <c r="D698" s="223" t="s">
        <v>2212</v>
      </c>
      <c r="E698" s="250" t="s">
        <v>45</v>
      </c>
      <c r="F698" s="223" t="s">
        <v>22</v>
      </c>
      <c r="G698" s="250" t="s">
        <v>23</v>
      </c>
      <c r="H698" s="250" t="s">
        <v>1525</v>
      </c>
      <c r="I698" s="250">
        <v>201502</v>
      </c>
      <c r="J698" s="251">
        <v>-3184.31</v>
      </c>
      <c r="K698" s="171">
        <f t="shared" si="38"/>
        <v>4</v>
      </c>
      <c r="L698" s="253">
        <v>1.4833299999999999E-3</v>
      </c>
      <c r="M698" s="251">
        <f t="shared" si="49"/>
        <v>-18.89</v>
      </c>
      <c r="N698" s="251">
        <f t="shared" si="48"/>
        <v>-56.68</v>
      </c>
      <c r="O698" s="223"/>
      <c r="P698" s="210" t="str">
        <f>VLOOKUP(C698,'WO Descriptions'!$A$5:$D$384,4)</f>
        <v>Approved by: Kevin Driskell on 11/21/2014,  Replace 385' of 4" Bare Steel pipe with 530' of 4" PE due to leak on above ground creek crossing (leaks are at pipe supports). Existing 4" bare steel lays in blanket easement and will replace in road ROW due to creek crossing.</v>
      </c>
    </row>
    <row r="699" spans="1:16" ht="60" outlineLevel="2">
      <c r="A699" s="223" t="s">
        <v>17</v>
      </c>
      <c r="B699" s="250" t="s">
        <v>2213</v>
      </c>
      <c r="C699" s="250" t="s">
        <v>2214</v>
      </c>
      <c r="D699" s="223" t="s">
        <v>2215</v>
      </c>
      <c r="E699" s="250" t="s">
        <v>108</v>
      </c>
      <c r="F699" s="223" t="s">
        <v>28</v>
      </c>
      <c r="G699" s="250" t="s">
        <v>23</v>
      </c>
      <c r="H699" s="250" t="s">
        <v>1525</v>
      </c>
      <c r="I699" s="250">
        <v>201502</v>
      </c>
      <c r="J699" s="251">
        <v>-46.66</v>
      </c>
      <c r="K699" s="171">
        <f t="shared" si="38"/>
        <v>4</v>
      </c>
      <c r="L699" s="253">
        <v>1.4833299999999999E-3</v>
      </c>
      <c r="M699" s="251">
        <f t="shared" si="49"/>
        <v>-0.28000000000000003</v>
      </c>
      <c r="N699" s="251">
        <f t="shared" si="48"/>
        <v>-0.83</v>
      </c>
      <c r="O699" s="223"/>
      <c r="P699" s="210" t="str">
        <f>VLOOKUP(C699,'WO Descriptions'!$A$5:$D$384,4)</f>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
    </row>
    <row r="700" spans="1:16" ht="45" outlineLevel="2">
      <c r="A700" s="223" t="s">
        <v>54</v>
      </c>
      <c r="B700" s="250" t="s">
        <v>2247</v>
      </c>
      <c r="C700" s="250" t="s">
        <v>2248</v>
      </c>
      <c r="D700" s="223" t="s">
        <v>2249</v>
      </c>
      <c r="E700" s="250" t="s">
        <v>141</v>
      </c>
      <c r="F700" s="223" t="s">
        <v>142</v>
      </c>
      <c r="G700" s="250" t="s">
        <v>23</v>
      </c>
      <c r="H700" s="250" t="s">
        <v>1525</v>
      </c>
      <c r="I700" s="250">
        <v>201502</v>
      </c>
      <c r="J700" s="251">
        <v>18792.990000000002</v>
      </c>
      <c r="K700" s="171">
        <f t="shared" si="38"/>
        <v>4</v>
      </c>
      <c r="L700" s="253">
        <v>1.4833299999999999E-3</v>
      </c>
      <c r="M700" s="251">
        <f t="shared" si="49"/>
        <v>111.5</v>
      </c>
      <c r="N700" s="251">
        <f t="shared" si="48"/>
        <v>334.51</v>
      </c>
      <c r="O700" s="223"/>
      <c r="P700" s="210" t="str">
        <f>VLOOKUP(C700,'WO Descriptions'!$A$5:$D$384,4)</f>
        <v>Approved by: Gary Williams on 12/31/2014,  Replace due to AOR at 1227 Stratford Rd (Coupling exposed). CI break 13-1045 will also be taken care of in this replacement. Install 240' of 4'' PE. 1224 nd 1232 Stratford Rd are replacement services. 4 tie overs. Bypass needed.</v>
      </c>
    </row>
    <row r="701" spans="1:16" ht="60" outlineLevel="2">
      <c r="A701" s="223" t="s">
        <v>17</v>
      </c>
      <c r="B701" s="250" t="s">
        <v>2216</v>
      </c>
      <c r="C701" s="250" t="s">
        <v>2217</v>
      </c>
      <c r="D701" s="223" t="s">
        <v>2218</v>
      </c>
      <c r="E701" s="250" t="s">
        <v>324</v>
      </c>
      <c r="F701" s="223" t="s">
        <v>325</v>
      </c>
      <c r="G701" s="250" t="s">
        <v>23</v>
      </c>
      <c r="H701" s="250" t="s">
        <v>1525</v>
      </c>
      <c r="I701" s="250">
        <v>201502</v>
      </c>
      <c r="J701" s="251">
        <v>-1314.05</v>
      </c>
      <c r="K701" s="171">
        <f t="shared" si="38"/>
        <v>4</v>
      </c>
      <c r="L701" s="253">
        <v>1.4833299999999999E-3</v>
      </c>
      <c r="M701" s="251">
        <f t="shared" ref="M701:M702" si="50">ROUND(J701*K701*L701,2)</f>
        <v>-7.8</v>
      </c>
      <c r="N701" s="251">
        <f t="shared" si="48"/>
        <v>-23.39</v>
      </c>
      <c r="O701" s="223"/>
      <c r="P701" s="210" t="str">
        <f>VLOOKUP(C701,'WO Descriptions'!$A$5:$D$384,4)</f>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
    </row>
    <row r="702" spans="1:16" ht="30" outlineLevel="2">
      <c r="A702" s="223" t="s">
        <v>54</v>
      </c>
      <c r="B702" s="250" t="s">
        <v>2279</v>
      </c>
      <c r="C702" s="250" t="s">
        <v>2280</v>
      </c>
      <c r="D702" s="223" t="s">
        <v>2281</v>
      </c>
      <c r="E702" s="250" t="s">
        <v>909</v>
      </c>
      <c r="F702" s="223" t="s">
        <v>22</v>
      </c>
      <c r="G702" s="250" t="s">
        <v>23</v>
      </c>
      <c r="H702" s="250" t="s">
        <v>1525</v>
      </c>
      <c r="I702" s="250">
        <v>201502</v>
      </c>
      <c r="J702" s="251">
        <v>9861.58</v>
      </c>
      <c r="K702" s="171">
        <f t="shared" si="38"/>
        <v>4</v>
      </c>
      <c r="L702" s="253">
        <v>1.4833299999999999E-3</v>
      </c>
      <c r="M702" s="251">
        <f t="shared" si="50"/>
        <v>58.51</v>
      </c>
      <c r="N702" s="251">
        <f t="shared" si="48"/>
        <v>175.54</v>
      </c>
      <c r="O702" s="223"/>
      <c r="P702" s="210" t="str">
        <f>VLOOKUP(C702,'WO Descriptions'!$A$5:$D$384,4)</f>
        <v>Approved by: Gary Williams on 01/19/2015,  Replace 500ft of 3in &amp; 4in Bare Steel with 4in Plastic Pipe due to down project.</v>
      </c>
    </row>
    <row r="703" spans="1:16" outlineLevel="2">
      <c r="A703" s="14"/>
      <c r="B703" s="15"/>
      <c r="C703" s="15"/>
      <c r="D703" s="14"/>
      <c r="E703" s="15"/>
      <c r="F703" s="14"/>
      <c r="G703" s="15"/>
      <c r="H703" s="15"/>
      <c r="I703" s="15"/>
      <c r="J703" s="16"/>
      <c r="K703" s="171"/>
      <c r="L703" s="17"/>
      <c r="M703" s="16"/>
      <c r="N703" s="16"/>
      <c r="O703" s="14"/>
      <c r="P703" s="210"/>
    </row>
    <row r="704" spans="1:16" outlineLevel="1">
      <c r="A704" s="14"/>
      <c r="B704" s="15"/>
      <c r="C704" s="15"/>
      <c r="D704" s="14"/>
      <c r="E704" s="15"/>
      <c r="F704" s="14"/>
      <c r="G704" s="15"/>
      <c r="H704" s="69" t="s">
        <v>1534</v>
      </c>
      <c r="I704" s="15"/>
      <c r="J704" s="16">
        <f>SUBTOTAL(9,J214:J703)</f>
        <v>8756967.9199999906</v>
      </c>
      <c r="K704" s="171"/>
      <c r="L704" s="17"/>
      <c r="M704" s="16">
        <f>SUBTOTAL(9,M214:M703)</f>
        <v>81441.06000000007</v>
      </c>
      <c r="N704" s="16">
        <f>SUBTOTAL(9,N214:N703)</f>
        <v>155873.78000000014</v>
      </c>
      <c r="O704" s="14"/>
      <c r="P704" s="210"/>
    </row>
    <row r="705" spans="1:16" ht="30" outlineLevel="2">
      <c r="A705" s="14" t="s">
        <v>17</v>
      </c>
      <c r="B705" s="15" t="s">
        <v>37</v>
      </c>
      <c r="C705" s="15" t="s">
        <v>38</v>
      </c>
      <c r="D705" s="14" t="s">
        <v>39</v>
      </c>
      <c r="E705" s="15" t="s">
        <v>40</v>
      </c>
      <c r="F705" s="14" t="s">
        <v>41</v>
      </c>
      <c r="G705" s="15" t="s">
        <v>23</v>
      </c>
      <c r="H705" s="15" t="s">
        <v>1526</v>
      </c>
      <c r="I705" s="15">
        <v>201409</v>
      </c>
      <c r="J705" s="16">
        <v>10.42</v>
      </c>
      <c r="K705" s="171">
        <f t="shared" ref="K705:K736" si="51">VLOOKUP(I705,$T$7:$U$15,2)</f>
        <v>9</v>
      </c>
      <c r="L705" s="17">
        <v>1.4833299999999999E-3</v>
      </c>
      <c r="M705" s="16">
        <f t="shared" ref="M705:M736" si="52">ROUND(J705*K705*L705,2)</f>
        <v>0.14000000000000001</v>
      </c>
      <c r="N705" s="16">
        <f t="shared" ref="N705:N736" si="53">ROUND(J705*L705*12,2)</f>
        <v>0.19</v>
      </c>
      <c r="O705" s="14"/>
      <c r="P705" s="210" t="str">
        <f>VLOOKUP(C705,'WO Descriptions'!$A$5:$D$345,4)</f>
        <v>Approved by: Kevin Driskell on 09/23/2013,  Relocate 9' of 4'' PE main around storm structure (original WO 13-2516). S-056 pressure system.</v>
      </c>
    </row>
    <row r="706" spans="1:16" ht="90" outlineLevel="2">
      <c r="A706" s="14" t="s">
        <v>17</v>
      </c>
      <c r="B706" s="15" t="s">
        <v>50</v>
      </c>
      <c r="C706" s="15" t="s">
        <v>51</v>
      </c>
      <c r="D706" s="14" t="s">
        <v>52</v>
      </c>
      <c r="E706" s="15" t="s">
        <v>53</v>
      </c>
      <c r="F706" s="14" t="s">
        <v>41</v>
      </c>
      <c r="G706" s="15" t="s">
        <v>23</v>
      </c>
      <c r="H706" s="15" t="s">
        <v>1526</v>
      </c>
      <c r="I706" s="15">
        <v>201409</v>
      </c>
      <c r="J706" s="16">
        <v>24425.73</v>
      </c>
      <c r="K706" s="171">
        <f t="shared" si="51"/>
        <v>9</v>
      </c>
      <c r="L706" s="17">
        <v>1.4833299999999999E-3</v>
      </c>
      <c r="M706" s="16">
        <f t="shared" si="52"/>
        <v>326.08</v>
      </c>
      <c r="N706" s="16">
        <f t="shared" si="53"/>
        <v>434.78</v>
      </c>
      <c r="O706" s="14"/>
      <c r="P706" s="210" t="str">
        <f>VLOOKUP(C706,'WO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row>
    <row r="707" spans="1:16" ht="75" outlineLevel="2">
      <c r="A707" s="14" t="s">
        <v>17</v>
      </c>
      <c r="B707" s="15" t="s">
        <v>101</v>
      </c>
      <c r="C707" s="15" t="s">
        <v>102</v>
      </c>
      <c r="D707" s="14" t="s">
        <v>103</v>
      </c>
      <c r="E707" s="15" t="s">
        <v>104</v>
      </c>
      <c r="F707" s="14" t="s">
        <v>41</v>
      </c>
      <c r="G707" s="15" t="s">
        <v>23</v>
      </c>
      <c r="H707" s="15" t="s">
        <v>1526</v>
      </c>
      <c r="I707" s="15">
        <v>201409</v>
      </c>
      <c r="J707" s="16">
        <v>-39.9</v>
      </c>
      <c r="K707" s="171">
        <f t="shared" si="51"/>
        <v>9</v>
      </c>
      <c r="L707" s="17">
        <v>1.4833299999999999E-3</v>
      </c>
      <c r="M707" s="16">
        <f t="shared" si="52"/>
        <v>-0.53</v>
      </c>
      <c r="N707" s="16">
        <f t="shared" si="53"/>
        <v>-0.71</v>
      </c>
      <c r="O707" s="14"/>
      <c r="P707" s="210" t="str">
        <f>VLOOKUP(C707,'WO Descriptions'!$A$5:$D$345,4)</f>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
    </row>
    <row r="708" spans="1:16" ht="105" outlineLevel="2">
      <c r="A708" s="14" t="s">
        <v>17</v>
      </c>
      <c r="B708" s="15" t="s">
        <v>133</v>
      </c>
      <c r="C708" s="15" t="s">
        <v>134</v>
      </c>
      <c r="D708" s="14" t="s">
        <v>135</v>
      </c>
      <c r="E708" s="15" t="s">
        <v>136</v>
      </c>
      <c r="F708" s="14" t="s">
        <v>137</v>
      </c>
      <c r="G708" s="15" t="s">
        <v>23</v>
      </c>
      <c r="H708" s="15" t="s">
        <v>1526</v>
      </c>
      <c r="I708" s="15">
        <v>201409</v>
      </c>
      <c r="J708" s="16">
        <v>-3718.06</v>
      </c>
      <c r="K708" s="171">
        <f t="shared" si="51"/>
        <v>9</v>
      </c>
      <c r="L708" s="17">
        <v>1.4833299999999999E-3</v>
      </c>
      <c r="M708" s="16">
        <f t="shared" si="52"/>
        <v>-49.64</v>
      </c>
      <c r="N708" s="16">
        <f t="shared" si="53"/>
        <v>-66.180000000000007</v>
      </c>
      <c r="O708" s="14"/>
      <c r="P708" s="210" t="str">
        <f>VLOOKUP(C708,'WO Descriptions'!$A$5:$D$345,4)</f>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
    </row>
    <row r="709" spans="1:16" ht="60" outlineLevel="2">
      <c r="A709" s="14" t="s">
        <v>17</v>
      </c>
      <c r="B709" s="15" t="s">
        <v>149</v>
      </c>
      <c r="C709" s="15" t="s">
        <v>150</v>
      </c>
      <c r="D709" s="14" t="s">
        <v>151</v>
      </c>
      <c r="E709" s="15" t="s">
        <v>40</v>
      </c>
      <c r="F709" s="14" t="s">
        <v>41</v>
      </c>
      <c r="G709" s="15" t="s">
        <v>23</v>
      </c>
      <c r="H709" s="15" t="s">
        <v>1526</v>
      </c>
      <c r="I709" s="15">
        <v>201409</v>
      </c>
      <c r="J709" s="16">
        <v>-860.78</v>
      </c>
      <c r="K709" s="171">
        <f t="shared" si="51"/>
        <v>9</v>
      </c>
      <c r="L709" s="17">
        <v>1.4833299999999999E-3</v>
      </c>
      <c r="M709" s="16">
        <f t="shared" si="52"/>
        <v>-11.49</v>
      </c>
      <c r="N709" s="16">
        <f t="shared" si="53"/>
        <v>-15.32</v>
      </c>
      <c r="O709" s="14"/>
      <c r="P709" s="210" t="str">
        <f>VLOOKUP(C709,'WO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710" spans="1:16" ht="60" outlineLevel="2">
      <c r="A710" s="18" t="s">
        <v>17</v>
      </c>
      <c r="B710" s="15" t="s">
        <v>152</v>
      </c>
      <c r="C710" s="15" t="s">
        <v>153</v>
      </c>
      <c r="D710" s="14" t="s">
        <v>154</v>
      </c>
      <c r="E710" s="15" t="s">
        <v>53</v>
      </c>
      <c r="F710" s="14" t="s">
        <v>41</v>
      </c>
      <c r="G710" s="15" t="s">
        <v>23</v>
      </c>
      <c r="H710" s="15" t="s">
        <v>1526</v>
      </c>
      <c r="I710" s="15">
        <v>201409</v>
      </c>
      <c r="J710" s="16">
        <v>-31.85</v>
      </c>
      <c r="K710" s="171">
        <f t="shared" si="51"/>
        <v>9</v>
      </c>
      <c r="L710" s="17">
        <v>1.4833299999999999E-3</v>
      </c>
      <c r="M710" s="16">
        <f t="shared" si="52"/>
        <v>-0.43</v>
      </c>
      <c r="N710" s="16">
        <f t="shared" si="53"/>
        <v>-0.56999999999999995</v>
      </c>
      <c r="O710" s="14"/>
      <c r="P710" s="210" t="str">
        <f>VLOOKUP(C710,'WO Descriptions'!$A$5:$D$345,4)</f>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
    </row>
    <row r="711" spans="1:16" ht="75" outlineLevel="2">
      <c r="A711" s="18" t="s">
        <v>17</v>
      </c>
      <c r="B711" s="15" t="s">
        <v>180</v>
      </c>
      <c r="C711" s="15" t="s">
        <v>181</v>
      </c>
      <c r="D711" s="14" t="s">
        <v>182</v>
      </c>
      <c r="E711" s="15" t="s">
        <v>53</v>
      </c>
      <c r="F711" s="14" t="s">
        <v>41</v>
      </c>
      <c r="G711" s="15" t="s">
        <v>23</v>
      </c>
      <c r="H711" s="15" t="s">
        <v>1526</v>
      </c>
      <c r="I711" s="15">
        <v>201409</v>
      </c>
      <c r="J711" s="16">
        <v>-243.49</v>
      </c>
      <c r="K711" s="171">
        <f t="shared" si="51"/>
        <v>9</v>
      </c>
      <c r="L711" s="17">
        <v>1.4833299999999999E-3</v>
      </c>
      <c r="M711" s="16">
        <f t="shared" si="52"/>
        <v>-3.25</v>
      </c>
      <c r="N711" s="16">
        <f t="shared" si="53"/>
        <v>-4.33</v>
      </c>
      <c r="O711" s="14"/>
      <c r="P711" s="210" t="str">
        <f>VLOOKUP(C711,'WO Descriptions'!$A$5:$D$345,4)</f>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
    </row>
    <row r="712" spans="1:16" ht="90" outlineLevel="2">
      <c r="A712" s="14" t="s">
        <v>17</v>
      </c>
      <c r="B712" s="15" t="s">
        <v>183</v>
      </c>
      <c r="C712" s="15" t="s">
        <v>184</v>
      </c>
      <c r="D712" s="14" t="s">
        <v>185</v>
      </c>
      <c r="E712" s="15" t="s">
        <v>53</v>
      </c>
      <c r="F712" s="14" t="s">
        <v>41</v>
      </c>
      <c r="G712" s="15" t="s">
        <v>23</v>
      </c>
      <c r="H712" s="15" t="s">
        <v>1526</v>
      </c>
      <c r="I712" s="15">
        <v>201409</v>
      </c>
      <c r="J712" s="16">
        <v>-1163.68</v>
      </c>
      <c r="K712" s="171">
        <f t="shared" si="51"/>
        <v>9</v>
      </c>
      <c r="L712" s="17">
        <v>1.4833299999999999E-3</v>
      </c>
      <c r="M712" s="16">
        <f t="shared" si="52"/>
        <v>-15.54</v>
      </c>
      <c r="N712" s="16">
        <f t="shared" si="53"/>
        <v>-20.71</v>
      </c>
      <c r="O712" s="14"/>
      <c r="P712" s="210" t="str">
        <f>VLOOKUP(C712,'WO Descriptions'!$A$5:$D$345,4)</f>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
    </row>
    <row r="713" spans="1:16" ht="45" outlineLevel="2">
      <c r="A713" s="18" t="s">
        <v>17</v>
      </c>
      <c r="B713" s="15" t="s">
        <v>232</v>
      </c>
      <c r="C713" s="15" t="s">
        <v>233</v>
      </c>
      <c r="D713" s="14" t="s">
        <v>234</v>
      </c>
      <c r="E713" s="15" t="s">
        <v>40</v>
      </c>
      <c r="F713" s="14" t="s">
        <v>41</v>
      </c>
      <c r="G713" s="15" t="s">
        <v>23</v>
      </c>
      <c r="H713" s="15" t="s">
        <v>1526</v>
      </c>
      <c r="I713" s="15">
        <v>201409</v>
      </c>
      <c r="J713" s="16">
        <v>34.520000000000003</v>
      </c>
      <c r="K713" s="171">
        <f t="shared" si="51"/>
        <v>9</v>
      </c>
      <c r="L713" s="17">
        <v>1.4833299999999999E-3</v>
      </c>
      <c r="M713" s="16">
        <f t="shared" si="52"/>
        <v>0.46</v>
      </c>
      <c r="N713" s="16">
        <f t="shared" si="53"/>
        <v>0.61</v>
      </c>
      <c r="O713" s="14"/>
      <c r="P713" s="210" t="str">
        <f>VLOOKUP(C713,'WO Descriptions'!$A$5:$D$345,4)</f>
        <v>Approved by: Kevin Driskell on 04/08/2013,  Relocate 50' of 2in PE due to public improvement, grade cuts will put existing gas main at 15in deep. Install 1-1/4in bypass for service to UMB Bank. Retire 10'-2in CS, 1992 wo 92-6977; 40'-2in PE 2009 wo 09-6139.</v>
      </c>
    </row>
    <row r="714" spans="1:16" ht="45" outlineLevel="2">
      <c r="A714" s="14" t="s">
        <v>17</v>
      </c>
      <c r="B714" s="15" t="s">
        <v>266</v>
      </c>
      <c r="C714" s="15" t="s">
        <v>267</v>
      </c>
      <c r="D714" s="14" t="s">
        <v>268</v>
      </c>
      <c r="E714" s="15" t="s">
        <v>104</v>
      </c>
      <c r="F714" s="14" t="s">
        <v>41</v>
      </c>
      <c r="G714" s="15" t="s">
        <v>23</v>
      </c>
      <c r="H714" s="15" t="s">
        <v>1526</v>
      </c>
      <c r="I714" s="15">
        <v>201409</v>
      </c>
      <c r="J714" s="16">
        <v>3</v>
      </c>
      <c r="K714" s="171">
        <f t="shared" si="51"/>
        <v>9</v>
      </c>
      <c r="L714" s="17">
        <v>1.4833299999999999E-3</v>
      </c>
      <c r="M714" s="16">
        <f t="shared" si="52"/>
        <v>0.04</v>
      </c>
      <c r="N714" s="16">
        <f t="shared" si="53"/>
        <v>0.05</v>
      </c>
      <c r="O714" s="14"/>
      <c r="P714" s="210" t="str">
        <f>VLOOKUP(C714,'WO Descriptions'!$A$5:$D$345,4)</f>
        <v>Approved by: Ralph Janes on 09/05/2013,  Public Improvement Project: Country Lane Storm. Install a 20' x 5' dogleg for a new storm inlet at Country Lane and Country Place. Install 30' of 2in PE and retire 20' of 3in PE (WO# 78-3836). ISRS</v>
      </c>
    </row>
    <row r="715" spans="1:16" ht="60" outlineLevel="2">
      <c r="A715" s="14" t="s">
        <v>17</v>
      </c>
      <c r="B715" s="15" t="s">
        <v>275</v>
      </c>
      <c r="C715" s="15" t="s">
        <v>276</v>
      </c>
      <c r="D715" s="14" t="s">
        <v>277</v>
      </c>
      <c r="E715" s="15" t="s">
        <v>40</v>
      </c>
      <c r="F715" s="14" t="s">
        <v>41</v>
      </c>
      <c r="G715" s="15" t="s">
        <v>23</v>
      </c>
      <c r="H715" s="15" t="s">
        <v>1526</v>
      </c>
      <c r="I715" s="15">
        <v>201409</v>
      </c>
      <c r="J715" s="16">
        <v>-955.41</v>
      </c>
      <c r="K715" s="171">
        <f t="shared" si="51"/>
        <v>9</v>
      </c>
      <c r="L715" s="17">
        <v>1.4833299999999999E-3</v>
      </c>
      <c r="M715" s="16">
        <f t="shared" si="52"/>
        <v>-12.75</v>
      </c>
      <c r="N715" s="16">
        <f t="shared" si="53"/>
        <v>-17.010000000000002</v>
      </c>
      <c r="O715" s="14"/>
      <c r="P715" s="210" t="str">
        <f>VLOOKUP(C715,'WO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716" spans="1:16" ht="45" outlineLevel="2">
      <c r="A716" s="14" t="s">
        <v>17</v>
      </c>
      <c r="B716" s="15" t="s">
        <v>278</v>
      </c>
      <c r="C716" s="15" t="s">
        <v>279</v>
      </c>
      <c r="D716" s="14" t="s">
        <v>280</v>
      </c>
      <c r="E716" s="15" t="s">
        <v>104</v>
      </c>
      <c r="F716" s="14" t="s">
        <v>41</v>
      </c>
      <c r="G716" s="15" t="s">
        <v>23</v>
      </c>
      <c r="H716" s="15" t="s">
        <v>1526</v>
      </c>
      <c r="I716" s="15">
        <v>201409</v>
      </c>
      <c r="J716" s="16">
        <v>-53.52</v>
      </c>
      <c r="K716" s="171">
        <f t="shared" si="51"/>
        <v>9</v>
      </c>
      <c r="L716" s="17">
        <v>1.4833299999999999E-3</v>
      </c>
      <c r="M716" s="16">
        <f t="shared" si="52"/>
        <v>-0.71</v>
      </c>
      <c r="N716" s="16">
        <f t="shared" si="53"/>
        <v>-0.95</v>
      </c>
      <c r="O716" s="14"/>
      <c r="P716" s="210" t="str">
        <f>VLOOKUP(C716,'WO Descriptions'!$A$5:$D$345,4)</f>
        <v>Approved by: Ralph Janes on 03/05/2014,  Relocate and abandon 15' - 4" pe main (00-1895) by installing 30' - temporary 2" pe main and then 15' - 4" pe main to allow the rural water district to install a new water tower main and tap. (ISRS)</v>
      </c>
    </row>
    <row r="717" spans="1:16" ht="105" outlineLevel="2">
      <c r="A717" s="14" t="s">
        <v>17</v>
      </c>
      <c r="B717" s="15" t="s">
        <v>281</v>
      </c>
      <c r="C717" s="15" t="s">
        <v>282</v>
      </c>
      <c r="D717" s="14" t="s">
        <v>283</v>
      </c>
      <c r="E717" s="15" t="s">
        <v>40</v>
      </c>
      <c r="F717" s="14" t="s">
        <v>41</v>
      </c>
      <c r="G717" s="15" t="s">
        <v>23</v>
      </c>
      <c r="H717" s="15" t="s">
        <v>1526</v>
      </c>
      <c r="I717" s="15">
        <v>201409</v>
      </c>
      <c r="J717" s="16">
        <v>-3433.06</v>
      </c>
      <c r="K717" s="171">
        <f t="shared" si="51"/>
        <v>9</v>
      </c>
      <c r="L717" s="17">
        <v>1.4833299999999999E-3</v>
      </c>
      <c r="M717" s="16">
        <f t="shared" si="52"/>
        <v>-45.83</v>
      </c>
      <c r="N717" s="16">
        <f t="shared" si="53"/>
        <v>-61.11</v>
      </c>
      <c r="O717" s="14"/>
      <c r="P717" s="210" t="str">
        <f>VLOOKUP(C717,'WO Descriptions'!$A$5:$D$345,4)</f>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
    </row>
    <row r="718" spans="1:16" ht="60" outlineLevel="2">
      <c r="A718" s="14" t="s">
        <v>17</v>
      </c>
      <c r="B718" s="15" t="s">
        <v>344</v>
      </c>
      <c r="C718" s="15" t="s">
        <v>345</v>
      </c>
      <c r="D718" s="14" t="s">
        <v>346</v>
      </c>
      <c r="E718" s="15" t="s">
        <v>53</v>
      </c>
      <c r="F718" s="14" t="s">
        <v>41</v>
      </c>
      <c r="G718" s="15" t="s">
        <v>23</v>
      </c>
      <c r="H718" s="15" t="s">
        <v>1526</v>
      </c>
      <c r="I718" s="15">
        <v>201409</v>
      </c>
      <c r="J718" s="16">
        <v>-1802.78</v>
      </c>
      <c r="K718" s="171">
        <f t="shared" si="51"/>
        <v>9</v>
      </c>
      <c r="L718" s="17">
        <v>1.4833299999999999E-3</v>
      </c>
      <c r="M718" s="16">
        <f t="shared" si="52"/>
        <v>-24.07</v>
      </c>
      <c r="N718" s="16">
        <f t="shared" si="53"/>
        <v>-32.090000000000003</v>
      </c>
      <c r="O718" s="14"/>
      <c r="P718" s="210" t="str">
        <f>VLOOKUP(C718,'WO Descriptions'!$A$5:$D$345,4)</f>
        <v>Approved by: Ken Thomas on 09/17/2013,  Replace 510' - 6in PBS (WO#: A8634A) with 510' - 6in PE due to roadway improvements and shallow existing main. Project Location: 11th and Highview; Pressure System: C-1; MOP: 58 psig; MAOP: 58 psig; Design: 58 psig; Test: 100 psig; ISRS $67.22/ft</v>
      </c>
    </row>
    <row r="719" spans="1:16" ht="165" outlineLevel="2">
      <c r="A719" s="14" t="s">
        <v>17</v>
      </c>
      <c r="B719" s="15" t="s">
        <v>391</v>
      </c>
      <c r="C719" s="15" t="s">
        <v>392</v>
      </c>
      <c r="D719" s="14" t="s">
        <v>393</v>
      </c>
      <c r="E719" s="15" t="s">
        <v>394</v>
      </c>
      <c r="F719" s="14" t="s">
        <v>137</v>
      </c>
      <c r="G719" s="15" t="s">
        <v>23</v>
      </c>
      <c r="H719" s="15" t="s">
        <v>1526</v>
      </c>
      <c r="I719" s="15">
        <v>201409</v>
      </c>
      <c r="J719" s="16">
        <v>-762.66</v>
      </c>
      <c r="K719" s="171">
        <f t="shared" si="51"/>
        <v>9</v>
      </c>
      <c r="L719" s="17">
        <v>1.4833299999999999E-3</v>
      </c>
      <c r="M719" s="16">
        <f t="shared" si="52"/>
        <v>-10.18</v>
      </c>
      <c r="N719" s="16">
        <f t="shared" si="53"/>
        <v>-13.58</v>
      </c>
      <c r="O719" s="14"/>
      <c r="P719" s="210" t="str">
        <f>VLOOKUP(C719,'WO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720" spans="1:16" ht="60" outlineLevel="2">
      <c r="A720" s="14" t="s">
        <v>17</v>
      </c>
      <c r="B720" s="15" t="s">
        <v>398</v>
      </c>
      <c r="C720" s="15" t="s">
        <v>399</v>
      </c>
      <c r="D720" s="14" t="s">
        <v>400</v>
      </c>
      <c r="E720" s="15" t="s">
        <v>104</v>
      </c>
      <c r="F720" s="14" t="s">
        <v>41</v>
      </c>
      <c r="G720" s="15" t="s">
        <v>23</v>
      </c>
      <c r="H720" s="15" t="s">
        <v>1526</v>
      </c>
      <c r="I720" s="15">
        <v>201409</v>
      </c>
      <c r="J720" s="16">
        <v>-13.72</v>
      </c>
      <c r="K720" s="171">
        <f t="shared" si="51"/>
        <v>9</v>
      </c>
      <c r="L720" s="17">
        <v>1.4833299999999999E-3</v>
      </c>
      <c r="M720" s="16">
        <f t="shared" si="52"/>
        <v>-0.18</v>
      </c>
      <c r="N720" s="16">
        <f t="shared" si="53"/>
        <v>-0.24</v>
      </c>
      <c r="O720" s="14"/>
      <c r="P720" s="210" t="str">
        <f>VLOOKUP(C720,'WO Descriptions'!$A$5:$D$345,4)</f>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
    </row>
    <row r="721" spans="1:16" ht="90" outlineLevel="2">
      <c r="A721" s="14" t="s">
        <v>17</v>
      </c>
      <c r="B721" s="15" t="s">
        <v>407</v>
      </c>
      <c r="C721" s="15" t="s">
        <v>408</v>
      </c>
      <c r="D721" s="14" t="s">
        <v>409</v>
      </c>
      <c r="E721" s="15" t="s">
        <v>53</v>
      </c>
      <c r="F721" s="14" t="s">
        <v>41</v>
      </c>
      <c r="G721" s="15" t="s">
        <v>23</v>
      </c>
      <c r="H721" s="15" t="s">
        <v>1526</v>
      </c>
      <c r="I721" s="15">
        <v>201409</v>
      </c>
      <c r="J721" s="16">
        <v>-191.38</v>
      </c>
      <c r="K721" s="171">
        <f t="shared" si="51"/>
        <v>9</v>
      </c>
      <c r="L721" s="17">
        <v>1.4833299999999999E-3</v>
      </c>
      <c r="M721" s="16">
        <f t="shared" si="52"/>
        <v>-2.5499999999999998</v>
      </c>
      <c r="N721" s="16">
        <f t="shared" si="53"/>
        <v>-3.41</v>
      </c>
      <c r="O721" s="14"/>
      <c r="P721" s="210" t="str">
        <f>VLOOKUP(C721,'WO Descriptions'!$A$5:$D$345,4)</f>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
    </row>
    <row r="722" spans="1:16" ht="45" outlineLevel="2">
      <c r="A722" s="14" t="s">
        <v>17</v>
      </c>
      <c r="B722" s="15" t="s">
        <v>413</v>
      </c>
      <c r="C722" s="15" t="s">
        <v>414</v>
      </c>
      <c r="D722" s="14" t="s">
        <v>415</v>
      </c>
      <c r="E722" s="15" t="s">
        <v>104</v>
      </c>
      <c r="F722" s="14" t="s">
        <v>41</v>
      </c>
      <c r="G722" s="15" t="s">
        <v>23</v>
      </c>
      <c r="H722" s="15" t="s">
        <v>1526</v>
      </c>
      <c r="I722" s="15">
        <v>201409</v>
      </c>
      <c r="J722" s="16">
        <v>-174.39</v>
      </c>
      <c r="K722" s="171">
        <f t="shared" si="51"/>
        <v>9</v>
      </c>
      <c r="L722" s="17">
        <v>1.4833299999999999E-3</v>
      </c>
      <c r="M722" s="16">
        <f t="shared" si="52"/>
        <v>-2.33</v>
      </c>
      <c r="N722" s="16">
        <f t="shared" si="53"/>
        <v>-3.1</v>
      </c>
      <c r="O722" s="14"/>
      <c r="P722" s="210" t="str">
        <f>VLOOKUP(C722,'WO Descriptions'!$A$5:$D$345,4)</f>
        <v>Approved by: Ralph Janes on 09/23/2013,  Main to abandon: 90' of 6" PCS from wo# 62-1425 and 108' of 2" PE from wo# 89-1285. Also, remove EV 704. Install 114' of 6" PCS on WO# 13-2741. Main relocation is due to "Main Street Drainage Improvements Phase 1" in Concordia, MO.</v>
      </c>
    </row>
    <row r="723" spans="1:16" ht="30" outlineLevel="2">
      <c r="A723" s="14" t="s">
        <v>17</v>
      </c>
      <c r="B723" s="15" t="s">
        <v>425</v>
      </c>
      <c r="C723" s="15" t="s">
        <v>426</v>
      </c>
      <c r="D723" s="14" t="s">
        <v>427</v>
      </c>
      <c r="E723" s="15" t="s">
        <v>104</v>
      </c>
      <c r="F723" s="14" t="s">
        <v>41</v>
      </c>
      <c r="G723" s="15" t="s">
        <v>23</v>
      </c>
      <c r="H723" s="15" t="s">
        <v>1526</v>
      </c>
      <c r="I723" s="15">
        <v>201409</v>
      </c>
      <c r="J723" s="16">
        <v>1.99</v>
      </c>
      <c r="K723" s="171">
        <f t="shared" si="51"/>
        <v>9</v>
      </c>
      <c r="L723" s="17">
        <v>1.4833299999999999E-3</v>
      </c>
      <c r="M723" s="16">
        <f t="shared" si="52"/>
        <v>0.03</v>
      </c>
      <c r="N723" s="16">
        <f t="shared" si="53"/>
        <v>0.04</v>
      </c>
      <c r="O723" s="14"/>
      <c r="P723" s="210" t="str">
        <f>VLOOKUP(C723,'WO Descriptions'!$A$5:$D$345,4)</f>
        <v>Approved by: Ralph Janes on 10/09/2013,  Public Improvement Project: Country Lane Storm. Relocate 10' of 2in PE for a storm sewer installation. Main to retire: 8' - 2in PE (WO# 78-3732).</v>
      </c>
    </row>
    <row r="724" spans="1:16" ht="90" outlineLevel="2">
      <c r="A724" s="14" t="s">
        <v>17</v>
      </c>
      <c r="B724" s="15" t="s">
        <v>474</v>
      </c>
      <c r="C724" s="15" t="s">
        <v>475</v>
      </c>
      <c r="D724" s="14" t="s">
        <v>476</v>
      </c>
      <c r="E724" s="15" t="s">
        <v>40</v>
      </c>
      <c r="F724" s="14" t="s">
        <v>41</v>
      </c>
      <c r="G724" s="15" t="s">
        <v>23</v>
      </c>
      <c r="H724" s="15" t="s">
        <v>1526</v>
      </c>
      <c r="I724" s="15">
        <v>201409</v>
      </c>
      <c r="J724" s="16">
        <v>-659.04</v>
      </c>
      <c r="K724" s="171">
        <f t="shared" si="51"/>
        <v>9</v>
      </c>
      <c r="L724" s="17">
        <v>1.4833299999999999E-3</v>
      </c>
      <c r="M724" s="16">
        <f t="shared" si="52"/>
        <v>-8.8000000000000007</v>
      </c>
      <c r="N724" s="16">
        <f t="shared" si="53"/>
        <v>-11.73</v>
      </c>
      <c r="O724" s="14"/>
      <c r="P724" s="210" t="str">
        <f>VLOOKUP(C724,'WO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725" spans="1:16" ht="60" outlineLevel="2">
      <c r="A725" s="14" t="s">
        <v>17</v>
      </c>
      <c r="B725" s="15" t="s">
        <v>502</v>
      </c>
      <c r="C725" s="15" t="s">
        <v>503</v>
      </c>
      <c r="D725" s="14" t="s">
        <v>504</v>
      </c>
      <c r="E725" s="15" t="s">
        <v>40</v>
      </c>
      <c r="F725" s="14" t="s">
        <v>41</v>
      </c>
      <c r="G725" s="15" t="s">
        <v>23</v>
      </c>
      <c r="H725" s="15" t="s">
        <v>1526</v>
      </c>
      <c r="I725" s="15">
        <v>201409</v>
      </c>
      <c r="J725" s="16">
        <v>-28.62</v>
      </c>
      <c r="K725" s="171">
        <f t="shared" si="51"/>
        <v>9</v>
      </c>
      <c r="L725" s="17">
        <v>1.4833299999999999E-3</v>
      </c>
      <c r="M725" s="16">
        <f t="shared" si="52"/>
        <v>-0.38</v>
      </c>
      <c r="N725" s="16">
        <f t="shared" si="53"/>
        <v>-0.51</v>
      </c>
      <c r="O725" s="14"/>
      <c r="P725" s="210" t="str">
        <f>VLOOKUP(C725,'WO Descriptions'!$A$5:$D$345,4)</f>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
    </row>
    <row r="726" spans="1:16" ht="90" outlineLevel="2">
      <c r="A726" s="14" t="s">
        <v>17</v>
      </c>
      <c r="B726" s="15" t="s">
        <v>505</v>
      </c>
      <c r="C726" s="15" t="s">
        <v>506</v>
      </c>
      <c r="D726" s="14" t="s">
        <v>507</v>
      </c>
      <c r="E726" s="15" t="s">
        <v>104</v>
      </c>
      <c r="F726" s="14" t="s">
        <v>41</v>
      </c>
      <c r="G726" s="15" t="s">
        <v>23</v>
      </c>
      <c r="H726" s="15" t="s">
        <v>1526</v>
      </c>
      <c r="I726" s="15">
        <v>201409</v>
      </c>
      <c r="J726" s="16">
        <v>-27.17</v>
      </c>
      <c r="K726" s="171">
        <f t="shared" si="51"/>
        <v>9</v>
      </c>
      <c r="L726" s="17">
        <v>1.4833299999999999E-3</v>
      </c>
      <c r="M726" s="16">
        <f t="shared" si="52"/>
        <v>-0.36</v>
      </c>
      <c r="N726" s="16">
        <f t="shared" si="53"/>
        <v>-0.48</v>
      </c>
      <c r="O726" s="14"/>
      <c r="P726" s="210" t="str">
        <f>VLOOKUP(C726,'WO Descriptions'!$A$5:$D$345,4)</f>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
    </row>
    <row r="727" spans="1:16" ht="105" outlineLevel="2">
      <c r="A727" s="14" t="s">
        <v>17</v>
      </c>
      <c r="B727" s="15" t="s">
        <v>526</v>
      </c>
      <c r="C727" s="15" t="s">
        <v>527</v>
      </c>
      <c r="D727" s="14" t="s">
        <v>528</v>
      </c>
      <c r="E727" s="15" t="s">
        <v>53</v>
      </c>
      <c r="F727" s="14" t="s">
        <v>41</v>
      </c>
      <c r="G727" s="15" t="s">
        <v>23</v>
      </c>
      <c r="H727" s="15" t="s">
        <v>1526</v>
      </c>
      <c r="I727" s="15">
        <v>201409</v>
      </c>
      <c r="J727" s="16">
        <v>-4837.0200000000004</v>
      </c>
      <c r="K727" s="171">
        <f t="shared" si="51"/>
        <v>9</v>
      </c>
      <c r="L727" s="17">
        <v>1.4833299999999999E-3</v>
      </c>
      <c r="M727" s="16">
        <f t="shared" si="52"/>
        <v>-64.569999999999993</v>
      </c>
      <c r="N727" s="16">
        <f t="shared" si="53"/>
        <v>-86.1</v>
      </c>
      <c r="O727" s="14"/>
      <c r="P727" s="210" t="str">
        <f>VLOOKUP(C727,'WO Descriptions'!$A$5:$D$345,4)</f>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
    </row>
    <row r="728" spans="1:16" ht="60" outlineLevel="2">
      <c r="A728" s="14" t="s">
        <v>17</v>
      </c>
      <c r="B728" s="15" t="s">
        <v>537</v>
      </c>
      <c r="C728" s="15" t="s">
        <v>538</v>
      </c>
      <c r="D728" s="14" t="s">
        <v>539</v>
      </c>
      <c r="E728" s="15" t="s">
        <v>53</v>
      </c>
      <c r="F728" s="14" t="s">
        <v>41</v>
      </c>
      <c r="G728" s="15" t="s">
        <v>23</v>
      </c>
      <c r="H728" s="15" t="s">
        <v>1526</v>
      </c>
      <c r="I728" s="15">
        <v>201409</v>
      </c>
      <c r="J728" s="16">
        <v>-295.94</v>
      </c>
      <c r="K728" s="171">
        <f t="shared" si="51"/>
        <v>9</v>
      </c>
      <c r="L728" s="17">
        <v>1.4833299999999999E-3</v>
      </c>
      <c r="M728" s="16">
        <f t="shared" si="52"/>
        <v>-3.95</v>
      </c>
      <c r="N728" s="16">
        <f t="shared" si="53"/>
        <v>-5.27</v>
      </c>
      <c r="O728" s="14"/>
      <c r="P728" s="210" t="str">
        <f>VLOOKUP(C728,'WO Descriptions'!$A$5:$D$345,4)</f>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
    </row>
    <row r="729" spans="1:16" ht="30" outlineLevel="2">
      <c r="A729" s="14" t="s">
        <v>17</v>
      </c>
      <c r="B729" s="15" t="s">
        <v>564</v>
      </c>
      <c r="C729" s="15" t="s">
        <v>565</v>
      </c>
      <c r="D729" s="14" t="s">
        <v>566</v>
      </c>
      <c r="E729" s="15" t="s">
        <v>567</v>
      </c>
      <c r="F729" s="14" t="s">
        <v>137</v>
      </c>
      <c r="G729" s="15" t="s">
        <v>23</v>
      </c>
      <c r="H729" s="15" t="s">
        <v>1526</v>
      </c>
      <c r="I729" s="15">
        <v>201409</v>
      </c>
      <c r="J729" s="16">
        <v>13.59</v>
      </c>
      <c r="K729" s="171">
        <f t="shared" si="51"/>
        <v>9</v>
      </c>
      <c r="L729" s="17">
        <v>1.4833299999999999E-3</v>
      </c>
      <c r="M729" s="16">
        <f t="shared" si="52"/>
        <v>0.18</v>
      </c>
      <c r="N729" s="16">
        <f t="shared" si="53"/>
        <v>0.24</v>
      </c>
      <c r="O729" s="14"/>
      <c r="P729" s="210" t="str">
        <f>VLOOKUP(C729,'WO Descriptions'!$A$5:$D$345,4)</f>
        <v>Approved by: Kevin Driskell on 12/31/2013,  ISRS LAY 15'-3" TF STEEL TO GO AROUND SEWER MAIN.  TWO WAY FEED.  ABANDON 8'-3" BS (B26P90)</v>
      </c>
    </row>
    <row r="730" spans="1:16" ht="30" outlineLevel="2">
      <c r="A730" s="18" t="s">
        <v>17</v>
      </c>
      <c r="B730" s="15" t="s">
        <v>614</v>
      </c>
      <c r="C730" s="15" t="s">
        <v>615</v>
      </c>
      <c r="D730" s="14" t="s">
        <v>616</v>
      </c>
      <c r="E730" s="15" t="s">
        <v>40</v>
      </c>
      <c r="F730" s="14" t="s">
        <v>41</v>
      </c>
      <c r="G730" s="15" t="s">
        <v>23</v>
      </c>
      <c r="H730" s="15" t="s">
        <v>1526</v>
      </c>
      <c r="I730" s="15">
        <v>201409</v>
      </c>
      <c r="J730" s="16">
        <v>-6.15</v>
      </c>
      <c r="K730" s="171">
        <f t="shared" si="51"/>
        <v>9</v>
      </c>
      <c r="L730" s="17">
        <v>1.4833299999999999E-3</v>
      </c>
      <c r="M730" s="16">
        <f t="shared" si="52"/>
        <v>-0.08</v>
      </c>
      <c r="N730" s="16">
        <f t="shared" si="53"/>
        <v>-0.11</v>
      </c>
      <c r="O730" s="14"/>
      <c r="P730" s="210" t="str">
        <f>VLOOKUP(C730,'WO Descriptions'!$A$5:$D$345,4)</f>
        <v>Approved by: Kevin Driskell on 01/13/2014,  Replace 19'-3in PCS with 3" PCS due to new storm sewer conflict.  Work done my MGE crew.  Retire 7'-3in PCS, year 1962, 62-1512</v>
      </c>
    </row>
    <row r="731" spans="1:16" ht="105" outlineLevel="2">
      <c r="A731" s="18" t="s">
        <v>17</v>
      </c>
      <c r="B731" s="15" t="s">
        <v>634</v>
      </c>
      <c r="C731" s="15" t="s">
        <v>635</v>
      </c>
      <c r="D731" s="14" t="s">
        <v>636</v>
      </c>
      <c r="E731" s="15" t="s">
        <v>567</v>
      </c>
      <c r="F731" s="14" t="s">
        <v>137</v>
      </c>
      <c r="G731" s="15" t="s">
        <v>23</v>
      </c>
      <c r="H731" s="15" t="s">
        <v>1526</v>
      </c>
      <c r="I731" s="15">
        <v>201409</v>
      </c>
      <c r="J731" s="16">
        <v>-674262.3</v>
      </c>
      <c r="K731" s="171">
        <f t="shared" si="51"/>
        <v>9</v>
      </c>
      <c r="L731" s="17">
        <v>1.4833299999999999E-3</v>
      </c>
      <c r="M731" s="16">
        <f t="shared" si="52"/>
        <v>-9001.3799999999992</v>
      </c>
      <c r="N731" s="16">
        <f t="shared" si="53"/>
        <v>-12001.84</v>
      </c>
      <c r="O731" s="14"/>
      <c r="P731" s="210" t="str">
        <f>VLOOKUP(C731,'WO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732" spans="1:16" ht="165" outlineLevel="2">
      <c r="A732" s="14" t="s">
        <v>17</v>
      </c>
      <c r="B732" s="15" t="s">
        <v>637</v>
      </c>
      <c r="C732" s="15" t="s">
        <v>638</v>
      </c>
      <c r="D732" s="14" t="s">
        <v>639</v>
      </c>
      <c r="E732" s="15" t="s">
        <v>136</v>
      </c>
      <c r="F732" s="14" t="s">
        <v>137</v>
      </c>
      <c r="G732" s="15" t="s">
        <v>23</v>
      </c>
      <c r="H732" s="15" t="s">
        <v>1526</v>
      </c>
      <c r="I732" s="15">
        <v>201409</v>
      </c>
      <c r="J732" s="16">
        <v>4065.05</v>
      </c>
      <c r="K732" s="171">
        <f t="shared" si="51"/>
        <v>9</v>
      </c>
      <c r="L732" s="17">
        <v>1.4833299999999999E-3</v>
      </c>
      <c r="M732" s="16">
        <f t="shared" si="52"/>
        <v>54.27</v>
      </c>
      <c r="N732" s="16">
        <f t="shared" si="53"/>
        <v>72.36</v>
      </c>
      <c r="O732" s="14"/>
      <c r="P732" s="210" t="str">
        <f>VLOOKUP(C732,'WO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733" spans="1:16" ht="60" outlineLevel="2">
      <c r="A733" s="18" t="s">
        <v>17</v>
      </c>
      <c r="B733" s="15" t="s">
        <v>640</v>
      </c>
      <c r="C733" s="15" t="s">
        <v>641</v>
      </c>
      <c r="D733" s="14" t="s">
        <v>642</v>
      </c>
      <c r="E733" s="15" t="s">
        <v>362</v>
      </c>
      <c r="F733" s="14" t="s">
        <v>41</v>
      </c>
      <c r="G733" s="15" t="s">
        <v>23</v>
      </c>
      <c r="H733" s="15" t="s">
        <v>1526</v>
      </c>
      <c r="I733" s="15">
        <v>201409</v>
      </c>
      <c r="J733" s="16">
        <v>-115.28</v>
      </c>
      <c r="K733" s="171">
        <f t="shared" si="51"/>
        <v>9</v>
      </c>
      <c r="L733" s="17">
        <v>1.4833299999999999E-3</v>
      </c>
      <c r="M733" s="16">
        <f t="shared" si="52"/>
        <v>-1.54</v>
      </c>
      <c r="N733" s="16">
        <f t="shared" si="53"/>
        <v>-2.0499999999999998</v>
      </c>
      <c r="O733" s="14"/>
      <c r="P733" s="210" t="str">
        <f>VLOOKUP(C733,'WO Descriptions'!$A$5:$D$345,4)</f>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
    </row>
    <row r="734" spans="1:16" ht="75" outlineLevel="2">
      <c r="A734" s="14" t="s">
        <v>17</v>
      </c>
      <c r="B734" s="15" t="s">
        <v>652</v>
      </c>
      <c r="C734" s="15" t="s">
        <v>653</v>
      </c>
      <c r="D734" s="14" t="s">
        <v>654</v>
      </c>
      <c r="E734" s="15" t="s">
        <v>40</v>
      </c>
      <c r="F734" s="14" t="s">
        <v>41</v>
      </c>
      <c r="G734" s="15" t="s">
        <v>23</v>
      </c>
      <c r="H734" s="15" t="s">
        <v>1526</v>
      </c>
      <c r="I734" s="15">
        <v>201409</v>
      </c>
      <c r="J734" s="16">
        <v>-1136.6400000000001</v>
      </c>
      <c r="K734" s="171">
        <f t="shared" si="51"/>
        <v>9</v>
      </c>
      <c r="L734" s="17">
        <v>1.4833299999999999E-3</v>
      </c>
      <c r="M734" s="16">
        <f t="shared" si="52"/>
        <v>-15.17</v>
      </c>
      <c r="N734" s="16">
        <f t="shared" si="53"/>
        <v>-20.23</v>
      </c>
      <c r="O734" s="14"/>
      <c r="P734" s="210" t="str">
        <f>VLOOKUP(C734,'WO Descriptions'!$A$5:$D$345,4)</f>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
    </row>
    <row r="735" spans="1:16" ht="60" outlineLevel="2">
      <c r="A735" s="14" t="s">
        <v>17</v>
      </c>
      <c r="B735" s="15" t="s">
        <v>661</v>
      </c>
      <c r="C735" s="15" t="s">
        <v>662</v>
      </c>
      <c r="D735" s="14" t="s">
        <v>663</v>
      </c>
      <c r="E735" s="15" t="s">
        <v>40</v>
      </c>
      <c r="F735" s="14" t="s">
        <v>41</v>
      </c>
      <c r="G735" s="15" t="s">
        <v>23</v>
      </c>
      <c r="H735" s="15" t="s">
        <v>1526</v>
      </c>
      <c r="I735" s="15">
        <v>201409</v>
      </c>
      <c r="J735" s="16">
        <v>-187.92</v>
      </c>
      <c r="K735" s="171">
        <f t="shared" si="51"/>
        <v>9</v>
      </c>
      <c r="L735" s="17">
        <v>1.4833299999999999E-3</v>
      </c>
      <c r="M735" s="16">
        <f t="shared" si="52"/>
        <v>-2.5099999999999998</v>
      </c>
      <c r="N735" s="16">
        <f t="shared" si="53"/>
        <v>-3.34</v>
      </c>
      <c r="O735" s="14"/>
      <c r="P735" s="210" t="str">
        <f>VLOOKUP(C735,'WO Descriptions'!$A$5:$D$345,4)</f>
        <v>Approved by: Kevin Driskell on 10/02/2013,  ISRS This work order is necessary for Public Improvement Improvement project. The 8" PCS main is in conflict of storm structure. Retire 20" of 8" PCS main and install 20' of 8" PCS main. System= C-055, MOP= 90PSIG, MAOP= 90PSIG, Test Pressure= 135PSIG.</v>
      </c>
    </row>
    <row r="736" spans="1:16" ht="75" outlineLevel="2">
      <c r="A736" s="14" t="s">
        <v>17</v>
      </c>
      <c r="B736" s="15" t="s">
        <v>685</v>
      </c>
      <c r="C736" s="15" t="s">
        <v>686</v>
      </c>
      <c r="D736" s="14" t="s">
        <v>687</v>
      </c>
      <c r="E736" s="15" t="s">
        <v>40</v>
      </c>
      <c r="F736" s="14" t="s">
        <v>41</v>
      </c>
      <c r="G736" s="15" t="s">
        <v>23</v>
      </c>
      <c r="H736" s="15" t="s">
        <v>1526</v>
      </c>
      <c r="I736" s="15">
        <v>201409</v>
      </c>
      <c r="J736" s="16">
        <v>-5404.17</v>
      </c>
      <c r="K736" s="171">
        <f t="shared" si="51"/>
        <v>9</v>
      </c>
      <c r="L736" s="17">
        <v>1.4833299999999999E-3</v>
      </c>
      <c r="M736" s="16">
        <f t="shared" si="52"/>
        <v>-72.150000000000006</v>
      </c>
      <c r="N736" s="16">
        <f t="shared" si="53"/>
        <v>-96.19</v>
      </c>
      <c r="O736" s="14"/>
      <c r="P736" s="210" t="str">
        <f>VLOOKUP(C736,'WO Descriptions'!$A$5:$D$345,4)</f>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
    </row>
    <row r="737" spans="1:16" ht="45" outlineLevel="2">
      <c r="A737" s="18" t="s">
        <v>17</v>
      </c>
      <c r="B737" s="15" t="s">
        <v>716</v>
      </c>
      <c r="C737" s="15" t="s">
        <v>717</v>
      </c>
      <c r="D737" s="14" t="s">
        <v>718</v>
      </c>
      <c r="E737" s="15" t="s">
        <v>104</v>
      </c>
      <c r="F737" s="14" t="s">
        <v>41</v>
      </c>
      <c r="G737" s="15" t="s">
        <v>23</v>
      </c>
      <c r="H737" s="15" t="s">
        <v>1526</v>
      </c>
      <c r="I737" s="15">
        <v>201409</v>
      </c>
      <c r="J737" s="16">
        <v>-46.05</v>
      </c>
      <c r="K737" s="171">
        <f t="shared" ref="K737:K768" si="54">VLOOKUP(I737,$T$7:$U$15,2)</f>
        <v>9</v>
      </c>
      <c r="L737" s="17">
        <v>1.4833299999999999E-3</v>
      </c>
      <c r="M737" s="16">
        <f t="shared" ref="M737:M768" si="55">ROUND(J737*K737*L737,2)</f>
        <v>-0.61</v>
      </c>
      <c r="N737" s="16">
        <f t="shared" ref="N737:N768" si="56">ROUND(J737*L737*12,2)</f>
        <v>-0.82</v>
      </c>
      <c r="O737" s="14"/>
      <c r="P737" s="210" t="str">
        <f>VLOOKUP(C737,'WO Descriptions'!$A$5:$D$345,4)</f>
        <v>Approved by: Ralph Janes on 06/28/2013,  Public Improvement Project: Lincolnwood Storm. Relocate 20' - 4in PCS (14' span with 3' legs) to avoid a new storm curb inlet. Retire 14' - 4in PCS (WO# B2183). (ISRS)</v>
      </c>
    </row>
    <row r="738" spans="1:16" ht="90" outlineLevel="2">
      <c r="A738" s="14" t="s">
        <v>17</v>
      </c>
      <c r="B738" s="15" t="s">
        <v>768</v>
      </c>
      <c r="C738" s="15" t="s">
        <v>769</v>
      </c>
      <c r="D738" s="14" t="s">
        <v>770</v>
      </c>
      <c r="E738" s="15" t="s">
        <v>104</v>
      </c>
      <c r="F738" s="14" t="s">
        <v>41</v>
      </c>
      <c r="G738" s="15" t="s">
        <v>23</v>
      </c>
      <c r="H738" s="15" t="s">
        <v>1526</v>
      </c>
      <c r="I738" s="15">
        <v>201409</v>
      </c>
      <c r="J738" s="16">
        <v>-630.88</v>
      </c>
      <c r="K738" s="171">
        <f t="shared" si="54"/>
        <v>9</v>
      </c>
      <c r="L738" s="17">
        <v>1.4833299999999999E-3</v>
      </c>
      <c r="M738" s="16">
        <f t="shared" si="55"/>
        <v>-8.42</v>
      </c>
      <c r="N738" s="16">
        <f t="shared" si="56"/>
        <v>-11.23</v>
      </c>
      <c r="O738" s="14"/>
      <c r="P738" s="210" t="str">
        <f>VLOOKUP(C738,'WO Descriptions'!$A$5:$D$345,4)</f>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
    </row>
    <row r="739" spans="1:16" ht="90" outlineLevel="2">
      <c r="A739" s="14" t="s">
        <v>17</v>
      </c>
      <c r="B739" s="15" t="s">
        <v>810</v>
      </c>
      <c r="C739" s="15" t="s">
        <v>811</v>
      </c>
      <c r="D739" s="14" t="s">
        <v>812</v>
      </c>
      <c r="E739" s="15" t="s">
        <v>104</v>
      </c>
      <c r="F739" s="14" t="s">
        <v>41</v>
      </c>
      <c r="G739" s="15" t="s">
        <v>23</v>
      </c>
      <c r="H739" s="15" t="s">
        <v>1526</v>
      </c>
      <c r="I739" s="15">
        <v>201409</v>
      </c>
      <c r="J739" s="16">
        <v>-22637.86</v>
      </c>
      <c r="K739" s="171">
        <f t="shared" si="54"/>
        <v>9</v>
      </c>
      <c r="L739" s="17">
        <v>1.4833299999999999E-3</v>
      </c>
      <c r="M739" s="16">
        <f t="shared" si="55"/>
        <v>-302.20999999999998</v>
      </c>
      <c r="N739" s="16">
        <f t="shared" si="56"/>
        <v>-402.95</v>
      </c>
      <c r="O739" s="14"/>
      <c r="P739" s="210" t="str">
        <f>VLOOKUP(C739,'WO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740" spans="1:16" ht="150" outlineLevel="2">
      <c r="A740" s="14" t="s">
        <v>17</v>
      </c>
      <c r="B740" s="15" t="s">
        <v>819</v>
      </c>
      <c r="C740" s="15" t="s">
        <v>820</v>
      </c>
      <c r="D740" s="14" t="s">
        <v>821</v>
      </c>
      <c r="E740" s="15" t="s">
        <v>822</v>
      </c>
      <c r="F740" s="14" t="s">
        <v>823</v>
      </c>
      <c r="G740" s="15" t="s">
        <v>23</v>
      </c>
      <c r="H740" s="15" t="s">
        <v>1526</v>
      </c>
      <c r="I740" s="15">
        <v>201409</v>
      </c>
      <c r="J740" s="16">
        <v>-1563.62</v>
      </c>
      <c r="K740" s="171">
        <f t="shared" si="54"/>
        <v>9</v>
      </c>
      <c r="L740" s="17">
        <v>1.4833299999999999E-3</v>
      </c>
      <c r="M740" s="16">
        <f t="shared" si="55"/>
        <v>-20.87</v>
      </c>
      <c r="N740" s="16">
        <f t="shared" si="56"/>
        <v>-27.83</v>
      </c>
      <c r="O740" s="14"/>
      <c r="P740" s="210" t="str">
        <f>VLOOKUP(C740,'WO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741" spans="1:16" ht="45" outlineLevel="2">
      <c r="A741" s="14" t="s">
        <v>17</v>
      </c>
      <c r="B741" s="15" t="s">
        <v>910</v>
      </c>
      <c r="C741" s="15" t="s">
        <v>911</v>
      </c>
      <c r="D741" s="14" t="s">
        <v>912</v>
      </c>
      <c r="E741" s="15" t="s">
        <v>362</v>
      </c>
      <c r="F741" s="14" t="s">
        <v>41</v>
      </c>
      <c r="G741" s="15" t="s">
        <v>23</v>
      </c>
      <c r="H741" s="15" t="s">
        <v>1526</v>
      </c>
      <c r="I741" s="15">
        <v>201409</v>
      </c>
      <c r="J741" s="16">
        <v>-58.71</v>
      </c>
      <c r="K741" s="171">
        <f t="shared" si="54"/>
        <v>9</v>
      </c>
      <c r="L741" s="17">
        <v>1.4833299999999999E-3</v>
      </c>
      <c r="M741" s="16">
        <f t="shared" si="55"/>
        <v>-0.78</v>
      </c>
      <c r="N741" s="16">
        <f t="shared" si="56"/>
        <v>-1.05</v>
      </c>
      <c r="O741" s="14"/>
      <c r="P741" s="210" t="str">
        <f>VLOOKUP(C741,'WO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42" spans="1:16" ht="45" outlineLevel="2">
      <c r="A742" s="14" t="s">
        <v>17</v>
      </c>
      <c r="B742" s="15" t="s">
        <v>932</v>
      </c>
      <c r="C742" s="15" t="s">
        <v>933</v>
      </c>
      <c r="D742" s="14" t="s">
        <v>934</v>
      </c>
      <c r="E742" s="15" t="s">
        <v>925</v>
      </c>
      <c r="F742" s="14" t="s">
        <v>41</v>
      </c>
      <c r="G742" s="15" t="s">
        <v>23</v>
      </c>
      <c r="H742" s="15" t="s">
        <v>1526</v>
      </c>
      <c r="I742" s="15">
        <v>201409</v>
      </c>
      <c r="J742" s="16">
        <v>72544.160000000003</v>
      </c>
      <c r="K742" s="171">
        <f t="shared" si="54"/>
        <v>9</v>
      </c>
      <c r="L742" s="17">
        <v>1.4833299999999999E-3</v>
      </c>
      <c r="M742" s="16">
        <f t="shared" si="55"/>
        <v>968.46</v>
      </c>
      <c r="N742" s="16">
        <f t="shared" si="56"/>
        <v>1291.28</v>
      </c>
      <c r="O742" s="14"/>
      <c r="P742" s="210" t="str">
        <f>VLOOKUP(C742,'WO Descriptions'!$A$5:$D$345,4)</f>
        <v>Approved by: Steve Holcomb on 06/25/2014,  (ISRS).  Relocate 8in PBS &amp; PCS with 410'-8in PCS due to public improvement project. City is cutting in a new street on an old vacant right of way. Tie over 3 services.  MODOT permit needed for project.</v>
      </c>
    </row>
    <row r="743" spans="1:16" ht="75" outlineLevel="2">
      <c r="A743" s="14" t="s">
        <v>17</v>
      </c>
      <c r="B743" s="15" t="s">
        <v>935</v>
      </c>
      <c r="C743" s="15" t="s">
        <v>936</v>
      </c>
      <c r="D743" s="14" t="s">
        <v>937</v>
      </c>
      <c r="E743" s="15" t="s">
        <v>53</v>
      </c>
      <c r="F743" s="14" t="s">
        <v>41</v>
      </c>
      <c r="G743" s="15" t="s">
        <v>23</v>
      </c>
      <c r="H743" s="15" t="s">
        <v>1526</v>
      </c>
      <c r="I743" s="15">
        <v>201409</v>
      </c>
      <c r="J743" s="16">
        <v>319.49</v>
      </c>
      <c r="K743" s="171">
        <f t="shared" si="54"/>
        <v>9</v>
      </c>
      <c r="L743" s="17">
        <v>1.4833299999999999E-3</v>
      </c>
      <c r="M743" s="16">
        <f t="shared" si="55"/>
        <v>4.2699999999999996</v>
      </c>
      <c r="N743" s="16">
        <f t="shared" si="56"/>
        <v>5.69</v>
      </c>
      <c r="O743" s="14"/>
      <c r="P743" s="210" t="str">
        <f>VLOOKUP(C743,'WO Descriptions'!$A$5:$D$345,4)</f>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
    </row>
    <row r="744" spans="1:16" ht="30" outlineLevel="2">
      <c r="A744" s="14" t="s">
        <v>17</v>
      </c>
      <c r="B744" s="15" t="s">
        <v>944</v>
      </c>
      <c r="C744" s="15" t="s">
        <v>945</v>
      </c>
      <c r="D744" s="14" t="s">
        <v>946</v>
      </c>
      <c r="E744" s="15" t="s">
        <v>104</v>
      </c>
      <c r="F744" s="14" t="s">
        <v>41</v>
      </c>
      <c r="G744" s="15" t="s">
        <v>23</v>
      </c>
      <c r="H744" s="15" t="s">
        <v>1526</v>
      </c>
      <c r="I744" s="15">
        <v>201409</v>
      </c>
      <c r="J744" s="16">
        <v>3364.94</v>
      </c>
      <c r="K744" s="171">
        <f t="shared" si="54"/>
        <v>9</v>
      </c>
      <c r="L744" s="17">
        <v>1.4833299999999999E-3</v>
      </c>
      <c r="M744" s="16">
        <f t="shared" si="55"/>
        <v>44.92</v>
      </c>
      <c r="N744" s="16">
        <f t="shared" si="56"/>
        <v>59.9</v>
      </c>
      <c r="O744" s="14"/>
      <c r="P744" s="210" t="str">
        <f>VLOOKUP(C744,'WO Descriptions'!$A$5:$D$345,4)</f>
        <v>Approved by: Ralph Janes on 07/02/2014,  Relocate and abandon 8' - 6" pcs main (work order 132741) by installing 16' - 6" pcs main to allow City to install new strom sewer structure. (ISRS)</v>
      </c>
    </row>
    <row r="745" spans="1:16" ht="45" outlineLevel="2">
      <c r="A745" s="14" t="s">
        <v>17</v>
      </c>
      <c r="B745" s="15" t="s">
        <v>953</v>
      </c>
      <c r="C745" s="15" t="s">
        <v>954</v>
      </c>
      <c r="D745" s="14" t="s">
        <v>955</v>
      </c>
      <c r="E745" s="15" t="s">
        <v>40</v>
      </c>
      <c r="F745" s="14" t="s">
        <v>41</v>
      </c>
      <c r="G745" s="15" t="s">
        <v>23</v>
      </c>
      <c r="H745" s="15" t="s">
        <v>1526</v>
      </c>
      <c r="I745" s="15">
        <v>201409</v>
      </c>
      <c r="J745" s="16">
        <v>-925.65</v>
      </c>
      <c r="K745" s="171">
        <f t="shared" si="54"/>
        <v>9</v>
      </c>
      <c r="L745" s="17">
        <v>1.4833299999999999E-3</v>
      </c>
      <c r="M745" s="16">
        <f t="shared" si="55"/>
        <v>-12.36</v>
      </c>
      <c r="N745" s="16">
        <f t="shared" si="56"/>
        <v>-16.48</v>
      </c>
      <c r="O745" s="14"/>
      <c r="P745" s="210" t="str">
        <f>VLOOKUP(C745,'WO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746" spans="1:16" ht="30" outlineLevel="2">
      <c r="A746" s="14" t="s">
        <v>17</v>
      </c>
      <c r="B746" s="15" t="s">
        <v>956</v>
      </c>
      <c r="C746" s="15" t="s">
        <v>957</v>
      </c>
      <c r="D746" s="14" t="s">
        <v>958</v>
      </c>
      <c r="E746" s="15" t="s">
        <v>40</v>
      </c>
      <c r="F746" s="14" t="s">
        <v>41</v>
      </c>
      <c r="G746" s="15" t="s">
        <v>23</v>
      </c>
      <c r="H746" s="15" t="s">
        <v>1526</v>
      </c>
      <c r="I746" s="15">
        <v>201409</v>
      </c>
      <c r="J746" s="16">
        <v>2817.01</v>
      </c>
      <c r="K746" s="171">
        <f t="shared" si="54"/>
        <v>9</v>
      </c>
      <c r="L746" s="17">
        <v>1.4833299999999999E-3</v>
      </c>
      <c r="M746" s="16">
        <f t="shared" si="55"/>
        <v>37.61</v>
      </c>
      <c r="N746" s="16">
        <f t="shared" si="56"/>
        <v>50.14</v>
      </c>
      <c r="O746" s="14"/>
      <c r="P746" s="210" t="str">
        <f>VLOOKUP(C746,'WO Descriptions'!$A$5:$D$345,4)</f>
        <v>Approved by: Kevin Driskell on 07/11/2014,  ISRS Relocate main for public improvement project. Pressure System C-006. Coordinate with Engineering prior to construction.</v>
      </c>
    </row>
    <row r="747" spans="1:16" ht="60" outlineLevel="2">
      <c r="A747" s="14" t="s">
        <v>17</v>
      </c>
      <c r="B747" s="15" t="s">
        <v>959</v>
      </c>
      <c r="C747" s="15" t="s">
        <v>960</v>
      </c>
      <c r="D747" s="14" t="s">
        <v>961</v>
      </c>
      <c r="E747" s="15" t="s">
        <v>40</v>
      </c>
      <c r="F747" s="14" t="s">
        <v>41</v>
      </c>
      <c r="G747" s="15" t="s">
        <v>23</v>
      </c>
      <c r="H747" s="15" t="s">
        <v>1526</v>
      </c>
      <c r="I747" s="15">
        <v>201409</v>
      </c>
      <c r="J747" s="16">
        <v>94.14</v>
      </c>
      <c r="K747" s="171">
        <f t="shared" si="54"/>
        <v>9</v>
      </c>
      <c r="L747" s="17">
        <v>1.4833299999999999E-3</v>
      </c>
      <c r="M747" s="16">
        <f t="shared" si="55"/>
        <v>1.26</v>
      </c>
      <c r="N747" s="16">
        <f t="shared" si="56"/>
        <v>1.68</v>
      </c>
      <c r="O747" s="14"/>
      <c r="P747" s="210" t="str">
        <f>VLOOKUP(C747,'WO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748" spans="1:16" ht="60" outlineLevel="2">
      <c r="A748" s="14" t="s">
        <v>54</v>
      </c>
      <c r="B748" s="15" t="s">
        <v>275</v>
      </c>
      <c r="C748" s="15" t="s">
        <v>276</v>
      </c>
      <c r="D748" s="14" t="s">
        <v>277</v>
      </c>
      <c r="E748" s="15" t="s">
        <v>40</v>
      </c>
      <c r="F748" s="14" t="s">
        <v>41</v>
      </c>
      <c r="G748" s="15" t="s">
        <v>23</v>
      </c>
      <c r="H748" s="15" t="s">
        <v>1526</v>
      </c>
      <c r="I748" s="15">
        <v>201409</v>
      </c>
      <c r="J748" s="16">
        <v>-211.86</v>
      </c>
      <c r="K748" s="171">
        <f t="shared" si="54"/>
        <v>9</v>
      </c>
      <c r="L748" s="17">
        <v>1.4833299999999999E-3</v>
      </c>
      <c r="M748" s="16">
        <f t="shared" si="55"/>
        <v>-2.83</v>
      </c>
      <c r="N748" s="16">
        <f t="shared" si="56"/>
        <v>-3.77</v>
      </c>
      <c r="O748" s="14"/>
      <c r="P748" s="210" t="str">
        <f>VLOOKUP(C748,'WO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749" spans="1:16" ht="75" outlineLevel="2">
      <c r="A749" s="14" t="s">
        <v>54</v>
      </c>
      <c r="B749" s="15" t="s">
        <v>303</v>
      </c>
      <c r="C749" s="15" t="s">
        <v>304</v>
      </c>
      <c r="D749" s="14" t="s">
        <v>305</v>
      </c>
      <c r="E749" s="15" t="s">
        <v>104</v>
      </c>
      <c r="F749" s="14" t="s">
        <v>41</v>
      </c>
      <c r="G749" s="15" t="s">
        <v>23</v>
      </c>
      <c r="H749" s="15" t="s">
        <v>1526</v>
      </c>
      <c r="I749" s="15">
        <v>201409</v>
      </c>
      <c r="J749" s="16">
        <v>-52.25</v>
      </c>
      <c r="K749" s="171">
        <f t="shared" si="54"/>
        <v>9</v>
      </c>
      <c r="L749" s="17">
        <v>1.4833299999999999E-3</v>
      </c>
      <c r="M749" s="16">
        <f t="shared" si="55"/>
        <v>-0.7</v>
      </c>
      <c r="N749" s="16">
        <f t="shared" si="56"/>
        <v>-0.93</v>
      </c>
      <c r="O749" s="14"/>
      <c r="P749" s="210" t="str">
        <f>VLOOKUP(C749,'WO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750" spans="1:16" ht="90" outlineLevel="2">
      <c r="A750" s="14" t="s">
        <v>54</v>
      </c>
      <c r="B750" s="15" t="s">
        <v>359</v>
      </c>
      <c r="C750" s="15" t="s">
        <v>360</v>
      </c>
      <c r="D750" s="14" t="s">
        <v>361</v>
      </c>
      <c r="E750" s="15" t="s">
        <v>362</v>
      </c>
      <c r="F750" s="14" t="s">
        <v>41</v>
      </c>
      <c r="G750" s="15" t="s">
        <v>23</v>
      </c>
      <c r="H750" s="15" t="s">
        <v>1526</v>
      </c>
      <c r="I750" s="15">
        <v>201409</v>
      </c>
      <c r="J750" s="16">
        <v>-2592.5700000000002</v>
      </c>
      <c r="K750" s="171">
        <f t="shared" si="54"/>
        <v>9</v>
      </c>
      <c r="L750" s="17">
        <v>1.4833299999999999E-3</v>
      </c>
      <c r="M750" s="16">
        <f t="shared" si="55"/>
        <v>-34.61</v>
      </c>
      <c r="N750" s="16">
        <f t="shared" si="56"/>
        <v>-46.15</v>
      </c>
      <c r="O750" s="14"/>
      <c r="P750" s="210" t="str">
        <f>VLOOKUP(C750,'WO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751" spans="1:16" ht="60" outlineLevel="2">
      <c r="A751" s="14" t="s">
        <v>54</v>
      </c>
      <c r="B751" s="15" t="s">
        <v>468</v>
      </c>
      <c r="C751" s="15" t="s">
        <v>469</v>
      </c>
      <c r="D751" s="14" t="s">
        <v>470</v>
      </c>
      <c r="E751" s="15" t="s">
        <v>136</v>
      </c>
      <c r="F751" s="14" t="s">
        <v>137</v>
      </c>
      <c r="G751" s="15" t="s">
        <v>23</v>
      </c>
      <c r="H751" s="15" t="s">
        <v>1526</v>
      </c>
      <c r="I751" s="15">
        <v>201409</v>
      </c>
      <c r="J751" s="16">
        <v>-992.83</v>
      </c>
      <c r="K751" s="171">
        <f t="shared" si="54"/>
        <v>9</v>
      </c>
      <c r="L751" s="17">
        <v>1.4833299999999999E-3</v>
      </c>
      <c r="M751" s="16">
        <f t="shared" si="55"/>
        <v>-13.25</v>
      </c>
      <c r="N751" s="16">
        <f t="shared" si="56"/>
        <v>-17.670000000000002</v>
      </c>
      <c r="O751" s="14"/>
      <c r="P751" s="210" t="str">
        <f>VLOOKUP(C751,'WO Descriptions'!$A$5:$D$345,4)</f>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
    </row>
    <row r="752" spans="1:16" ht="195" outlineLevel="2">
      <c r="A752" s="14" t="s">
        <v>54</v>
      </c>
      <c r="B752" s="15" t="s">
        <v>549</v>
      </c>
      <c r="C752" s="15" t="s">
        <v>550</v>
      </c>
      <c r="D752" s="14" t="s">
        <v>551</v>
      </c>
      <c r="E752" s="15" t="s">
        <v>136</v>
      </c>
      <c r="F752" s="14" t="s">
        <v>137</v>
      </c>
      <c r="G752" s="15" t="s">
        <v>23</v>
      </c>
      <c r="H752" s="15" t="s">
        <v>1526</v>
      </c>
      <c r="I752" s="15">
        <v>201409</v>
      </c>
      <c r="J752" s="16">
        <v>-3150.43</v>
      </c>
      <c r="K752" s="171">
        <f t="shared" si="54"/>
        <v>9</v>
      </c>
      <c r="L752" s="17">
        <v>1.4833299999999999E-3</v>
      </c>
      <c r="M752" s="16">
        <f t="shared" si="55"/>
        <v>-42.06</v>
      </c>
      <c r="N752" s="16">
        <f t="shared" si="56"/>
        <v>-56.08</v>
      </c>
      <c r="O752" s="14"/>
      <c r="P752" s="210" t="str">
        <f>VLOOKUP(C752,'WO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753" spans="1:16" ht="60" outlineLevel="2">
      <c r="A753" s="14" t="s">
        <v>54</v>
      </c>
      <c r="B753" s="15" t="s">
        <v>578</v>
      </c>
      <c r="C753" s="15" t="s">
        <v>579</v>
      </c>
      <c r="D753" s="14" t="s">
        <v>580</v>
      </c>
      <c r="E753" s="15" t="s">
        <v>136</v>
      </c>
      <c r="F753" s="14" t="s">
        <v>137</v>
      </c>
      <c r="G753" s="15" t="s">
        <v>23</v>
      </c>
      <c r="H753" s="15" t="s">
        <v>1526</v>
      </c>
      <c r="I753" s="15">
        <v>201409</v>
      </c>
      <c r="J753" s="16">
        <v>-19.86</v>
      </c>
      <c r="K753" s="171">
        <f t="shared" si="54"/>
        <v>9</v>
      </c>
      <c r="L753" s="17">
        <v>1.4833299999999999E-3</v>
      </c>
      <c r="M753" s="16">
        <f t="shared" si="55"/>
        <v>-0.27</v>
      </c>
      <c r="N753" s="16">
        <f t="shared" si="56"/>
        <v>-0.35</v>
      </c>
      <c r="O753" s="14"/>
      <c r="P753" s="210" t="str">
        <f>VLOOKUP(C753,'WO Descriptions'!$A$5:$D$345,4)</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row>
    <row r="754" spans="1:16" ht="150" outlineLevel="2">
      <c r="A754" s="14" t="s">
        <v>54</v>
      </c>
      <c r="B754" s="15" t="s">
        <v>581</v>
      </c>
      <c r="C754" s="15" t="s">
        <v>582</v>
      </c>
      <c r="D754" s="14" t="s">
        <v>583</v>
      </c>
      <c r="E754" s="15" t="s">
        <v>104</v>
      </c>
      <c r="F754" s="14" t="s">
        <v>41</v>
      </c>
      <c r="G754" s="15" t="s">
        <v>23</v>
      </c>
      <c r="H754" s="15" t="s">
        <v>1526</v>
      </c>
      <c r="I754" s="15">
        <v>201409</v>
      </c>
      <c r="J754" s="16">
        <v>97223.13</v>
      </c>
      <c r="K754" s="171">
        <f t="shared" si="54"/>
        <v>9</v>
      </c>
      <c r="L754" s="17">
        <v>1.4833299999999999E-3</v>
      </c>
      <c r="M754" s="16">
        <f t="shared" si="55"/>
        <v>1297.93</v>
      </c>
      <c r="N754" s="16">
        <f t="shared" si="56"/>
        <v>1730.57</v>
      </c>
      <c r="O754" s="14"/>
      <c r="P754" s="210" t="str">
        <f>VLOOKUP(C754,'WO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755" spans="1:16" ht="105" outlineLevel="2">
      <c r="A755" s="18" t="s">
        <v>54</v>
      </c>
      <c r="B755" s="15" t="s">
        <v>634</v>
      </c>
      <c r="C755" s="15" t="s">
        <v>635</v>
      </c>
      <c r="D755" s="14" t="s">
        <v>636</v>
      </c>
      <c r="E755" s="15" t="s">
        <v>567</v>
      </c>
      <c r="F755" s="14" t="s">
        <v>137</v>
      </c>
      <c r="G755" s="15" t="s">
        <v>23</v>
      </c>
      <c r="H755" s="15" t="s">
        <v>1526</v>
      </c>
      <c r="I755" s="15">
        <v>201409</v>
      </c>
      <c r="J755" s="16">
        <v>660836.46</v>
      </c>
      <c r="K755" s="171">
        <f t="shared" si="54"/>
        <v>9</v>
      </c>
      <c r="L755" s="17">
        <v>1.4833299999999999E-3</v>
      </c>
      <c r="M755" s="16">
        <f t="shared" si="55"/>
        <v>8822.15</v>
      </c>
      <c r="N755" s="16">
        <f t="shared" si="56"/>
        <v>11762.86</v>
      </c>
      <c r="O755" s="14"/>
      <c r="P755" s="210" t="str">
        <f>VLOOKUP(C755,'WO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756" spans="1:16" ht="105" outlineLevel="2">
      <c r="A756" s="18" t="s">
        <v>54</v>
      </c>
      <c r="B756" s="15" t="s">
        <v>649</v>
      </c>
      <c r="C756" s="15" t="s">
        <v>650</v>
      </c>
      <c r="D756" s="14" t="s">
        <v>651</v>
      </c>
      <c r="E756" s="15" t="s">
        <v>104</v>
      </c>
      <c r="F756" s="14" t="s">
        <v>41</v>
      </c>
      <c r="G756" s="15" t="s">
        <v>23</v>
      </c>
      <c r="H756" s="15" t="s">
        <v>1526</v>
      </c>
      <c r="I756" s="15">
        <v>201409</v>
      </c>
      <c r="J756" s="16">
        <v>-33.92</v>
      </c>
      <c r="K756" s="171">
        <f t="shared" si="54"/>
        <v>9</v>
      </c>
      <c r="L756" s="17">
        <v>1.4833299999999999E-3</v>
      </c>
      <c r="M756" s="16">
        <f t="shared" si="55"/>
        <v>-0.45</v>
      </c>
      <c r="N756" s="16">
        <f t="shared" si="56"/>
        <v>-0.6</v>
      </c>
      <c r="O756" s="14"/>
      <c r="P756" s="210" t="str">
        <f>VLOOKUP(C756,'WO Descriptions'!$A$5:$D$345,4)</f>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
    </row>
    <row r="757" spans="1:16" ht="105" outlineLevel="2">
      <c r="A757" s="18" t="s">
        <v>54</v>
      </c>
      <c r="B757" s="15" t="s">
        <v>722</v>
      </c>
      <c r="C757" s="15" t="s">
        <v>723</v>
      </c>
      <c r="D757" s="14" t="s">
        <v>724</v>
      </c>
      <c r="E757" s="15" t="s">
        <v>40</v>
      </c>
      <c r="F757" s="14" t="s">
        <v>41</v>
      </c>
      <c r="G757" s="15" t="s">
        <v>23</v>
      </c>
      <c r="H757" s="15" t="s">
        <v>1526</v>
      </c>
      <c r="I757" s="15">
        <v>201409</v>
      </c>
      <c r="J757" s="16">
        <v>-3374.08</v>
      </c>
      <c r="K757" s="171">
        <f t="shared" si="54"/>
        <v>9</v>
      </c>
      <c r="L757" s="17">
        <v>1.4833299999999999E-3</v>
      </c>
      <c r="M757" s="16">
        <f t="shared" si="55"/>
        <v>-45.04</v>
      </c>
      <c r="N757" s="16">
        <f t="shared" si="56"/>
        <v>-60.06</v>
      </c>
      <c r="O757" s="14"/>
      <c r="P757" s="210" t="str">
        <f>VLOOKUP(C757,'WO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758" spans="1:16" ht="150" outlineLevel="2">
      <c r="A758" s="18" t="s">
        <v>54</v>
      </c>
      <c r="B758" s="15" t="s">
        <v>731</v>
      </c>
      <c r="C758" s="15" t="s">
        <v>732</v>
      </c>
      <c r="D758" s="14" t="s">
        <v>733</v>
      </c>
      <c r="E758" s="15" t="s">
        <v>104</v>
      </c>
      <c r="F758" s="14" t="s">
        <v>41</v>
      </c>
      <c r="G758" s="15" t="s">
        <v>23</v>
      </c>
      <c r="H758" s="15" t="s">
        <v>1526</v>
      </c>
      <c r="I758" s="15">
        <v>201409</v>
      </c>
      <c r="J758" s="16">
        <v>-1019.7</v>
      </c>
      <c r="K758" s="171">
        <f t="shared" si="54"/>
        <v>9</v>
      </c>
      <c r="L758" s="17">
        <v>1.4833299999999999E-3</v>
      </c>
      <c r="M758" s="16">
        <f t="shared" si="55"/>
        <v>-13.61</v>
      </c>
      <c r="N758" s="16">
        <f t="shared" si="56"/>
        <v>-18.149999999999999</v>
      </c>
      <c r="O758" s="14"/>
      <c r="P758" s="210" t="str">
        <f>VLOOKUP(C758,'WO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759" spans="1:16" ht="90" outlineLevel="2">
      <c r="A759" s="14" t="s">
        <v>54</v>
      </c>
      <c r="B759" s="15" t="s">
        <v>810</v>
      </c>
      <c r="C759" s="15" t="s">
        <v>811</v>
      </c>
      <c r="D759" s="14" t="s">
        <v>812</v>
      </c>
      <c r="E759" s="15" t="s">
        <v>104</v>
      </c>
      <c r="F759" s="14" t="s">
        <v>41</v>
      </c>
      <c r="G759" s="15" t="s">
        <v>23</v>
      </c>
      <c r="H759" s="15" t="s">
        <v>1526</v>
      </c>
      <c r="I759" s="15">
        <v>201409</v>
      </c>
      <c r="J759" s="16">
        <v>22317.37</v>
      </c>
      <c r="K759" s="171">
        <f t="shared" si="54"/>
        <v>9</v>
      </c>
      <c r="L759" s="17">
        <v>1.4833299999999999E-3</v>
      </c>
      <c r="M759" s="16">
        <f t="shared" si="55"/>
        <v>297.94</v>
      </c>
      <c r="N759" s="16">
        <f t="shared" si="56"/>
        <v>397.25</v>
      </c>
      <c r="O759" s="14"/>
      <c r="P759" s="210" t="str">
        <f>VLOOKUP(C759,'WO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760" spans="1:16" ht="60" outlineLevel="2">
      <c r="A760" s="14" t="s">
        <v>54</v>
      </c>
      <c r="B760" s="15" t="s">
        <v>879</v>
      </c>
      <c r="C760" s="15" t="s">
        <v>880</v>
      </c>
      <c r="D760" s="14" t="s">
        <v>881</v>
      </c>
      <c r="E760" s="15" t="s">
        <v>53</v>
      </c>
      <c r="F760" s="14" t="s">
        <v>41</v>
      </c>
      <c r="G760" s="15" t="s">
        <v>23</v>
      </c>
      <c r="H760" s="15" t="s">
        <v>1526</v>
      </c>
      <c r="I760" s="15">
        <v>201409</v>
      </c>
      <c r="J760" s="16">
        <v>-421.12</v>
      </c>
      <c r="K760" s="171">
        <f t="shared" si="54"/>
        <v>9</v>
      </c>
      <c r="L760" s="17">
        <v>1.4833299999999999E-3</v>
      </c>
      <c r="M760" s="16">
        <f t="shared" si="55"/>
        <v>-5.62</v>
      </c>
      <c r="N760" s="16">
        <f t="shared" si="56"/>
        <v>-7.5</v>
      </c>
      <c r="O760" s="14"/>
      <c r="P760" s="210" t="str">
        <f>VLOOKUP(C760,'WO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61" spans="1:16" ht="90" outlineLevel="2">
      <c r="A761" s="14" t="s">
        <v>54</v>
      </c>
      <c r="B761" s="15" t="s">
        <v>962</v>
      </c>
      <c r="C761" s="15" t="s">
        <v>963</v>
      </c>
      <c r="D761" s="14" t="s">
        <v>964</v>
      </c>
      <c r="E761" s="15" t="s">
        <v>40</v>
      </c>
      <c r="F761" s="14" t="s">
        <v>41</v>
      </c>
      <c r="G761" s="15" t="s">
        <v>23</v>
      </c>
      <c r="H761" s="15" t="s">
        <v>1526</v>
      </c>
      <c r="I761" s="15">
        <v>201409</v>
      </c>
      <c r="J761" s="16">
        <v>77244.5</v>
      </c>
      <c r="K761" s="171">
        <f t="shared" si="54"/>
        <v>9</v>
      </c>
      <c r="L761" s="17">
        <v>1.4833299999999999E-3</v>
      </c>
      <c r="M761" s="16">
        <f t="shared" si="55"/>
        <v>1031.21</v>
      </c>
      <c r="N761" s="16">
        <f t="shared" si="56"/>
        <v>1374.95</v>
      </c>
      <c r="O761" s="14"/>
      <c r="P761" s="210" t="str">
        <f>VLOOKUP(C761,'WO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762" spans="1:16" ht="105" outlineLevel="2">
      <c r="A762" s="14" t="s">
        <v>54</v>
      </c>
      <c r="B762" s="15" t="s">
        <v>965</v>
      </c>
      <c r="C762" s="15" t="s">
        <v>966</v>
      </c>
      <c r="D762" s="14" t="s">
        <v>967</v>
      </c>
      <c r="E762" s="15" t="s">
        <v>53</v>
      </c>
      <c r="F762" s="14" t="s">
        <v>41</v>
      </c>
      <c r="G762" s="15" t="s">
        <v>23</v>
      </c>
      <c r="H762" s="15" t="s">
        <v>1526</v>
      </c>
      <c r="I762" s="15">
        <v>201409</v>
      </c>
      <c r="J762" s="16">
        <v>8672.4699999999993</v>
      </c>
      <c r="K762" s="171">
        <f t="shared" si="54"/>
        <v>9</v>
      </c>
      <c r="L762" s="17">
        <v>1.4833299999999999E-3</v>
      </c>
      <c r="M762" s="16">
        <f t="shared" si="55"/>
        <v>115.78</v>
      </c>
      <c r="N762" s="16">
        <f t="shared" si="56"/>
        <v>154.37</v>
      </c>
      <c r="O762" s="14"/>
      <c r="P762" s="210" t="str">
        <f>VLOOKUP(C762,'WO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763" spans="1:16" ht="45" outlineLevel="2">
      <c r="A763" s="14" t="s">
        <v>66</v>
      </c>
      <c r="B763" s="15" t="s">
        <v>833</v>
      </c>
      <c r="C763" s="15" t="s">
        <v>834</v>
      </c>
      <c r="D763" s="14" t="s">
        <v>835</v>
      </c>
      <c r="E763" s="15" t="s">
        <v>40</v>
      </c>
      <c r="F763" s="14" t="s">
        <v>41</v>
      </c>
      <c r="G763" s="15" t="s">
        <v>23</v>
      </c>
      <c r="H763" s="15" t="s">
        <v>1526</v>
      </c>
      <c r="I763" s="15">
        <v>201409</v>
      </c>
      <c r="J763" s="16">
        <v>-307.58</v>
      </c>
      <c r="K763" s="171">
        <f t="shared" si="54"/>
        <v>9</v>
      </c>
      <c r="L763" s="17">
        <v>2.23333E-3</v>
      </c>
      <c r="M763" s="16">
        <f t="shared" si="55"/>
        <v>-6.18</v>
      </c>
      <c r="N763" s="16">
        <f t="shared" si="56"/>
        <v>-8.24</v>
      </c>
      <c r="O763" s="14"/>
      <c r="P763" s="210" t="str">
        <f>VLOOKUP(C763,'WO Descriptions'!$A$5:$D$345,4)</f>
        <v>Approved by: Kevin Driskell on 04/04/2014,  (ISRS)  Replace and extend 8in steel service for 911 Main Street to new main location on WO 13-2400 (Streetcar Phase 2).  Location of valve for service to be determined in field.</v>
      </c>
    </row>
    <row r="764" spans="1:16" ht="45" outlineLevel="2">
      <c r="A764" s="14" t="s">
        <v>66</v>
      </c>
      <c r="B764" s="15" t="s">
        <v>941</v>
      </c>
      <c r="C764" s="15" t="s">
        <v>942</v>
      </c>
      <c r="D764" s="14" t="s">
        <v>943</v>
      </c>
      <c r="E764" s="15" t="s">
        <v>369</v>
      </c>
      <c r="F764" s="14" t="s">
        <v>41</v>
      </c>
      <c r="G764" s="15" t="s">
        <v>23</v>
      </c>
      <c r="H764" s="15" t="s">
        <v>1526</v>
      </c>
      <c r="I764" s="15">
        <v>201409</v>
      </c>
      <c r="J764" s="16">
        <v>-49.67</v>
      </c>
      <c r="K764" s="171">
        <f t="shared" si="54"/>
        <v>9</v>
      </c>
      <c r="L764" s="17">
        <v>2.23333E-3</v>
      </c>
      <c r="M764" s="16">
        <f t="shared" si="55"/>
        <v>-1</v>
      </c>
      <c r="N764" s="16">
        <f t="shared" si="56"/>
        <v>-1.33</v>
      </c>
      <c r="O764" s="14"/>
      <c r="P764" s="210" t="str">
        <f>VLOOKUP(C764,'WO Descriptions'!$A$5:$D$345,4)</f>
        <v>Approved by: Ralph Janes on 06/23/2014,  Relocate and retire 120' - 2" pe service line (work order 05-8339) by installing 135' - 2" pe service line to allow the Holden School District to build a new Childhood Development Center.</v>
      </c>
    </row>
    <row r="765" spans="1:16" ht="90" outlineLevel="2">
      <c r="A765" s="14" t="s">
        <v>17</v>
      </c>
      <c r="B765" s="15" t="s">
        <v>50</v>
      </c>
      <c r="C765" s="15" t="s">
        <v>51</v>
      </c>
      <c r="D765" s="14" t="s">
        <v>52</v>
      </c>
      <c r="E765" s="15" t="s">
        <v>53</v>
      </c>
      <c r="F765" s="14" t="s">
        <v>41</v>
      </c>
      <c r="G765" s="15" t="s">
        <v>23</v>
      </c>
      <c r="H765" s="15" t="s">
        <v>1526</v>
      </c>
      <c r="I765" s="15">
        <v>201410</v>
      </c>
      <c r="J765" s="16">
        <v>-17.78</v>
      </c>
      <c r="K765" s="171">
        <f t="shared" si="54"/>
        <v>8</v>
      </c>
      <c r="L765" s="17">
        <v>1.4833299999999999E-3</v>
      </c>
      <c r="M765" s="16">
        <f t="shared" si="55"/>
        <v>-0.21</v>
      </c>
      <c r="N765" s="16">
        <f t="shared" si="56"/>
        <v>-0.32</v>
      </c>
      <c r="O765" s="14"/>
      <c r="P765" s="210" t="str">
        <f>VLOOKUP(C765,'WO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row>
    <row r="766" spans="1:16" ht="165" outlineLevel="2">
      <c r="A766" s="14" t="s">
        <v>17</v>
      </c>
      <c r="B766" s="15" t="s">
        <v>391</v>
      </c>
      <c r="C766" s="15" t="s">
        <v>392</v>
      </c>
      <c r="D766" s="14" t="s">
        <v>393</v>
      </c>
      <c r="E766" s="15" t="s">
        <v>394</v>
      </c>
      <c r="F766" s="14" t="s">
        <v>137</v>
      </c>
      <c r="G766" s="15" t="s">
        <v>23</v>
      </c>
      <c r="H766" s="15" t="s">
        <v>1526</v>
      </c>
      <c r="I766" s="15">
        <v>201410</v>
      </c>
      <c r="J766" s="16">
        <v>3963.65</v>
      </c>
      <c r="K766" s="171">
        <f t="shared" si="54"/>
        <v>8</v>
      </c>
      <c r="L766" s="17">
        <v>1.4833299999999999E-3</v>
      </c>
      <c r="M766" s="16">
        <f t="shared" si="55"/>
        <v>47.04</v>
      </c>
      <c r="N766" s="16">
        <f t="shared" si="56"/>
        <v>70.55</v>
      </c>
      <c r="O766" s="14"/>
      <c r="P766" s="210" t="str">
        <f>VLOOKUP(C766,'WO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767" spans="1:16" ht="90" outlineLevel="2">
      <c r="A767" s="14" t="s">
        <v>17</v>
      </c>
      <c r="B767" s="15" t="s">
        <v>474</v>
      </c>
      <c r="C767" s="15" t="s">
        <v>475</v>
      </c>
      <c r="D767" s="14" t="s">
        <v>476</v>
      </c>
      <c r="E767" s="15" t="s">
        <v>40</v>
      </c>
      <c r="F767" s="14" t="s">
        <v>41</v>
      </c>
      <c r="G767" s="15" t="s">
        <v>23</v>
      </c>
      <c r="H767" s="15" t="s">
        <v>1526</v>
      </c>
      <c r="I767" s="15">
        <v>201410</v>
      </c>
      <c r="J767" s="16">
        <v>0</v>
      </c>
      <c r="K767" s="171">
        <f t="shared" si="54"/>
        <v>8</v>
      </c>
      <c r="L767" s="17">
        <v>1.4833299999999999E-3</v>
      </c>
      <c r="M767" s="16">
        <f t="shared" si="55"/>
        <v>0</v>
      </c>
      <c r="N767" s="16">
        <f t="shared" si="56"/>
        <v>0</v>
      </c>
      <c r="O767" s="14"/>
      <c r="P767" s="210" t="str">
        <f>VLOOKUP(C767,'WO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768" spans="1:16" ht="165" outlineLevel="2">
      <c r="A768" s="18" t="s">
        <v>17</v>
      </c>
      <c r="B768" s="15" t="s">
        <v>637</v>
      </c>
      <c r="C768" s="15" t="s">
        <v>638</v>
      </c>
      <c r="D768" s="14" t="s">
        <v>639</v>
      </c>
      <c r="E768" s="15" t="s">
        <v>136</v>
      </c>
      <c r="F768" s="14" t="s">
        <v>137</v>
      </c>
      <c r="G768" s="15" t="s">
        <v>23</v>
      </c>
      <c r="H768" s="15" t="s">
        <v>1526</v>
      </c>
      <c r="I768" s="15">
        <v>201410</v>
      </c>
      <c r="J768" s="16">
        <v>-14831.49</v>
      </c>
      <c r="K768" s="171">
        <f t="shared" si="54"/>
        <v>8</v>
      </c>
      <c r="L768" s="17">
        <v>1.4833299999999999E-3</v>
      </c>
      <c r="M768" s="16">
        <f t="shared" si="55"/>
        <v>-176</v>
      </c>
      <c r="N768" s="16">
        <f t="shared" si="56"/>
        <v>-264</v>
      </c>
      <c r="O768" s="14"/>
      <c r="P768" s="210" t="str">
        <f>VLOOKUP(C768,'WO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769" spans="1:16" ht="150" outlineLevel="2">
      <c r="A769" s="14" t="s">
        <v>17</v>
      </c>
      <c r="B769" s="15" t="s">
        <v>819</v>
      </c>
      <c r="C769" s="15" t="s">
        <v>820</v>
      </c>
      <c r="D769" s="14" t="s">
        <v>821</v>
      </c>
      <c r="E769" s="15" t="s">
        <v>822</v>
      </c>
      <c r="F769" s="14" t="s">
        <v>823</v>
      </c>
      <c r="G769" s="15" t="s">
        <v>23</v>
      </c>
      <c r="H769" s="15" t="s">
        <v>1526</v>
      </c>
      <c r="I769" s="15">
        <v>201410</v>
      </c>
      <c r="J769" s="16">
        <v>-165.61</v>
      </c>
      <c r="K769" s="171">
        <f t="shared" ref="K769:K800" si="57">VLOOKUP(I769,$T$7:$U$15,2)</f>
        <v>8</v>
      </c>
      <c r="L769" s="17">
        <v>1.4833299999999999E-3</v>
      </c>
      <c r="M769" s="16">
        <f t="shared" ref="M769:M800" si="58">ROUND(J769*K769*L769,2)</f>
        <v>-1.97</v>
      </c>
      <c r="N769" s="16">
        <f t="shared" ref="N769:N800" si="59">ROUND(J769*L769*12,2)</f>
        <v>-2.95</v>
      </c>
      <c r="O769" s="14"/>
      <c r="P769" s="210" t="str">
        <f>VLOOKUP(C769,'WO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770" spans="1:16" ht="45" outlineLevel="2">
      <c r="A770" s="14" t="s">
        <v>17</v>
      </c>
      <c r="B770" s="15" t="s">
        <v>910</v>
      </c>
      <c r="C770" s="15" t="s">
        <v>911</v>
      </c>
      <c r="D770" s="14" t="s">
        <v>912</v>
      </c>
      <c r="E770" s="15" t="s">
        <v>362</v>
      </c>
      <c r="F770" s="14" t="s">
        <v>41</v>
      </c>
      <c r="G770" s="15" t="s">
        <v>23</v>
      </c>
      <c r="H770" s="15" t="s">
        <v>1526</v>
      </c>
      <c r="I770" s="15">
        <v>201410</v>
      </c>
      <c r="J770" s="16">
        <v>0</v>
      </c>
      <c r="K770" s="171">
        <f t="shared" si="57"/>
        <v>8</v>
      </c>
      <c r="L770" s="17">
        <v>1.4833299999999999E-3</v>
      </c>
      <c r="M770" s="16">
        <f t="shared" si="58"/>
        <v>0</v>
      </c>
      <c r="N770" s="16">
        <f t="shared" si="59"/>
        <v>0</v>
      </c>
      <c r="O770" s="14"/>
      <c r="P770" s="210" t="str">
        <f>VLOOKUP(C770,'WO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71" spans="1:16" ht="45" outlineLevel="2">
      <c r="A771" s="14" t="s">
        <v>17</v>
      </c>
      <c r="B771" s="15" t="s">
        <v>932</v>
      </c>
      <c r="C771" s="15" t="s">
        <v>933</v>
      </c>
      <c r="D771" s="14" t="s">
        <v>934</v>
      </c>
      <c r="E771" s="15" t="s">
        <v>925</v>
      </c>
      <c r="F771" s="14" t="s">
        <v>41</v>
      </c>
      <c r="G771" s="15" t="s">
        <v>23</v>
      </c>
      <c r="H771" s="15" t="s">
        <v>1526</v>
      </c>
      <c r="I771" s="15">
        <v>201410</v>
      </c>
      <c r="J771" s="16">
        <v>163.34</v>
      </c>
      <c r="K771" s="171">
        <f t="shared" si="57"/>
        <v>8</v>
      </c>
      <c r="L771" s="17">
        <v>1.4833299999999999E-3</v>
      </c>
      <c r="M771" s="16">
        <f t="shared" si="58"/>
        <v>1.94</v>
      </c>
      <c r="N771" s="16">
        <f t="shared" si="59"/>
        <v>2.91</v>
      </c>
      <c r="O771" s="14"/>
      <c r="P771" s="210" t="str">
        <f>VLOOKUP(C771,'WO Descriptions'!$A$5:$D$345,4)</f>
        <v>Approved by: Steve Holcomb on 06/25/2014,  (ISRS).  Relocate 8in PBS &amp; PCS with 410'-8in PCS due to public improvement project. City is cutting in a new street on an old vacant right of way. Tie over 3 services.  MODOT permit needed for project.</v>
      </c>
    </row>
    <row r="772" spans="1:16" ht="30" outlineLevel="2">
      <c r="A772" s="14" t="s">
        <v>17</v>
      </c>
      <c r="B772" s="15" t="s">
        <v>944</v>
      </c>
      <c r="C772" s="15" t="s">
        <v>945</v>
      </c>
      <c r="D772" s="14" t="s">
        <v>946</v>
      </c>
      <c r="E772" s="15" t="s">
        <v>104</v>
      </c>
      <c r="F772" s="14" t="s">
        <v>41</v>
      </c>
      <c r="G772" s="15" t="s">
        <v>23</v>
      </c>
      <c r="H772" s="15" t="s">
        <v>1526</v>
      </c>
      <c r="I772" s="15">
        <v>201410</v>
      </c>
      <c r="J772" s="16">
        <v>904.96</v>
      </c>
      <c r="K772" s="171">
        <f t="shared" si="57"/>
        <v>8</v>
      </c>
      <c r="L772" s="17">
        <v>1.4833299999999999E-3</v>
      </c>
      <c r="M772" s="16">
        <f t="shared" si="58"/>
        <v>10.74</v>
      </c>
      <c r="N772" s="16">
        <f t="shared" si="59"/>
        <v>16.11</v>
      </c>
      <c r="O772" s="14"/>
      <c r="P772" s="210" t="str">
        <f>VLOOKUP(C772,'WO Descriptions'!$A$5:$D$345,4)</f>
        <v>Approved by: Ralph Janes on 07/02/2014,  Relocate and abandon 8' - 6" pcs main (work order 132741) by installing 16' - 6" pcs main to allow City to install new strom sewer structure. (ISRS)</v>
      </c>
    </row>
    <row r="773" spans="1:16" ht="30" outlineLevel="2">
      <c r="A773" s="14" t="s">
        <v>17</v>
      </c>
      <c r="B773" s="15" t="s">
        <v>956</v>
      </c>
      <c r="C773" s="15" t="s">
        <v>957</v>
      </c>
      <c r="D773" s="14" t="s">
        <v>958</v>
      </c>
      <c r="E773" s="15" t="s">
        <v>40</v>
      </c>
      <c r="F773" s="14" t="s">
        <v>41</v>
      </c>
      <c r="G773" s="15" t="s">
        <v>23</v>
      </c>
      <c r="H773" s="15" t="s">
        <v>1526</v>
      </c>
      <c r="I773" s="15">
        <v>201410</v>
      </c>
      <c r="J773" s="16">
        <v>977.06</v>
      </c>
      <c r="K773" s="171">
        <f t="shared" si="57"/>
        <v>8</v>
      </c>
      <c r="L773" s="17">
        <v>1.4833299999999999E-3</v>
      </c>
      <c r="M773" s="16">
        <f t="shared" si="58"/>
        <v>11.59</v>
      </c>
      <c r="N773" s="16">
        <f t="shared" si="59"/>
        <v>17.39</v>
      </c>
      <c r="O773" s="14"/>
      <c r="P773" s="210" t="str">
        <f>VLOOKUP(C773,'WO Descriptions'!$A$5:$D$345,4)</f>
        <v>Approved by: Kevin Driskell on 07/11/2014,  ISRS Relocate main for public improvement project. Pressure System C-006. Coordinate with Engineering prior to construction.</v>
      </c>
    </row>
    <row r="774" spans="1:16" ht="60" outlineLevel="2">
      <c r="A774" s="14" t="s">
        <v>17</v>
      </c>
      <c r="B774" s="15" t="s">
        <v>959</v>
      </c>
      <c r="C774" s="15" t="s">
        <v>960</v>
      </c>
      <c r="D774" s="14" t="s">
        <v>961</v>
      </c>
      <c r="E774" s="15" t="s">
        <v>40</v>
      </c>
      <c r="F774" s="14" t="s">
        <v>41</v>
      </c>
      <c r="G774" s="15" t="s">
        <v>23</v>
      </c>
      <c r="H774" s="15" t="s">
        <v>1526</v>
      </c>
      <c r="I774" s="15">
        <v>201410</v>
      </c>
      <c r="J774" s="16">
        <v>-0.49</v>
      </c>
      <c r="K774" s="171">
        <f t="shared" si="57"/>
        <v>8</v>
      </c>
      <c r="L774" s="17">
        <v>1.4833299999999999E-3</v>
      </c>
      <c r="M774" s="16">
        <f t="shared" si="58"/>
        <v>-0.01</v>
      </c>
      <c r="N774" s="16">
        <f t="shared" si="59"/>
        <v>-0.01</v>
      </c>
      <c r="O774" s="14"/>
      <c r="P774" s="210" t="str">
        <f>VLOOKUP(C774,'WO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775" spans="1:16" ht="90" outlineLevel="2">
      <c r="A775" s="14" t="s">
        <v>54</v>
      </c>
      <c r="B775" s="15" t="s">
        <v>359</v>
      </c>
      <c r="C775" s="15" t="s">
        <v>360</v>
      </c>
      <c r="D775" s="14" t="s">
        <v>361</v>
      </c>
      <c r="E775" s="15" t="s">
        <v>362</v>
      </c>
      <c r="F775" s="14" t="s">
        <v>41</v>
      </c>
      <c r="G775" s="15" t="s">
        <v>23</v>
      </c>
      <c r="H775" s="15" t="s">
        <v>1526</v>
      </c>
      <c r="I775" s="15">
        <v>201410</v>
      </c>
      <c r="J775" s="16">
        <v>2800.39</v>
      </c>
      <c r="K775" s="171">
        <f t="shared" si="57"/>
        <v>8</v>
      </c>
      <c r="L775" s="17">
        <v>1.4833299999999999E-3</v>
      </c>
      <c r="M775" s="16">
        <f t="shared" si="58"/>
        <v>33.229999999999997</v>
      </c>
      <c r="N775" s="16">
        <f t="shared" si="59"/>
        <v>49.85</v>
      </c>
      <c r="O775" s="14"/>
      <c r="P775" s="210" t="str">
        <f>VLOOKUP(C775,'WO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776" spans="1:16" ht="195" outlineLevel="2">
      <c r="A776" s="14" t="s">
        <v>54</v>
      </c>
      <c r="B776" s="15" t="s">
        <v>549</v>
      </c>
      <c r="C776" s="15" t="s">
        <v>550</v>
      </c>
      <c r="D776" s="14" t="s">
        <v>551</v>
      </c>
      <c r="E776" s="15" t="s">
        <v>136</v>
      </c>
      <c r="F776" s="14" t="s">
        <v>137</v>
      </c>
      <c r="G776" s="15" t="s">
        <v>23</v>
      </c>
      <c r="H776" s="15" t="s">
        <v>1526</v>
      </c>
      <c r="I776" s="15">
        <v>201410</v>
      </c>
      <c r="J776" s="16">
        <v>0</v>
      </c>
      <c r="K776" s="171">
        <f t="shared" si="57"/>
        <v>8</v>
      </c>
      <c r="L776" s="17">
        <v>1.4833299999999999E-3</v>
      </c>
      <c r="M776" s="16">
        <f t="shared" si="58"/>
        <v>0</v>
      </c>
      <c r="N776" s="16">
        <f t="shared" si="59"/>
        <v>0</v>
      </c>
      <c r="O776" s="14"/>
      <c r="P776" s="210" t="str">
        <f>VLOOKUP(C776,'WO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777" spans="1:16" ht="150" outlineLevel="2">
      <c r="A777" s="14" t="s">
        <v>54</v>
      </c>
      <c r="B777" s="15" t="s">
        <v>581</v>
      </c>
      <c r="C777" s="15" t="s">
        <v>582</v>
      </c>
      <c r="D777" s="14" t="s">
        <v>583</v>
      </c>
      <c r="E777" s="15" t="s">
        <v>104</v>
      </c>
      <c r="F777" s="14" t="s">
        <v>41</v>
      </c>
      <c r="G777" s="15" t="s">
        <v>23</v>
      </c>
      <c r="H777" s="15" t="s">
        <v>1526</v>
      </c>
      <c r="I777" s="15">
        <v>201410</v>
      </c>
      <c r="J777" s="16">
        <v>5658.63</v>
      </c>
      <c r="K777" s="171">
        <f t="shared" si="57"/>
        <v>8</v>
      </c>
      <c r="L777" s="17">
        <v>1.4833299999999999E-3</v>
      </c>
      <c r="M777" s="16">
        <f t="shared" si="58"/>
        <v>67.150000000000006</v>
      </c>
      <c r="N777" s="16">
        <f t="shared" si="59"/>
        <v>100.72</v>
      </c>
      <c r="O777" s="14"/>
      <c r="P777" s="210" t="str">
        <f>VLOOKUP(C777,'WO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778" spans="1:16" ht="165" outlineLevel="2">
      <c r="A778" s="18" t="s">
        <v>54</v>
      </c>
      <c r="B778" s="15" t="s">
        <v>637</v>
      </c>
      <c r="C778" s="15" t="s">
        <v>638</v>
      </c>
      <c r="D778" s="14" t="s">
        <v>639</v>
      </c>
      <c r="E778" s="15" t="s">
        <v>136</v>
      </c>
      <c r="F778" s="14" t="s">
        <v>137</v>
      </c>
      <c r="G778" s="15" t="s">
        <v>23</v>
      </c>
      <c r="H778" s="15" t="s">
        <v>1526</v>
      </c>
      <c r="I778" s="15">
        <v>201410</v>
      </c>
      <c r="J778" s="16">
        <v>14831.49</v>
      </c>
      <c r="K778" s="171">
        <f t="shared" si="57"/>
        <v>8</v>
      </c>
      <c r="L778" s="17">
        <v>1.4833299999999999E-3</v>
      </c>
      <c r="M778" s="16">
        <f t="shared" si="58"/>
        <v>176</v>
      </c>
      <c r="N778" s="16">
        <f t="shared" si="59"/>
        <v>264</v>
      </c>
      <c r="O778" s="14"/>
      <c r="P778" s="210" t="str">
        <f>VLOOKUP(C778,'WO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779" spans="1:16" ht="105" outlineLevel="2">
      <c r="A779" s="18" t="s">
        <v>54</v>
      </c>
      <c r="B779" s="15" t="s">
        <v>722</v>
      </c>
      <c r="C779" s="15" t="s">
        <v>723</v>
      </c>
      <c r="D779" s="14" t="s">
        <v>724</v>
      </c>
      <c r="E779" s="15" t="s">
        <v>40</v>
      </c>
      <c r="F779" s="14" t="s">
        <v>41</v>
      </c>
      <c r="G779" s="15" t="s">
        <v>23</v>
      </c>
      <c r="H779" s="15" t="s">
        <v>1526</v>
      </c>
      <c r="I779" s="15">
        <v>201410</v>
      </c>
      <c r="J779" s="16">
        <v>0</v>
      </c>
      <c r="K779" s="171">
        <f t="shared" si="57"/>
        <v>8</v>
      </c>
      <c r="L779" s="17">
        <v>1.4833299999999999E-3</v>
      </c>
      <c r="M779" s="16">
        <f t="shared" si="58"/>
        <v>0</v>
      </c>
      <c r="N779" s="16">
        <f t="shared" si="59"/>
        <v>0</v>
      </c>
      <c r="O779" s="14"/>
      <c r="P779" s="210" t="str">
        <f>VLOOKUP(C779,'WO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780" spans="1:16" ht="150" outlineLevel="2">
      <c r="A780" s="18" t="s">
        <v>54</v>
      </c>
      <c r="B780" s="15" t="s">
        <v>731</v>
      </c>
      <c r="C780" s="15" t="s">
        <v>732</v>
      </c>
      <c r="D780" s="14" t="s">
        <v>733</v>
      </c>
      <c r="E780" s="15" t="s">
        <v>104</v>
      </c>
      <c r="F780" s="14" t="s">
        <v>41</v>
      </c>
      <c r="G780" s="15" t="s">
        <v>23</v>
      </c>
      <c r="H780" s="15" t="s">
        <v>1526</v>
      </c>
      <c r="I780" s="15">
        <v>201410</v>
      </c>
      <c r="J780" s="16">
        <v>0</v>
      </c>
      <c r="K780" s="171">
        <f t="shared" si="57"/>
        <v>8</v>
      </c>
      <c r="L780" s="17">
        <v>1.4833299999999999E-3</v>
      </c>
      <c r="M780" s="16">
        <f t="shared" si="58"/>
        <v>0</v>
      </c>
      <c r="N780" s="16">
        <f t="shared" si="59"/>
        <v>0</v>
      </c>
      <c r="O780" s="14"/>
      <c r="P780" s="210" t="str">
        <f>VLOOKUP(C780,'WO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781" spans="1:16" ht="60" outlineLevel="2">
      <c r="A781" s="14" t="s">
        <v>54</v>
      </c>
      <c r="B781" s="15" t="s">
        <v>824</v>
      </c>
      <c r="C781" s="15" t="s">
        <v>825</v>
      </c>
      <c r="D781" s="14" t="s">
        <v>826</v>
      </c>
      <c r="E781" s="15" t="s">
        <v>136</v>
      </c>
      <c r="F781" s="14" t="s">
        <v>137</v>
      </c>
      <c r="G781" s="15" t="s">
        <v>23</v>
      </c>
      <c r="H781" s="15" t="s">
        <v>1526</v>
      </c>
      <c r="I781" s="15">
        <v>201410</v>
      </c>
      <c r="J781" s="16">
        <v>6203.97</v>
      </c>
      <c r="K781" s="171">
        <f t="shared" si="57"/>
        <v>8</v>
      </c>
      <c r="L781" s="17">
        <v>1.4833299999999999E-3</v>
      </c>
      <c r="M781" s="16">
        <f t="shared" si="58"/>
        <v>73.62</v>
      </c>
      <c r="N781" s="16">
        <f t="shared" si="59"/>
        <v>110.43</v>
      </c>
      <c r="O781" s="14"/>
      <c r="P781" s="210" t="str">
        <f>VLOOKUP(C781,'WO Descriptions'!$A$5:$D$345,4)</f>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
    </row>
    <row r="782" spans="1:16" ht="60" outlineLevel="2">
      <c r="A782" s="14" t="s">
        <v>54</v>
      </c>
      <c r="B782" s="15" t="s">
        <v>879</v>
      </c>
      <c r="C782" s="15" t="s">
        <v>880</v>
      </c>
      <c r="D782" s="14" t="s">
        <v>881</v>
      </c>
      <c r="E782" s="15" t="s">
        <v>53</v>
      </c>
      <c r="F782" s="14" t="s">
        <v>41</v>
      </c>
      <c r="G782" s="15" t="s">
        <v>23</v>
      </c>
      <c r="H782" s="15" t="s">
        <v>1526</v>
      </c>
      <c r="I782" s="15">
        <v>201410</v>
      </c>
      <c r="J782" s="16">
        <v>-7153.05</v>
      </c>
      <c r="K782" s="171">
        <f t="shared" si="57"/>
        <v>8</v>
      </c>
      <c r="L782" s="17">
        <v>1.4833299999999999E-3</v>
      </c>
      <c r="M782" s="16">
        <f t="shared" si="58"/>
        <v>-84.88</v>
      </c>
      <c r="N782" s="16">
        <f t="shared" si="59"/>
        <v>-127.32</v>
      </c>
      <c r="O782" s="14"/>
      <c r="P782" s="210" t="str">
        <f>VLOOKUP(C782,'WO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83" spans="1:16" ht="90" outlineLevel="2">
      <c r="A783" s="14" t="s">
        <v>54</v>
      </c>
      <c r="B783" s="15" t="s">
        <v>962</v>
      </c>
      <c r="C783" s="15" t="s">
        <v>963</v>
      </c>
      <c r="D783" s="14" t="s">
        <v>964</v>
      </c>
      <c r="E783" s="15" t="s">
        <v>40</v>
      </c>
      <c r="F783" s="14" t="s">
        <v>41</v>
      </c>
      <c r="G783" s="15" t="s">
        <v>23</v>
      </c>
      <c r="H783" s="15" t="s">
        <v>1526</v>
      </c>
      <c r="I783" s="15">
        <v>201410</v>
      </c>
      <c r="J783" s="16">
        <v>190.86</v>
      </c>
      <c r="K783" s="171">
        <f t="shared" si="57"/>
        <v>8</v>
      </c>
      <c r="L783" s="17">
        <v>1.4833299999999999E-3</v>
      </c>
      <c r="M783" s="16">
        <f t="shared" si="58"/>
        <v>2.2599999999999998</v>
      </c>
      <c r="N783" s="16">
        <f t="shared" si="59"/>
        <v>3.4</v>
      </c>
      <c r="O783" s="14"/>
      <c r="P783" s="210" t="str">
        <f>VLOOKUP(C783,'WO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784" spans="1:16" ht="105" outlineLevel="2">
      <c r="A784" s="14" t="s">
        <v>54</v>
      </c>
      <c r="B784" s="15" t="s">
        <v>965</v>
      </c>
      <c r="C784" s="15" t="s">
        <v>966</v>
      </c>
      <c r="D784" s="14" t="s">
        <v>967</v>
      </c>
      <c r="E784" s="15" t="s">
        <v>53</v>
      </c>
      <c r="F784" s="14" t="s">
        <v>41</v>
      </c>
      <c r="G784" s="15" t="s">
        <v>23</v>
      </c>
      <c r="H784" s="15" t="s">
        <v>1526</v>
      </c>
      <c r="I784" s="15">
        <v>201410</v>
      </c>
      <c r="J784" s="16">
        <v>-9961.83</v>
      </c>
      <c r="K784" s="171">
        <f t="shared" si="57"/>
        <v>8</v>
      </c>
      <c r="L784" s="17">
        <v>1.4833299999999999E-3</v>
      </c>
      <c r="M784" s="16">
        <f t="shared" si="58"/>
        <v>-118.21</v>
      </c>
      <c r="N784" s="16">
        <f t="shared" si="59"/>
        <v>-177.32</v>
      </c>
      <c r="O784" s="14"/>
      <c r="P784" s="210" t="str">
        <f>VLOOKUP(C784,'WO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785" spans="1:16" s="243" customFormat="1" ht="105" outlineLevel="2">
      <c r="A785" s="211" t="s">
        <v>238</v>
      </c>
      <c r="B785" s="212" t="s">
        <v>1099</v>
      </c>
      <c r="C785" s="212" t="s">
        <v>1100</v>
      </c>
      <c r="D785" s="211" t="s">
        <v>1101</v>
      </c>
      <c r="E785" s="212" t="s">
        <v>104</v>
      </c>
      <c r="F785" s="211" t="s">
        <v>41</v>
      </c>
      <c r="G785" s="212" t="s">
        <v>23</v>
      </c>
      <c r="H785" s="212" t="s">
        <v>1526</v>
      </c>
      <c r="I785" s="212">
        <v>201410</v>
      </c>
      <c r="J785" s="213">
        <v>162833.78</v>
      </c>
      <c r="K785" s="171">
        <f t="shared" si="57"/>
        <v>8</v>
      </c>
      <c r="L785" s="214">
        <v>2.3833299999999999E-3</v>
      </c>
      <c r="M785" s="213">
        <f t="shared" si="58"/>
        <v>3104.69</v>
      </c>
      <c r="N785" s="213">
        <f t="shared" si="59"/>
        <v>4657.04</v>
      </c>
      <c r="O785" s="211"/>
      <c r="P785" s="242" t="str">
        <f>VLOOKUP(C785,'WO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row>
    <row r="786" spans="1:16" ht="180" outlineLevel="2">
      <c r="A786" s="14" t="s">
        <v>17</v>
      </c>
      <c r="B786" s="15" t="s">
        <v>366</v>
      </c>
      <c r="C786" s="15" t="s">
        <v>367</v>
      </c>
      <c r="D786" s="14" t="s">
        <v>368</v>
      </c>
      <c r="E786" s="15" t="s">
        <v>369</v>
      </c>
      <c r="F786" s="14" t="s">
        <v>41</v>
      </c>
      <c r="G786" s="15" t="s">
        <v>23</v>
      </c>
      <c r="H786" s="15" t="s">
        <v>1526</v>
      </c>
      <c r="I786" s="15">
        <v>201411</v>
      </c>
      <c r="J786" s="16">
        <v>3575265.61</v>
      </c>
      <c r="K786" s="171">
        <f t="shared" si="57"/>
        <v>7</v>
      </c>
      <c r="L786" s="17">
        <v>1.4833299999999999E-3</v>
      </c>
      <c r="M786" s="16">
        <f t="shared" si="58"/>
        <v>37123.089999999997</v>
      </c>
      <c r="N786" s="16">
        <f t="shared" si="59"/>
        <v>63639.58</v>
      </c>
      <c r="O786" s="14"/>
      <c r="P786" s="210" t="str">
        <f>VLOOKUP(C786,'WO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787" spans="1:16" ht="180" outlineLevel="2">
      <c r="A787" s="14" t="s">
        <v>17</v>
      </c>
      <c r="B787" s="15" t="s">
        <v>366</v>
      </c>
      <c r="C787" s="15" t="s">
        <v>367</v>
      </c>
      <c r="D787" s="14" t="s">
        <v>370</v>
      </c>
      <c r="E787" s="15" t="s">
        <v>369</v>
      </c>
      <c r="F787" s="14" t="s">
        <v>41</v>
      </c>
      <c r="G787" s="15" t="s">
        <v>23</v>
      </c>
      <c r="H787" s="15" t="s">
        <v>1526</v>
      </c>
      <c r="I787" s="15">
        <v>201411</v>
      </c>
      <c r="J787" s="16">
        <v>-1179275</v>
      </c>
      <c r="K787" s="171">
        <f t="shared" si="57"/>
        <v>7</v>
      </c>
      <c r="L787" s="17">
        <v>1.4833299999999999E-3</v>
      </c>
      <c r="M787" s="16">
        <f t="shared" si="58"/>
        <v>-12244.78</v>
      </c>
      <c r="N787" s="16">
        <f t="shared" si="59"/>
        <v>-20991.05</v>
      </c>
      <c r="O787" s="14"/>
      <c r="P787" s="210" t="str">
        <f>VLOOKUP(C787,'WO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788" spans="1:16" ht="165" outlineLevel="2">
      <c r="A788" s="14" t="s">
        <v>17</v>
      </c>
      <c r="B788" s="15" t="s">
        <v>391</v>
      </c>
      <c r="C788" s="15" t="s">
        <v>392</v>
      </c>
      <c r="D788" s="14" t="s">
        <v>393</v>
      </c>
      <c r="E788" s="15" t="s">
        <v>394</v>
      </c>
      <c r="F788" s="14" t="s">
        <v>137</v>
      </c>
      <c r="G788" s="15" t="s">
        <v>23</v>
      </c>
      <c r="H788" s="15" t="s">
        <v>1526</v>
      </c>
      <c r="I788" s="15">
        <v>201411</v>
      </c>
      <c r="J788" s="16">
        <v>5763.59</v>
      </c>
      <c r="K788" s="171">
        <f t="shared" si="57"/>
        <v>7</v>
      </c>
      <c r="L788" s="17">
        <v>1.4833299999999999E-3</v>
      </c>
      <c r="M788" s="16">
        <f t="shared" si="58"/>
        <v>59.85</v>
      </c>
      <c r="N788" s="16">
        <f t="shared" si="59"/>
        <v>102.59</v>
      </c>
      <c r="O788" s="14"/>
      <c r="P788" s="210" t="str">
        <f>VLOOKUP(C788,'WO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789" spans="1:16" ht="150" outlineLevel="2">
      <c r="A789" s="14" t="s">
        <v>17</v>
      </c>
      <c r="B789" s="15" t="s">
        <v>819</v>
      </c>
      <c r="C789" s="15" t="s">
        <v>820</v>
      </c>
      <c r="D789" s="14" t="s">
        <v>821</v>
      </c>
      <c r="E789" s="15" t="s">
        <v>822</v>
      </c>
      <c r="F789" s="14" t="s">
        <v>823</v>
      </c>
      <c r="G789" s="15" t="s">
        <v>23</v>
      </c>
      <c r="H789" s="15" t="s">
        <v>1526</v>
      </c>
      <c r="I789" s="15">
        <v>201411</v>
      </c>
      <c r="J789" s="16">
        <v>1769.72</v>
      </c>
      <c r="K789" s="171">
        <f t="shared" si="57"/>
        <v>7</v>
      </c>
      <c r="L789" s="17">
        <v>1.4833299999999999E-3</v>
      </c>
      <c r="M789" s="16">
        <f t="shared" si="58"/>
        <v>18.38</v>
      </c>
      <c r="N789" s="16">
        <f t="shared" si="59"/>
        <v>31.5</v>
      </c>
      <c r="O789" s="14"/>
      <c r="P789" s="210" t="str">
        <f>VLOOKUP(C789,'WO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790" spans="1:16" ht="45" outlineLevel="2">
      <c r="A790" s="14" t="s">
        <v>17</v>
      </c>
      <c r="B790" s="15" t="s">
        <v>910</v>
      </c>
      <c r="C790" s="15" t="s">
        <v>911</v>
      </c>
      <c r="D790" s="14" t="s">
        <v>912</v>
      </c>
      <c r="E790" s="15" t="s">
        <v>362</v>
      </c>
      <c r="F790" s="14" t="s">
        <v>41</v>
      </c>
      <c r="G790" s="15" t="s">
        <v>23</v>
      </c>
      <c r="H790" s="15" t="s">
        <v>1526</v>
      </c>
      <c r="I790" s="15">
        <v>201411</v>
      </c>
      <c r="J790" s="16">
        <v>0.95</v>
      </c>
      <c r="K790" s="171">
        <f t="shared" si="57"/>
        <v>7</v>
      </c>
      <c r="L790" s="17">
        <v>1.4833299999999999E-3</v>
      </c>
      <c r="M790" s="16">
        <f t="shared" si="58"/>
        <v>0.01</v>
      </c>
      <c r="N790" s="16">
        <f t="shared" si="59"/>
        <v>0.02</v>
      </c>
      <c r="O790" s="14"/>
      <c r="P790" s="210" t="str">
        <f>VLOOKUP(C790,'WO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91" spans="1:16" ht="30" outlineLevel="2">
      <c r="A791" s="14" t="s">
        <v>17</v>
      </c>
      <c r="B791" s="15" t="s">
        <v>944</v>
      </c>
      <c r="C791" s="15" t="s">
        <v>945</v>
      </c>
      <c r="D791" s="14" t="s">
        <v>946</v>
      </c>
      <c r="E791" s="15" t="s">
        <v>104</v>
      </c>
      <c r="F791" s="14" t="s">
        <v>41</v>
      </c>
      <c r="G791" s="15" t="s">
        <v>23</v>
      </c>
      <c r="H791" s="15" t="s">
        <v>1526</v>
      </c>
      <c r="I791" s="15">
        <v>201411</v>
      </c>
      <c r="J791" s="16">
        <v>-42.39</v>
      </c>
      <c r="K791" s="171">
        <f t="shared" si="57"/>
        <v>7</v>
      </c>
      <c r="L791" s="17">
        <v>1.4833299999999999E-3</v>
      </c>
      <c r="M791" s="16">
        <f t="shared" si="58"/>
        <v>-0.44</v>
      </c>
      <c r="N791" s="16">
        <f t="shared" si="59"/>
        <v>-0.75</v>
      </c>
      <c r="O791" s="14"/>
      <c r="P791" s="210" t="str">
        <f>VLOOKUP(C791,'WO Descriptions'!$A$5:$D$345,4)</f>
        <v>Approved by: Ralph Janes on 07/02/2014,  Relocate and abandon 8' - 6" pcs main (work order 132741) by installing 16' - 6" pcs main to allow City to install new strom sewer structure. (ISRS)</v>
      </c>
    </row>
    <row r="792" spans="1:16" ht="45" outlineLevel="2">
      <c r="A792" s="14" t="s">
        <v>17</v>
      </c>
      <c r="B792" s="15" t="s">
        <v>953</v>
      </c>
      <c r="C792" s="15" t="s">
        <v>954</v>
      </c>
      <c r="D792" s="14" t="s">
        <v>955</v>
      </c>
      <c r="E792" s="15" t="s">
        <v>40</v>
      </c>
      <c r="F792" s="14" t="s">
        <v>41</v>
      </c>
      <c r="G792" s="15" t="s">
        <v>23</v>
      </c>
      <c r="H792" s="15" t="s">
        <v>1526</v>
      </c>
      <c r="I792" s="15">
        <v>201411</v>
      </c>
      <c r="J792" s="16">
        <v>0</v>
      </c>
      <c r="K792" s="171">
        <f t="shared" si="57"/>
        <v>7</v>
      </c>
      <c r="L792" s="17">
        <v>1.4833299999999999E-3</v>
      </c>
      <c r="M792" s="16">
        <f t="shared" si="58"/>
        <v>0</v>
      </c>
      <c r="N792" s="16">
        <f t="shared" si="59"/>
        <v>0</v>
      </c>
      <c r="O792" s="14"/>
      <c r="P792" s="210" t="str">
        <f>VLOOKUP(C792,'WO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793" spans="1:16" ht="30" outlineLevel="2">
      <c r="A793" s="14" t="s">
        <v>17</v>
      </c>
      <c r="B793" s="15" t="s">
        <v>956</v>
      </c>
      <c r="C793" s="15" t="s">
        <v>957</v>
      </c>
      <c r="D793" s="14" t="s">
        <v>958</v>
      </c>
      <c r="E793" s="15" t="s">
        <v>40</v>
      </c>
      <c r="F793" s="14" t="s">
        <v>41</v>
      </c>
      <c r="G793" s="15" t="s">
        <v>23</v>
      </c>
      <c r="H793" s="15" t="s">
        <v>1526</v>
      </c>
      <c r="I793" s="15">
        <v>201411</v>
      </c>
      <c r="J793" s="16">
        <v>-45.74</v>
      </c>
      <c r="K793" s="171">
        <f t="shared" si="57"/>
        <v>7</v>
      </c>
      <c r="L793" s="17">
        <v>1.4833299999999999E-3</v>
      </c>
      <c r="M793" s="16">
        <f t="shared" si="58"/>
        <v>-0.47</v>
      </c>
      <c r="N793" s="16">
        <f t="shared" si="59"/>
        <v>-0.81</v>
      </c>
      <c r="O793" s="14"/>
      <c r="P793" s="210" t="str">
        <f>VLOOKUP(C793,'WO Descriptions'!$A$5:$D$345,4)</f>
        <v>Approved by: Kevin Driskell on 07/11/2014,  ISRS Relocate main for public improvement project. Pressure System C-006. Coordinate with Engineering prior to construction.</v>
      </c>
    </row>
    <row r="794" spans="1:16" ht="75" outlineLevel="2">
      <c r="A794" s="14" t="s">
        <v>54</v>
      </c>
      <c r="B794" s="15" t="s">
        <v>303</v>
      </c>
      <c r="C794" s="15" t="s">
        <v>304</v>
      </c>
      <c r="D794" s="14" t="s">
        <v>305</v>
      </c>
      <c r="E794" s="15" t="s">
        <v>104</v>
      </c>
      <c r="F794" s="14" t="s">
        <v>41</v>
      </c>
      <c r="G794" s="15" t="s">
        <v>23</v>
      </c>
      <c r="H794" s="15" t="s">
        <v>1526</v>
      </c>
      <c r="I794" s="15">
        <v>201411</v>
      </c>
      <c r="J794" s="16">
        <v>0</v>
      </c>
      <c r="K794" s="171">
        <f t="shared" si="57"/>
        <v>7</v>
      </c>
      <c r="L794" s="17">
        <v>1.4833299999999999E-3</v>
      </c>
      <c r="M794" s="16">
        <f t="shared" si="58"/>
        <v>0</v>
      </c>
      <c r="N794" s="16">
        <f t="shared" si="59"/>
        <v>0</v>
      </c>
      <c r="O794" s="14"/>
      <c r="P794" s="210" t="str">
        <f>VLOOKUP(C794,'WO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795" spans="1:16" ht="90" outlineLevel="2">
      <c r="A795" s="14" t="s">
        <v>54</v>
      </c>
      <c r="B795" s="15" t="s">
        <v>359</v>
      </c>
      <c r="C795" s="15" t="s">
        <v>360</v>
      </c>
      <c r="D795" s="14" t="s">
        <v>361</v>
      </c>
      <c r="E795" s="15" t="s">
        <v>362</v>
      </c>
      <c r="F795" s="14" t="s">
        <v>41</v>
      </c>
      <c r="G795" s="15" t="s">
        <v>23</v>
      </c>
      <c r="H795" s="15" t="s">
        <v>1526</v>
      </c>
      <c r="I795" s="15">
        <v>201411</v>
      </c>
      <c r="J795" s="16">
        <v>-76.47</v>
      </c>
      <c r="K795" s="171">
        <f t="shared" si="57"/>
        <v>7</v>
      </c>
      <c r="L795" s="17">
        <v>1.4833299999999999E-3</v>
      </c>
      <c r="M795" s="16">
        <f t="shared" si="58"/>
        <v>-0.79</v>
      </c>
      <c r="N795" s="16">
        <f t="shared" si="59"/>
        <v>-1.36</v>
      </c>
      <c r="O795" s="14"/>
      <c r="P795" s="210" t="str">
        <f>VLOOKUP(C795,'WO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796" spans="1:16" ht="150" outlineLevel="2">
      <c r="A796" s="14" t="s">
        <v>54</v>
      </c>
      <c r="B796" s="15" t="s">
        <v>581</v>
      </c>
      <c r="C796" s="15" t="s">
        <v>582</v>
      </c>
      <c r="D796" s="14" t="s">
        <v>583</v>
      </c>
      <c r="E796" s="15" t="s">
        <v>104</v>
      </c>
      <c r="F796" s="14" t="s">
        <v>41</v>
      </c>
      <c r="G796" s="15" t="s">
        <v>23</v>
      </c>
      <c r="H796" s="15" t="s">
        <v>1526</v>
      </c>
      <c r="I796" s="15">
        <v>201411</v>
      </c>
      <c r="J796" s="16">
        <v>-154.51</v>
      </c>
      <c r="K796" s="171">
        <f t="shared" si="57"/>
        <v>7</v>
      </c>
      <c r="L796" s="17">
        <v>1.4833299999999999E-3</v>
      </c>
      <c r="M796" s="16">
        <f t="shared" si="58"/>
        <v>-1.6</v>
      </c>
      <c r="N796" s="16">
        <f t="shared" si="59"/>
        <v>-2.75</v>
      </c>
      <c r="O796" s="14"/>
      <c r="P796" s="210" t="str">
        <f>VLOOKUP(C796,'WO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797" spans="1:16" ht="60" outlineLevel="2">
      <c r="A797" s="14" t="s">
        <v>54</v>
      </c>
      <c r="B797" s="15" t="s">
        <v>879</v>
      </c>
      <c r="C797" s="15" t="s">
        <v>880</v>
      </c>
      <c r="D797" s="14" t="s">
        <v>881</v>
      </c>
      <c r="E797" s="15" t="s">
        <v>53</v>
      </c>
      <c r="F797" s="14" t="s">
        <v>41</v>
      </c>
      <c r="G797" s="15" t="s">
        <v>23</v>
      </c>
      <c r="H797" s="15" t="s">
        <v>1526</v>
      </c>
      <c r="I797" s="15">
        <v>201411</v>
      </c>
      <c r="J797" s="16">
        <v>195.47</v>
      </c>
      <c r="K797" s="171">
        <f t="shared" si="57"/>
        <v>7</v>
      </c>
      <c r="L797" s="17">
        <v>1.4833299999999999E-3</v>
      </c>
      <c r="M797" s="16">
        <f t="shared" si="58"/>
        <v>2.0299999999999998</v>
      </c>
      <c r="N797" s="16">
        <f t="shared" si="59"/>
        <v>3.48</v>
      </c>
      <c r="O797" s="14"/>
      <c r="P797" s="210" t="str">
        <f>VLOOKUP(C797,'WO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98" spans="1:16" ht="120" outlineLevel="2">
      <c r="A798" s="14" t="s">
        <v>54</v>
      </c>
      <c r="B798" s="15" t="s">
        <v>919</v>
      </c>
      <c r="C798" s="15" t="s">
        <v>920</v>
      </c>
      <c r="D798" s="14" t="s">
        <v>921</v>
      </c>
      <c r="E798" s="15" t="s">
        <v>362</v>
      </c>
      <c r="F798" s="14" t="s">
        <v>41</v>
      </c>
      <c r="G798" s="15" t="s">
        <v>23</v>
      </c>
      <c r="H798" s="15" t="s">
        <v>1526</v>
      </c>
      <c r="I798" s="15">
        <v>201411</v>
      </c>
      <c r="J798" s="16">
        <v>156809.47</v>
      </c>
      <c r="K798" s="171">
        <f t="shared" si="57"/>
        <v>7</v>
      </c>
      <c r="L798" s="17">
        <v>1.4833299999999999E-3</v>
      </c>
      <c r="M798" s="16">
        <f t="shared" si="58"/>
        <v>1628.2</v>
      </c>
      <c r="N798" s="16">
        <f t="shared" si="59"/>
        <v>2791.2</v>
      </c>
      <c r="O798" s="14"/>
      <c r="P798" s="210" t="str">
        <f>VLOOKUP(C798,'WO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799" spans="1:16" ht="75" outlineLevel="2">
      <c r="A799" s="14" t="s">
        <v>54</v>
      </c>
      <c r="B799" s="15" t="s">
        <v>922</v>
      </c>
      <c r="C799" s="15" t="s">
        <v>923</v>
      </c>
      <c r="D799" s="14" t="s">
        <v>924</v>
      </c>
      <c r="E799" s="15" t="s">
        <v>925</v>
      </c>
      <c r="F799" s="14" t="s">
        <v>41</v>
      </c>
      <c r="G799" s="15" t="s">
        <v>23</v>
      </c>
      <c r="H799" s="15" t="s">
        <v>1526</v>
      </c>
      <c r="I799" s="15">
        <v>201411</v>
      </c>
      <c r="J799" s="16">
        <v>100429.48</v>
      </c>
      <c r="K799" s="171">
        <f t="shared" si="57"/>
        <v>7</v>
      </c>
      <c r="L799" s="17">
        <v>1.4833299999999999E-3</v>
      </c>
      <c r="M799" s="16">
        <f t="shared" si="58"/>
        <v>1042.79</v>
      </c>
      <c r="N799" s="16">
        <f t="shared" si="59"/>
        <v>1787.64</v>
      </c>
      <c r="O799" s="14"/>
      <c r="P799" s="210" t="str">
        <f>VLOOKUP(C799,'WO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00" spans="1:16" ht="90" outlineLevel="2">
      <c r="A800" s="14" t="s">
        <v>54</v>
      </c>
      <c r="B800" s="15" t="s">
        <v>929</v>
      </c>
      <c r="C800" s="15" t="s">
        <v>930</v>
      </c>
      <c r="D800" s="14" t="s">
        <v>931</v>
      </c>
      <c r="E800" s="15" t="s">
        <v>394</v>
      </c>
      <c r="F800" s="14" t="s">
        <v>137</v>
      </c>
      <c r="G800" s="15" t="s">
        <v>23</v>
      </c>
      <c r="H800" s="15" t="s">
        <v>1526</v>
      </c>
      <c r="I800" s="15">
        <v>201411</v>
      </c>
      <c r="J800" s="16">
        <v>37016.21</v>
      </c>
      <c r="K800" s="171">
        <f t="shared" si="57"/>
        <v>7</v>
      </c>
      <c r="L800" s="17">
        <v>1.4833299999999999E-3</v>
      </c>
      <c r="M800" s="16">
        <f t="shared" si="58"/>
        <v>384.35</v>
      </c>
      <c r="N800" s="16">
        <f t="shared" si="59"/>
        <v>658.89</v>
      </c>
      <c r="O800" s="14"/>
      <c r="P800" s="210" t="str">
        <f>VLOOKUP(C800,'WO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01" spans="1:16" ht="90" outlineLevel="2">
      <c r="A801" s="14" t="s">
        <v>54</v>
      </c>
      <c r="B801" s="15" t="s">
        <v>962</v>
      </c>
      <c r="C801" s="15" t="s">
        <v>963</v>
      </c>
      <c r="D801" s="14" t="s">
        <v>964</v>
      </c>
      <c r="E801" s="15" t="s">
        <v>40</v>
      </c>
      <c r="F801" s="14" t="s">
        <v>41</v>
      </c>
      <c r="G801" s="15" t="s">
        <v>23</v>
      </c>
      <c r="H801" s="15" t="s">
        <v>1526</v>
      </c>
      <c r="I801" s="15">
        <v>201411</v>
      </c>
      <c r="J801" s="16">
        <v>1379.28</v>
      </c>
      <c r="K801" s="171">
        <f t="shared" ref="K801:K863" si="60">VLOOKUP(I801,$T$7:$U$15,2)</f>
        <v>7</v>
      </c>
      <c r="L801" s="17">
        <v>1.4833299999999999E-3</v>
      </c>
      <c r="M801" s="16">
        <f t="shared" ref="M801:M832" si="61">ROUND(J801*K801*L801,2)</f>
        <v>14.32</v>
      </c>
      <c r="N801" s="16">
        <f t="shared" ref="N801:N835" si="62">ROUND(J801*L801*12,2)</f>
        <v>24.55</v>
      </c>
      <c r="O801" s="14"/>
      <c r="P801" s="210" t="str">
        <f>VLOOKUP(C801,'WO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02" spans="1:16" ht="105" outlineLevel="2">
      <c r="A802" s="14" t="s">
        <v>54</v>
      </c>
      <c r="B802" s="15" t="s">
        <v>965</v>
      </c>
      <c r="C802" s="15" t="s">
        <v>966</v>
      </c>
      <c r="D802" s="14" t="s">
        <v>967</v>
      </c>
      <c r="E802" s="15" t="s">
        <v>53</v>
      </c>
      <c r="F802" s="14" t="s">
        <v>41</v>
      </c>
      <c r="G802" s="15" t="s">
        <v>23</v>
      </c>
      <c r="H802" s="15" t="s">
        <v>1526</v>
      </c>
      <c r="I802" s="15">
        <v>201411</v>
      </c>
      <c r="J802" s="16">
        <v>-10648.99</v>
      </c>
      <c r="K802" s="171">
        <f t="shared" si="60"/>
        <v>7</v>
      </c>
      <c r="L802" s="17">
        <v>1.4833299999999999E-3</v>
      </c>
      <c r="M802" s="16">
        <f t="shared" si="61"/>
        <v>-110.57</v>
      </c>
      <c r="N802" s="16">
        <f t="shared" si="62"/>
        <v>-189.55</v>
      </c>
      <c r="O802" s="14"/>
      <c r="P802" s="210" t="str">
        <f>VLOOKUP(C802,'WO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03" spans="1:16" ht="90" outlineLevel="2">
      <c r="A803" s="14" t="s">
        <v>54</v>
      </c>
      <c r="B803" s="15" t="s">
        <v>968</v>
      </c>
      <c r="C803" s="15" t="s">
        <v>969</v>
      </c>
      <c r="D803" s="14" t="s">
        <v>970</v>
      </c>
      <c r="E803" s="15" t="s">
        <v>394</v>
      </c>
      <c r="F803" s="14" t="s">
        <v>137</v>
      </c>
      <c r="G803" s="15" t="s">
        <v>23</v>
      </c>
      <c r="H803" s="15" t="s">
        <v>1526</v>
      </c>
      <c r="I803" s="15">
        <v>201411</v>
      </c>
      <c r="J803" s="16">
        <v>46130.239999999998</v>
      </c>
      <c r="K803" s="171">
        <f t="shared" si="60"/>
        <v>7</v>
      </c>
      <c r="L803" s="17">
        <v>1.4833299999999999E-3</v>
      </c>
      <c r="M803" s="16">
        <f t="shared" si="61"/>
        <v>478.98</v>
      </c>
      <c r="N803" s="16">
        <f t="shared" si="62"/>
        <v>821.12</v>
      </c>
      <c r="O803" s="14"/>
      <c r="P803" s="210" t="str">
        <f>VLOOKUP(C803,'WO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row>
    <row r="804" spans="1:16" ht="45" outlineLevel="2">
      <c r="A804" s="14" t="s">
        <v>54</v>
      </c>
      <c r="B804" s="15" t="s">
        <v>971</v>
      </c>
      <c r="C804" s="15" t="s">
        <v>972</v>
      </c>
      <c r="D804" s="14" t="s">
        <v>973</v>
      </c>
      <c r="E804" s="15" t="s">
        <v>567</v>
      </c>
      <c r="F804" s="14" t="s">
        <v>137</v>
      </c>
      <c r="G804" s="15" t="s">
        <v>23</v>
      </c>
      <c r="H804" s="15" t="s">
        <v>1526</v>
      </c>
      <c r="I804" s="15">
        <v>201411</v>
      </c>
      <c r="J804" s="16">
        <v>35042.230000000003</v>
      </c>
      <c r="K804" s="171">
        <f t="shared" si="60"/>
        <v>7</v>
      </c>
      <c r="L804" s="17">
        <v>1.4833299999999999E-3</v>
      </c>
      <c r="M804" s="16">
        <f t="shared" si="61"/>
        <v>363.85</v>
      </c>
      <c r="N804" s="16">
        <f t="shared" si="62"/>
        <v>623.75</v>
      </c>
      <c r="O804" s="14"/>
      <c r="P804" s="210" t="str">
        <f>VLOOKUP(C804,'WO Descriptions'!$A$5:$D$345,4)</f>
        <v>Approved by: Gary Williams on 07/23/2014,  (ISRS)  Replace 100'-4in PBS with 4in thin film and 2" PCS with 275'-2in PE.  New 4in main needs to be 8' below existing grade due to new storm sewer.  Dead end 2" PE main at 2307 NE 44th Terr. Tie over 3 services.</v>
      </c>
    </row>
    <row r="805" spans="1:16" ht="45" outlineLevel="2">
      <c r="A805" s="14" t="s">
        <v>54</v>
      </c>
      <c r="B805" s="15" t="s">
        <v>993</v>
      </c>
      <c r="C805" s="15" t="s">
        <v>994</v>
      </c>
      <c r="D805" s="14" t="s">
        <v>995</v>
      </c>
      <c r="E805" s="15" t="s">
        <v>40</v>
      </c>
      <c r="F805" s="14" t="s">
        <v>41</v>
      </c>
      <c r="G805" s="15" t="s">
        <v>23</v>
      </c>
      <c r="H805" s="15" t="s">
        <v>1526</v>
      </c>
      <c r="I805" s="15">
        <v>201411</v>
      </c>
      <c r="J805" s="16">
        <v>19878.39</v>
      </c>
      <c r="K805" s="171">
        <f t="shared" si="60"/>
        <v>7</v>
      </c>
      <c r="L805" s="17">
        <v>1.4833299999999999E-3</v>
      </c>
      <c r="M805" s="16">
        <f t="shared" si="61"/>
        <v>206.4</v>
      </c>
      <c r="N805" s="16">
        <f t="shared" si="62"/>
        <v>353.83</v>
      </c>
      <c r="O805" s="14"/>
      <c r="P805" s="210" t="str">
        <f>VLOOKUP(C805,'WO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806" spans="1:16" s="243" customFormat="1" ht="105" outlineLevel="2">
      <c r="A806" s="211" t="s">
        <v>238</v>
      </c>
      <c r="B806" s="212" t="s">
        <v>1099</v>
      </c>
      <c r="C806" s="212" t="s">
        <v>1100</v>
      </c>
      <c r="D806" s="211" t="s">
        <v>1101</v>
      </c>
      <c r="E806" s="212" t="s">
        <v>104</v>
      </c>
      <c r="F806" s="211" t="s">
        <v>41</v>
      </c>
      <c r="G806" s="212" t="s">
        <v>23</v>
      </c>
      <c r="H806" s="212" t="s">
        <v>1526</v>
      </c>
      <c r="I806" s="212">
        <v>201411</v>
      </c>
      <c r="J806" s="213">
        <v>-831.58</v>
      </c>
      <c r="K806" s="171">
        <f t="shared" si="60"/>
        <v>7</v>
      </c>
      <c r="L806" s="214">
        <v>2.3833299999999999E-3</v>
      </c>
      <c r="M806" s="213">
        <f t="shared" si="61"/>
        <v>-13.87</v>
      </c>
      <c r="N806" s="213">
        <f t="shared" si="62"/>
        <v>-23.78</v>
      </c>
      <c r="O806" s="211"/>
      <c r="P806" s="242" t="str">
        <f>VLOOKUP(C806,'WO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row>
    <row r="807" spans="1:16" ht="60" outlineLevel="2">
      <c r="A807" s="14" t="s">
        <v>17</v>
      </c>
      <c r="B807" s="15" t="s">
        <v>149</v>
      </c>
      <c r="C807" s="15" t="s">
        <v>150</v>
      </c>
      <c r="D807" s="14" t="s">
        <v>151</v>
      </c>
      <c r="E807" s="15" t="s">
        <v>40</v>
      </c>
      <c r="F807" s="14" t="s">
        <v>41</v>
      </c>
      <c r="G807" s="15" t="s">
        <v>23</v>
      </c>
      <c r="H807" s="15" t="s">
        <v>1526</v>
      </c>
      <c r="I807" s="15">
        <v>201412</v>
      </c>
      <c r="J807" s="16">
        <v>19553.21</v>
      </c>
      <c r="K807" s="171">
        <f t="shared" si="60"/>
        <v>6</v>
      </c>
      <c r="L807" s="17">
        <v>1.4833299999999999E-3</v>
      </c>
      <c r="M807" s="16">
        <f t="shared" si="61"/>
        <v>174.02</v>
      </c>
      <c r="N807" s="16">
        <f t="shared" si="62"/>
        <v>348.05</v>
      </c>
      <c r="O807" s="14"/>
      <c r="P807" s="210" t="str">
        <f>VLOOKUP(C807,'WO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808" spans="1:16" ht="45" outlineLevel="2">
      <c r="A808" s="14" t="s">
        <v>17</v>
      </c>
      <c r="B808" s="15" t="s">
        <v>278</v>
      </c>
      <c r="C808" s="15" t="s">
        <v>279</v>
      </c>
      <c r="D808" s="14" t="s">
        <v>280</v>
      </c>
      <c r="E808" s="15" t="s">
        <v>104</v>
      </c>
      <c r="F808" s="14" t="s">
        <v>41</v>
      </c>
      <c r="G808" s="15" t="s">
        <v>23</v>
      </c>
      <c r="H808" s="15" t="s">
        <v>1526</v>
      </c>
      <c r="I808" s="15">
        <v>201412</v>
      </c>
      <c r="J808" s="16">
        <v>-1972.63</v>
      </c>
      <c r="K808" s="171">
        <f t="shared" si="60"/>
        <v>6</v>
      </c>
      <c r="L808" s="17">
        <v>1.4833299999999999E-3</v>
      </c>
      <c r="M808" s="16">
        <f t="shared" si="61"/>
        <v>-17.559999999999999</v>
      </c>
      <c r="N808" s="16">
        <f t="shared" si="62"/>
        <v>-35.11</v>
      </c>
      <c r="O808" s="14"/>
      <c r="P808" s="210" t="str">
        <f>VLOOKUP(C808,'WO Descriptions'!$A$5:$D$345,4)</f>
        <v>Approved by: Ralph Janes on 03/05/2014,  Relocate and abandon 15' - 4" pe main (00-1895) by installing 30' - temporary 2" pe main and then 15' - 4" pe main to allow the rural water district to install a new water tower main and tap. (ISRS)</v>
      </c>
    </row>
    <row r="809" spans="1:16" ht="180" outlineLevel="2">
      <c r="A809" s="14" t="s">
        <v>17</v>
      </c>
      <c r="B809" s="15" t="s">
        <v>366</v>
      </c>
      <c r="C809" s="15" t="s">
        <v>367</v>
      </c>
      <c r="D809" s="14" t="s">
        <v>368</v>
      </c>
      <c r="E809" s="15" t="s">
        <v>369</v>
      </c>
      <c r="F809" s="14" t="s">
        <v>41</v>
      </c>
      <c r="G809" s="15" t="s">
        <v>23</v>
      </c>
      <c r="H809" s="15" t="s">
        <v>1526</v>
      </c>
      <c r="I809" s="15">
        <v>201412</v>
      </c>
      <c r="J809" s="16">
        <v>11025.12</v>
      </c>
      <c r="K809" s="171">
        <f t="shared" si="60"/>
        <v>6</v>
      </c>
      <c r="L809" s="17">
        <v>1.4833299999999999E-3</v>
      </c>
      <c r="M809" s="16">
        <f t="shared" si="61"/>
        <v>98.12</v>
      </c>
      <c r="N809" s="16">
        <f t="shared" si="62"/>
        <v>196.25</v>
      </c>
      <c r="O809" s="14"/>
      <c r="P809" s="210" t="str">
        <f>VLOOKUP(C809,'WO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810" spans="1:16" ht="165" outlineLevel="2">
      <c r="A810" s="14" t="s">
        <v>17</v>
      </c>
      <c r="B810" s="15" t="s">
        <v>391</v>
      </c>
      <c r="C810" s="15" t="s">
        <v>392</v>
      </c>
      <c r="D810" s="14" t="s">
        <v>393</v>
      </c>
      <c r="E810" s="15" t="s">
        <v>394</v>
      </c>
      <c r="F810" s="14" t="s">
        <v>137</v>
      </c>
      <c r="G810" s="15" t="s">
        <v>23</v>
      </c>
      <c r="H810" s="15" t="s">
        <v>1526</v>
      </c>
      <c r="I810" s="15">
        <v>201412</v>
      </c>
      <c r="J810" s="16">
        <v>-583.21</v>
      </c>
      <c r="K810" s="171">
        <f t="shared" si="60"/>
        <v>6</v>
      </c>
      <c r="L810" s="17">
        <v>1.4833299999999999E-3</v>
      </c>
      <c r="M810" s="16">
        <f t="shared" si="61"/>
        <v>-5.19</v>
      </c>
      <c r="N810" s="16">
        <f t="shared" si="62"/>
        <v>-10.38</v>
      </c>
      <c r="O810" s="14"/>
      <c r="P810" s="210" t="str">
        <f>VLOOKUP(C810,'WO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811" spans="1:16" ht="150" outlineLevel="2">
      <c r="A811" s="14" t="s">
        <v>17</v>
      </c>
      <c r="B811" s="15" t="s">
        <v>581</v>
      </c>
      <c r="C811" s="15" t="s">
        <v>582</v>
      </c>
      <c r="D811" s="14" t="s">
        <v>583</v>
      </c>
      <c r="E811" s="15" t="s">
        <v>104</v>
      </c>
      <c r="F811" s="14" t="s">
        <v>41</v>
      </c>
      <c r="G811" s="15" t="s">
        <v>23</v>
      </c>
      <c r="H811" s="15" t="s">
        <v>1526</v>
      </c>
      <c r="I811" s="15">
        <v>201412</v>
      </c>
      <c r="J811" s="16">
        <v>1337.3</v>
      </c>
      <c r="K811" s="171">
        <f t="shared" si="60"/>
        <v>6</v>
      </c>
      <c r="L811" s="17">
        <v>1.4833299999999999E-3</v>
      </c>
      <c r="M811" s="16">
        <f t="shared" si="61"/>
        <v>11.9</v>
      </c>
      <c r="N811" s="16">
        <f t="shared" si="62"/>
        <v>23.8</v>
      </c>
      <c r="O811" s="14"/>
      <c r="P811" s="210" t="str">
        <f>VLOOKUP(C811,'WO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12" spans="1:16" ht="75" outlineLevel="2">
      <c r="A812" s="14" t="s">
        <v>17</v>
      </c>
      <c r="B812" s="15" t="s">
        <v>1030</v>
      </c>
      <c r="C812" s="15" t="s">
        <v>1031</v>
      </c>
      <c r="D812" s="14" t="s">
        <v>1032</v>
      </c>
      <c r="E812" s="15" t="s">
        <v>53</v>
      </c>
      <c r="F812" s="14" t="s">
        <v>41</v>
      </c>
      <c r="G812" s="15" t="s">
        <v>23</v>
      </c>
      <c r="H812" s="15" t="s">
        <v>1526</v>
      </c>
      <c r="I812" s="15">
        <v>201412</v>
      </c>
      <c r="J812" s="16">
        <v>77100.09</v>
      </c>
      <c r="K812" s="171">
        <f t="shared" si="60"/>
        <v>6</v>
      </c>
      <c r="L812" s="17">
        <v>1.4833299999999999E-3</v>
      </c>
      <c r="M812" s="16">
        <f t="shared" si="61"/>
        <v>686.19</v>
      </c>
      <c r="N812" s="16">
        <f t="shared" si="62"/>
        <v>1372.38</v>
      </c>
      <c r="O812" s="14"/>
      <c r="P812" s="210" t="str">
        <f>VLOOKUP(C812,'WO Descriptions'!$A$5:$D$345,4)</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row>
    <row r="813" spans="1:16" ht="120" outlineLevel="2">
      <c r="A813" s="14" t="s">
        <v>17</v>
      </c>
      <c r="B813" s="15" t="s">
        <v>1036</v>
      </c>
      <c r="C813" s="15" t="s">
        <v>1037</v>
      </c>
      <c r="D813" s="14" t="s">
        <v>1038</v>
      </c>
      <c r="E813" s="15" t="s">
        <v>40</v>
      </c>
      <c r="F813" s="14" t="s">
        <v>41</v>
      </c>
      <c r="G813" s="15" t="s">
        <v>23</v>
      </c>
      <c r="H813" s="15" t="s">
        <v>1526</v>
      </c>
      <c r="I813" s="15">
        <v>201412</v>
      </c>
      <c r="J813" s="16">
        <v>423003.39</v>
      </c>
      <c r="K813" s="171">
        <f t="shared" si="60"/>
        <v>6</v>
      </c>
      <c r="L813" s="17">
        <v>1.4833299999999999E-3</v>
      </c>
      <c r="M813" s="16">
        <f t="shared" si="61"/>
        <v>3764.72</v>
      </c>
      <c r="N813" s="16">
        <f t="shared" si="62"/>
        <v>7529.44</v>
      </c>
      <c r="O813" s="14"/>
      <c r="P813" s="210" t="str">
        <f>VLOOKUP(C813,'WO Descriptions'!$A$5:$D$345,4)</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row>
    <row r="814" spans="1:16" ht="90" outlineLevel="2">
      <c r="A814" s="14" t="s">
        <v>17</v>
      </c>
      <c r="B814" s="15" t="s">
        <v>1039</v>
      </c>
      <c r="C814" s="15" t="s">
        <v>1040</v>
      </c>
      <c r="D814" s="14" t="s">
        <v>1041</v>
      </c>
      <c r="E814" s="15" t="s">
        <v>40</v>
      </c>
      <c r="F814" s="14" t="s">
        <v>41</v>
      </c>
      <c r="G814" s="15" t="s">
        <v>23</v>
      </c>
      <c r="H814" s="15" t="s">
        <v>1526</v>
      </c>
      <c r="I814" s="15">
        <v>201412</v>
      </c>
      <c r="J814" s="16">
        <v>4268934.05</v>
      </c>
      <c r="K814" s="171">
        <f t="shared" si="60"/>
        <v>6</v>
      </c>
      <c r="L814" s="17">
        <v>1.4833299999999999E-3</v>
      </c>
      <c r="M814" s="16">
        <f t="shared" si="61"/>
        <v>37993.43</v>
      </c>
      <c r="N814" s="16">
        <f t="shared" si="62"/>
        <v>75986.86</v>
      </c>
      <c r="O814" s="14"/>
      <c r="P814" s="210" t="str">
        <f>VLOOKUP(C814,'WO Descriptions'!$A$5:$D$345,4)</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row>
    <row r="815" spans="1:16" ht="150" outlineLevel="2">
      <c r="A815" s="14" t="s">
        <v>17</v>
      </c>
      <c r="B815" s="15" t="s">
        <v>819</v>
      </c>
      <c r="C815" s="15" t="s">
        <v>820</v>
      </c>
      <c r="D815" s="14" t="s">
        <v>821</v>
      </c>
      <c r="E815" s="15" t="s">
        <v>822</v>
      </c>
      <c r="F815" s="14" t="s">
        <v>823</v>
      </c>
      <c r="G815" s="15" t="s">
        <v>23</v>
      </c>
      <c r="H815" s="15" t="s">
        <v>1526</v>
      </c>
      <c r="I815" s="15">
        <v>201412</v>
      </c>
      <c r="J815" s="16">
        <v>-166.27</v>
      </c>
      <c r="K815" s="171">
        <f t="shared" si="60"/>
        <v>6</v>
      </c>
      <c r="L815" s="17">
        <v>1.4833299999999999E-3</v>
      </c>
      <c r="M815" s="16">
        <f t="shared" si="61"/>
        <v>-1.48</v>
      </c>
      <c r="N815" s="16">
        <f t="shared" si="62"/>
        <v>-2.96</v>
      </c>
      <c r="O815" s="14"/>
      <c r="P815" s="210" t="str">
        <f>VLOOKUP(C815,'WO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816" spans="1:16" ht="45" outlineLevel="2">
      <c r="A816" s="14" t="s">
        <v>17</v>
      </c>
      <c r="B816" s="15" t="s">
        <v>1057</v>
      </c>
      <c r="C816" s="15" t="s">
        <v>1058</v>
      </c>
      <c r="D816" s="14" t="s">
        <v>1059</v>
      </c>
      <c r="E816" s="15" t="s">
        <v>925</v>
      </c>
      <c r="F816" s="14" t="s">
        <v>41</v>
      </c>
      <c r="G816" s="15" t="s">
        <v>23</v>
      </c>
      <c r="H816" s="15" t="s">
        <v>1526</v>
      </c>
      <c r="I816" s="15">
        <v>201412</v>
      </c>
      <c r="J816" s="16">
        <v>37991.93</v>
      </c>
      <c r="K816" s="171">
        <f t="shared" si="60"/>
        <v>6</v>
      </c>
      <c r="L816" s="17">
        <v>1.4833299999999999E-3</v>
      </c>
      <c r="M816" s="16">
        <f t="shared" si="61"/>
        <v>338.13</v>
      </c>
      <c r="N816" s="16">
        <f t="shared" si="62"/>
        <v>676.25</v>
      </c>
      <c r="O816" s="14"/>
      <c r="P816" s="210" t="str">
        <f>VLOOKUP(C816,'WO Descriptions'!$A$5:$D$345,4)</f>
        <v>Approved by: Gary Williams on 06/13/2014,  (ISRS)  Lay 325'-6in thin film for MODOT project J4I3005 under I-35.  Main needs to be 12' deep under the highway due to cuts.  No services to tie-over.  Retire 325'-10in PCS, WO 67-5537, Year 1967.  COST PER FOOT $132.92</v>
      </c>
    </row>
    <row r="817" spans="1:16" ht="30" outlineLevel="2">
      <c r="A817" s="14" t="s">
        <v>17</v>
      </c>
      <c r="B817" s="15" t="s">
        <v>944</v>
      </c>
      <c r="C817" s="15" t="s">
        <v>945</v>
      </c>
      <c r="D817" s="14" t="s">
        <v>946</v>
      </c>
      <c r="E817" s="15" t="s">
        <v>104</v>
      </c>
      <c r="F817" s="14" t="s">
        <v>41</v>
      </c>
      <c r="G817" s="15" t="s">
        <v>23</v>
      </c>
      <c r="H817" s="15" t="s">
        <v>1526</v>
      </c>
      <c r="I817" s="15">
        <v>201412</v>
      </c>
      <c r="J817" s="16">
        <v>-69.72</v>
      </c>
      <c r="K817" s="171">
        <f t="shared" si="60"/>
        <v>6</v>
      </c>
      <c r="L817" s="17">
        <v>1.4833299999999999E-3</v>
      </c>
      <c r="M817" s="16">
        <f t="shared" si="61"/>
        <v>-0.62</v>
      </c>
      <c r="N817" s="16">
        <f t="shared" si="62"/>
        <v>-1.24</v>
      </c>
      <c r="O817" s="14"/>
      <c r="P817" s="210" t="str">
        <f>VLOOKUP(C817,'WO Descriptions'!$A$5:$D$345,4)</f>
        <v>Approved by: Ralph Janes on 07/02/2014,  Relocate and abandon 8' - 6" pcs main (work order 132741) by installing 16' - 6" pcs main to allow City to install new strom sewer structure. (ISRS)</v>
      </c>
    </row>
    <row r="818" spans="1:16" ht="45" outlineLevel="2">
      <c r="A818" s="14" t="s">
        <v>17</v>
      </c>
      <c r="B818" s="15" t="s">
        <v>953</v>
      </c>
      <c r="C818" s="15" t="s">
        <v>954</v>
      </c>
      <c r="D818" s="14" t="s">
        <v>955</v>
      </c>
      <c r="E818" s="15" t="s">
        <v>40</v>
      </c>
      <c r="F818" s="14" t="s">
        <v>41</v>
      </c>
      <c r="G818" s="15" t="s">
        <v>23</v>
      </c>
      <c r="H818" s="15" t="s">
        <v>1526</v>
      </c>
      <c r="I818" s="15">
        <v>201412</v>
      </c>
      <c r="J818" s="16">
        <v>73.510000000000005</v>
      </c>
      <c r="K818" s="171">
        <f t="shared" si="60"/>
        <v>6</v>
      </c>
      <c r="L818" s="17">
        <v>1.4833299999999999E-3</v>
      </c>
      <c r="M818" s="16">
        <f t="shared" si="61"/>
        <v>0.65</v>
      </c>
      <c r="N818" s="16">
        <f t="shared" si="62"/>
        <v>1.31</v>
      </c>
      <c r="O818" s="14"/>
      <c r="P818" s="210" t="str">
        <f>VLOOKUP(C818,'WO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19" spans="1:16" ht="30" outlineLevel="2">
      <c r="A819" s="14" t="s">
        <v>17</v>
      </c>
      <c r="B819" s="15" t="s">
        <v>956</v>
      </c>
      <c r="C819" s="15" t="s">
        <v>957</v>
      </c>
      <c r="D819" s="14" t="s">
        <v>958</v>
      </c>
      <c r="E819" s="15" t="s">
        <v>40</v>
      </c>
      <c r="F819" s="14" t="s">
        <v>41</v>
      </c>
      <c r="G819" s="15" t="s">
        <v>23</v>
      </c>
      <c r="H819" s="15" t="s">
        <v>1526</v>
      </c>
      <c r="I819" s="15">
        <v>201412</v>
      </c>
      <c r="J819" s="16">
        <v>-75.260000000000005</v>
      </c>
      <c r="K819" s="171">
        <f t="shared" si="60"/>
        <v>6</v>
      </c>
      <c r="L819" s="17">
        <v>1.4833299999999999E-3</v>
      </c>
      <c r="M819" s="16">
        <f t="shared" si="61"/>
        <v>-0.67</v>
      </c>
      <c r="N819" s="16">
        <f t="shared" si="62"/>
        <v>-1.34</v>
      </c>
      <c r="O819" s="14"/>
      <c r="P819" s="210" t="str">
        <f>VLOOKUP(C819,'WO Descriptions'!$A$5:$D$345,4)</f>
        <v>Approved by: Kevin Driskell on 07/11/2014,  ISRS Relocate main for public improvement project. Pressure System C-006. Coordinate with Engineering prior to construction.</v>
      </c>
    </row>
    <row r="820" spans="1:16" ht="45" outlineLevel="2">
      <c r="A820" s="14" t="s">
        <v>17</v>
      </c>
      <c r="B820" s="15" t="s">
        <v>1066</v>
      </c>
      <c r="C820" s="15" t="s">
        <v>1067</v>
      </c>
      <c r="D820" s="14" t="s">
        <v>1068</v>
      </c>
      <c r="E820" s="15" t="s">
        <v>567</v>
      </c>
      <c r="F820" s="14" t="s">
        <v>137</v>
      </c>
      <c r="G820" s="15" t="s">
        <v>23</v>
      </c>
      <c r="H820" s="15" t="s">
        <v>1526</v>
      </c>
      <c r="I820" s="15">
        <v>201412</v>
      </c>
      <c r="J820" s="16">
        <v>105895.42</v>
      </c>
      <c r="K820" s="171">
        <f t="shared" si="60"/>
        <v>6</v>
      </c>
      <c r="L820" s="17">
        <v>1.4833299999999999E-3</v>
      </c>
      <c r="M820" s="16">
        <f t="shared" si="61"/>
        <v>942.47</v>
      </c>
      <c r="N820" s="16">
        <f t="shared" si="62"/>
        <v>1884.93</v>
      </c>
      <c r="O820" s="14"/>
      <c r="P820" s="210" t="str">
        <f>VLOOKUP(C820,'WO Descriptions'!$A$5:$D$345,4)</f>
        <v>Approved by: Gary Williams on 09/15/2014,  ISRS Replace 220'-8in PBS with 8in thin film due to exposed pipe, existing retaining wall to be torn down and rebuilt.  Pipe will need to be bored due to existing retaining wall.  This is a high pressure main at MOP=90#.</v>
      </c>
    </row>
    <row r="821" spans="1:16" ht="45" outlineLevel="2">
      <c r="A821" s="14" t="s">
        <v>54</v>
      </c>
      <c r="B821" s="15" t="s">
        <v>278</v>
      </c>
      <c r="C821" s="15" t="s">
        <v>279</v>
      </c>
      <c r="D821" s="14" t="s">
        <v>280</v>
      </c>
      <c r="E821" s="15" t="s">
        <v>104</v>
      </c>
      <c r="F821" s="14" t="s">
        <v>41</v>
      </c>
      <c r="G821" s="15" t="s">
        <v>23</v>
      </c>
      <c r="H821" s="15" t="s">
        <v>1526</v>
      </c>
      <c r="I821" s="15">
        <v>201412</v>
      </c>
      <c r="J821" s="16">
        <v>1972.63</v>
      </c>
      <c r="K821" s="171">
        <f t="shared" si="60"/>
        <v>6</v>
      </c>
      <c r="L821" s="17">
        <v>1.4833299999999999E-3</v>
      </c>
      <c r="M821" s="16">
        <f t="shared" si="61"/>
        <v>17.559999999999999</v>
      </c>
      <c r="N821" s="16">
        <f t="shared" si="62"/>
        <v>35.11</v>
      </c>
      <c r="O821" s="14"/>
      <c r="P821" s="210" t="str">
        <f>VLOOKUP(C821,'WO Descriptions'!$A$5:$D$345,4)</f>
        <v>Approved by: Ralph Janes on 03/05/2014,  Relocate and abandon 15' - 4" pe main (00-1895) by installing 30' - temporary 2" pe main and then 15' - 4" pe main to allow the rural water district to install a new water tower main and tap. (ISRS)</v>
      </c>
    </row>
    <row r="822" spans="1:16" ht="90" outlineLevel="2">
      <c r="A822" s="14" t="s">
        <v>54</v>
      </c>
      <c r="B822" s="15" t="s">
        <v>359</v>
      </c>
      <c r="C822" s="15" t="s">
        <v>360</v>
      </c>
      <c r="D822" s="14" t="s">
        <v>361</v>
      </c>
      <c r="E822" s="15" t="s">
        <v>362</v>
      </c>
      <c r="F822" s="14" t="s">
        <v>41</v>
      </c>
      <c r="G822" s="15" t="s">
        <v>23</v>
      </c>
      <c r="H822" s="15" t="s">
        <v>1526</v>
      </c>
      <c r="I822" s="15">
        <v>201412</v>
      </c>
      <c r="J822" s="16">
        <v>-242.08</v>
      </c>
      <c r="K822" s="171">
        <f t="shared" si="60"/>
        <v>6</v>
      </c>
      <c r="L822" s="17">
        <v>1.4833299999999999E-3</v>
      </c>
      <c r="M822" s="16">
        <f t="shared" si="61"/>
        <v>-2.15</v>
      </c>
      <c r="N822" s="16">
        <f t="shared" si="62"/>
        <v>-4.3099999999999996</v>
      </c>
      <c r="O822" s="14"/>
      <c r="P822" s="210" t="str">
        <f>VLOOKUP(C822,'WO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823" spans="1:16" ht="150" outlineLevel="2">
      <c r="A823" s="14" t="s">
        <v>54</v>
      </c>
      <c r="B823" s="15" t="s">
        <v>581</v>
      </c>
      <c r="C823" s="15" t="s">
        <v>582</v>
      </c>
      <c r="D823" s="14" t="s">
        <v>583</v>
      </c>
      <c r="E823" s="15" t="s">
        <v>104</v>
      </c>
      <c r="F823" s="14" t="s">
        <v>41</v>
      </c>
      <c r="G823" s="15" t="s">
        <v>23</v>
      </c>
      <c r="H823" s="15" t="s">
        <v>1526</v>
      </c>
      <c r="I823" s="15">
        <v>201412</v>
      </c>
      <c r="J823" s="16">
        <v>-1826.47</v>
      </c>
      <c r="K823" s="171">
        <f t="shared" si="60"/>
        <v>6</v>
      </c>
      <c r="L823" s="17">
        <v>1.4833299999999999E-3</v>
      </c>
      <c r="M823" s="16">
        <f t="shared" si="61"/>
        <v>-16.260000000000002</v>
      </c>
      <c r="N823" s="16">
        <f t="shared" si="62"/>
        <v>-32.51</v>
      </c>
      <c r="O823" s="14"/>
      <c r="P823" s="210" t="str">
        <f>VLOOKUP(C823,'WO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24" spans="1:16" ht="60" outlineLevel="2">
      <c r="A824" s="14" t="s">
        <v>54</v>
      </c>
      <c r="B824" s="15" t="s">
        <v>879</v>
      </c>
      <c r="C824" s="15" t="s">
        <v>880</v>
      </c>
      <c r="D824" s="14" t="s">
        <v>881</v>
      </c>
      <c r="E824" s="15" t="s">
        <v>53</v>
      </c>
      <c r="F824" s="14" t="s">
        <v>41</v>
      </c>
      <c r="G824" s="15" t="s">
        <v>23</v>
      </c>
      <c r="H824" s="15" t="s">
        <v>1526</v>
      </c>
      <c r="I824" s="15">
        <v>201412</v>
      </c>
      <c r="J824" s="16">
        <v>544.26</v>
      </c>
      <c r="K824" s="171">
        <f t="shared" si="60"/>
        <v>6</v>
      </c>
      <c r="L824" s="17">
        <v>1.4833299999999999E-3</v>
      </c>
      <c r="M824" s="16">
        <f t="shared" si="61"/>
        <v>4.84</v>
      </c>
      <c r="N824" s="16">
        <f t="shared" si="62"/>
        <v>9.69</v>
      </c>
      <c r="O824" s="14"/>
      <c r="P824" s="210" t="str">
        <f>VLOOKUP(C824,'WO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825" spans="1:16" ht="75" outlineLevel="2">
      <c r="A825" s="14" t="s">
        <v>54</v>
      </c>
      <c r="B825" s="15" t="s">
        <v>1048</v>
      </c>
      <c r="C825" s="15" t="s">
        <v>1049</v>
      </c>
      <c r="D825" s="14" t="s">
        <v>1050</v>
      </c>
      <c r="E825" s="15" t="s">
        <v>925</v>
      </c>
      <c r="F825" s="14" t="s">
        <v>41</v>
      </c>
      <c r="G825" s="15" t="s">
        <v>23</v>
      </c>
      <c r="H825" s="15" t="s">
        <v>1526</v>
      </c>
      <c r="I825" s="15">
        <v>201412</v>
      </c>
      <c r="J825" s="16">
        <v>310904.90000000002</v>
      </c>
      <c r="K825" s="171">
        <f t="shared" si="60"/>
        <v>6</v>
      </c>
      <c r="L825" s="17">
        <v>1.4833299999999999E-3</v>
      </c>
      <c r="M825" s="16">
        <f t="shared" si="61"/>
        <v>2767.05</v>
      </c>
      <c r="N825" s="16">
        <f t="shared" si="62"/>
        <v>5534.09</v>
      </c>
      <c r="O825" s="14"/>
      <c r="P825" s="210" t="str">
        <f>VLOOKUP(C825,'WO Descriptions'!$A$5:$D$345,4)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826" spans="1:16" ht="120" outlineLevel="2">
      <c r="A826" s="14" t="s">
        <v>54</v>
      </c>
      <c r="B826" s="15" t="s">
        <v>919</v>
      </c>
      <c r="C826" s="15" t="s">
        <v>920</v>
      </c>
      <c r="D826" s="14" t="s">
        <v>921</v>
      </c>
      <c r="E826" s="15" t="s">
        <v>362</v>
      </c>
      <c r="F826" s="14" t="s">
        <v>41</v>
      </c>
      <c r="G826" s="15" t="s">
        <v>23</v>
      </c>
      <c r="H826" s="15" t="s">
        <v>1526</v>
      </c>
      <c r="I826" s="15">
        <v>201412</v>
      </c>
      <c r="J826" s="16">
        <v>-653.91</v>
      </c>
      <c r="K826" s="171">
        <f t="shared" si="60"/>
        <v>6</v>
      </c>
      <c r="L826" s="17">
        <v>1.4833299999999999E-3</v>
      </c>
      <c r="M826" s="16">
        <f t="shared" si="61"/>
        <v>-5.82</v>
      </c>
      <c r="N826" s="16">
        <f t="shared" si="62"/>
        <v>-11.64</v>
      </c>
      <c r="O826" s="14"/>
      <c r="P826" s="210" t="str">
        <f>VLOOKUP(C826,'WO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27" spans="1:16" ht="75" outlineLevel="2">
      <c r="A827" s="14" t="s">
        <v>54</v>
      </c>
      <c r="B827" s="15" t="s">
        <v>922</v>
      </c>
      <c r="C827" s="15" t="s">
        <v>923</v>
      </c>
      <c r="D827" s="14" t="s">
        <v>924</v>
      </c>
      <c r="E827" s="15" t="s">
        <v>925</v>
      </c>
      <c r="F827" s="14" t="s">
        <v>41</v>
      </c>
      <c r="G827" s="15" t="s">
        <v>23</v>
      </c>
      <c r="H827" s="15" t="s">
        <v>1526</v>
      </c>
      <c r="I827" s="15">
        <v>201412</v>
      </c>
      <c r="J827" s="16">
        <v>1865.84</v>
      </c>
      <c r="K827" s="171">
        <f t="shared" si="60"/>
        <v>6</v>
      </c>
      <c r="L827" s="17">
        <v>1.4833299999999999E-3</v>
      </c>
      <c r="M827" s="16">
        <f t="shared" si="61"/>
        <v>16.61</v>
      </c>
      <c r="N827" s="16">
        <f t="shared" si="62"/>
        <v>33.21</v>
      </c>
      <c r="O827" s="14"/>
      <c r="P827" s="210" t="str">
        <f>VLOOKUP(C827,'WO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28" spans="1:16" ht="90" outlineLevel="2">
      <c r="A828" s="14" t="s">
        <v>54</v>
      </c>
      <c r="B828" s="15" t="s">
        <v>929</v>
      </c>
      <c r="C828" s="15" t="s">
        <v>930</v>
      </c>
      <c r="D828" s="14" t="s">
        <v>931</v>
      </c>
      <c r="E828" s="15" t="s">
        <v>394</v>
      </c>
      <c r="F828" s="14" t="s">
        <v>137</v>
      </c>
      <c r="G828" s="15" t="s">
        <v>23</v>
      </c>
      <c r="H828" s="15" t="s">
        <v>1526</v>
      </c>
      <c r="I828" s="15">
        <v>201412</v>
      </c>
      <c r="J828" s="16">
        <v>237.88</v>
      </c>
      <c r="K828" s="171">
        <f t="shared" si="60"/>
        <v>6</v>
      </c>
      <c r="L828" s="17">
        <v>1.4833299999999999E-3</v>
      </c>
      <c r="M828" s="16">
        <f t="shared" si="61"/>
        <v>2.12</v>
      </c>
      <c r="N828" s="16">
        <f t="shared" si="62"/>
        <v>4.2300000000000004</v>
      </c>
      <c r="O828" s="14"/>
      <c r="P828" s="210" t="str">
        <f>VLOOKUP(C828,'WO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29" spans="1:16" ht="90" outlineLevel="2">
      <c r="A829" s="14" t="s">
        <v>54</v>
      </c>
      <c r="B829" s="15" t="s">
        <v>1060</v>
      </c>
      <c r="C829" s="15" t="s">
        <v>1061</v>
      </c>
      <c r="D829" s="14" t="s">
        <v>1062</v>
      </c>
      <c r="E829" s="15" t="s">
        <v>53</v>
      </c>
      <c r="F829" s="14" t="s">
        <v>41</v>
      </c>
      <c r="G829" s="15" t="s">
        <v>23</v>
      </c>
      <c r="H829" s="15" t="s">
        <v>1526</v>
      </c>
      <c r="I829" s="15">
        <v>201412</v>
      </c>
      <c r="J829" s="16">
        <v>116872.01</v>
      </c>
      <c r="K829" s="171">
        <f t="shared" si="60"/>
        <v>6</v>
      </c>
      <c r="L829" s="17">
        <v>1.4833299999999999E-3</v>
      </c>
      <c r="M829" s="16">
        <f t="shared" si="61"/>
        <v>1040.1600000000001</v>
      </c>
      <c r="N829" s="16">
        <f t="shared" si="62"/>
        <v>2080.3200000000002</v>
      </c>
      <c r="O829" s="14"/>
      <c r="P829" s="210" t="str">
        <f>VLOOKUP(C829,'WO Descriptions'!$A$5:$D$345,4)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row>
    <row r="830" spans="1:16" ht="90" outlineLevel="2">
      <c r="A830" s="14" t="s">
        <v>54</v>
      </c>
      <c r="B830" s="15" t="s">
        <v>962</v>
      </c>
      <c r="C830" s="15" t="s">
        <v>963</v>
      </c>
      <c r="D830" s="14" t="s">
        <v>964</v>
      </c>
      <c r="E830" s="15" t="s">
        <v>40</v>
      </c>
      <c r="F830" s="14" t="s">
        <v>41</v>
      </c>
      <c r="G830" s="15" t="s">
        <v>23</v>
      </c>
      <c r="H830" s="15" t="s">
        <v>1526</v>
      </c>
      <c r="I830" s="15">
        <v>201412</v>
      </c>
      <c r="J830" s="16">
        <v>-145.08000000000001</v>
      </c>
      <c r="K830" s="171">
        <f t="shared" si="60"/>
        <v>6</v>
      </c>
      <c r="L830" s="17">
        <v>1.4833299999999999E-3</v>
      </c>
      <c r="M830" s="16">
        <f t="shared" si="61"/>
        <v>-1.29</v>
      </c>
      <c r="N830" s="16">
        <f t="shared" si="62"/>
        <v>-2.58</v>
      </c>
      <c r="O830" s="14"/>
      <c r="P830" s="210" t="str">
        <f>VLOOKUP(C830,'WO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31" spans="1:16" ht="105" outlineLevel="2">
      <c r="A831" s="14" t="s">
        <v>54</v>
      </c>
      <c r="B831" s="15" t="s">
        <v>965</v>
      </c>
      <c r="C831" s="15" t="s">
        <v>966</v>
      </c>
      <c r="D831" s="14" t="s">
        <v>967</v>
      </c>
      <c r="E831" s="15" t="s">
        <v>53</v>
      </c>
      <c r="F831" s="14" t="s">
        <v>41</v>
      </c>
      <c r="G831" s="15" t="s">
        <v>23</v>
      </c>
      <c r="H831" s="15" t="s">
        <v>1526</v>
      </c>
      <c r="I831" s="15">
        <v>201412</v>
      </c>
      <c r="J831" s="16">
        <v>1538.04</v>
      </c>
      <c r="K831" s="171">
        <f t="shared" si="60"/>
        <v>6</v>
      </c>
      <c r="L831" s="17">
        <v>1.4833299999999999E-3</v>
      </c>
      <c r="M831" s="16">
        <f t="shared" si="61"/>
        <v>13.69</v>
      </c>
      <c r="N831" s="16">
        <f t="shared" si="62"/>
        <v>27.38</v>
      </c>
      <c r="O831" s="14"/>
      <c r="P831" s="210" t="str">
        <f>VLOOKUP(C831,'WO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32" spans="1:16" ht="90" outlineLevel="2">
      <c r="A832" s="14" t="s">
        <v>54</v>
      </c>
      <c r="B832" s="15" t="s">
        <v>968</v>
      </c>
      <c r="C832" s="15" t="s">
        <v>969</v>
      </c>
      <c r="D832" s="14" t="s">
        <v>970</v>
      </c>
      <c r="E832" s="15" t="s">
        <v>394</v>
      </c>
      <c r="F832" s="14" t="s">
        <v>137</v>
      </c>
      <c r="G832" s="15" t="s">
        <v>23</v>
      </c>
      <c r="H832" s="15" t="s">
        <v>1526</v>
      </c>
      <c r="I832" s="15">
        <v>201412</v>
      </c>
      <c r="J832" s="16">
        <v>-820.13</v>
      </c>
      <c r="K832" s="171">
        <f t="shared" si="60"/>
        <v>6</v>
      </c>
      <c r="L832" s="17">
        <v>1.4833299999999999E-3</v>
      </c>
      <c r="M832" s="16">
        <f t="shared" si="61"/>
        <v>-7.3</v>
      </c>
      <c r="N832" s="16">
        <f t="shared" si="62"/>
        <v>-14.6</v>
      </c>
      <c r="O832" s="14"/>
      <c r="P832" s="210" t="str">
        <f>VLOOKUP(C832,'WO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row>
    <row r="833" spans="1:16" ht="45" outlineLevel="2">
      <c r="A833" s="14" t="s">
        <v>54</v>
      </c>
      <c r="B833" s="15" t="s">
        <v>971</v>
      </c>
      <c r="C833" s="15" t="s">
        <v>972</v>
      </c>
      <c r="D833" s="14" t="s">
        <v>973</v>
      </c>
      <c r="E833" s="15" t="s">
        <v>567</v>
      </c>
      <c r="F833" s="14" t="s">
        <v>137</v>
      </c>
      <c r="G833" s="15" t="s">
        <v>23</v>
      </c>
      <c r="H833" s="15" t="s">
        <v>1526</v>
      </c>
      <c r="I833" s="15">
        <v>201412</v>
      </c>
      <c r="J833" s="16">
        <v>3488.6</v>
      </c>
      <c r="K833" s="171">
        <f t="shared" si="60"/>
        <v>6</v>
      </c>
      <c r="L833" s="17">
        <v>1.4833299999999999E-3</v>
      </c>
      <c r="M833" s="16">
        <f t="shared" ref="M833:M835" si="63">ROUND(J833*K833*L833,2)</f>
        <v>31.05</v>
      </c>
      <c r="N833" s="16">
        <f t="shared" si="62"/>
        <v>62.1</v>
      </c>
      <c r="O833" s="14"/>
      <c r="P833" s="210" t="str">
        <f>VLOOKUP(C833,'WO Descriptions'!$A$5:$D$345,4)</f>
        <v>Approved by: Gary Williams on 07/23/2014,  (ISRS)  Replace 100'-4in PBS with 4in thin film and 2" PCS with 275'-2in PE.  New 4in main needs to be 8' below existing grade due to new storm sewer.  Dead end 2" PE main at 2307 NE 44th Terr. Tie over 3 services.</v>
      </c>
    </row>
    <row r="834" spans="1:16" ht="45" outlineLevel="2">
      <c r="A834" s="14" t="s">
        <v>54</v>
      </c>
      <c r="B834" s="15" t="s">
        <v>993</v>
      </c>
      <c r="C834" s="15" t="s">
        <v>994</v>
      </c>
      <c r="D834" s="14" t="s">
        <v>995</v>
      </c>
      <c r="E834" s="15" t="s">
        <v>40</v>
      </c>
      <c r="F834" s="14" t="s">
        <v>41</v>
      </c>
      <c r="G834" s="15" t="s">
        <v>23</v>
      </c>
      <c r="H834" s="15" t="s">
        <v>1526</v>
      </c>
      <c r="I834" s="15">
        <v>201412</v>
      </c>
      <c r="J834" s="16">
        <v>829.19</v>
      </c>
      <c r="K834" s="171">
        <f t="shared" si="60"/>
        <v>6</v>
      </c>
      <c r="L834" s="17">
        <v>1.4833299999999999E-3</v>
      </c>
      <c r="M834" s="16">
        <f t="shared" si="63"/>
        <v>7.38</v>
      </c>
      <c r="N834" s="16">
        <f t="shared" si="62"/>
        <v>14.76</v>
      </c>
      <c r="O834" s="14"/>
      <c r="P834" s="210" t="str">
        <f>VLOOKUP(C834,'WO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835" spans="1:16" s="243" customFormat="1" ht="105" outlineLevel="2">
      <c r="A835" s="211" t="s">
        <v>238</v>
      </c>
      <c r="B835" s="212" t="s">
        <v>1099</v>
      </c>
      <c r="C835" s="212" t="s">
        <v>1100</v>
      </c>
      <c r="D835" s="211" t="s">
        <v>1101</v>
      </c>
      <c r="E835" s="212" t="s">
        <v>104</v>
      </c>
      <c r="F835" s="211" t="s">
        <v>41</v>
      </c>
      <c r="G835" s="212" t="s">
        <v>23</v>
      </c>
      <c r="H835" s="212" t="s">
        <v>1526</v>
      </c>
      <c r="I835" s="212">
        <v>201412</v>
      </c>
      <c r="J835" s="213">
        <v>2739.95</v>
      </c>
      <c r="K835" s="171">
        <f t="shared" si="60"/>
        <v>6</v>
      </c>
      <c r="L835" s="214">
        <v>2.3833299999999999E-3</v>
      </c>
      <c r="M835" s="213">
        <f t="shared" si="63"/>
        <v>39.18</v>
      </c>
      <c r="N835" s="213">
        <f t="shared" si="62"/>
        <v>78.36</v>
      </c>
      <c r="O835" s="211"/>
      <c r="P835" s="242" t="str">
        <f>VLOOKUP(C835,'WO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row>
    <row r="836" spans="1:16" ht="60">
      <c r="A836" s="223" t="s">
        <v>17</v>
      </c>
      <c r="B836" s="250" t="s">
        <v>149</v>
      </c>
      <c r="C836" s="250" t="s">
        <v>150</v>
      </c>
      <c r="D836" s="223" t="s">
        <v>151</v>
      </c>
      <c r="E836" s="250" t="s">
        <v>40</v>
      </c>
      <c r="F836" s="223" t="s">
        <v>41</v>
      </c>
      <c r="G836" s="250" t="s">
        <v>23</v>
      </c>
      <c r="H836" s="250" t="s">
        <v>1526</v>
      </c>
      <c r="I836" s="250">
        <v>201501</v>
      </c>
      <c r="J836" s="251">
        <v>-64.599999999999994</v>
      </c>
      <c r="K836" s="171">
        <f t="shared" si="60"/>
        <v>5</v>
      </c>
      <c r="L836" s="253">
        <v>1.4833299999999999E-3</v>
      </c>
      <c r="M836" s="251">
        <f t="shared" ref="M836:M898" si="64">ROUND(J836*K836*L836,2)</f>
        <v>-0.48</v>
      </c>
      <c r="N836" s="251">
        <f t="shared" ref="N836:N898" si="65">ROUND(J836*L836*12,2)</f>
        <v>-1.1499999999999999</v>
      </c>
      <c r="O836" s="223"/>
      <c r="P836" s="242" t="str">
        <f>VLOOKUP(C836,'WO Descriptions'!$A$5:$D$384,4)</f>
        <v>Approved by: Gary Williams on 10/15/2013,  To relocate 625'-3in gas main due to drainage improvements by the city of Gladstone. 682'-4in PE (WO 13-2678) will be used to replace the 3in PCS. (Original work orders - 80' 66-2514 / 200' 66-4278 / 120' 66-0042 / 115' 68-6171 / 110' 66-3670).</v>
      </c>
    </row>
    <row r="837" spans="1:16" ht="90">
      <c r="A837" s="223" t="s">
        <v>54</v>
      </c>
      <c r="B837" s="250" t="s">
        <v>359</v>
      </c>
      <c r="C837" s="250" t="s">
        <v>360</v>
      </c>
      <c r="D837" s="223" t="s">
        <v>361</v>
      </c>
      <c r="E837" s="250" t="s">
        <v>362</v>
      </c>
      <c r="F837" s="223" t="s">
        <v>41</v>
      </c>
      <c r="G837" s="250" t="s">
        <v>23</v>
      </c>
      <c r="H837" s="250" t="s">
        <v>1526</v>
      </c>
      <c r="I837" s="250">
        <v>201501</v>
      </c>
      <c r="J837" s="251">
        <v>-11.23</v>
      </c>
      <c r="K837" s="171">
        <f t="shared" si="60"/>
        <v>5</v>
      </c>
      <c r="L837" s="253">
        <v>1.4833299999999999E-3</v>
      </c>
      <c r="M837" s="251">
        <f t="shared" si="64"/>
        <v>-0.08</v>
      </c>
      <c r="N837" s="251">
        <f t="shared" si="65"/>
        <v>-0.2</v>
      </c>
      <c r="O837" s="223"/>
      <c r="P837" s="242" t="str">
        <f>VLOOKUP(C837,'WO Descriptions'!$A$5:$D$384,4)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838" spans="1:16" ht="180">
      <c r="A838" s="223" t="s">
        <v>17</v>
      </c>
      <c r="B838" s="250" t="s">
        <v>366</v>
      </c>
      <c r="C838" s="250" t="s">
        <v>367</v>
      </c>
      <c r="D838" s="223" t="s">
        <v>368</v>
      </c>
      <c r="E838" s="250" t="s">
        <v>369</v>
      </c>
      <c r="F838" s="223" t="s">
        <v>41</v>
      </c>
      <c r="G838" s="250" t="s">
        <v>23</v>
      </c>
      <c r="H838" s="250" t="s">
        <v>1526</v>
      </c>
      <c r="I838" s="250">
        <v>201501</v>
      </c>
      <c r="J838" s="251">
        <v>14460.37</v>
      </c>
      <c r="K838" s="171">
        <f t="shared" si="60"/>
        <v>5</v>
      </c>
      <c r="L838" s="253">
        <v>1.4833299999999999E-3</v>
      </c>
      <c r="M838" s="251">
        <f t="shared" si="64"/>
        <v>107.25</v>
      </c>
      <c r="N838" s="251">
        <f t="shared" si="65"/>
        <v>257.39</v>
      </c>
      <c r="O838" s="223"/>
      <c r="P838" s="242" t="str">
        <f>VLOOKUP(C838,'WO Descriptions'!$A$5:$D$384,4)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839" spans="1:16" ht="165">
      <c r="A839" s="223" t="s">
        <v>17</v>
      </c>
      <c r="B839" s="250" t="s">
        <v>391</v>
      </c>
      <c r="C839" s="250" t="s">
        <v>392</v>
      </c>
      <c r="D839" s="223" t="s">
        <v>393</v>
      </c>
      <c r="E839" s="250" t="s">
        <v>394</v>
      </c>
      <c r="F839" s="223" t="s">
        <v>137</v>
      </c>
      <c r="G839" s="250" t="s">
        <v>23</v>
      </c>
      <c r="H839" s="250" t="s">
        <v>1526</v>
      </c>
      <c r="I839" s="250">
        <v>201501</v>
      </c>
      <c r="J839" s="251">
        <v>-48.91</v>
      </c>
      <c r="K839" s="171">
        <f t="shared" si="60"/>
        <v>5</v>
      </c>
      <c r="L839" s="253">
        <v>1.4833299999999999E-3</v>
      </c>
      <c r="M839" s="251">
        <f t="shared" si="64"/>
        <v>-0.36</v>
      </c>
      <c r="N839" s="251">
        <f t="shared" si="65"/>
        <v>-0.87</v>
      </c>
      <c r="O839" s="223"/>
      <c r="P839" s="242" t="str">
        <f>VLOOKUP(C839,'WO Descriptions'!$A$5:$D$384,4)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840" spans="1:16" ht="105">
      <c r="A840" s="223" t="s">
        <v>238</v>
      </c>
      <c r="B840" s="250" t="s">
        <v>1099</v>
      </c>
      <c r="C840" s="250" t="s">
        <v>1100</v>
      </c>
      <c r="D840" s="223" t="s">
        <v>1101</v>
      </c>
      <c r="E840" s="250" t="s">
        <v>104</v>
      </c>
      <c r="F840" s="223" t="s">
        <v>41</v>
      </c>
      <c r="G840" s="250" t="s">
        <v>23</v>
      </c>
      <c r="H840" s="250" t="s">
        <v>1526</v>
      </c>
      <c r="I840" s="250">
        <v>201501</v>
      </c>
      <c r="J840" s="251">
        <v>-1320.23</v>
      </c>
      <c r="K840" s="171">
        <f t="shared" si="60"/>
        <v>5</v>
      </c>
      <c r="L840" s="253">
        <v>2.3833299999999999E-3</v>
      </c>
      <c r="M840" s="251">
        <f t="shared" si="64"/>
        <v>-15.73</v>
      </c>
      <c r="N840" s="251">
        <f t="shared" si="65"/>
        <v>-37.76</v>
      </c>
      <c r="O840" s="223"/>
      <c r="P840" s="242" t="str">
        <f>VLOOKUP(C840,'WO Descriptions'!$A$5:$D$384,4)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row>
    <row r="841" spans="1:16" ht="60">
      <c r="A841" s="223" t="s">
        <v>54</v>
      </c>
      <c r="B841" s="250" t="s">
        <v>578</v>
      </c>
      <c r="C841" s="250" t="s">
        <v>579</v>
      </c>
      <c r="D841" s="223" t="s">
        <v>580</v>
      </c>
      <c r="E841" s="250" t="s">
        <v>136</v>
      </c>
      <c r="F841" s="223" t="s">
        <v>137</v>
      </c>
      <c r="G841" s="250" t="s">
        <v>23</v>
      </c>
      <c r="H841" s="250" t="s">
        <v>1526</v>
      </c>
      <c r="I841" s="250">
        <v>201501</v>
      </c>
      <c r="J841" s="251">
        <v>643.61</v>
      </c>
      <c r="K841" s="171">
        <f t="shared" si="60"/>
        <v>5</v>
      </c>
      <c r="L841" s="253">
        <v>1.4833299999999999E-3</v>
      </c>
      <c r="M841" s="251">
        <f t="shared" si="64"/>
        <v>4.7699999999999996</v>
      </c>
      <c r="N841" s="251">
        <f t="shared" si="65"/>
        <v>11.46</v>
      </c>
      <c r="O841" s="223"/>
      <c r="P841" s="242" t="str">
        <f>VLOOKUP(C841,'WO Descriptions'!$A$5:$D$384,4)</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row>
    <row r="842" spans="1:16" ht="150">
      <c r="A842" s="223" t="s">
        <v>17</v>
      </c>
      <c r="B842" s="250" t="s">
        <v>581</v>
      </c>
      <c r="C842" s="250" t="s">
        <v>582</v>
      </c>
      <c r="D842" s="223" t="s">
        <v>583</v>
      </c>
      <c r="E842" s="250" t="s">
        <v>104</v>
      </c>
      <c r="F842" s="223" t="s">
        <v>41</v>
      </c>
      <c r="G842" s="250" t="s">
        <v>23</v>
      </c>
      <c r="H842" s="250" t="s">
        <v>1526</v>
      </c>
      <c r="I842" s="250">
        <v>201501</v>
      </c>
      <c r="J842" s="251">
        <v>-0.3</v>
      </c>
      <c r="K842" s="171">
        <f t="shared" si="60"/>
        <v>5</v>
      </c>
      <c r="L842" s="253">
        <v>1.4833299999999999E-3</v>
      </c>
      <c r="M842" s="251">
        <f t="shared" si="64"/>
        <v>0</v>
      </c>
      <c r="N842" s="251">
        <f t="shared" si="65"/>
        <v>-0.01</v>
      </c>
      <c r="O842" s="223"/>
      <c r="P842" s="242" t="str">
        <f>VLOOKUP(C842,'WO Descriptions'!$A$5:$D$384,4)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43" spans="1:16" ht="150">
      <c r="A843" s="223" t="s">
        <v>54</v>
      </c>
      <c r="B843" s="250" t="s">
        <v>581</v>
      </c>
      <c r="C843" s="250" t="s">
        <v>582</v>
      </c>
      <c r="D843" s="223" t="s">
        <v>583</v>
      </c>
      <c r="E843" s="250" t="s">
        <v>104</v>
      </c>
      <c r="F843" s="223" t="s">
        <v>41</v>
      </c>
      <c r="G843" s="250" t="s">
        <v>23</v>
      </c>
      <c r="H843" s="250" t="s">
        <v>1526</v>
      </c>
      <c r="I843" s="250">
        <v>201501</v>
      </c>
      <c r="J843" s="251">
        <v>-22.4</v>
      </c>
      <c r="K843" s="171">
        <f t="shared" si="60"/>
        <v>5</v>
      </c>
      <c r="L843" s="253">
        <v>1.4833299999999999E-3</v>
      </c>
      <c r="M843" s="251">
        <f t="shared" si="64"/>
        <v>-0.17</v>
      </c>
      <c r="N843" s="251">
        <f t="shared" si="65"/>
        <v>-0.4</v>
      </c>
      <c r="O843" s="223"/>
      <c r="P843" s="242" t="str">
        <f>VLOOKUP(C843,'WO Descriptions'!$A$5:$D$384,4)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44" spans="1:16" ht="75">
      <c r="A844" s="223" t="s">
        <v>17</v>
      </c>
      <c r="B844" s="250" t="s">
        <v>1030</v>
      </c>
      <c r="C844" s="250" t="s">
        <v>1031</v>
      </c>
      <c r="D844" s="223" t="s">
        <v>1032</v>
      </c>
      <c r="E844" s="250" t="s">
        <v>53</v>
      </c>
      <c r="F844" s="223" t="s">
        <v>41</v>
      </c>
      <c r="G844" s="250" t="s">
        <v>23</v>
      </c>
      <c r="H844" s="250" t="s">
        <v>1526</v>
      </c>
      <c r="I844" s="250">
        <v>201501</v>
      </c>
      <c r="J844" s="251">
        <v>-2.5</v>
      </c>
      <c r="K844" s="171">
        <f t="shared" si="60"/>
        <v>5</v>
      </c>
      <c r="L844" s="253">
        <v>1.4833299999999999E-3</v>
      </c>
      <c r="M844" s="251">
        <f t="shared" si="64"/>
        <v>-0.02</v>
      </c>
      <c r="N844" s="251">
        <f t="shared" si="65"/>
        <v>-0.04</v>
      </c>
      <c r="O844" s="223"/>
      <c r="P844" s="242" t="str">
        <f>VLOOKUP(C844,'WO Descriptions'!$A$5:$D$384,4)</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row>
    <row r="845" spans="1:16" ht="120">
      <c r="A845" s="223" t="s">
        <v>17</v>
      </c>
      <c r="B845" s="250" t="s">
        <v>1036</v>
      </c>
      <c r="C845" s="250" t="s">
        <v>1037</v>
      </c>
      <c r="D845" s="223" t="s">
        <v>1038</v>
      </c>
      <c r="E845" s="250" t="s">
        <v>40</v>
      </c>
      <c r="F845" s="223" t="s">
        <v>41</v>
      </c>
      <c r="G845" s="250" t="s">
        <v>23</v>
      </c>
      <c r="H845" s="250" t="s">
        <v>1526</v>
      </c>
      <c r="I845" s="250">
        <v>201501</v>
      </c>
      <c r="J845" s="251">
        <v>-54.09</v>
      </c>
      <c r="K845" s="171">
        <f t="shared" si="60"/>
        <v>5</v>
      </c>
      <c r="L845" s="253">
        <v>1.4833299999999999E-3</v>
      </c>
      <c r="M845" s="251">
        <f t="shared" si="64"/>
        <v>-0.4</v>
      </c>
      <c r="N845" s="251">
        <f t="shared" si="65"/>
        <v>-0.96</v>
      </c>
      <c r="O845" s="223"/>
      <c r="P845" s="242" t="str">
        <f>VLOOKUP(C845,'WO Descriptions'!$A$5:$D$384,4)</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row>
    <row r="846" spans="1:16" ht="90">
      <c r="A846" s="223" t="s">
        <v>17</v>
      </c>
      <c r="B846" s="250" t="s">
        <v>1039</v>
      </c>
      <c r="C846" s="250" t="s">
        <v>1040</v>
      </c>
      <c r="D846" s="223" t="s">
        <v>1041</v>
      </c>
      <c r="E846" s="250" t="s">
        <v>40</v>
      </c>
      <c r="F846" s="223" t="s">
        <v>41</v>
      </c>
      <c r="G846" s="250" t="s">
        <v>23</v>
      </c>
      <c r="H846" s="250" t="s">
        <v>1526</v>
      </c>
      <c r="I846" s="250">
        <v>201501</v>
      </c>
      <c r="J846" s="251">
        <v>-13161.06</v>
      </c>
      <c r="K846" s="171">
        <f t="shared" si="60"/>
        <v>5</v>
      </c>
      <c r="L846" s="253">
        <v>1.4833299999999999E-3</v>
      </c>
      <c r="M846" s="251">
        <f t="shared" si="64"/>
        <v>-97.61</v>
      </c>
      <c r="N846" s="251">
        <f t="shared" si="65"/>
        <v>-234.27</v>
      </c>
      <c r="O846" s="223"/>
      <c r="P846" s="242" t="str">
        <f>VLOOKUP(C846,'WO Descriptions'!$A$5:$D$384,4)</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row>
    <row r="847" spans="1:16" ht="150">
      <c r="A847" s="223" t="s">
        <v>17</v>
      </c>
      <c r="B847" s="250" t="s">
        <v>819</v>
      </c>
      <c r="C847" s="250" t="s">
        <v>820</v>
      </c>
      <c r="D847" s="223" t="s">
        <v>821</v>
      </c>
      <c r="E847" s="250" t="s">
        <v>822</v>
      </c>
      <c r="F847" s="223" t="s">
        <v>823</v>
      </c>
      <c r="G847" s="250" t="s">
        <v>23</v>
      </c>
      <c r="H847" s="250" t="s">
        <v>1526</v>
      </c>
      <c r="I847" s="250">
        <v>201501</v>
      </c>
      <c r="J847" s="251">
        <v>-2.89</v>
      </c>
      <c r="K847" s="171">
        <f t="shared" si="60"/>
        <v>5</v>
      </c>
      <c r="L847" s="253">
        <v>1.4833299999999999E-3</v>
      </c>
      <c r="M847" s="251">
        <f t="shared" si="64"/>
        <v>-0.02</v>
      </c>
      <c r="N847" s="251">
        <f t="shared" si="65"/>
        <v>-0.05</v>
      </c>
      <c r="O847" s="223"/>
      <c r="P847" s="242" t="str">
        <f>VLOOKUP(C847,'WO Descriptions'!$A$5:$D$384,4)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848" spans="1:16" ht="60">
      <c r="A848" s="223" t="s">
        <v>54</v>
      </c>
      <c r="B848" s="250" t="s">
        <v>879</v>
      </c>
      <c r="C848" s="250" t="s">
        <v>880</v>
      </c>
      <c r="D848" s="223" t="s">
        <v>881</v>
      </c>
      <c r="E848" s="250" t="s">
        <v>53</v>
      </c>
      <c r="F848" s="223" t="s">
        <v>41</v>
      </c>
      <c r="G848" s="250" t="s">
        <v>23</v>
      </c>
      <c r="H848" s="250" t="s">
        <v>1526</v>
      </c>
      <c r="I848" s="250">
        <v>201501</v>
      </c>
      <c r="J848" s="251">
        <v>12</v>
      </c>
      <c r="K848" s="171">
        <f t="shared" si="60"/>
        <v>5</v>
      </c>
      <c r="L848" s="253">
        <v>1.4833299999999999E-3</v>
      </c>
      <c r="M848" s="251">
        <f t="shared" si="64"/>
        <v>0.09</v>
      </c>
      <c r="N848" s="251">
        <f t="shared" si="65"/>
        <v>0.21</v>
      </c>
      <c r="O848" s="223"/>
      <c r="P848" s="242" t="str">
        <f>VLOOKUP(C848,'WO Descriptions'!$A$5:$D$384,4)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849" spans="1:16" ht="75">
      <c r="A849" s="223" t="s">
        <v>54</v>
      </c>
      <c r="B849" s="250" t="s">
        <v>1048</v>
      </c>
      <c r="C849" s="250" t="s">
        <v>1049</v>
      </c>
      <c r="D849" s="223" t="s">
        <v>1050</v>
      </c>
      <c r="E849" s="250" t="s">
        <v>925</v>
      </c>
      <c r="F849" s="223" t="s">
        <v>41</v>
      </c>
      <c r="G849" s="250" t="s">
        <v>23</v>
      </c>
      <c r="H849" s="250" t="s">
        <v>1526</v>
      </c>
      <c r="I849" s="250">
        <v>201501</v>
      </c>
      <c r="J849" s="251">
        <v>12220.11</v>
      </c>
      <c r="K849" s="171">
        <f t="shared" si="60"/>
        <v>5</v>
      </c>
      <c r="L849" s="253">
        <v>1.4833299999999999E-3</v>
      </c>
      <c r="M849" s="251">
        <f t="shared" si="64"/>
        <v>90.63</v>
      </c>
      <c r="N849" s="251">
        <f t="shared" si="65"/>
        <v>217.52</v>
      </c>
      <c r="O849" s="223"/>
      <c r="P849" s="242" t="str">
        <f>VLOOKUP(C849,'WO Descriptions'!$A$5:$D$384,4)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850" spans="1:16" ht="120">
      <c r="A850" s="223" t="s">
        <v>54</v>
      </c>
      <c r="B850" s="250" t="s">
        <v>919</v>
      </c>
      <c r="C850" s="250" t="s">
        <v>920</v>
      </c>
      <c r="D850" s="223" t="s">
        <v>921</v>
      </c>
      <c r="E850" s="250" t="s">
        <v>362</v>
      </c>
      <c r="F850" s="223" t="s">
        <v>41</v>
      </c>
      <c r="G850" s="250" t="s">
        <v>23</v>
      </c>
      <c r="H850" s="250" t="s">
        <v>1526</v>
      </c>
      <c r="I850" s="250">
        <v>201501</v>
      </c>
      <c r="J850" s="251">
        <v>-229.26</v>
      </c>
      <c r="K850" s="171">
        <f t="shared" si="60"/>
        <v>5</v>
      </c>
      <c r="L850" s="253">
        <v>1.4833299999999999E-3</v>
      </c>
      <c r="M850" s="251">
        <f t="shared" si="64"/>
        <v>-1.7</v>
      </c>
      <c r="N850" s="251">
        <f t="shared" si="65"/>
        <v>-4.08</v>
      </c>
      <c r="O850" s="223"/>
      <c r="P850" s="242" t="str">
        <f>VLOOKUP(C850,'WO Descriptions'!$A$5:$D$384,4)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51" spans="1:16" ht="45">
      <c r="A851" s="223" t="s">
        <v>17</v>
      </c>
      <c r="B851" s="250" t="s">
        <v>1057</v>
      </c>
      <c r="C851" s="250" t="s">
        <v>1058</v>
      </c>
      <c r="D851" s="223" t="s">
        <v>1059</v>
      </c>
      <c r="E851" s="250" t="s">
        <v>925</v>
      </c>
      <c r="F851" s="223" t="s">
        <v>41</v>
      </c>
      <c r="G851" s="250" t="s">
        <v>23</v>
      </c>
      <c r="H851" s="250" t="s">
        <v>1526</v>
      </c>
      <c r="I851" s="250">
        <v>201501</v>
      </c>
      <c r="J851" s="251">
        <v>-3547.65</v>
      </c>
      <c r="K851" s="171">
        <f t="shared" si="60"/>
        <v>5</v>
      </c>
      <c r="L851" s="253">
        <v>1.4833299999999999E-3</v>
      </c>
      <c r="M851" s="251">
        <f t="shared" si="64"/>
        <v>-26.31</v>
      </c>
      <c r="N851" s="251">
        <f t="shared" si="65"/>
        <v>-63.15</v>
      </c>
      <c r="O851" s="223"/>
      <c r="P851" s="242" t="str">
        <f>VLOOKUP(C851,'WO Descriptions'!$A$5:$D$384,4)</f>
        <v>Approved by: Gary Williams on 06/13/2014,  (ISRS)  Lay 325'-6in thin film for MODOT project J4I3005 under I-35.  Main needs to be 12' deep under the highway due to cuts.  No services to tie-over.  Retire 325'-10in PCS, WO 67-5537, Year 1967.  COST PER FOOT $132.92</v>
      </c>
    </row>
    <row r="852" spans="1:16" ht="75">
      <c r="A852" s="223" t="s">
        <v>54</v>
      </c>
      <c r="B852" s="250" t="s">
        <v>922</v>
      </c>
      <c r="C852" s="250" t="s">
        <v>923</v>
      </c>
      <c r="D852" s="223" t="s">
        <v>924</v>
      </c>
      <c r="E852" s="250" t="s">
        <v>925</v>
      </c>
      <c r="F852" s="223" t="s">
        <v>41</v>
      </c>
      <c r="G852" s="250" t="s">
        <v>23</v>
      </c>
      <c r="H852" s="250" t="s">
        <v>1526</v>
      </c>
      <c r="I852" s="250">
        <v>201501</v>
      </c>
      <c r="J852" s="251">
        <v>-961.44</v>
      </c>
      <c r="K852" s="171">
        <f t="shared" si="60"/>
        <v>5</v>
      </c>
      <c r="L852" s="253">
        <v>1.4833299999999999E-3</v>
      </c>
      <c r="M852" s="251">
        <f t="shared" si="64"/>
        <v>-7.13</v>
      </c>
      <c r="N852" s="251">
        <f t="shared" si="65"/>
        <v>-17.11</v>
      </c>
      <c r="O852" s="223"/>
      <c r="P852" s="242" t="str">
        <f>VLOOKUP(C852,'WO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3" spans="1:16" ht="75">
      <c r="A853" s="223" t="s">
        <v>54</v>
      </c>
      <c r="B853" s="250" t="s">
        <v>929</v>
      </c>
      <c r="C853" s="250" t="s">
        <v>930</v>
      </c>
      <c r="D853" s="223" t="s">
        <v>931</v>
      </c>
      <c r="E853" s="250" t="s">
        <v>394</v>
      </c>
      <c r="F853" s="223" t="s">
        <v>137</v>
      </c>
      <c r="G853" s="250" t="s">
        <v>23</v>
      </c>
      <c r="H853" s="250" t="s">
        <v>1526</v>
      </c>
      <c r="I853" s="250">
        <v>201501</v>
      </c>
      <c r="J853" s="251">
        <v>171.63</v>
      </c>
      <c r="K853" s="171">
        <f t="shared" si="60"/>
        <v>5</v>
      </c>
      <c r="L853" s="253">
        <v>1.4833299999999999E-3</v>
      </c>
      <c r="M853" s="251">
        <f t="shared" si="64"/>
        <v>1.27</v>
      </c>
      <c r="N853" s="251">
        <f t="shared" si="65"/>
        <v>3.06</v>
      </c>
      <c r="O853" s="223"/>
      <c r="P853" s="242" t="str">
        <f>VLOOKUP(C853,'WO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4" spans="1:16" ht="75">
      <c r="A854" s="223" t="s">
        <v>54</v>
      </c>
      <c r="B854" s="250" t="s">
        <v>1060</v>
      </c>
      <c r="C854" s="250" t="s">
        <v>1061</v>
      </c>
      <c r="D854" s="223" t="s">
        <v>1062</v>
      </c>
      <c r="E854" s="250" t="s">
        <v>53</v>
      </c>
      <c r="F854" s="223" t="s">
        <v>41</v>
      </c>
      <c r="G854" s="250" t="s">
        <v>23</v>
      </c>
      <c r="H854" s="250" t="s">
        <v>1526</v>
      </c>
      <c r="I854" s="250">
        <v>201501</v>
      </c>
      <c r="J854" s="251">
        <v>-53.39</v>
      </c>
      <c r="K854" s="171">
        <f t="shared" si="60"/>
        <v>5</v>
      </c>
      <c r="L854" s="253">
        <v>1.4833299999999999E-3</v>
      </c>
      <c r="M854" s="251">
        <f t="shared" si="64"/>
        <v>-0.4</v>
      </c>
      <c r="N854" s="251">
        <f t="shared" si="65"/>
        <v>-0.95</v>
      </c>
      <c r="O854" s="223"/>
      <c r="P854" s="242" t="str">
        <f>VLOOKUP(C854,'WO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5" spans="1:16" ht="75">
      <c r="A855" s="223" t="s">
        <v>17</v>
      </c>
      <c r="B855" s="250" t="s">
        <v>944</v>
      </c>
      <c r="C855" s="250" t="s">
        <v>945</v>
      </c>
      <c r="D855" s="223" t="s">
        <v>946</v>
      </c>
      <c r="E855" s="250" t="s">
        <v>104</v>
      </c>
      <c r="F855" s="223" t="s">
        <v>41</v>
      </c>
      <c r="G855" s="250" t="s">
        <v>23</v>
      </c>
      <c r="H855" s="250" t="s">
        <v>1526</v>
      </c>
      <c r="I855" s="250">
        <v>201501</v>
      </c>
      <c r="J855" s="251">
        <v>-1.72</v>
      </c>
      <c r="K855" s="171">
        <f t="shared" si="60"/>
        <v>5</v>
      </c>
      <c r="L855" s="253">
        <v>1.4833299999999999E-3</v>
      </c>
      <c r="M855" s="251">
        <f t="shared" si="64"/>
        <v>-0.01</v>
      </c>
      <c r="N855" s="251">
        <f t="shared" si="65"/>
        <v>-0.03</v>
      </c>
      <c r="O855" s="223"/>
      <c r="P855" s="242" t="str">
        <f>VLOOKUP(C855,'WO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6" spans="1:16" ht="75">
      <c r="A856" s="223" t="s">
        <v>17</v>
      </c>
      <c r="B856" s="250" t="s">
        <v>956</v>
      </c>
      <c r="C856" s="250" t="s">
        <v>957</v>
      </c>
      <c r="D856" s="223" t="s">
        <v>958</v>
      </c>
      <c r="E856" s="250" t="s">
        <v>40</v>
      </c>
      <c r="F856" s="223" t="s">
        <v>41</v>
      </c>
      <c r="G856" s="250" t="s">
        <v>23</v>
      </c>
      <c r="H856" s="250" t="s">
        <v>1526</v>
      </c>
      <c r="I856" s="250">
        <v>201501</v>
      </c>
      <c r="J856" s="251">
        <v>-1.82</v>
      </c>
      <c r="K856" s="171">
        <f t="shared" si="60"/>
        <v>5</v>
      </c>
      <c r="L856" s="253">
        <v>1.4833299999999999E-3</v>
      </c>
      <c r="M856" s="251">
        <f t="shared" si="64"/>
        <v>-0.01</v>
      </c>
      <c r="N856" s="251">
        <f t="shared" si="65"/>
        <v>-0.03</v>
      </c>
      <c r="O856" s="223"/>
      <c r="P856" s="242" t="str">
        <f>VLOOKUP(C856,'WO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7" spans="1:16" ht="75">
      <c r="A857" s="223" t="s">
        <v>54</v>
      </c>
      <c r="B857" s="250" t="s">
        <v>962</v>
      </c>
      <c r="C857" s="250" t="s">
        <v>963</v>
      </c>
      <c r="D857" s="223" t="s">
        <v>964</v>
      </c>
      <c r="E857" s="250" t="s">
        <v>40</v>
      </c>
      <c r="F857" s="223" t="s">
        <v>41</v>
      </c>
      <c r="G857" s="250" t="s">
        <v>23</v>
      </c>
      <c r="H857" s="250" t="s">
        <v>1526</v>
      </c>
      <c r="I857" s="250">
        <v>201501</v>
      </c>
      <c r="J857" s="251">
        <v>65.239999999999995</v>
      </c>
      <c r="K857" s="171">
        <f t="shared" si="60"/>
        <v>5</v>
      </c>
      <c r="L857" s="253">
        <v>1.4833299999999999E-3</v>
      </c>
      <c r="M857" s="251">
        <f t="shared" si="64"/>
        <v>0.48</v>
      </c>
      <c r="N857" s="251">
        <f t="shared" si="65"/>
        <v>1.1599999999999999</v>
      </c>
      <c r="O857" s="223"/>
      <c r="P857" s="242" t="str">
        <f>VLOOKUP(C857,'WO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8" spans="1:16" ht="75">
      <c r="A858" s="223" t="s">
        <v>54</v>
      </c>
      <c r="B858" s="250" t="s">
        <v>965</v>
      </c>
      <c r="C858" s="250" t="s">
        <v>966</v>
      </c>
      <c r="D858" s="223" t="s">
        <v>967</v>
      </c>
      <c r="E858" s="250" t="s">
        <v>53</v>
      </c>
      <c r="F858" s="223" t="s">
        <v>41</v>
      </c>
      <c r="G858" s="250" t="s">
        <v>23</v>
      </c>
      <c r="H858" s="250" t="s">
        <v>1526</v>
      </c>
      <c r="I858" s="250">
        <v>201501</v>
      </c>
      <c r="J858" s="251">
        <v>14.8</v>
      </c>
      <c r="K858" s="171">
        <f t="shared" si="60"/>
        <v>5</v>
      </c>
      <c r="L858" s="253">
        <v>1.4833299999999999E-3</v>
      </c>
      <c r="M858" s="251">
        <f t="shared" si="64"/>
        <v>0.11</v>
      </c>
      <c r="N858" s="251">
        <f t="shared" si="65"/>
        <v>0.26</v>
      </c>
      <c r="O858" s="223"/>
      <c r="P858" s="242" t="str">
        <f>VLOOKUP(C858,'WO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59" spans="1:16" ht="75">
      <c r="A859" s="223" t="s">
        <v>54</v>
      </c>
      <c r="B859" s="250" t="s">
        <v>968</v>
      </c>
      <c r="C859" s="250" t="s">
        <v>969</v>
      </c>
      <c r="D859" s="223" t="s">
        <v>970</v>
      </c>
      <c r="E859" s="250" t="s">
        <v>394</v>
      </c>
      <c r="F859" s="223" t="s">
        <v>137</v>
      </c>
      <c r="G859" s="250" t="s">
        <v>23</v>
      </c>
      <c r="H859" s="250" t="s">
        <v>1526</v>
      </c>
      <c r="I859" s="250">
        <v>201501</v>
      </c>
      <c r="J859" s="251">
        <v>-5.0999999999999996</v>
      </c>
      <c r="K859" s="171">
        <f t="shared" si="60"/>
        <v>5</v>
      </c>
      <c r="L859" s="253">
        <v>1.4833299999999999E-3</v>
      </c>
      <c r="M859" s="251">
        <f t="shared" si="64"/>
        <v>-0.04</v>
      </c>
      <c r="N859" s="251">
        <f t="shared" si="65"/>
        <v>-0.09</v>
      </c>
      <c r="O859" s="223"/>
      <c r="P859" s="242" t="str">
        <f>VLOOKUP(C859,'WO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60" spans="1:16" ht="75">
      <c r="A860" s="223" t="s">
        <v>54</v>
      </c>
      <c r="B860" s="250" t="s">
        <v>971</v>
      </c>
      <c r="C860" s="250" t="s">
        <v>972</v>
      </c>
      <c r="D860" s="223" t="s">
        <v>973</v>
      </c>
      <c r="E860" s="250" t="s">
        <v>567</v>
      </c>
      <c r="F860" s="223" t="s">
        <v>137</v>
      </c>
      <c r="G860" s="250" t="s">
        <v>23</v>
      </c>
      <c r="H860" s="250" t="s">
        <v>1526</v>
      </c>
      <c r="I860" s="250">
        <v>201501</v>
      </c>
      <c r="J860" s="251">
        <v>-486.19</v>
      </c>
      <c r="K860" s="171">
        <f t="shared" si="60"/>
        <v>5</v>
      </c>
      <c r="L860" s="253">
        <v>1.4833299999999999E-3</v>
      </c>
      <c r="M860" s="251">
        <f t="shared" si="64"/>
        <v>-3.61</v>
      </c>
      <c r="N860" s="251">
        <f t="shared" si="65"/>
        <v>-8.65</v>
      </c>
      <c r="O860" s="223"/>
      <c r="P860" s="242" t="str">
        <f>VLOOKUP(C860,'WO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61" spans="1:16" ht="75">
      <c r="A861" s="223" t="s">
        <v>54</v>
      </c>
      <c r="B861" s="250" t="s">
        <v>993</v>
      </c>
      <c r="C861" s="250" t="s">
        <v>994</v>
      </c>
      <c r="D861" s="223" t="s">
        <v>995</v>
      </c>
      <c r="E861" s="250" t="s">
        <v>40</v>
      </c>
      <c r="F861" s="223" t="s">
        <v>41</v>
      </c>
      <c r="G861" s="250" t="s">
        <v>23</v>
      </c>
      <c r="H861" s="250" t="s">
        <v>1526</v>
      </c>
      <c r="I861" s="250">
        <v>201501</v>
      </c>
      <c r="J861" s="251">
        <v>-138.21</v>
      </c>
      <c r="K861" s="171">
        <f t="shared" si="60"/>
        <v>5</v>
      </c>
      <c r="L861" s="253">
        <v>1.4833299999999999E-3</v>
      </c>
      <c r="M861" s="251">
        <f t="shared" si="64"/>
        <v>-1.03</v>
      </c>
      <c r="N861" s="251">
        <f t="shared" si="65"/>
        <v>-2.46</v>
      </c>
      <c r="O861" s="223"/>
      <c r="P861" s="242" t="str">
        <f>VLOOKUP(C861,'WO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62" spans="1:16" ht="75">
      <c r="A862" s="223" t="s">
        <v>17</v>
      </c>
      <c r="B862" s="250" t="s">
        <v>1066</v>
      </c>
      <c r="C862" s="250" t="s">
        <v>1067</v>
      </c>
      <c r="D862" s="223" t="s">
        <v>1068</v>
      </c>
      <c r="E862" s="250" t="s">
        <v>567</v>
      </c>
      <c r="F862" s="223" t="s">
        <v>137</v>
      </c>
      <c r="G862" s="250" t="s">
        <v>23</v>
      </c>
      <c r="H862" s="250" t="s">
        <v>1526</v>
      </c>
      <c r="I862" s="250">
        <v>201501</v>
      </c>
      <c r="J862" s="251">
        <v>6260.51</v>
      </c>
      <c r="K862" s="171">
        <f t="shared" si="60"/>
        <v>5</v>
      </c>
      <c r="L862" s="253">
        <v>1.4833299999999999E-3</v>
      </c>
      <c r="M862" s="251">
        <f t="shared" si="64"/>
        <v>46.43</v>
      </c>
      <c r="N862" s="251">
        <f t="shared" si="65"/>
        <v>111.44</v>
      </c>
      <c r="O862" s="223"/>
      <c r="P862" s="242" t="str">
        <f>VLOOKUP(C862,'WO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63" spans="1:16" ht="75">
      <c r="A863" s="223" t="s">
        <v>54</v>
      </c>
      <c r="B863" s="250" t="s">
        <v>2219</v>
      </c>
      <c r="C863" s="250" t="s">
        <v>1743</v>
      </c>
      <c r="D863" s="223" t="s">
        <v>1744</v>
      </c>
      <c r="E863" s="250" t="s">
        <v>53</v>
      </c>
      <c r="F863" s="223" t="s">
        <v>41</v>
      </c>
      <c r="G863" s="250" t="s">
        <v>23</v>
      </c>
      <c r="H863" s="250" t="s">
        <v>1526</v>
      </c>
      <c r="I863" s="250">
        <v>201501</v>
      </c>
      <c r="J863" s="251">
        <v>10706.71</v>
      </c>
      <c r="K863" s="171">
        <f t="shared" si="60"/>
        <v>5</v>
      </c>
      <c r="L863" s="253">
        <v>1.4833299999999999E-3</v>
      </c>
      <c r="M863" s="251">
        <f t="shared" si="64"/>
        <v>79.41</v>
      </c>
      <c r="N863" s="251">
        <f t="shared" si="65"/>
        <v>190.58</v>
      </c>
      <c r="O863" s="223"/>
      <c r="P863" s="242" t="str">
        <f>VLOOKUP(C863,'WO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64" spans="1:16" ht="60">
      <c r="A864" s="223" t="s">
        <v>54</v>
      </c>
      <c r="B864" s="250" t="s">
        <v>2220</v>
      </c>
      <c r="C864" s="250" t="s">
        <v>2221</v>
      </c>
      <c r="D864" s="223" t="s">
        <v>2222</v>
      </c>
      <c r="E864" s="250" t="s">
        <v>362</v>
      </c>
      <c r="F864" s="223" t="s">
        <v>41</v>
      </c>
      <c r="G864" s="250" t="s">
        <v>23</v>
      </c>
      <c r="H864" s="250" t="s">
        <v>1526</v>
      </c>
      <c r="I864" s="250">
        <v>201501</v>
      </c>
      <c r="J864" s="251">
        <v>14496.1</v>
      </c>
      <c r="K864" s="171">
        <f t="shared" ref="K864:K899" si="66">VLOOKUP(I864,$T$7:$U$15,2)</f>
        <v>5</v>
      </c>
      <c r="L864" s="253">
        <v>1.4833299999999999E-3</v>
      </c>
      <c r="M864" s="251">
        <f t="shared" si="64"/>
        <v>107.51</v>
      </c>
      <c r="N864" s="251">
        <f t="shared" si="65"/>
        <v>258.02999999999997</v>
      </c>
      <c r="O864" s="223"/>
      <c r="P864" s="242" t="str">
        <f>VLOOKUP(C864,'WO Descriptions'!$A$5:$D$384,4)</f>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
    </row>
    <row r="865" spans="1:16" ht="60">
      <c r="A865" s="223" t="s">
        <v>17</v>
      </c>
      <c r="B865" s="250" t="s">
        <v>149</v>
      </c>
      <c r="C865" s="250" t="s">
        <v>150</v>
      </c>
      <c r="D865" s="223" t="s">
        <v>151</v>
      </c>
      <c r="E865" s="250" t="s">
        <v>40</v>
      </c>
      <c r="F865" s="223" t="s">
        <v>41</v>
      </c>
      <c r="G865" s="250" t="s">
        <v>23</v>
      </c>
      <c r="H865" s="250" t="s">
        <v>1526</v>
      </c>
      <c r="I865" s="250">
        <v>201502</v>
      </c>
      <c r="J865" s="251">
        <v>-179.96</v>
      </c>
      <c r="K865" s="171">
        <f t="shared" si="66"/>
        <v>4</v>
      </c>
      <c r="L865" s="253">
        <v>1.4833299999999999E-3</v>
      </c>
      <c r="M865" s="251">
        <f t="shared" si="64"/>
        <v>-1.07</v>
      </c>
      <c r="N865" s="251">
        <f t="shared" si="65"/>
        <v>-3.2</v>
      </c>
      <c r="O865" s="223"/>
      <c r="P865" s="242" t="str">
        <f>VLOOKUP(C865,'WO Descriptions'!$A$5:$D$384,4)</f>
        <v>Approved by: Gary Williams on 10/15/2013,  To relocate 625'-3in gas main due to drainage improvements by the city of Gladstone. 682'-4in PE (WO 13-2678) will be used to replace the 3in PCS. (Original work orders - 80' 66-2514 / 200' 66-4278 / 120' 66-0042 / 115' 68-6171 / 110' 66-3670).</v>
      </c>
    </row>
    <row r="866" spans="1:16" ht="105">
      <c r="A866" s="223" t="s">
        <v>17</v>
      </c>
      <c r="B866" s="250" t="s">
        <v>2282</v>
      </c>
      <c r="C866" s="250" t="s">
        <v>1727</v>
      </c>
      <c r="D866" s="223" t="s">
        <v>1728</v>
      </c>
      <c r="E866" s="250" t="s">
        <v>53</v>
      </c>
      <c r="F866" s="223" t="s">
        <v>41</v>
      </c>
      <c r="G866" s="250" t="s">
        <v>23</v>
      </c>
      <c r="H866" s="250" t="s">
        <v>1526</v>
      </c>
      <c r="I866" s="250">
        <v>201502</v>
      </c>
      <c r="J866" s="251">
        <v>137127.51</v>
      </c>
      <c r="K866" s="171">
        <f t="shared" si="66"/>
        <v>4</v>
      </c>
      <c r="L866" s="253">
        <v>1.4833299999999999E-3</v>
      </c>
      <c r="M866" s="251">
        <f t="shared" si="64"/>
        <v>813.62</v>
      </c>
      <c r="N866" s="251">
        <f t="shared" si="65"/>
        <v>2440.86</v>
      </c>
      <c r="O866" s="223"/>
      <c r="P866" s="242" t="str">
        <f>VLOOKUP(C866,'WO Descriptions'!$A$5:$D$384,4)</f>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
    </row>
    <row r="867" spans="1:16" ht="90">
      <c r="A867" s="223" t="s">
        <v>54</v>
      </c>
      <c r="B867" s="250" t="s">
        <v>359</v>
      </c>
      <c r="C867" s="250" t="s">
        <v>360</v>
      </c>
      <c r="D867" s="223" t="s">
        <v>361</v>
      </c>
      <c r="E867" s="250" t="s">
        <v>362</v>
      </c>
      <c r="F867" s="223" t="s">
        <v>41</v>
      </c>
      <c r="G867" s="250" t="s">
        <v>23</v>
      </c>
      <c r="H867" s="250" t="s">
        <v>1526</v>
      </c>
      <c r="I867" s="250">
        <v>201502</v>
      </c>
      <c r="J867" s="251">
        <v>-23.99</v>
      </c>
      <c r="K867" s="171">
        <f t="shared" si="66"/>
        <v>4</v>
      </c>
      <c r="L867" s="253">
        <v>1.4833299999999999E-3</v>
      </c>
      <c r="M867" s="251">
        <f t="shared" si="64"/>
        <v>-0.14000000000000001</v>
      </c>
      <c r="N867" s="251">
        <f t="shared" si="65"/>
        <v>-0.43</v>
      </c>
      <c r="O867" s="223"/>
      <c r="P867" s="242" t="str">
        <f>VLOOKUP(C867,'WO Descriptions'!$A$5:$D$384,4)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868" spans="1:16" ht="180">
      <c r="A868" s="223" t="s">
        <v>17</v>
      </c>
      <c r="B868" s="250" t="s">
        <v>366</v>
      </c>
      <c r="C868" s="250" t="s">
        <v>367</v>
      </c>
      <c r="D868" s="223" t="s">
        <v>368</v>
      </c>
      <c r="E868" s="250" t="s">
        <v>369</v>
      </c>
      <c r="F868" s="223" t="s">
        <v>41</v>
      </c>
      <c r="G868" s="250" t="s">
        <v>23</v>
      </c>
      <c r="H868" s="250" t="s">
        <v>1526</v>
      </c>
      <c r="I868" s="250">
        <v>201502</v>
      </c>
      <c r="J868" s="251">
        <v>-1278.56</v>
      </c>
      <c r="K868" s="171">
        <f t="shared" si="66"/>
        <v>4</v>
      </c>
      <c r="L868" s="253">
        <v>1.4833299999999999E-3</v>
      </c>
      <c r="M868" s="251">
        <f t="shared" si="64"/>
        <v>-7.59</v>
      </c>
      <c r="N868" s="251">
        <f t="shared" si="65"/>
        <v>-22.76</v>
      </c>
      <c r="O868" s="223"/>
      <c r="P868" s="242" t="str">
        <f>VLOOKUP(C868,'WO Descriptions'!$A$5:$D$384,4)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869" spans="1:16" ht="165">
      <c r="A869" s="223" t="s">
        <v>17</v>
      </c>
      <c r="B869" s="250" t="s">
        <v>391</v>
      </c>
      <c r="C869" s="250" t="s">
        <v>392</v>
      </c>
      <c r="D869" s="223" t="s">
        <v>393</v>
      </c>
      <c r="E869" s="250" t="s">
        <v>394</v>
      </c>
      <c r="F869" s="223" t="s">
        <v>137</v>
      </c>
      <c r="G869" s="250" t="s">
        <v>23</v>
      </c>
      <c r="H869" s="250" t="s">
        <v>1526</v>
      </c>
      <c r="I869" s="250">
        <v>201502</v>
      </c>
      <c r="J869" s="251">
        <v>-125.25</v>
      </c>
      <c r="K869" s="171">
        <f t="shared" si="66"/>
        <v>4</v>
      </c>
      <c r="L869" s="253">
        <v>1.4833299999999999E-3</v>
      </c>
      <c r="M869" s="251">
        <f t="shared" si="64"/>
        <v>-0.74</v>
      </c>
      <c r="N869" s="251">
        <f t="shared" si="65"/>
        <v>-2.23</v>
      </c>
      <c r="O869" s="223"/>
      <c r="P869" s="242" t="str">
        <f>VLOOKUP(C869,'WO Descriptions'!$A$5:$D$384,4)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870" spans="1:16" ht="105">
      <c r="A870" s="223" t="s">
        <v>238</v>
      </c>
      <c r="B870" s="250" t="s">
        <v>1099</v>
      </c>
      <c r="C870" s="250" t="s">
        <v>1100</v>
      </c>
      <c r="D870" s="223" t="s">
        <v>1101</v>
      </c>
      <c r="E870" s="250" t="s">
        <v>104</v>
      </c>
      <c r="F870" s="223" t="s">
        <v>41</v>
      </c>
      <c r="G870" s="250" t="s">
        <v>23</v>
      </c>
      <c r="H870" s="250" t="s">
        <v>1526</v>
      </c>
      <c r="I870" s="250">
        <v>201502</v>
      </c>
      <c r="J870" s="251">
        <v>-38.49</v>
      </c>
      <c r="K870" s="171">
        <f t="shared" si="66"/>
        <v>4</v>
      </c>
      <c r="L870" s="253">
        <v>2.3833299999999999E-3</v>
      </c>
      <c r="M870" s="251">
        <f t="shared" si="64"/>
        <v>-0.37</v>
      </c>
      <c r="N870" s="251">
        <f t="shared" si="65"/>
        <v>-1.1000000000000001</v>
      </c>
      <c r="O870" s="223"/>
      <c r="P870" s="242" t="str">
        <f>VLOOKUP(C870,'WO Descriptions'!$A$5:$D$384,4)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row>
    <row r="871" spans="1:16" ht="60">
      <c r="A871" s="223" t="s">
        <v>54</v>
      </c>
      <c r="B871" s="250" t="s">
        <v>578</v>
      </c>
      <c r="C871" s="250" t="s">
        <v>579</v>
      </c>
      <c r="D871" s="223" t="s">
        <v>580</v>
      </c>
      <c r="E871" s="250" t="s">
        <v>136</v>
      </c>
      <c r="F871" s="223" t="s">
        <v>137</v>
      </c>
      <c r="G871" s="250" t="s">
        <v>23</v>
      </c>
      <c r="H871" s="250" t="s">
        <v>1526</v>
      </c>
      <c r="I871" s="250">
        <v>201502</v>
      </c>
      <c r="J871" s="251">
        <v>479.37</v>
      </c>
      <c r="K871" s="171">
        <f t="shared" si="66"/>
        <v>4</v>
      </c>
      <c r="L871" s="253">
        <v>1.4833299999999999E-3</v>
      </c>
      <c r="M871" s="251">
        <f t="shared" si="64"/>
        <v>2.84</v>
      </c>
      <c r="N871" s="251">
        <f t="shared" si="65"/>
        <v>8.5299999999999994</v>
      </c>
      <c r="O871" s="223"/>
      <c r="P871" s="242" t="str">
        <f>VLOOKUP(C871,'WO Descriptions'!$A$5:$D$384,4)</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row>
    <row r="872" spans="1:16" ht="150">
      <c r="A872" s="223" t="s">
        <v>17</v>
      </c>
      <c r="B872" s="250" t="s">
        <v>581</v>
      </c>
      <c r="C872" s="250" t="s">
        <v>582</v>
      </c>
      <c r="D872" s="223" t="s">
        <v>583</v>
      </c>
      <c r="E872" s="250" t="s">
        <v>104</v>
      </c>
      <c r="F872" s="223" t="s">
        <v>41</v>
      </c>
      <c r="G872" s="250" t="s">
        <v>23</v>
      </c>
      <c r="H872" s="250" t="s">
        <v>1526</v>
      </c>
      <c r="I872" s="250">
        <v>201502</v>
      </c>
      <c r="J872" s="251">
        <v>-0.65</v>
      </c>
      <c r="K872" s="171">
        <f t="shared" si="66"/>
        <v>4</v>
      </c>
      <c r="L872" s="253">
        <v>1.4833299999999999E-3</v>
      </c>
      <c r="M872" s="251">
        <f t="shared" si="64"/>
        <v>0</v>
      </c>
      <c r="N872" s="251">
        <f t="shared" si="65"/>
        <v>-0.01</v>
      </c>
      <c r="O872" s="223"/>
      <c r="P872" s="242" t="str">
        <f>VLOOKUP(C872,'WO Descriptions'!$A$5:$D$384,4)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73" spans="1:16" ht="150">
      <c r="A873" s="223" t="s">
        <v>54</v>
      </c>
      <c r="B873" s="250" t="s">
        <v>581</v>
      </c>
      <c r="C873" s="250" t="s">
        <v>582</v>
      </c>
      <c r="D873" s="223" t="s">
        <v>583</v>
      </c>
      <c r="E873" s="250" t="s">
        <v>104</v>
      </c>
      <c r="F873" s="223" t="s">
        <v>41</v>
      </c>
      <c r="G873" s="250" t="s">
        <v>23</v>
      </c>
      <c r="H873" s="250" t="s">
        <v>1526</v>
      </c>
      <c r="I873" s="250">
        <v>201502</v>
      </c>
      <c r="J873" s="251">
        <v>-47.83</v>
      </c>
      <c r="K873" s="171">
        <f t="shared" si="66"/>
        <v>4</v>
      </c>
      <c r="L873" s="253">
        <v>1.4833299999999999E-3</v>
      </c>
      <c r="M873" s="251">
        <f t="shared" si="64"/>
        <v>-0.28000000000000003</v>
      </c>
      <c r="N873" s="251">
        <f t="shared" si="65"/>
        <v>-0.85</v>
      </c>
      <c r="O873" s="223"/>
      <c r="P873" s="242" t="str">
        <f>VLOOKUP(C873,'WO Descriptions'!$A$5:$D$384,4)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874" spans="1:16" ht="75">
      <c r="A874" s="223" t="s">
        <v>17</v>
      </c>
      <c r="B874" s="250" t="s">
        <v>1030</v>
      </c>
      <c r="C874" s="250" t="s">
        <v>1031</v>
      </c>
      <c r="D874" s="223" t="s">
        <v>1032</v>
      </c>
      <c r="E874" s="250" t="s">
        <v>53</v>
      </c>
      <c r="F874" s="223" t="s">
        <v>41</v>
      </c>
      <c r="G874" s="250" t="s">
        <v>23</v>
      </c>
      <c r="H874" s="250" t="s">
        <v>1526</v>
      </c>
      <c r="I874" s="250">
        <v>201502</v>
      </c>
      <c r="J874" s="251">
        <v>-5.35</v>
      </c>
      <c r="K874" s="171">
        <f t="shared" si="66"/>
        <v>4</v>
      </c>
      <c r="L874" s="253">
        <v>1.4833299999999999E-3</v>
      </c>
      <c r="M874" s="251">
        <f t="shared" si="64"/>
        <v>-0.03</v>
      </c>
      <c r="N874" s="251">
        <f t="shared" si="65"/>
        <v>-0.1</v>
      </c>
      <c r="O874" s="223"/>
      <c r="P874" s="242" t="str">
        <f>VLOOKUP(C874,'WO Descriptions'!$A$5:$D$384,4)</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row>
    <row r="875" spans="1:16" ht="120">
      <c r="A875" s="223" t="s">
        <v>17</v>
      </c>
      <c r="B875" s="250" t="s">
        <v>1036</v>
      </c>
      <c r="C875" s="250" t="s">
        <v>1037</v>
      </c>
      <c r="D875" s="223" t="s">
        <v>1038</v>
      </c>
      <c r="E875" s="250" t="s">
        <v>40</v>
      </c>
      <c r="F875" s="223" t="s">
        <v>41</v>
      </c>
      <c r="G875" s="250" t="s">
        <v>23</v>
      </c>
      <c r="H875" s="250" t="s">
        <v>1526</v>
      </c>
      <c r="I875" s="250">
        <v>201502</v>
      </c>
      <c r="J875" s="251">
        <v>-124.48</v>
      </c>
      <c r="K875" s="171">
        <f t="shared" si="66"/>
        <v>4</v>
      </c>
      <c r="L875" s="253">
        <v>1.4833299999999999E-3</v>
      </c>
      <c r="M875" s="251">
        <f t="shared" si="64"/>
        <v>-0.74</v>
      </c>
      <c r="N875" s="251">
        <f t="shared" si="65"/>
        <v>-2.2200000000000002</v>
      </c>
      <c r="O875" s="223"/>
      <c r="P875" s="242" t="str">
        <f>VLOOKUP(C875,'WO Descriptions'!$A$5:$D$384,4)</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row>
    <row r="876" spans="1:16" ht="90">
      <c r="A876" s="223" t="s">
        <v>17</v>
      </c>
      <c r="B876" s="250" t="s">
        <v>1039</v>
      </c>
      <c r="C876" s="250" t="s">
        <v>1040</v>
      </c>
      <c r="D876" s="223" t="s">
        <v>1041</v>
      </c>
      <c r="E876" s="250" t="s">
        <v>40</v>
      </c>
      <c r="F876" s="223" t="s">
        <v>41</v>
      </c>
      <c r="G876" s="250" t="s">
        <v>23</v>
      </c>
      <c r="H876" s="250" t="s">
        <v>1526</v>
      </c>
      <c r="I876" s="250">
        <v>201502</v>
      </c>
      <c r="J876" s="251">
        <v>-4653.87</v>
      </c>
      <c r="K876" s="171">
        <f t="shared" si="66"/>
        <v>4</v>
      </c>
      <c r="L876" s="253">
        <v>1.4833299999999999E-3</v>
      </c>
      <c r="M876" s="251">
        <f t="shared" si="64"/>
        <v>-27.61</v>
      </c>
      <c r="N876" s="251">
        <f t="shared" si="65"/>
        <v>-82.84</v>
      </c>
      <c r="O876" s="223"/>
      <c r="P876" s="242" t="str">
        <f>VLOOKUP(C876,'WO Descriptions'!$A$5:$D$384,4)</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row>
    <row r="877" spans="1:16" ht="150">
      <c r="A877" s="223" t="s">
        <v>17</v>
      </c>
      <c r="B877" s="250" t="s">
        <v>819</v>
      </c>
      <c r="C877" s="250" t="s">
        <v>820</v>
      </c>
      <c r="D877" s="223" t="s">
        <v>821</v>
      </c>
      <c r="E877" s="250" t="s">
        <v>822</v>
      </c>
      <c r="F877" s="223" t="s">
        <v>823</v>
      </c>
      <c r="G877" s="250" t="s">
        <v>23</v>
      </c>
      <c r="H877" s="250" t="s">
        <v>1526</v>
      </c>
      <c r="I877" s="250">
        <v>201502</v>
      </c>
      <c r="J877" s="251">
        <v>-13.32</v>
      </c>
      <c r="K877" s="171">
        <f t="shared" si="66"/>
        <v>4</v>
      </c>
      <c r="L877" s="253">
        <v>1.4833299999999999E-3</v>
      </c>
      <c r="M877" s="251">
        <f t="shared" si="64"/>
        <v>-0.08</v>
      </c>
      <c r="N877" s="251">
        <f t="shared" si="65"/>
        <v>-0.24</v>
      </c>
      <c r="O877" s="223"/>
      <c r="P877" s="242" t="str">
        <f>VLOOKUP(C877,'WO Descriptions'!$A$5:$D$384,4)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878" spans="1:16" ht="60">
      <c r="A878" s="223" t="s">
        <v>54</v>
      </c>
      <c r="B878" s="250" t="s">
        <v>879</v>
      </c>
      <c r="C878" s="250" t="s">
        <v>880</v>
      </c>
      <c r="D878" s="223" t="s">
        <v>881</v>
      </c>
      <c r="E878" s="250" t="s">
        <v>53</v>
      </c>
      <c r="F878" s="223" t="s">
        <v>41</v>
      </c>
      <c r="G878" s="250" t="s">
        <v>23</v>
      </c>
      <c r="H878" s="250" t="s">
        <v>1526</v>
      </c>
      <c r="I878" s="250">
        <v>201502</v>
      </c>
      <c r="J878" s="251">
        <v>54.07</v>
      </c>
      <c r="K878" s="171">
        <f t="shared" si="66"/>
        <v>4</v>
      </c>
      <c r="L878" s="253">
        <v>1.4833299999999999E-3</v>
      </c>
      <c r="M878" s="251">
        <f t="shared" si="64"/>
        <v>0.32</v>
      </c>
      <c r="N878" s="251">
        <f t="shared" si="65"/>
        <v>0.96</v>
      </c>
      <c r="O878" s="223"/>
      <c r="P878" s="242" t="str">
        <f>VLOOKUP(C878,'WO Descriptions'!$A$5:$D$384,4)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879" spans="1:16" ht="75">
      <c r="A879" s="223" t="s">
        <v>54</v>
      </c>
      <c r="B879" s="250" t="s">
        <v>1048</v>
      </c>
      <c r="C879" s="250" t="s">
        <v>1049</v>
      </c>
      <c r="D879" s="223" t="s">
        <v>1050</v>
      </c>
      <c r="E879" s="250" t="s">
        <v>925</v>
      </c>
      <c r="F879" s="223" t="s">
        <v>41</v>
      </c>
      <c r="G879" s="250" t="s">
        <v>23</v>
      </c>
      <c r="H879" s="250" t="s">
        <v>1526</v>
      </c>
      <c r="I879" s="250">
        <v>201502</v>
      </c>
      <c r="J879" s="251">
        <v>9930.83</v>
      </c>
      <c r="K879" s="171">
        <f t="shared" si="66"/>
        <v>4</v>
      </c>
      <c r="L879" s="253">
        <v>1.4833299999999999E-3</v>
      </c>
      <c r="M879" s="251">
        <f t="shared" si="64"/>
        <v>58.92</v>
      </c>
      <c r="N879" s="251">
        <f t="shared" si="65"/>
        <v>176.77</v>
      </c>
      <c r="O879" s="223"/>
      <c r="P879" s="242" t="str">
        <f>VLOOKUP(C879,'WO Descriptions'!$A$5:$D$384,4)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880" spans="1:16" ht="120">
      <c r="A880" s="223" t="s">
        <v>54</v>
      </c>
      <c r="B880" s="250" t="s">
        <v>919</v>
      </c>
      <c r="C880" s="250" t="s">
        <v>920</v>
      </c>
      <c r="D880" s="223" t="s">
        <v>921</v>
      </c>
      <c r="E880" s="250" t="s">
        <v>362</v>
      </c>
      <c r="F880" s="223" t="s">
        <v>41</v>
      </c>
      <c r="G880" s="250" t="s">
        <v>23</v>
      </c>
      <c r="H880" s="250" t="s">
        <v>1526</v>
      </c>
      <c r="I880" s="250">
        <v>201502</v>
      </c>
      <c r="J880" s="251">
        <v>2559.34</v>
      </c>
      <c r="K880" s="171">
        <f t="shared" si="66"/>
        <v>4</v>
      </c>
      <c r="L880" s="253">
        <v>1.4833299999999999E-3</v>
      </c>
      <c r="M880" s="251">
        <f t="shared" si="64"/>
        <v>15.19</v>
      </c>
      <c r="N880" s="251">
        <f t="shared" si="65"/>
        <v>45.56</v>
      </c>
      <c r="O880" s="223"/>
      <c r="P880" s="242" t="str">
        <f>VLOOKUP(C880,'WO Descriptions'!$A$5:$D$384,4)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81" spans="1:16" ht="45">
      <c r="A881" s="223" t="s">
        <v>17</v>
      </c>
      <c r="B881" s="250" t="s">
        <v>1057</v>
      </c>
      <c r="C881" s="250" t="s">
        <v>1058</v>
      </c>
      <c r="D881" s="223" t="s">
        <v>1059</v>
      </c>
      <c r="E881" s="250" t="s">
        <v>925</v>
      </c>
      <c r="F881" s="223" t="s">
        <v>41</v>
      </c>
      <c r="G881" s="250" t="s">
        <v>23</v>
      </c>
      <c r="H881" s="250" t="s">
        <v>1526</v>
      </c>
      <c r="I881" s="250">
        <v>201502</v>
      </c>
      <c r="J881" s="251">
        <v>3353.87</v>
      </c>
      <c r="K881" s="171">
        <f t="shared" si="66"/>
        <v>4</v>
      </c>
      <c r="L881" s="253">
        <v>1.4833299999999999E-3</v>
      </c>
      <c r="M881" s="251">
        <f t="shared" si="64"/>
        <v>19.899999999999999</v>
      </c>
      <c r="N881" s="251">
        <f t="shared" si="65"/>
        <v>59.7</v>
      </c>
      <c r="O881" s="223"/>
      <c r="P881" s="242" t="str">
        <f>VLOOKUP(C881,'WO Descriptions'!$A$5:$D$384,4)</f>
        <v>Approved by: Gary Williams on 06/13/2014,  (ISRS)  Lay 325'-6in thin film for MODOT project J4I3005 under I-35.  Main needs to be 12' deep under the highway due to cuts.  No services to tie-over.  Retire 325'-10in PCS, WO 67-5537, Year 1967.  COST PER FOOT $132.92</v>
      </c>
    </row>
    <row r="882" spans="1:16" ht="75">
      <c r="A882" s="223" t="s">
        <v>54</v>
      </c>
      <c r="B882" s="250" t="s">
        <v>922</v>
      </c>
      <c r="C882" s="250" t="s">
        <v>923</v>
      </c>
      <c r="D882" s="223" t="s">
        <v>924</v>
      </c>
      <c r="E882" s="250" t="s">
        <v>925</v>
      </c>
      <c r="F882" s="223" t="s">
        <v>41</v>
      </c>
      <c r="G882" s="250" t="s">
        <v>23</v>
      </c>
      <c r="H882" s="250" t="s">
        <v>1526</v>
      </c>
      <c r="I882" s="250">
        <v>201502</v>
      </c>
      <c r="J882" s="251">
        <v>-1192.06</v>
      </c>
      <c r="K882" s="171">
        <f t="shared" si="66"/>
        <v>4</v>
      </c>
      <c r="L882" s="253">
        <v>1.4833299999999999E-3</v>
      </c>
      <c r="M882" s="251">
        <f t="shared" si="64"/>
        <v>-7.07</v>
      </c>
      <c r="N882" s="251">
        <f t="shared" si="65"/>
        <v>-21.22</v>
      </c>
      <c r="O882" s="223"/>
      <c r="P882" s="242" t="str">
        <f>VLOOKUP(C882,'WO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3" spans="1:16" ht="75">
      <c r="A883" s="223" t="s">
        <v>17</v>
      </c>
      <c r="B883" s="250" t="s">
        <v>2283</v>
      </c>
      <c r="C883" s="250" t="s">
        <v>1735</v>
      </c>
      <c r="D883" s="223" t="s">
        <v>1736</v>
      </c>
      <c r="E883" s="250" t="s">
        <v>104</v>
      </c>
      <c r="F883" s="223" t="s">
        <v>41</v>
      </c>
      <c r="G883" s="250" t="s">
        <v>23</v>
      </c>
      <c r="H883" s="250" t="s">
        <v>1526</v>
      </c>
      <c r="I883" s="250">
        <v>201502</v>
      </c>
      <c r="J883" s="251">
        <v>5271.89</v>
      </c>
      <c r="K883" s="171">
        <f t="shared" si="66"/>
        <v>4</v>
      </c>
      <c r="L883" s="253">
        <v>1.4833299999999999E-3</v>
      </c>
      <c r="M883" s="251">
        <f t="shared" si="64"/>
        <v>31.28</v>
      </c>
      <c r="N883" s="251">
        <f t="shared" si="65"/>
        <v>93.84</v>
      </c>
      <c r="O883" s="223"/>
      <c r="P883" s="242" t="str">
        <f>VLOOKUP(C883,'WO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4" spans="1:16" ht="75">
      <c r="A884" s="223" t="s">
        <v>54</v>
      </c>
      <c r="B884" s="250" t="s">
        <v>929</v>
      </c>
      <c r="C884" s="250" t="s">
        <v>930</v>
      </c>
      <c r="D884" s="223" t="s">
        <v>931</v>
      </c>
      <c r="E884" s="250" t="s">
        <v>394</v>
      </c>
      <c r="F884" s="223" t="s">
        <v>137</v>
      </c>
      <c r="G884" s="250" t="s">
        <v>23</v>
      </c>
      <c r="H884" s="250" t="s">
        <v>1526</v>
      </c>
      <c r="I884" s="250">
        <v>201502</v>
      </c>
      <c r="J884" s="251">
        <v>2.68</v>
      </c>
      <c r="K884" s="171">
        <f t="shared" si="66"/>
        <v>4</v>
      </c>
      <c r="L884" s="253">
        <v>1.4833299999999999E-3</v>
      </c>
      <c r="M884" s="251">
        <f t="shared" si="64"/>
        <v>0.02</v>
      </c>
      <c r="N884" s="251">
        <f t="shared" si="65"/>
        <v>0.05</v>
      </c>
      <c r="O884" s="223"/>
      <c r="P884" s="242" t="str">
        <f>VLOOKUP(C884,'WO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5" spans="1:16" ht="75">
      <c r="A885" s="223" t="s">
        <v>54</v>
      </c>
      <c r="B885" s="250" t="s">
        <v>1060</v>
      </c>
      <c r="C885" s="250" t="s">
        <v>1061</v>
      </c>
      <c r="D885" s="223" t="s">
        <v>1062</v>
      </c>
      <c r="E885" s="250" t="s">
        <v>53</v>
      </c>
      <c r="F885" s="223" t="s">
        <v>41</v>
      </c>
      <c r="G885" s="250" t="s">
        <v>23</v>
      </c>
      <c r="H885" s="250" t="s">
        <v>1526</v>
      </c>
      <c r="I885" s="250">
        <v>201502</v>
      </c>
      <c r="J885" s="251">
        <v>-331.76</v>
      </c>
      <c r="K885" s="171">
        <f t="shared" si="66"/>
        <v>4</v>
      </c>
      <c r="L885" s="253">
        <v>1.4833299999999999E-3</v>
      </c>
      <c r="M885" s="251">
        <f t="shared" si="64"/>
        <v>-1.97</v>
      </c>
      <c r="N885" s="251">
        <f t="shared" si="65"/>
        <v>-5.91</v>
      </c>
      <c r="O885" s="223"/>
      <c r="P885" s="242" t="str">
        <f>VLOOKUP(C885,'WO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6" spans="1:16" ht="75">
      <c r="A886" s="223" t="s">
        <v>17</v>
      </c>
      <c r="B886" s="250" t="s">
        <v>944</v>
      </c>
      <c r="C886" s="250" t="s">
        <v>945</v>
      </c>
      <c r="D886" s="223" t="s">
        <v>946</v>
      </c>
      <c r="E886" s="250" t="s">
        <v>104</v>
      </c>
      <c r="F886" s="223" t="s">
        <v>41</v>
      </c>
      <c r="G886" s="250" t="s">
        <v>23</v>
      </c>
      <c r="H886" s="250" t="s">
        <v>1526</v>
      </c>
      <c r="I886" s="250">
        <v>201502</v>
      </c>
      <c r="J886" s="251">
        <v>-6.95</v>
      </c>
      <c r="K886" s="171">
        <f t="shared" si="66"/>
        <v>4</v>
      </c>
      <c r="L886" s="253">
        <v>1.4833299999999999E-3</v>
      </c>
      <c r="M886" s="251">
        <f t="shared" si="64"/>
        <v>-0.04</v>
      </c>
      <c r="N886" s="251">
        <f t="shared" si="65"/>
        <v>-0.12</v>
      </c>
      <c r="O886" s="223"/>
      <c r="P886" s="242" t="str">
        <f>VLOOKUP(C886,'WO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7" spans="1:16" ht="75">
      <c r="A887" s="223" t="s">
        <v>17</v>
      </c>
      <c r="B887" s="250" t="s">
        <v>956</v>
      </c>
      <c r="C887" s="250" t="s">
        <v>957</v>
      </c>
      <c r="D887" s="223" t="s">
        <v>958</v>
      </c>
      <c r="E887" s="250" t="s">
        <v>40</v>
      </c>
      <c r="F887" s="223" t="s">
        <v>41</v>
      </c>
      <c r="G887" s="250" t="s">
        <v>23</v>
      </c>
      <c r="H887" s="250" t="s">
        <v>1526</v>
      </c>
      <c r="I887" s="250">
        <v>201502</v>
      </c>
      <c r="J887" s="251">
        <v>-7.49</v>
      </c>
      <c r="K887" s="171">
        <f t="shared" si="66"/>
        <v>4</v>
      </c>
      <c r="L887" s="253">
        <v>1.4833299999999999E-3</v>
      </c>
      <c r="M887" s="251">
        <f t="shared" si="64"/>
        <v>-0.04</v>
      </c>
      <c r="N887" s="251">
        <f t="shared" si="65"/>
        <v>-0.13</v>
      </c>
      <c r="O887" s="223"/>
      <c r="P887" s="242" t="str">
        <f>VLOOKUP(C887,'WO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8" spans="1:16" ht="75">
      <c r="A888" s="223" t="s">
        <v>54</v>
      </c>
      <c r="B888" s="250" t="s">
        <v>962</v>
      </c>
      <c r="C888" s="250" t="s">
        <v>963</v>
      </c>
      <c r="D888" s="223" t="s">
        <v>964</v>
      </c>
      <c r="E888" s="250" t="s">
        <v>40</v>
      </c>
      <c r="F888" s="223" t="s">
        <v>41</v>
      </c>
      <c r="G888" s="250" t="s">
        <v>23</v>
      </c>
      <c r="H888" s="250" t="s">
        <v>1526</v>
      </c>
      <c r="I888" s="250">
        <v>201502</v>
      </c>
      <c r="J888" s="251">
        <v>-6.34</v>
      </c>
      <c r="K888" s="171">
        <f t="shared" si="66"/>
        <v>4</v>
      </c>
      <c r="L888" s="253">
        <v>1.4833299999999999E-3</v>
      </c>
      <c r="M888" s="251">
        <f t="shared" si="64"/>
        <v>-0.04</v>
      </c>
      <c r="N888" s="251">
        <f t="shared" si="65"/>
        <v>-0.11</v>
      </c>
      <c r="O888" s="223"/>
      <c r="P888" s="242" t="str">
        <f>VLOOKUP(C888,'WO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89" spans="1:16" ht="75">
      <c r="A889" s="223" t="s">
        <v>54</v>
      </c>
      <c r="B889" s="250" t="s">
        <v>965</v>
      </c>
      <c r="C889" s="250" t="s">
        <v>966</v>
      </c>
      <c r="D889" s="223" t="s">
        <v>967</v>
      </c>
      <c r="E889" s="250" t="s">
        <v>53</v>
      </c>
      <c r="F889" s="223" t="s">
        <v>41</v>
      </c>
      <c r="G889" s="250" t="s">
        <v>23</v>
      </c>
      <c r="H889" s="250" t="s">
        <v>1526</v>
      </c>
      <c r="I889" s="250">
        <v>201502</v>
      </c>
      <c r="J889" s="251">
        <v>155.1</v>
      </c>
      <c r="K889" s="171">
        <f t="shared" si="66"/>
        <v>4</v>
      </c>
      <c r="L889" s="253">
        <v>1.4833299999999999E-3</v>
      </c>
      <c r="M889" s="251">
        <f t="shared" si="64"/>
        <v>0.92</v>
      </c>
      <c r="N889" s="251">
        <f t="shared" si="65"/>
        <v>2.76</v>
      </c>
      <c r="O889" s="223"/>
      <c r="P889" s="242" t="str">
        <f>VLOOKUP(C889,'WO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0" spans="1:16" ht="75">
      <c r="A890" s="223" t="s">
        <v>54</v>
      </c>
      <c r="B890" s="250" t="s">
        <v>968</v>
      </c>
      <c r="C890" s="250" t="s">
        <v>969</v>
      </c>
      <c r="D890" s="223" t="s">
        <v>970</v>
      </c>
      <c r="E890" s="250" t="s">
        <v>394</v>
      </c>
      <c r="F890" s="223" t="s">
        <v>137</v>
      </c>
      <c r="G890" s="250" t="s">
        <v>23</v>
      </c>
      <c r="H890" s="250" t="s">
        <v>1526</v>
      </c>
      <c r="I890" s="250">
        <v>201502</v>
      </c>
      <c r="J890" s="251">
        <v>-143.03</v>
      </c>
      <c r="K890" s="171">
        <f t="shared" si="66"/>
        <v>4</v>
      </c>
      <c r="L890" s="253">
        <v>1.4833299999999999E-3</v>
      </c>
      <c r="M890" s="251">
        <f t="shared" si="64"/>
        <v>-0.85</v>
      </c>
      <c r="N890" s="251">
        <f t="shared" si="65"/>
        <v>-2.5499999999999998</v>
      </c>
      <c r="O890" s="223"/>
      <c r="P890" s="242" t="str">
        <f>VLOOKUP(C890,'WO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1" spans="1:16" ht="75">
      <c r="A891" s="223" t="s">
        <v>17</v>
      </c>
      <c r="B891" s="250" t="s">
        <v>971</v>
      </c>
      <c r="C891" s="250" t="s">
        <v>972</v>
      </c>
      <c r="D891" s="223" t="s">
        <v>973</v>
      </c>
      <c r="E891" s="250" t="s">
        <v>567</v>
      </c>
      <c r="F891" s="223" t="s">
        <v>137</v>
      </c>
      <c r="G891" s="250" t="s">
        <v>23</v>
      </c>
      <c r="H891" s="250" t="s">
        <v>1526</v>
      </c>
      <c r="I891" s="250">
        <v>201502</v>
      </c>
      <c r="J891" s="251">
        <v>30896.42</v>
      </c>
      <c r="K891" s="171">
        <f t="shared" si="66"/>
        <v>4</v>
      </c>
      <c r="L891" s="253">
        <v>1.4833299999999999E-3</v>
      </c>
      <c r="M891" s="251">
        <f t="shared" si="64"/>
        <v>183.32</v>
      </c>
      <c r="N891" s="251">
        <f t="shared" si="65"/>
        <v>549.96</v>
      </c>
      <c r="O891" s="223"/>
      <c r="P891" s="242" t="str">
        <f>VLOOKUP(C891,'WO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2" spans="1:16" ht="75">
      <c r="A892" s="223" t="s">
        <v>54</v>
      </c>
      <c r="B892" s="250" t="s">
        <v>971</v>
      </c>
      <c r="C892" s="250" t="s">
        <v>972</v>
      </c>
      <c r="D892" s="223" t="s">
        <v>973</v>
      </c>
      <c r="E892" s="250" t="s">
        <v>567</v>
      </c>
      <c r="F892" s="223" t="s">
        <v>137</v>
      </c>
      <c r="G892" s="250" t="s">
        <v>23</v>
      </c>
      <c r="H892" s="250" t="s">
        <v>1526</v>
      </c>
      <c r="I892" s="250">
        <v>201502</v>
      </c>
      <c r="J892" s="251">
        <v>-31285.119999999999</v>
      </c>
      <c r="K892" s="171">
        <f t="shared" si="66"/>
        <v>4</v>
      </c>
      <c r="L892" s="253">
        <v>1.4833299999999999E-3</v>
      </c>
      <c r="M892" s="251">
        <f t="shared" si="64"/>
        <v>-185.62</v>
      </c>
      <c r="N892" s="251">
        <f t="shared" si="65"/>
        <v>-556.87</v>
      </c>
      <c r="O892" s="223"/>
      <c r="P892" s="242" t="str">
        <f>VLOOKUP(C892,'WO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3" spans="1:16" ht="75">
      <c r="A893" s="223" t="s">
        <v>54</v>
      </c>
      <c r="B893" s="250" t="s">
        <v>993</v>
      </c>
      <c r="C893" s="250" t="s">
        <v>994</v>
      </c>
      <c r="D893" s="223" t="s">
        <v>995</v>
      </c>
      <c r="E893" s="250" t="s">
        <v>40</v>
      </c>
      <c r="F893" s="223" t="s">
        <v>41</v>
      </c>
      <c r="G893" s="250" t="s">
        <v>23</v>
      </c>
      <c r="H893" s="250" t="s">
        <v>1526</v>
      </c>
      <c r="I893" s="250">
        <v>201502</v>
      </c>
      <c r="J893" s="251">
        <v>-312.37</v>
      </c>
      <c r="K893" s="171">
        <f t="shared" si="66"/>
        <v>4</v>
      </c>
      <c r="L893" s="253">
        <v>1.4833299999999999E-3</v>
      </c>
      <c r="M893" s="251">
        <f t="shared" si="64"/>
        <v>-1.85</v>
      </c>
      <c r="N893" s="251">
        <f t="shared" si="65"/>
        <v>-5.56</v>
      </c>
      <c r="O893" s="223"/>
      <c r="P893" s="242" t="str">
        <f>VLOOKUP(C893,'WO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4" spans="1:16" ht="75">
      <c r="A894" s="223" t="s">
        <v>54</v>
      </c>
      <c r="B894" s="250" t="s">
        <v>2284</v>
      </c>
      <c r="C894" s="250" t="s">
        <v>2285</v>
      </c>
      <c r="D894" s="223" t="s">
        <v>2286</v>
      </c>
      <c r="E894" s="250" t="s">
        <v>53</v>
      </c>
      <c r="F894" s="223" t="s">
        <v>41</v>
      </c>
      <c r="G894" s="250" t="s">
        <v>23</v>
      </c>
      <c r="H894" s="250" t="s">
        <v>1526</v>
      </c>
      <c r="I894" s="250">
        <v>201502</v>
      </c>
      <c r="J894" s="251">
        <v>40121.800000000003</v>
      </c>
      <c r="K894" s="171">
        <f t="shared" si="66"/>
        <v>4</v>
      </c>
      <c r="L894" s="253">
        <v>1.4833299999999999E-3</v>
      </c>
      <c r="M894" s="251">
        <f t="shared" si="64"/>
        <v>238.06</v>
      </c>
      <c r="N894" s="251">
        <f t="shared" si="65"/>
        <v>714.17</v>
      </c>
      <c r="O894" s="223"/>
      <c r="P894" s="242" t="str">
        <f>VLOOKUP(C894,'WO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5" spans="1:16" ht="75">
      <c r="A895" s="223" t="s">
        <v>17</v>
      </c>
      <c r="B895" s="250" t="s">
        <v>1066</v>
      </c>
      <c r="C895" s="250" t="s">
        <v>1067</v>
      </c>
      <c r="D895" s="223" t="s">
        <v>1068</v>
      </c>
      <c r="E895" s="250" t="s">
        <v>567</v>
      </c>
      <c r="F895" s="223" t="s">
        <v>137</v>
      </c>
      <c r="G895" s="250" t="s">
        <v>23</v>
      </c>
      <c r="H895" s="250" t="s">
        <v>1526</v>
      </c>
      <c r="I895" s="250">
        <v>201502</v>
      </c>
      <c r="J895" s="251">
        <v>-209.24</v>
      </c>
      <c r="K895" s="171">
        <f t="shared" si="66"/>
        <v>4</v>
      </c>
      <c r="L895" s="253">
        <v>1.4833299999999999E-3</v>
      </c>
      <c r="M895" s="251">
        <f t="shared" si="64"/>
        <v>-1.24</v>
      </c>
      <c r="N895" s="251">
        <f t="shared" si="65"/>
        <v>-3.72</v>
      </c>
      <c r="O895" s="223"/>
      <c r="P895" s="242" t="str">
        <f>VLOOKUP(C895,'WO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6" spans="1:16" ht="75">
      <c r="A896" s="223" t="s">
        <v>54</v>
      </c>
      <c r="B896" s="250" t="s">
        <v>2219</v>
      </c>
      <c r="C896" s="250" t="s">
        <v>1743</v>
      </c>
      <c r="D896" s="223" t="s">
        <v>1744</v>
      </c>
      <c r="E896" s="250" t="s">
        <v>53</v>
      </c>
      <c r="F896" s="223" t="s">
        <v>41</v>
      </c>
      <c r="G896" s="250" t="s">
        <v>23</v>
      </c>
      <c r="H896" s="250" t="s">
        <v>1526</v>
      </c>
      <c r="I896" s="250">
        <v>201502</v>
      </c>
      <c r="J896" s="251">
        <v>34.21</v>
      </c>
      <c r="K896" s="171">
        <f t="shared" si="66"/>
        <v>4</v>
      </c>
      <c r="L896" s="253">
        <v>1.4833299999999999E-3</v>
      </c>
      <c r="M896" s="251">
        <f t="shared" si="64"/>
        <v>0.2</v>
      </c>
      <c r="N896" s="251">
        <f t="shared" si="65"/>
        <v>0.61</v>
      </c>
      <c r="O896" s="223"/>
      <c r="P896" s="242" t="str">
        <f>VLOOKUP(C896,'WO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897" spans="1:16" ht="45">
      <c r="A897" s="223" t="s">
        <v>54</v>
      </c>
      <c r="B897" s="250" t="s">
        <v>2287</v>
      </c>
      <c r="C897" s="250" t="s">
        <v>2288</v>
      </c>
      <c r="D897" s="223" t="s">
        <v>2289</v>
      </c>
      <c r="E897" s="250" t="s">
        <v>40</v>
      </c>
      <c r="F897" s="223" t="s">
        <v>41</v>
      </c>
      <c r="G897" s="250" t="s">
        <v>23</v>
      </c>
      <c r="H897" s="250" t="s">
        <v>1526</v>
      </c>
      <c r="I897" s="250">
        <v>201502</v>
      </c>
      <c r="J897" s="251">
        <v>73950.03</v>
      </c>
      <c r="K897" s="171">
        <f t="shared" si="66"/>
        <v>4</v>
      </c>
      <c r="L897" s="253">
        <v>1.4833299999999999E-3</v>
      </c>
      <c r="M897" s="251">
        <f t="shared" si="64"/>
        <v>438.77</v>
      </c>
      <c r="N897" s="251">
        <f t="shared" si="65"/>
        <v>1316.31</v>
      </c>
      <c r="O897" s="223"/>
      <c r="P897" s="242" t="str">
        <f>VLOOKUP(C897,'WO Descriptions'!$A$5:$D$384,4)</f>
        <v>Approved by: Kevin Driskell on 11/06/2014,  Replace a total of 80' of 2'' PCS (57' WO- A5579D and 23' WO- 761745) with 2'' PCS due to leaks. Make sure to bottle the old tap on the 12'' PCS. Pressure system C-039 MOP 135psig. Pressure test at 230psig.</v>
      </c>
    </row>
    <row r="898" spans="1:16" ht="60">
      <c r="A898" s="223" t="s">
        <v>54</v>
      </c>
      <c r="B898" s="250" t="s">
        <v>2220</v>
      </c>
      <c r="C898" s="250" t="s">
        <v>2221</v>
      </c>
      <c r="D898" s="223" t="s">
        <v>2222</v>
      </c>
      <c r="E898" s="250" t="s">
        <v>362</v>
      </c>
      <c r="F898" s="223" t="s">
        <v>41</v>
      </c>
      <c r="G898" s="250" t="s">
        <v>23</v>
      </c>
      <c r="H898" s="250" t="s">
        <v>1526</v>
      </c>
      <c r="I898" s="250">
        <v>201502</v>
      </c>
      <c r="J898" s="251">
        <v>-5634.68</v>
      </c>
      <c r="K898" s="171">
        <f t="shared" si="66"/>
        <v>4</v>
      </c>
      <c r="L898" s="253">
        <v>1.4833299999999999E-3</v>
      </c>
      <c r="M898" s="251">
        <f t="shared" si="64"/>
        <v>-33.43</v>
      </c>
      <c r="N898" s="251">
        <f t="shared" si="65"/>
        <v>-100.3</v>
      </c>
      <c r="O898" s="223"/>
      <c r="P898" s="242" t="str">
        <f>VLOOKUP(C898,'WO Descriptions'!$A$5:$D$384,4)</f>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
    </row>
    <row r="899" spans="1:16" ht="60">
      <c r="A899" s="223" t="s">
        <v>54</v>
      </c>
      <c r="B899" s="250" t="s">
        <v>2290</v>
      </c>
      <c r="C899" s="250" t="s">
        <v>2291</v>
      </c>
      <c r="D899" s="223" t="s">
        <v>2292</v>
      </c>
      <c r="E899" s="250" t="s">
        <v>53</v>
      </c>
      <c r="F899" s="223" t="s">
        <v>41</v>
      </c>
      <c r="G899" s="250" t="s">
        <v>23</v>
      </c>
      <c r="H899" s="250" t="s">
        <v>1526</v>
      </c>
      <c r="I899" s="250">
        <v>201502</v>
      </c>
      <c r="J899" s="251">
        <v>4513.7700000000004</v>
      </c>
      <c r="K899" s="171">
        <f t="shared" si="66"/>
        <v>4</v>
      </c>
      <c r="L899" s="253">
        <v>1.4833299999999999E-3</v>
      </c>
      <c r="M899" s="251">
        <f>ROUND(J899*K899*L899,2)</f>
        <v>26.78</v>
      </c>
      <c r="N899" s="251">
        <f>ROUND(J899*L899*12,2)</f>
        <v>80.34</v>
      </c>
      <c r="O899" s="223"/>
      <c r="P899" s="242" t="str">
        <f>VLOOKUP(C899,'WO Descriptions'!$A$5:$D$384,4)</f>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
    </row>
    <row r="900" spans="1:16" outlineLevel="1">
      <c r="A900" s="211"/>
      <c r="B900" s="212"/>
      <c r="C900" s="212"/>
      <c r="D900" s="211"/>
      <c r="E900" s="212"/>
      <c r="F900" s="211"/>
      <c r="G900" s="212"/>
      <c r="H900" s="69"/>
      <c r="I900" s="212"/>
      <c r="J900" s="213"/>
      <c r="K900" s="171"/>
      <c r="L900" s="214"/>
      <c r="M900" s="213"/>
      <c r="N900" s="213"/>
      <c r="O900" s="20"/>
      <c r="P900" s="242"/>
    </row>
    <row r="901" spans="1:16" outlineLevel="1">
      <c r="A901" s="211"/>
      <c r="B901" s="212"/>
      <c r="C901" s="212"/>
      <c r="D901" s="211"/>
      <c r="E901" s="212"/>
      <c r="F901" s="211"/>
      <c r="G901" s="212"/>
      <c r="H901" s="69" t="s">
        <v>1535</v>
      </c>
      <c r="I901" s="212"/>
      <c r="J901" s="213">
        <f>SUBTOTAL(9,J705:J900)</f>
        <v>8871618.9899999928</v>
      </c>
      <c r="K901" s="171"/>
      <c r="L901" s="214"/>
      <c r="M901" s="213">
        <f>SUBTOTAL(9,M705:M900)</f>
        <v>84971.310000000041</v>
      </c>
      <c r="N901" s="213">
        <f>SUBTOTAL(9,N705:N900)</f>
        <v>159675.84</v>
      </c>
      <c r="O901" s="20"/>
      <c r="P901" s="242"/>
    </row>
    <row r="902" spans="1:16" ht="105" outlineLevel="2">
      <c r="A902" s="18" t="s">
        <v>238</v>
      </c>
      <c r="B902" s="15" t="s">
        <v>239</v>
      </c>
      <c r="C902" s="15" t="s">
        <v>240</v>
      </c>
      <c r="D902" s="14" t="s">
        <v>241</v>
      </c>
      <c r="E902" s="15" t="s">
        <v>168</v>
      </c>
      <c r="F902" s="14" t="s">
        <v>169</v>
      </c>
      <c r="G902" s="15" t="s">
        <v>23</v>
      </c>
      <c r="H902" s="15" t="s">
        <v>1528</v>
      </c>
      <c r="I902" s="15">
        <v>201409</v>
      </c>
      <c r="J902" s="16">
        <v>5.08</v>
      </c>
      <c r="K902" s="171">
        <f t="shared" ref="K902:K917" si="67">VLOOKUP(I902,$T$7:$U$15,2)</f>
        <v>9</v>
      </c>
      <c r="L902" s="17">
        <v>2.3833299999999999E-3</v>
      </c>
      <c r="M902" s="16">
        <f t="shared" ref="M902:M911" si="68">ROUND(J902*K902*L902,2)</f>
        <v>0.11</v>
      </c>
      <c r="N902" s="16">
        <f t="shared" ref="N902:N911" si="69">ROUND(J902*L902*12,2)</f>
        <v>0.15</v>
      </c>
      <c r="O902" s="14"/>
      <c r="P902" s="242" t="str">
        <f>VLOOKUP(C902,'WO Descriptions'!$A$5:$D$384,4)</f>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
    </row>
    <row r="903" spans="1:16" ht="30" outlineLevel="2">
      <c r="A903" s="14" t="s">
        <v>238</v>
      </c>
      <c r="B903" s="15" t="s">
        <v>356</v>
      </c>
      <c r="C903" s="15" t="s">
        <v>357</v>
      </c>
      <c r="D903" s="14" t="s">
        <v>358</v>
      </c>
      <c r="E903" s="15" t="s">
        <v>168</v>
      </c>
      <c r="F903" s="14" t="s">
        <v>169</v>
      </c>
      <c r="G903" s="15" t="s">
        <v>23</v>
      </c>
      <c r="H903" s="15" t="s">
        <v>1528</v>
      </c>
      <c r="I903" s="15">
        <v>201409</v>
      </c>
      <c r="J903" s="16">
        <v>-2239.5500000000002</v>
      </c>
      <c r="K903" s="171">
        <f t="shared" si="67"/>
        <v>9</v>
      </c>
      <c r="L903" s="17">
        <v>2.3833299999999999E-3</v>
      </c>
      <c r="M903" s="16">
        <f t="shared" si="68"/>
        <v>-48.04</v>
      </c>
      <c r="N903" s="16">
        <f t="shared" si="69"/>
        <v>-64.05</v>
      </c>
      <c r="O903" s="14"/>
      <c r="P903" s="242" t="str">
        <f>VLOOKUP(C903,'WO Descriptions'!$A$5:$D$384,4)</f>
        <v>Approved by: Steve Holcomb on 10/07/2013,  Rebuild DRS 356 due to complications arising during Hydro Test. Construct 1- 10" run utilizing existing regulators, and 1- 6" run for bypass.</v>
      </c>
    </row>
    <row r="904" spans="1:16" ht="105" outlineLevel="2">
      <c r="A904" s="14" t="s">
        <v>238</v>
      </c>
      <c r="B904" s="15" t="s">
        <v>401</v>
      </c>
      <c r="C904" s="15" t="s">
        <v>402</v>
      </c>
      <c r="D904" s="14" t="s">
        <v>403</v>
      </c>
      <c r="E904" s="15" t="s">
        <v>168</v>
      </c>
      <c r="F904" s="14" t="s">
        <v>169</v>
      </c>
      <c r="G904" s="15" t="s">
        <v>23</v>
      </c>
      <c r="H904" s="15" t="s">
        <v>1528</v>
      </c>
      <c r="I904" s="15">
        <v>201409</v>
      </c>
      <c r="J904" s="16">
        <v>-304.64</v>
      </c>
      <c r="K904" s="171">
        <f t="shared" si="67"/>
        <v>9</v>
      </c>
      <c r="L904" s="17">
        <v>2.3833299999999999E-3</v>
      </c>
      <c r="M904" s="16">
        <f t="shared" si="68"/>
        <v>-6.53</v>
      </c>
      <c r="N904" s="16">
        <f t="shared" si="69"/>
        <v>-8.7100000000000009</v>
      </c>
      <c r="O904" s="14"/>
      <c r="P904" s="242" t="str">
        <f>VLOOKUP(C904,'WO Descriptions'!$A$5:$D$384,4)</f>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
    </row>
    <row r="905" spans="1:16" ht="45" outlineLevel="2">
      <c r="A905" s="14" t="s">
        <v>238</v>
      </c>
      <c r="B905" s="15" t="s">
        <v>680</v>
      </c>
      <c r="C905" s="15" t="s">
        <v>681</v>
      </c>
      <c r="D905" s="14" t="s">
        <v>682</v>
      </c>
      <c r="E905" s="15" t="s">
        <v>683</v>
      </c>
      <c r="F905" s="14" t="s">
        <v>684</v>
      </c>
      <c r="G905" s="15" t="s">
        <v>23</v>
      </c>
      <c r="H905" s="15" t="s">
        <v>1528</v>
      </c>
      <c r="I905" s="15">
        <v>201409</v>
      </c>
      <c r="J905" s="16">
        <v>-215.87</v>
      </c>
      <c r="K905" s="171">
        <f t="shared" si="67"/>
        <v>9</v>
      </c>
      <c r="L905" s="17">
        <v>2.3833299999999999E-3</v>
      </c>
      <c r="M905" s="16">
        <f t="shared" si="68"/>
        <v>-4.63</v>
      </c>
      <c r="N905" s="16">
        <f t="shared" si="69"/>
        <v>-6.17</v>
      </c>
      <c r="O905" s="14"/>
      <c r="P905" s="242" t="str">
        <f>VLOOKUP(C905,'WO Descriptions'!$A$5:$D$384,4)</f>
        <v>Approved by: Gary Williams on 01/31/2013,  Relocate DRS 424 from Gardener Avenue and Askew to Front Street and Askew. All existing regulators and valves from station were utilized in the relocation. Install new barricade around station.</v>
      </c>
    </row>
    <row r="906" spans="1:16" ht="105" outlineLevel="2">
      <c r="A906" s="14" t="s">
        <v>238</v>
      </c>
      <c r="B906" s="15" t="s">
        <v>762</v>
      </c>
      <c r="C906" s="15" t="s">
        <v>763</v>
      </c>
      <c r="D906" s="14" t="s">
        <v>764</v>
      </c>
      <c r="E906" s="15" t="s">
        <v>168</v>
      </c>
      <c r="F906" s="14" t="s">
        <v>169</v>
      </c>
      <c r="G906" s="15" t="s">
        <v>23</v>
      </c>
      <c r="H906" s="15" t="s">
        <v>1528</v>
      </c>
      <c r="I906" s="15">
        <v>201409</v>
      </c>
      <c r="J906" s="16">
        <v>-567.96</v>
      </c>
      <c r="K906" s="171">
        <f t="shared" si="67"/>
        <v>9</v>
      </c>
      <c r="L906" s="17">
        <v>2.3833299999999999E-3</v>
      </c>
      <c r="M906" s="16">
        <f t="shared" si="68"/>
        <v>-12.18</v>
      </c>
      <c r="N906" s="16">
        <f t="shared" si="69"/>
        <v>-16.239999999999998</v>
      </c>
      <c r="O906" s="19"/>
      <c r="P906" s="242" t="str">
        <f>VLOOKUP(C906,'WO Descriptions'!$A$5:$D$384,4)</f>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
    </row>
    <row r="907" spans="1:16" ht="135" outlineLevel="2">
      <c r="A907" s="14" t="s">
        <v>238</v>
      </c>
      <c r="B907" s="15" t="s">
        <v>771</v>
      </c>
      <c r="C907" s="15" t="s">
        <v>772</v>
      </c>
      <c r="D907" s="14" t="s">
        <v>773</v>
      </c>
      <c r="E907" s="15" t="s">
        <v>168</v>
      </c>
      <c r="F907" s="14" t="s">
        <v>169</v>
      </c>
      <c r="G907" s="15" t="s">
        <v>23</v>
      </c>
      <c r="H907" s="15" t="s">
        <v>1528</v>
      </c>
      <c r="I907" s="15">
        <v>201409</v>
      </c>
      <c r="J907" s="16">
        <v>-212.27</v>
      </c>
      <c r="K907" s="171">
        <f t="shared" si="67"/>
        <v>9</v>
      </c>
      <c r="L907" s="17">
        <v>2.3833299999999999E-3</v>
      </c>
      <c r="M907" s="16">
        <f t="shared" si="68"/>
        <v>-4.55</v>
      </c>
      <c r="N907" s="16">
        <f t="shared" si="69"/>
        <v>-6.07</v>
      </c>
      <c r="O907" s="14"/>
      <c r="P907" s="242" t="str">
        <f>VLOOKUP(C907,'WO Descriptions'!$A$5:$D$384,4)</f>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
    </row>
    <row r="908" spans="1:16" ht="75" outlineLevel="2">
      <c r="A908" s="14" t="s">
        <v>238</v>
      </c>
      <c r="B908" s="15" t="s">
        <v>774</v>
      </c>
      <c r="C908" s="15" t="s">
        <v>775</v>
      </c>
      <c r="D908" s="14" t="s">
        <v>776</v>
      </c>
      <c r="E908" s="15" t="s">
        <v>168</v>
      </c>
      <c r="F908" s="14" t="s">
        <v>169</v>
      </c>
      <c r="G908" s="15" t="s">
        <v>23</v>
      </c>
      <c r="H908" s="15" t="s">
        <v>1528</v>
      </c>
      <c r="I908" s="15">
        <v>201409</v>
      </c>
      <c r="J908" s="16">
        <v>12.14</v>
      </c>
      <c r="K908" s="171">
        <f t="shared" si="67"/>
        <v>9</v>
      </c>
      <c r="L908" s="17">
        <v>2.3833299999999999E-3</v>
      </c>
      <c r="M908" s="16">
        <f t="shared" si="68"/>
        <v>0.26</v>
      </c>
      <c r="N908" s="16">
        <f t="shared" si="69"/>
        <v>0.35</v>
      </c>
      <c r="O908" s="14"/>
      <c r="P908" s="242" t="str">
        <f>VLOOKUP(C908,'WO Descriptions'!$A$5:$D$384,4)</f>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
    </row>
    <row r="909" spans="1:16" ht="120" outlineLevel="2">
      <c r="A909" s="18" t="s">
        <v>164</v>
      </c>
      <c r="B909" s="15" t="s">
        <v>165</v>
      </c>
      <c r="C909" s="15" t="s">
        <v>166</v>
      </c>
      <c r="D909" s="14" t="s">
        <v>167</v>
      </c>
      <c r="E909" s="15" t="s">
        <v>168</v>
      </c>
      <c r="F909" s="14" t="s">
        <v>169</v>
      </c>
      <c r="G909" s="15" t="s">
        <v>23</v>
      </c>
      <c r="H909" s="15" t="s">
        <v>1528</v>
      </c>
      <c r="I909" s="15">
        <v>201409</v>
      </c>
      <c r="J909" s="16">
        <v>-54</v>
      </c>
      <c r="K909" s="171">
        <f t="shared" si="67"/>
        <v>9</v>
      </c>
      <c r="L909" s="17">
        <v>2.1916700000000002E-3</v>
      </c>
      <c r="M909" s="16">
        <f t="shared" si="68"/>
        <v>-1.07</v>
      </c>
      <c r="N909" s="16">
        <f t="shared" si="69"/>
        <v>-1.42</v>
      </c>
      <c r="O909" s="14"/>
      <c r="P909" s="242" t="str">
        <f>VLOOKUP(C909,'WO Descriptions'!$A$5:$D$384,4)</f>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
    </row>
    <row r="910" spans="1:16" ht="45" outlineLevel="2">
      <c r="A910" s="14" t="s">
        <v>164</v>
      </c>
      <c r="B910" s="15" t="s">
        <v>341</v>
      </c>
      <c r="C910" s="15" t="s">
        <v>342</v>
      </c>
      <c r="D910" s="14" t="s">
        <v>343</v>
      </c>
      <c r="E910" s="15" t="s">
        <v>168</v>
      </c>
      <c r="F910" s="14" t="s">
        <v>169</v>
      </c>
      <c r="G910" s="15" t="s">
        <v>23</v>
      </c>
      <c r="H910" s="15" t="s">
        <v>1528</v>
      </c>
      <c r="I910" s="15">
        <v>201409</v>
      </c>
      <c r="J910" s="16">
        <v>-787.04</v>
      </c>
      <c r="K910" s="171">
        <f t="shared" si="67"/>
        <v>9</v>
      </c>
      <c r="L910" s="17">
        <v>2.1916700000000002E-3</v>
      </c>
      <c r="M910" s="16">
        <f t="shared" si="68"/>
        <v>-15.52</v>
      </c>
      <c r="N910" s="16">
        <f t="shared" si="69"/>
        <v>-20.7</v>
      </c>
      <c r="O910" s="14"/>
      <c r="P910" s="242" t="str">
        <f>VLOOKUP(C910,'WO Descriptions'!$A$5:$D$384,4)</f>
        <v>Approved by: Rob Kitterman on 08/14/2013,  Purchase Bulk Odorant storage tank for REX site.  This tank is to store additional odorant for use in various divisions as needs arise.  The unit is self contained for spill emergencies.  Tank provided by Milton Roy,YZ Systems, Total Systems.</v>
      </c>
    </row>
    <row r="911" spans="1:16" ht="60" outlineLevel="2">
      <c r="A911" s="14" t="s">
        <v>238</v>
      </c>
      <c r="B911" s="15" t="s">
        <v>1042</v>
      </c>
      <c r="C911" s="15" t="s">
        <v>1043</v>
      </c>
      <c r="D911" s="14" t="s">
        <v>1044</v>
      </c>
      <c r="E911" s="15" t="s">
        <v>168</v>
      </c>
      <c r="F911" s="14" t="s">
        <v>169</v>
      </c>
      <c r="G911" s="15" t="s">
        <v>23</v>
      </c>
      <c r="H911" s="15" t="s">
        <v>1528</v>
      </c>
      <c r="I911" s="15">
        <v>201412</v>
      </c>
      <c r="J911" s="16">
        <v>32263.57</v>
      </c>
      <c r="K911" s="171">
        <f t="shared" si="67"/>
        <v>6</v>
      </c>
      <c r="L911" s="17">
        <v>2.3833299999999999E-3</v>
      </c>
      <c r="M911" s="16">
        <f t="shared" si="68"/>
        <v>461.37</v>
      </c>
      <c r="N911" s="16">
        <f t="shared" si="69"/>
        <v>922.74</v>
      </c>
      <c r="O911" s="14"/>
      <c r="P911" s="242" t="str">
        <f>VLOOKUP(C911,'WO Descriptions'!$A$5:$D$384,4)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912" spans="1:16" ht="30" outlineLevel="2">
      <c r="A912" s="223" t="s">
        <v>238</v>
      </c>
      <c r="B912" s="250" t="s">
        <v>2223</v>
      </c>
      <c r="C912" s="250" t="s">
        <v>2224</v>
      </c>
      <c r="D912" s="223" t="s">
        <v>2225</v>
      </c>
      <c r="E912" s="250" t="s">
        <v>168</v>
      </c>
      <c r="F912" s="223" t="s">
        <v>169</v>
      </c>
      <c r="G912" s="250" t="s">
        <v>23</v>
      </c>
      <c r="H912" s="250" t="s">
        <v>1528</v>
      </c>
      <c r="I912" s="250">
        <v>201501</v>
      </c>
      <c r="J912" s="251">
        <v>213064.46</v>
      </c>
      <c r="K912" s="171">
        <f t="shared" si="67"/>
        <v>5</v>
      </c>
      <c r="L912" s="253">
        <v>2.3833299999999999E-3</v>
      </c>
      <c r="M912" s="251">
        <f t="shared" ref="M912:M917" si="70">ROUND(J912*K912*L912,2)</f>
        <v>2539.0100000000002</v>
      </c>
      <c r="N912" s="251">
        <f t="shared" ref="N912:N917" si="71">ROUND(J912*L912*12,2)</f>
        <v>6093.64</v>
      </c>
      <c r="O912" s="223"/>
      <c r="P912" s="242" t="str">
        <f>VLOOKUP(C912,'WO Descriptions'!$A$5:$D$384,4)</f>
        <v>Rob Hack approved through email due to being out of town and copy of email attached with work order in file.  Approved 7/30/2013.  Official approval in WOES 8/5/2013</v>
      </c>
    </row>
    <row r="913" spans="1:16" ht="30" outlineLevel="2">
      <c r="A913" s="223" t="s">
        <v>238</v>
      </c>
      <c r="B913" s="250" t="s">
        <v>356</v>
      </c>
      <c r="C913" s="250" t="s">
        <v>357</v>
      </c>
      <c r="D913" s="223" t="s">
        <v>358</v>
      </c>
      <c r="E913" s="250" t="s">
        <v>168</v>
      </c>
      <c r="F913" s="223" t="s">
        <v>169</v>
      </c>
      <c r="G913" s="250" t="s">
        <v>23</v>
      </c>
      <c r="H913" s="250" t="s">
        <v>1528</v>
      </c>
      <c r="I913" s="250">
        <v>201501</v>
      </c>
      <c r="J913" s="251">
        <v>780.23</v>
      </c>
      <c r="K913" s="171">
        <f t="shared" si="67"/>
        <v>5</v>
      </c>
      <c r="L913" s="253">
        <v>2.3833299999999999E-3</v>
      </c>
      <c r="M913" s="251">
        <f t="shared" si="70"/>
        <v>9.3000000000000007</v>
      </c>
      <c r="N913" s="251">
        <f t="shared" si="71"/>
        <v>22.31</v>
      </c>
      <c r="O913" s="223"/>
      <c r="P913" s="242" t="str">
        <f>VLOOKUP(C913,'WO Descriptions'!$A$5:$D$384,4)</f>
        <v>Approved by: Steve Holcomb on 10/07/2013,  Rebuild DRS 356 due to complications arising during Hydro Test. Construct 1- 10" run utilizing existing regulators, and 1- 6" run for bypass.</v>
      </c>
    </row>
    <row r="914" spans="1:16" ht="60" outlineLevel="2">
      <c r="A914" s="223" t="s">
        <v>238</v>
      </c>
      <c r="B914" s="250" t="s">
        <v>1042</v>
      </c>
      <c r="C914" s="250" t="s">
        <v>1043</v>
      </c>
      <c r="D914" s="223" t="s">
        <v>1044</v>
      </c>
      <c r="E914" s="250" t="s">
        <v>168</v>
      </c>
      <c r="F914" s="223" t="s">
        <v>169</v>
      </c>
      <c r="G914" s="250" t="s">
        <v>23</v>
      </c>
      <c r="H914" s="250" t="s">
        <v>1528</v>
      </c>
      <c r="I914" s="250">
        <v>201501</v>
      </c>
      <c r="J914" s="251">
        <v>1130.32</v>
      </c>
      <c r="K914" s="171">
        <f t="shared" si="67"/>
        <v>5</v>
      </c>
      <c r="L914" s="253">
        <v>2.3833299999999999E-3</v>
      </c>
      <c r="M914" s="251">
        <f t="shared" si="70"/>
        <v>13.47</v>
      </c>
      <c r="N914" s="251">
        <f t="shared" si="71"/>
        <v>32.33</v>
      </c>
      <c r="O914" s="223"/>
      <c r="P914" s="242" t="str">
        <f>VLOOKUP(C914,'WO Descriptions'!$A$5:$D$384,4)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915" spans="1:16" ht="30" outlineLevel="2">
      <c r="A915" s="223" t="s">
        <v>238</v>
      </c>
      <c r="B915" s="250" t="s">
        <v>2223</v>
      </c>
      <c r="C915" s="250" t="s">
        <v>2224</v>
      </c>
      <c r="D915" s="223" t="s">
        <v>2225</v>
      </c>
      <c r="E915" s="250" t="s">
        <v>168</v>
      </c>
      <c r="F915" s="223" t="s">
        <v>169</v>
      </c>
      <c r="G915" s="250" t="s">
        <v>23</v>
      </c>
      <c r="H915" s="250" t="s">
        <v>1528</v>
      </c>
      <c r="I915" s="250">
        <v>201502</v>
      </c>
      <c r="J915" s="251">
        <v>-268.13</v>
      </c>
      <c r="K915" s="171">
        <f t="shared" si="67"/>
        <v>4</v>
      </c>
      <c r="L915" s="253">
        <v>2.3833299999999999E-3</v>
      </c>
      <c r="M915" s="251">
        <f t="shared" si="70"/>
        <v>-2.56</v>
      </c>
      <c r="N915" s="251">
        <f t="shared" si="71"/>
        <v>-7.67</v>
      </c>
      <c r="O915" s="223"/>
      <c r="P915" s="242" t="str">
        <f>VLOOKUP(C915,'WO Descriptions'!$A$5:$D$384,4)</f>
        <v>Rob Hack approved through email due to being out of town and copy of email attached with work order in file.  Approved 7/30/2013.  Official approval in WOES 8/5/2013</v>
      </c>
    </row>
    <row r="916" spans="1:16" ht="30" outlineLevel="2">
      <c r="A916" s="223" t="s">
        <v>238</v>
      </c>
      <c r="B916" s="250" t="s">
        <v>356</v>
      </c>
      <c r="C916" s="250" t="s">
        <v>357</v>
      </c>
      <c r="D916" s="223" t="s">
        <v>358</v>
      </c>
      <c r="E916" s="250" t="s">
        <v>168</v>
      </c>
      <c r="F916" s="223" t="s">
        <v>169</v>
      </c>
      <c r="G916" s="250" t="s">
        <v>23</v>
      </c>
      <c r="H916" s="250" t="s">
        <v>1528</v>
      </c>
      <c r="I916" s="250">
        <v>201502</v>
      </c>
      <c r="J916" s="251">
        <v>-299.17</v>
      </c>
      <c r="K916" s="171">
        <f t="shared" si="67"/>
        <v>4</v>
      </c>
      <c r="L916" s="253">
        <v>2.3833299999999999E-3</v>
      </c>
      <c r="M916" s="251">
        <f t="shared" si="70"/>
        <v>-2.85</v>
      </c>
      <c r="N916" s="251">
        <f t="shared" si="71"/>
        <v>-8.56</v>
      </c>
      <c r="O916" s="223"/>
      <c r="P916" s="242" t="str">
        <f>VLOOKUP(C916,'WO Descriptions'!$A$5:$D$384,4)</f>
        <v>Approved by: Steve Holcomb on 10/07/2013,  Rebuild DRS 356 due to complications arising during Hydro Test. Construct 1- 10" run utilizing existing regulators, and 1- 6" run for bypass.</v>
      </c>
    </row>
    <row r="917" spans="1:16" ht="60" outlineLevel="2">
      <c r="A917" s="223" t="s">
        <v>238</v>
      </c>
      <c r="B917" s="250" t="s">
        <v>1042</v>
      </c>
      <c r="C917" s="250" t="s">
        <v>1043</v>
      </c>
      <c r="D917" s="223" t="s">
        <v>1044</v>
      </c>
      <c r="E917" s="250" t="s">
        <v>168</v>
      </c>
      <c r="F917" s="223" t="s">
        <v>169</v>
      </c>
      <c r="G917" s="250" t="s">
        <v>23</v>
      </c>
      <c r="H917" s="250" t="s">
        <v>1528</v>
      </c>
      <c r="I917" s="250">
        <v>201502</v>
      </c>
      <c r="J917" s="251">
        <v>-383.4</v>
      </c>
      <c r="K917" s="171">
        <f t="shared" si="67"/>
        <v>4</v>
      </c>
      <c r="L917" s="253">
        <v>2.3833299999999999E-3</v>
      </c>
      <c r="M917" s="251">
        <f t="shared" si="70"/>
        <v>-3.66</v>
      </c>
      <c r="N917" s="251">
        <f t="shared" si="71"/>
        <v>-10.97</v>
      </c>
      <c r="O917" s="223"/>
      <c r="P917" s="242" t="str">
        <f>VLOOKUP(C917,'WO Descriptions'!$A$5:$D$384,4)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918" spans="1:16" outlineLevel="1">
      <c r="A918" s="14"/>
      <c r="B918" s="15"/>
      <c r="C918" s="15"/>
      <c r="D918" s="14"/>
      <c r="E918" s="15"/>
      <c r="F918" s="14"/>
      <c r="G918" s="15"/>
      <c r="H918" s="69" t="s">
        <v>1536</v>
      </c>
      <c r="I918" s="15"/>
      <c r="J918" s="16">
        <f>SUBTOTAL(9,J902:J917)</f>
        <v>241923.77</v>
      </c>
      <c r="K918" s="171"/>
      <c r="L918" s="17"/>
      <c r="M918" s="16">
        <f>SUBTOTAL(9,M902:M917)</f>
        <v>2921.9300000000007</v>
      </c>
      <c r="N918" s="16">
        <f>SUBTOTAL(9,N902:N917)</f>
        <v>6920.96</v>
      </c>
      <c r="O918" s="14"/>
      <c r="P918" s="242"/>
    </row>
    <row r="919" spans="1:16" ht="45" outlineLevel="2">
      <c r="A919" s="14" t="s">
        <v>66</v>
      </c>
      <c r="B919" s="15" t="s">
        <v>463</v>
      </c>
      <c r="C919" s="15" t="s">
        <v>464</v>
      </c>
      <c r="D919" s="14" t="s">
        <v>465</v>
      </c>
      <c r="E919" s="15" t="s">
        <v>466</v>
      </c>
      <c r="F919" s="14" t="s">
        <v>467</v>
      </c>
      <c r="G919" s="15" t="s">
        <v>23</v>
      </c>
      <c r="H919" s="15" t="s">
        <v>1527</v>
      </c>
      <c r="I919" s="15">
        <v>201409</v>
      </c>
      <c r="J919" s="16">
        <v>-442.33</v>
      </c>
      <c r="K919" s="171">
        <f t="shared" ref="K919:K929" si="72">VLOOKUP(I919,$T$7:$U$15,2)</f>
        <v>9</v>
      </c>
      <c r="L919" s="17">
        <v>2.23333E-3</v>
      </c>
      <c r="M919" s="16">
        <f t="shared" ref="M919:M927" si="73">ROUND(J919*K919*L919,2)</f>
        <v>-8.89</v>
      </c>
      <c r="N919" s="16">
        <f t="shared" ref="N919:N927" si="74">ROUND(J919*L919*12,2)</f>
        <v>-11.85</v>
      </c>
      <c r="O919" s="14"/>
      <c r="P919" s="242" t="str">
        <f>VLOOKUP(C919,'WO Descriptions'!$A$5:$D$384,4)</f>
        <v>Approved by: Kevin Driskell on 09/18/2013,  REPLACING - 14ft-1in cs and 482ft-1-1/4 pe service with 100ft - 4in th film to first cut, 430ft- 4in pe service line  due to commercial account adding addtional load (20,000 cfh). ECONOMIC EVALUATION WILL COVER COST OF PROJECT.</v>
      </c>
    </row>
    <row r="920" spans="1:16" ht="45" outlineLevel="2">
      <c r="A920" s="14" t="s">
        <v>66</v>
      </c>
      <c r="B920" s="15" t="s">
        <v>620</v>
      </c>
      <c r="C920" s="15" t="s">
        <v>621</v>
      </c>
      <c r="D920" s="14" t="s">
        <v>622</v>
      </c>
      <c r="E920" s="15" t="s">
        <v>623</v>
      </c>
      <c r="F920" s="14" t="s">
        <v>624</v>
      </c>
      <c r="G920" s="15" t="s">
        <v>23</v>
      </c>
      <c r="H920" s="15" t="s">
        <v>1527</v>
      </c>
      <c r="I920" s="15">
        <v>201409</v>
      </c>
      <c r="J920" s="16">
        <v>-176.28</v>
      </c>
      <c r="K920" s="171">
        <f t="shared" si="72"/>
        <v>9</v>
      </c>
      <c r="L920" s="17">
        <v>2.23333E-3</v>
      </c>
      <c r="M920" s="16">
        <f t="shared" si="73"/>
        <v>-3.54</v>
      </c>
      <c r="N920" s="16">
        <f t="shared" si="74"/>
        <v>-4.72</v>
      </c>
      <c r="O920" s="14"/>
      <c r="P920" s="242" t="str">
        <f>VLOOKUP(C920,'WO Descriptions'!$A$5:$D$384,4)</f>
        <v>Approved by: Kevin Driskell on 12/06/2013,  Replacing 20ft-2in cs (WO# N/A) service line with 280ft-2in pe service line. Due to leak on main will need to reroute service line to a different main 4in pe (WO#93-2450).</v>
      </c>
    </row>
    <row r="921" spans="1:16" ht="60" outlineLevel="2">
      <c r="A921" s="14" t="s">
        <v>66</v>
      </c>
      <c r="B921" s="15" t="s">
        <v>734</v>
      </c>
      <c r="C921" s="15" t="s">
        <v>735</v>
      </c>
      <c r="D921" s="14" t="s">
        <v>736</v>
      </c>
      <c r="E921" s="15" t="s">
        <v>737</v>
      </c>
      <c r="F921" s="14" t="s">
        <v>624</v>
      </c>
      <c r="G921" s="15" t="s">
        <v>23</v>
      </c>
      <c r="H921" s="15" t="s">
        <v>1527</v>
      </c>
      <c r="I921" s="15">
        <v>201409</v>
      </c>
      <c r="J921" s="16">
        <v>-44.18</v>
      </c>
      <c r="K921" s="171">
        <f t="shared" si="72"/>
        <v>9</v>
      </c>
      <c r="L921" s="17">
        <v>2.23333E-3</v>
      </c>
      <c r="M921" s="16">
        <f t="shared" si="73"/>
        <v>-0.89</v>
      </c>
      <c r="N921" s="16">
        <f t="shared" si="74"/>
        <v>-1.18</v>
      </c>
      <c r="O921" s="14"/>
      <c r="P921" s="242" t="str">
        <f>VLOOKUP(C921,'WO Descriptions'!$A$5:$D$384,4)</f>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
    </row>
    <row r="922" spans="1:16" ht="30" outlineLevel="2">
      <c r="A922" s="14" t="s">
        <v>66</v>
      </c>
      <c r="B922" s="15" t="s">
        <v>839</v>
      </c>
      <c r="C922" s="15" t="s">
        <v>840</v>
      </c>
      <c r="D922" s="14" t="s">
        <v>841</v>
      </c>
      <c r="E922" s="15" t="s">
        <v>842</v>
      </c>
      <c r="F922" s="14" t="s">
        <v>624</v>
      </c>
      <c r="G922" s="15" t="s">
        <v>23</v>
      </c>
      <c r="H922" s="15" t="s">
        <v>1527</v>
      </c>
      <c r="I922" s="15">
        <v>201409</v>
      </c>
      <c r="J922" s="16">
        <v>-113.44</v>
      </c>
      <c r="K922" s="171">
        <f t="shared" si="72"/>
        <v>9</v>
      </c>
      <c r="L922" s="17">
        <v>2.23333E-3</v>
      </c>
      <c r="M922" s="16">
        <f t="shared" si="73"/>
        <v>-2.2799999999999998</v>
      </c>
      <c r="N922" s="16">
        <f t="shared" si="74"/>
        <v>-3.04</v>
      </c>
      <c r="O922" s="14"/>
      <c r="P922" s="242" t="str">
        <f>VLOOKUP(C922,'WO Descriptions'!$A$5:$D$384,4)</f>
        <v>Approved by: Kevin Driskell on 04/08/2014,  REPLACING 160ft-2in cs service line with 2in pe service line. Due to leak on service line.</v>
      </c>
    </row>
    <row r="923" spans="1:16" ht="45" outlineLevel="2">
      <c r="A923" s="14" t="s">
        <v>66</v>
      </c>
      <c r="B923" s="15" t="s">
        <v>1102</v>
      </c>
      <c r="C923" s="15" t="s">
        <v>1103</v>
      </c>
      <c r="D923" s="14" t="s">
        <v>1104</v>
      </c>
      <c r="E923" s="15" t="s">
        <v>466</v>
      </c>
      <c r="F923" s="14" t="s">
        <v>467</v>
      </c>
      <c r="G923" s="15" t="s">
        <v>23</v>
      </c>
      <c r="H923" s="15" t="s">
        <v>1527</v>
      </c>
      <c r="I923" s="15">
        <v>201409</v>
      </c>
      <c r="J923" s="16">
        <v>4582.03</v>
      </c>
      <c r="K923" s="171">
        <f t="shared" si="72"/>
        <v>9</v>
      </c>
      <c r="L923" s="17">
        <v>2.23333E-3</v>
      </c>
      <c r="M923" s="16">
        <f t="shared" si="73"/>
        <v>92.1</v>
      </c>
      <c r="N923" s="16">
        <f t="shared" si="74"/>
        <v>122.8</v>
      </c>
      <c r="O923" s="14"/>
      <c r="P923" s="242" t="str">
        <f>VLOOKUP(C923,'WO Descriptions'!$A$5:$D$384,4)</f>
        <v>Approved by: Kevin Driskell on 05/18/2014,  Repl 120ft-1 1/4in pe service line WITH 120ft-2in pe service line due to increase in load (17,900 cfh). Tie-in 4in cs (wo#89-6994). ECONOMIC EVALUATION WILL COVER THIS PROJECT.</v>
      </c>
    </row>
    <row r="924" spans="1:16" ht="45" outlineLevel="2">
      <c r="A924" s="14" t="s">
        <v>66</v>
      </c>
      <c r="B924" s="15" t="s">
        <v>1102</v>
      </c>
      <c r="C924" s="15" t="s">
        <v>1103</v>
      </c>
      <c r="D924" s="14" t="s">
        <v>1104</v>
      </c>
      <c r="E924" s="15" t="s">
        <v>466</v>
      </c>
      <c r="F924" s="14" t="s">
        <v>467</v>
      </c>
      <c r="G924" s="15" t="s">
        <v>23</v>
      </c>
      <c r="H924" s="15" t="s">
        <v>1527</v>
      </c>
      <c r="I924" s="15">
        <v>201410</v>
      </c>
      <c r="J924" s="16">
        <v>-0.01</v>
      </c>
      <c r="K924" s="171">
        <f t="shared" si="72"/>
        <v>8</v>
      </c>
      <c r="L924" s="17">
        <v>2.23333E-3</v>
      </c>
      <c r="M924" s="16">
        <f t="shared" si="73"/>
        <v>0</v>
      </c>
      <c r="N924" s="16">
        <f t="shared" si="74"/>
        <v>0</v>
      </c>
      <c r="O924" s="14"/>
      <c r="P924" s="242" t="str">
        <f>VLOOKUP(C924,'WO Descriptions'!$A$5:$D$384,4)</f>
        <v>Approved by: Kevin Driskell on 05/18/2014,  Repl 120ft-1 1/4in pe service line WITH 120ft-2in pe service line due to increase in load (17,900 cfh). Tie-in 4in cs (wo#89-6994). ECONOMIC EVALUATION WILL COVER THIS PROJECT.</v>
      </c>
    </row>
    <row r="925" spans="1:16" ht="75" outlineLevel="2">
      <c r="A925" s="14" t="s">
        <v>66</v>
      </c>
      <c r="B925" s="15" t="s">
        <v>1105</v>
      </c>
      <c r="C925" s="15" t="s">
        <v>1106</v>
      </c>
      <c r="D925" s="14" t="s">
        <v>1107</v>
      </c>
      <c r="E925" s="15" t="s">
        <v>466</v>
      </c>
      <c r="F925" s="14" t="s">
        <v>467</v>
      </c>
      <c r="G925" s="15" t="s">
        <v>23</v>
      </c>
      <c r="H925" s="15" t="s">
        <v>1527</v>
      </c>
      <c r="I925" s="15">
        <v>201410</v>
      </c>
      <c r="J925" s="16">
        <v>1314.76</v>
      </c>
      <c r="K925" s="171">
        <f t="shared" si="72"/>
        <v>8</v>
      </c>
      <c r="L925" s="17">
        <v>2.23333E-3</v>
      </c>
      <c r="M925" s="16">
        <f t="shared" si="73"/>
        <v>23.49</v>
      </c>
      <c r="N925" s="16">
        <f t="shared" si="74"/>
        <v>35.24</v>
      </c>
      <c r="O925" s="14"/>
      <c r="P925" s="242" t="str">
        <f>VLOOKUP(C925,'WO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926" spans="1:16" ht="75" outlineLevel="2">
      <c r="A926" s="14" t="s">
        <v>66</v>
      </c>
      <c r="B926" s="15" t="s">
        <v>1105</v>
      </c>
      <c r="C926" s="15" t="s">
        <v>1106</v>
      </c>
      <c r="D926" s="14" t="s">
        <v>1107</v>
      </c>
      <c r="E926" s="15" t="s">
        <v>466</v>
      </c>
      <c r="F926" s="14" t="s">
        <v>467</v>
      </c>
      <c r="G926" s="15" t="s">
        <v>23</v>
      </c>
      <c r="H926" s="15" t="s">
        <v>1527</v>
      </c>
      <c r="I926" s="15">
        <v>201411</v>
      </c>
      <c r="J926" s="16">
        <v>-35.93</v>
      </c>
      <c r="K926" s="171">
        <f t="shared" si="72"/>
        <v>7</v>
      </c>
      <c r="L926" s="17">
        <v>2.23333E-3</v>
      </c>
      <c r="M926" s="16">
        <f t="shared" si="73"/>
        <v>-0.56000000000000005</v>
      </c>
      <c r="N926" s="16">
        <f t="shared" si="74"/>
        <v>-0.96</v>
      </c>
      <c r="O926" s="14"/>
      <c r="P926" s="242" t="str">
        <f>VLOOKUP(C926,'WO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927" spans="1:16" ht="75" outlineLevel="2">
      <c r="A927" s="14" t="s">
        <v>66</v>
      </c>
      <c r="B927" s="15" t="s">
        <v>1105</v>
      </c>
      <c r="C927" s="15" t="s">
        <v>1106</v>
      </c>
      <c r="D927" s="14" t="s">
        <v>1107</v>
      </c>
      <c r="E927" s="15" t="s">
        <v>466</v>
      </c>
      <c r="F927" s="14" t="s">
        <v>467</v>
      </c>
      <c r="G927" s="15" t="s">
        <v>23</v>
      </c>
      <c r="H927" s="15" t="s">
        <v>1527</v>
      </c>
      <c r="I927" s="15">
        <v>201412</v>
      </c>
      <c r="J927" s="16">
        <v>1948.51</v>
      </c>
      <c r="K927" s="171">
        <f t="shared" si="72"/>
        <v>6</v>
      </c>
      <c r="L927" s="17">
        <v>2.23333E-3</v>
      </c>
      <c r="M927" s="16">
        <f t="shared" si="73"/>
        <v>26.11</v>
      </c>
      <c r="N927" s="16">
        <f t="shared" si="74"/>
        <v>52.22</v>
      </c>
      <c r="O927" s="14"/>
      <c r="P927" s="242" t="str">
        <f>VLOOKUP(C927,'WO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928" spans="1:16" ht="75" outlineLevel="2">
      <c r="A928" s="223" t="s">
        <v>66</v>
      </c>
      <c r="B928" s="250" t="s">
        <v>1105</v>
      </c>
      <c r="C928" s="250" t="s">
        <v>1106</v>
      </c>
      <c r="D928" s="223" t="s">
        <v>1107</v>
      </c>
      <c r="E928" s="250" t="s">
        <v>466</v>
      </c>
      <c r="F928" s="223" t="s">
        <v>467</v>
      </c>
      <c r="G928" s="250" t="s">
        <v>23</v>
      </c>
      <c r="H928" s="250" t="s">
        <v>1527</v>
      </c>
      <c r="I928" s="250">
        <v>201501</v>
      </c>
      <c r="J928" s="251">
        <v>-15.82</v>
      </c>
      <c r="K928" s="171">
        <f t="shared" si="72"/>
        <v>5</v>
      </c>
      <c r="L928" s="253">
        <v>2.23333E-3</v>
      </c>
      <c r="M928" s="251">
        <f>ROUND(J928*K928*L928,2)</f>
        <v>-0.18</v>
      </c>
      <c r="N928" s="251">
        <f>ROUND(J928*L928*12,2)</f>
        <v>-0.42</v>
      </c>
      <c r="O928" s="223"/>
      <c r="P928" s="242" t="str">
        <f>VLOOKUP(C928,'WO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929" spans="1:16" ht="75" outlineLevel="2">
      <c r="A929" s="223" t="s">
        <v>66</v>
      </c>
      <c r="B929" s="250" t="s">
        <v>1105</v>
      </c>
      <c r="C929" s="250" t="s">
        <v>1106</v>
      </c>
      <c r="D929" s="223" t="s">
        <v>1107</v>
      </c>
      <c r="E929" s="250" t="s">
        <v>466</v>
      </c>
      <c r="F929" s="223" t="s">
        <v>467</v>
      </c>
      <c r="G929" s="250" t="s">
        <v>23</v>
      </c>
      <c r="H929" s="250" t="s">
        <v>1527</v>
      </c>
      <c r="I929" s="250">
        <v>201502</v>
      </c>
      <c r="J929" s="251">
        <v>-93.12</v>
      </c>
      <c r="K929" s="171">
        <f t="shared" si="72"/>
        <v>4</v>
      </c>
      <c r="L929" s="253">
        <v>2.23333E-3</v>
      </c>
      <c r="M929" s="251">
        <f>ROUND(J929*K929*L929,2)</f>
        <v>-0.83</v>
      </c>
      <c r="N929" s="251">
        <f>ROUND(J929*L929*12,2)</f>
        <v>-2.5</v>
      </c>
      <c r="O929" s="223"/>
      <c r="P929" s="242" t="str">
        <f>VLOOKUP(C929,'WO Descriptions'!$A$5:$D$384,4)</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row>
    <row r="930" spans="1:16" outlineLevel="1">
      <c r="A930" s="14"/>
      <c r="B930" s="15"/>
      <c r="C930" s="15"/>
      <c r="D930" s="14"/>
      <c r="E930" s="15"/>
      <c r="F930" s="14"/>
      <c r="G930" s="15"/>
      <c r="H930" s="69" t="s">
        <v>1537</v>
      </c>
      <c r="I930" s="15"/>
      <c r="J930" s="16">
        <f>SUBTOTAL(9,J919:J929)</f>
        <v>6924.19</v>
      </c>
      <c r="K930" s="171"/>
      <c r="L930" s="17"/>
      <c r="M930" s="16">
        <f>SUBTOTAL(9,M919:M929)</f>
        <v>124.52999999999999</v>
      </c>
      <c r="N930" s="16">
        <f>SUBTOTAL(9,N919:N929)</f>
        <v>185.59</v>
      </c>
      <c r="O930" s="14"/>
    </row>
    <row r="931" spans="1:16" ht="17.25">
      <c r="A931" s="14"/>
      <c r="B931" s="15"/>
      <c r="C931" s="15"/>
      <c r="D931" s="14"/>
      <c r="E931" s="15"/>
      <c r="F931" s="14"/>
      <c r="G931" s="15"/>
      <c r="H931" s="69" t="s">
        <v>1450</v>
      </c>
      <c r="I931" s="15"/>
      <c r="J931" s="173">
        <f>SUBTOTAL(9,J5:J930)</f>
        <v>22354169.25000003</v>
      </c>
      <c r="K931" s="171"/>
      <c r="L931" s="17"/>
      <c r="M931" s="173">
        <f>SUBTOTAL(9,M5:M930)</f>
        <v>238419.58999999991</v>
      </c>
      <c r="N931" s="173">
        <f>SUBTOTAL(9,N5:N930)</f>
        <v>438426.2300000001</v>
      </c>
      <c r="O931" s="14"/>
    </row>
    <row r="932" spans="1:16">
      <c r="A932" s="14"/>
      <c r="B932" s="15"/>
      <c r="C932" s="15"/>
      <c r="D932" s="14"/>
      <c r="E932" s="15"/>
      <c r="F932" s="14"/>
      <c r="G932" s="15"/>
      <c r="H932" s="15"/>
      <c r="I932" s="15"/>
      <c r="J932" s="16"/>
      <c r="K932" s="14"/>
      <c r="L932" s="17"/>
      <c r="M932" s="16"/>
      <c r="N932" s="16"/>
      <c r="O932" s="14"/>
    </row>
    <row r="933" spans="1:16">
      <c r="A933" s="14"/>
      <c r="B933" s="15"/>
      <c r="C933" s="15"/>
      <c r="D933" s="14"/>
      <c r="E933" s="15"/>
      <c r="F933" s="14"/>
      <c r="G933" s="15"/>
      <c r="H933" s="15"/>
      <c r="I933" s="15"/>
      <c r="J933" s="16"/>
      <c r="K933" s="14"/>
      <c r="L933" s="14"/>
      <c r="M933" s="14"/>
      <c r="N933" s="14"/>
      <c r="O933" s="14"/>
    </row>
    <row r="934" spans="1:16">
      <c r="B934" s="3"/>
      <c r="C934" s="3"/>
      <c r="E934" s="3"/>
      <c r="G934" s="3"/>
      <c r="H934" s="3"/>
      <c r="I934" s="3"/>
      <c r="J934" s="240">
        <f>+J931-J935</f>
        <v>4882050.280000031</v>
      </c>
    </row>
    <row r="935" spans="1:16">
      <c r="J935" s="6">
        <v>17472118.969999999</v>
      </c>
    </row>
    <row r="937" spans="1:16">
      <c r="F937" s="240"/>
      <c r="I937" s="215" t="s">
        <v>1664</v>
      </c>
      <c r="J937" s="215"/>
      <c r="K937" s="216"/>
      <c r="L937" s="216"/>
      <c r="M937" s="215"/>
      <c r="N937" s="217"/>
    </row>
    <row r="938" spans="1:16">
      <c r="F938" s="6"/>
      <c r="I938" s="215"/>
      <c r="J938" s="215"/>
      <c r="K938" s="216"/>
      <c r="L938" s="216"/>
      <c r="M938" s="215"/>
      <c r="N938" s="217"/>
    </row>
    <row r="939" spans="1:16">
      <c r="F939" s="240"/>
      <c r="I939" s="216" t="s">
        <v>1665</v>
      </c>
      <c r="J939" s="215" t="s">
        <v>1666</v>
      </c>
      <c r="K939" s="347" t="s">
        <v>1667</v>
      </c>
      <c r="L939" s="347"/>
      <c r="M939" s="347"/>
      <c r="N939" s="347"/>
    </row>
    <row r="940" spans="1:16">
      <c r="I940" s="216" t="s">
        <v>1668</v>
      </c>
      <c r="J940" s="215" t="s">
        <v>1669</v>
      </c>
      <c r="K940" s="347" t="s">
        <v>1670</v>
      </c>
      <c r="L940" s="347"/>
      <c r="M940" s="347"/>
      <c r="N940" s="347"/>
    </row>
    <row r="941" spans="1:16">
      <c r="I941" s="216" t="s">
        <v>1671</v>
      </c>
      <c r="J941" s="215" t="s">
        <v>1672</v>
      </c>
      <c r="K941" s="347" t="s">
        <v>1673</v>
      </c>
      <c r="L941" s="347"/>
      <c r="M941" s="347"/>
      <c r="N941" s="347"/>
    </row>
    <row r="942" spans="1:16">
      <c r="I942" s="216" t="s">
        <v>1674</v>
      </c>
      <c r="J942" s="215" t="s">
        <v>1675</v>
      </c>
      <c r="K942" s="347" t="s">
        <v>1676</v>
      </c>
      <c r="L942" s="347"/>
      <c r="M942" s="347"/>
      <c r="N942" s="347"/>
    </row>
    <row r="943" spans="1:16">
      <c r="I943" s="216" t="s">
        <v>1677</v>
      </c>
      <c r="J943" s="215" t="s">
        <v>1678</v>
      </c>
      <c r="K943" s="347" t="s">
        <v>1679</v>
      </c>
      <c r="L943" s="347"/>
      <c r="M943" s="347"/>
      <c r="N943" s="347"/>
    </row>
    <row r="944" spans="1:16">
      <c r="I944" s="216" t="s">
        <v>1680</v>
      </c>
      <c r="J944" s="215" t="s">
        <v>1681</v>
      </c>
      <c r="K944" s="347" t="s">
        <v>1682</v>
      </c>
      <c r="L944" s="347"/>
      <c r="M944" s="347"/>
      <c r="N944" s="347"/>
    </row>
    <row r="945" spans="9:21">
      <c r="I945" s="216" t="s">
        <v>1683</v>
      </c>
      <c r="J945" s="215" t="s">
        <v>1684</v>
      </c>
      <c r="K945" s="347" t="s">
        <v>1685</v>
      </c>
      <c r="L945" s="347"/>
      <c r="M945" s="347"/>
      <c r="N945" s="347"/>
    </row>
    <row r="946" spans="9:21">
      <c r="I946" s="216" t="s">
        <v>1686</v>
      </c>
      <c r="J946" s="215" t="s">
        <v>1687</v>
      </c>
      <c r="K946" s="347" t="s">
        <v>1688</v>
      </c>
      <c r="L946" s="347"/>
      <c r="M946" s="347"/>
      <c r="N946" s="347"/>
    </row>
    <row r="947" spans="9:21">
      <c r="I947" s="216" t="s">
        <v>1689</v>
      </c>
      <c r="J947" s="215" t="s">
        <v>1690</v>
      </c>
      <c r="K947" s="348" t="s">
        <v>1691</v>
      </c>
      <c r="L947" s="348"/>
      <c r="M947" s="348"/>
      <c r="N947" s="348"/>
    </row>
    <row r="948" spans="9:21">
      <c r="I948" s="215"/>
      <c r="J948" s="215"/>
      <c r="K948" s="216"/>
      <c r="L948" s="216"/>
      <c r="M948" s="215"/>
      <c r="N948" s="217"/>
    </row>
    <row r="949" spans="9:21" ht="48" customHeight="1">
      <c r="I949" s="346" t="s">
        <v>1692</v>
      </c>
      <c r="J949" s="346"/>
      <c r="K949" s="346"/>
      <c r="L949" s="346"/>
      <c r="M949" s="215"/>
      <c r="N949" s="217"/>
    </row>
    <row r="950" spans="9:21">
      <c r="I950" s="244"/>
      <c r="J950" s="244"/>
      <c r="K950" s="244"/>
      <c r="L950" s="244"/>
      <c r="M950" s="215"/>
      <c r="N950" s="217"/>
      <c r="U950" s="345"/>
    </row>
  </sheetData>
  <autoFilter ref="A4:O930">
    <sortState ref="A5:O596">
      <sortCondition ref="H5:H596"/>
      <sortCondition ref="I5:I596"/>
      <sortCondition ref="A5:A596"/>
      <sortCondition ref="C5:C596"/>
    </sortState>
  </autoFilter>
  <sortState ref="A5:O142">
    <sortCondition ref="I5:I142"/>
    <sortCondition ref="C5:C142"/>
    <sortCondition ref="A5:A142"/>
  </sortState>
  <mergeCells count="10">
    <mergeCell ref="I949:L949"/>
    <mergeCell ref="K945:N945"/>
    <mergeCell ref="K946:N946"/>
    <mergeCell ref="K947:N947"/>
    <mergeCell ref="K939:N939"/>
    <mergeCell ref="K940:N940"/>
    <mergeCell ref="K941:N941"/>
    <mergeCell ref="K942:N942"/>
    <mergeCell ref="K943:N943"/>
    <mergeCell ref="K944:N944"/>
  </mergeCells>
  <pageMargins left="0" right="0" top="0.25" bottom="0.25" header="0.3" footer="0.3"/>
  <pageSetup scale="35" fitToHeight="0" orientation="landscape" r:id="rId1"/>
</worksheet>
</file>

<file path=xl/worksheets/sheet20.xml><?xml version="1.0" encoding="utf-8"?>
<worksheet xmlns="http://schemas.openxmlformats.org/spreadsheetml/2006/main" xmlns:r="http://schemas.openxmlformats.org/officeDocument/2006/relationships">
  <dimension ref="A1:F21"/>
  <sheetViews>
    <sheetView workbookViewId="0">
      <selection activeCell="D13" sqref="D13"/>
    </sheetView>
  </sheetViews>
  <sheetFormatPr defaultRowHeight="15"/>
  <cols>
    <col min="1" max="1" width="13.7109375" customWidth="1"/>
    <col min="2" max="2" width="32.5703125" customWidth="1"/>
    <col min="3" max="3" width="3" customWidth="1"/>
    <col min="4" max="4" width="13.28515625" customWidth="1"/>
    <col min="5" max="5" width="2.85546875" customWidth="1"/>
    <col min="6" max="6" width="14" customWidth="1"/>
  </cols>
  <sheetData>
    <row r="1" spans="1:6">
      <c r="A1" s="269" t="s">
        <v>1548</v>
      </c>
      <c r="B1" s="269"/>
      <c r="C1" s="269"/>
      <c r="D1" s="269"/>
      <c r="E1" s="269"/>
      <c r="F1" s="269"/>
    </row>
    <row r="5" spans="1:6" ht="15.75" thickBot="1">
      <c r="A5" t="s">
        <v>2107</v>
      </c>
      <c r="D5" s="272">
        <f>+[4]MGE!J51</f>
        <v>120141488</v>
      </c>
    </row>
    <row r="6" spans="1:6" ht="15.75" thickTop="1"/>
    <row r="7" spans="1:6" ht="15.75" thickBot="1">
      <c r="A7" t="s">
        <v>1476</v>
      </c>
      <c r="D7" s="272">
        <f>+D5*D10</f>
        <v>9839256.129999999</v>
      </c>
    </row>
    <row r="8" spans="1:6" ht="15.75" thickTop="1"/>
    <row r="10" spans="1:6" ht="15.75" thickBot="1">
      <c r="A10" t="s">
        <v>2108</v>
      </c>
      <c r="D10" s="328">
        <f>+[4]MGE!K51</f>
        <v>8.1897238778996975E-2</v>
      </c>
    </row>
    <row r="11" spans="1:6" ht="15.75" thickTop="1"/>
    <row r="13" spans="1:6">
      <c r="A13" t="s">
        <v>2109</v>
      </c>
      <c r="D13" s="270">
        <v>28969821</v>
      </c>
    </row>
    <row r="14" spans="1:6">
      <c r="A14" t="s">
        <v>2110</v>
      </c>
      <c r="D14" s="273">
        <v>0.32</v>
      </c>
    </row>
    <row r="15" spans="1:6">
      <c r="A15" t="s">
        <v>2108</v>
      </c>
      <c r="D15" s="274">
        <f>+D10</f>
        <v>8.1897238778996975E-2</v>
      </c>
    </row>
    <row r="16" spans="1:6" ht="15.75" thickBot="1">
      <c r="A16" t="s">
        <v>2111</v>
      </c>
      <c r="D16" s="275">
        <f>+D13*D14*D15</f>
        <v>759215.47130297637</v>
      </c>
      <c r="F16" s="330"/>
    </row>
    <row r="17" spans="1:6" ht="15.75" thickTop="1">
      <c r="D17" s="276"/>
      <c r="F17" s="276"/>
    </row>
    <row r="18" spans="1:6">
      <c r="D18" s="276"/>
      <c r="F18" s="276"/>
    </row>
    <row r="20" spans="1:6" ht="106.5" customHeight="1">
      <c r="A20" s="377" t="s">
        <v>2112</v>
      </c>
      <c r="B20" s="377"/>
      <c r="C20" s="377"/>
      <c r="D20" s="377"/>
      <c r="E20" s="377"/>
      <c r="F20" s="377"/>
    </row>
    <row r="21" spans="1:6" ht="24" customHeight="1">
      <c r="A21" t="s">
        <v>2113</v>
      </c>
      <c r="B21" s="277" t="s">
        <v>2114</v>
      </c>
    </row>
  </sheetData>
  <mergeCells count="1">
    <mergeCell ref="A20:F20"/>
  </mergeCells>
  <hyperlinks>
    <hyperlink ref="B21" r:id="rId1"/>
  </hyperlinks>
  <printOptions horizontalCentered="1"/>
  <pageMargins left="0.7" right="0.7" top="0.75" bottom="0.75" header="0.3" footer="0.3"/>
  <pageSetup orientation="portrait" r:id="rId2"/>
  <legacyDrawing r:id="rId3"/>
</worksheet>
</file>

<file path=xl/worksheets/sheet21.xml><?xml version="1.0" encoding="utf-8"?>
<worksheet xmlns="http://schemas.openxmlformats.org/spreadsheetml/2006/main" xmlns:r="http://schemas.openxmlformats.org/officeDocument/2006/relationships">
  <sheetPr>
    <pageSetUpPr fitToPage="1"/>
  </sheetPr>
  <dimension ref="A1:P60"/>
  <sheetViews>
    <sheetView view="pageBreakPreview" topLeftCell="B1" zoomScaleNormal="100" zoomScaleSheetLayoutView="100" workbookViewId="0">
      <pane xSplit="3" ySplit="3" topLeftCell="E29" activePane="bottomRight" state="frozen"/>
      <selection activeCell="B1" sqref="B1"/>
      <selection pane="topRight" activeCell="E1" sqref="E1"/>
      <selection pane="bottomLeft" activeCell="B4" sqref="B4"/>
      <selection pane="bottomRight" activeCell="L51" sqref="L51"/>
    </sheetView>
  </sheetViews>
  <sheetFormatPr defaultRowHeight="15"/>
  <cols>
    <col min="2" max="2" width="31.42578125" bestFit="1" customWidth="1"/>
    <col min="3" max="3" width="0" hidden="1" customWidth="1"/>
    <col min="4" max="4" width="3.42578125" style="219" bestFit="1" customWidth="1"/>
    <col min="5" max="5" width="16.28515625" style="219" bestFit="1" customWidth="1"/>
    <col min="6" max="6" width="10.140625" style="288" customWidth="1"/>
    <col min="7" max="7" width="20.85546875" style="293" bestFit="1" customWidth="1"/>
    <col min="8" max="8" width="9.42578125" bestFit="1" customWidth="1"/>
    <col min="9" max="9" width="27.140625" bestFit="1" customWidth="1"/>
    <col min="10" max="10" width="18.7109375" style="220" bestFit="1" customWidth="1"/>
    <col min="11" max="11" width="11.85546875" customWidth="1"/>
    <col min="12" max="12" width="21.5703125" style="33" bestFit="1" customWidth="1"/>
    <col min="13" max="13" width="14.42578125" customWidth="1"/>
    <col min="14" max="14" width="13.140625" bestFit="1" customWidth="1"/>
    <col min="15" max="15" width="16.5703125" customWidth="1"/>
    <col min="16" max="16" width="14.7109375" customWidth="1"/>
  </cols>
  <sheetData>
    <row r="1" spans="1:14" ht="21">
      <c r="A1" s="278" t="s">
        <v>2115</v>
      </c>
      <c r="B1" s="278" t="s">
        <v>2116</v>
      </c>
      <c r="C1" s="278"/>
      <c r="D1" s="279"/>
      <c r="E1" s="279"/>
      <c r="F1" s="279"/>
      <c r="G1" s="278"/>
      <c r="H1" s="279"/>
      <c r="I1" s="279"/>
    </row>
    <row r="2" spans="1:14">
      <c r="D2" s="378">
        <v>2013</v>
      </c>
      <c r="E2" s="378"/>
      <c r="F2" s="378"/>
      <c r="G2" s="378"/>
      <c r="H2" s="123"/>
      <c r="I2" s="123"/>
      <c r="J2" s="379">
        <v>2014</v>
      </c>
      <c r="K2" s="379"/>
      <c r="L2" s="379"/>
    </row>
    <row r="3" spans="1:14" s="283" customFormat="1">
      <c r="A3" s="280" t="s">
        <v>2117</v>
      </c>
      <c r="B3" s="280" t="s">
        <v>2118</v>
      </c>
      <c r="C3" s="281"/>
      <c r="D3" s="280"/>
      <c r="E3" s="280" t="s">
        <v>2119</v>
      </c>
      <c r="F3" s="282" t="s">
        <v>2120</v>
      </c>
      <c r="G3" s="280" t="s">
        <v>2121</v>
      </c>
      <c r="I3" s="280" t="s">
        <v>2122</v>
      </c>
      <c r="J3" s="284" t="s">
        <v>2119</v>
      </c>
      <c r="K3" s="282" t="s">
        <v>2120</v>
      </c>
      <c r="L3" s="285" t="s">
        <v>2121</v>
      </c>
      <c r="M3" s="283" t="s">
        <v>2123</v>
      </c>
      <c r="N3" s="283" t="s">
        <v>2124</v>
      </c>
    </row>
    <row r="4" spans="1:14">
      <c r="A4" t="s">
        <v>2125</v>
      </c>
      <c r="B4" t="s">
        <v>2126</v>
      </c>
      <c r="D4" s="286"/>
      <c r="E4" s="287">
        <v>5000</v>
      </c>
      <c r="F4" s="288" t="e">
        <f>G4/D4</f>
        <v>#DIV/0!</v>
      </c>
      <c r="G4" s="289">
        <v>0</v>
      </c>
      <c r="H4" t="s">
        <v>1665</v>
      </c>
      <c r="J4" s="290">
        <v>0</v>
      </c>
      <c r="K4">
        <v>0</v>
      </c>
      <c r="L4" s="33">
        <v>0</v>
      </c>
      <c r="M4">
        <v>0</v>
      </c>
      <c r="N4">
        <v>0</v>
      </c>
    </row>
    <row r="5" spans="1:14">
      <c r="D5" s="291"/>
      <c r="E5" s="287"/>
      <c r="G5" s="289"/>
      <c r="J5" s="290"/>
    </row>
    <row r="6" spans="1:14">
      <c r="B6" t="s">
        <v>2127</v>
      </c>
      <c r="D6" s="291"/>
      <c r="E6" s="287"/>
      <c r="G6" s="289"/>
      <c r="J6" s="290">
        <v>173770</v>
      </c>
      <c r="K6" s="271">
        <f t="shared" ref="K6" si="0">ROUND(L6/J6,5)</f>
        <v>2.743E-2</v>
      </c>
      <c r="L6" s="292">
        <v>4766.4399999999996</v>
      </c>
    </row>
    <row r="7" spans="1:14">
      <c r="D7" s="291"/>
      <c r="K7" s="271"/>
    </row>
    <row r="8" spans="1:14">
      <c r="A8" t="s">
        <v>2128</v>
      </c>
      <c r="B8" t="s">
        <v>2129</v>
      </c>
      <c r="D8" s="291"/>
      <c r="E8" s="287"/>
      <c r="F8" s="288">
        <v>0</v>
      </c>
      <c r="G8" s="289">
        <f>D8*F8</f>
        <v>0</v>
      </c>
      <c r="H8" t="s">
        <v>1677</v>
      </c>
      <c r="I8" s="294" t="s">
        <v>2130</v>
      </c>
      <c r="K8" s="271"/>
    </row>
    <row r="9" spans="1:14">
      <c r="A9" t="s">
        <v>2128</v>
      </c>
      <c r="B9" t="s">
        <v>2131</v>
      </c>
      <c r="D9" s="291"/>
      <c r="E9" s="287"/>
      <c r="F9" s="288">
        <v>0</v>
      </c>
      <c r="G9" s="289">
        <f>D9*F9</f>
        <v>0</v>
      </c>
      <c r="H9" t="s">
        <v>1677</v>
      </c>
      <c r="I9" s="294" t="s">
        <v>2130</v>
      </c>
      <c r="K9" s="271"/>
    </row>
    <row r="10" spans="1:14">
      <c r="A10" t="s">
        <v>2128</v>
      </c>
      <c r="B10" t="s">
        <v>2132</v>
      </c>
      <c r="D10" s="291"/>
      <c r="E10" s="287">
        <v>49335</v>
      </c>
      <c r="F10" s="288">
        <f>G10/E10</f>
        <v>0.18035917705482923</v>
      </c>
      <c r="G10" s="289">
        <v>8898.02</v>
      </c>
      <c r="H10" t="s">
        <v>1665</v>
      </c>
      <c r="I10" s="294"/>
      <c r="J10" s="290">
        <v>52203</v>
      </c>
      <c r="K10" s="271">
        <f t="shared" ref="K10" si="1">ROUND(L10/J10,5)</f>
        <v>0.17813000000000001</v>
      </c>
      <c r="L10" s="292">
        <v>9299.08</v>
      </c>
      <c r="M10" s="295">
        <f>ROUND(J10/E10,2)</f>
        <v>1.06</v>
      </c>
      <c r="N10" s="295">
        <f>ROUND(L10/G10,2)</f>
        <v>1.05</v>
      </c>
    </row>
    <row r="11" spans="1:14">
      <c r="A11" t="s">
        <v>2128</v>
      </c>
      <c r="B11" t="s">
        <v>2133</v>
      </c>
      <c r="D11" s="291"/>
      <c r="E11" s="287"/>
      <c r="F11" s="288">
        <v>0</v>
      </c>
      <c r="G11" s="289">
        <v>0</v>
      </c>
      <c r="H11" t="s">
        <v>1677</v>
      </c>
      <c r="I11" s="294" t="s">
        <v>2130</v>
      </c>
    </row>
    <row r="12" spans="1:14">
      <c r="A12" t="s">
        <v>2128</v>
      </c>
      <c r="B12" t="s">
        <v>2134</v>
      </c>
      <c r="D12" s="291"/>
      <c r="E12" s="287"/>
      <c r="F12" s="288">
        <v>0</v>
      </c>
      <c r="G12" s="289">
        <v>0</v>
      </c>
      <c r="H12" t="s">
        <v>1677</v>
      </c>
      <c r="I12" s="294" t="s">
        <v>2130</v>
      </c>
    </row>
    <row r="13" spans="1:14">
      <c r="A13" t="s">
        <v>2128</v>
      </c>
      <c r="B13" t="s">
        <v>2135</v>
      </c>
      <c r="D13" s="291"/>
      <c r="E13" s="287"/>
      <c r="F13" s="288">
        <v>0</v>
      </c>
      <c r="G13" s="289">
        <v>0</v>
      </c>
      <c r="H13" t="s">
        <v>1677</v>
      </c>
      <c r="I13" s="294" t="s">
        <v>2130</v>
      </c>
    </row>
    <row r="14" spans="1:14">
      <c r="A14" t="s">
        <v>2128</v>
      </c>
      <c r="B14" t="s">
        <v>2136</v>
      </c>
      <c r="D14" s="291"/>
      <c r="E14" s="287"/>
      <c r="F14" s="288">
        <v>0</v>
      </c>
      <c r="G14" s="289">
        <v>0</v>
      </c>
      <c r="H14" t="s">
        <v>1677</v>
      </c>
      <c r="I14" s="294" t="s">
        <v>2130</v>
      </c>
    </row>
    <row r="15" spans="1:14">
      <c r="A15" t="s">
        <v>2128</v>
      </c>
      <c r="B15" t="s">
        <v>2137</v>
      </c>
      <c r="D15" s="291"/>
      <c r="E15" s="287"/>
      <c r="F15" s="288">
        <v>0</v>
      </c>
      <c r="G15" s="289">
        <v>0</v>
      </c>
      <c r="H15" t="s">
        <v>1677</v>
      </c>
      <c r="I15" s="294" t="s">
        <v>2130</v>
      </c>
    </row>
    <row r="16" spans="1:14">
      <c r="A16" t="s">
        <v>2128</v>
      </c>
      <c r="B16" t="s">
        <v>2138</v>
      </c>
      <c r="D16" s="291"/>
      <c r="E16" s="287"/>
      <c r="F16" s="288">
        <v>0</v>
      </c>
      <c r="G16" s="289">
        <v>0</v>
      </c>
      <c r="H16" t="s">
        <v>1677</v>
      </c>
      <c r="I16" s="294" t="s">
        <v>2130</v>
      </c>
    </row>
    <row r="17" spans="1:16">
      <c r="A17" t="s">
        <v>2128</v>
      </c>
      <c r="B17" t="s">
        <v>2139</v>
      </c>
      <c r="D17" s="291"/>
      <c r="E17" s="296"/>
      <c r="F17" s="288">
        <v>0</v>
      </c>
      <c r="G17" s="297">
        <v>0</v>
      </c>
      <c r="H17" t="s">
        <v>1677</v>
      </c>
      <c r="I17" s="294" t="s">
        <v>2130</v>
      </c>
    </row>
    <row r="18" spans="1:16">
      <c r="D18" s="291"/>
      <c r="E18" s="219">
        <f>SUM(E8:E17)</f>
        <v>49335</v>
      </c>
      <c r="G18" s="293">
        <f>SUM(G8:G17)</f>
        <v>8898.02</v>
      </c>
    </row>
    <row r="19" spans="1:16">
      <c r="D19" s="291"/>
    </row>
    <row r="20" spans="1:16">
      <c r="A20" t="s">
        <v>2140</v>
      </c>
      <c r="B20" s="218" t="s">
        <v>2141</v>
      </c>
      <c r="D20" s="291"/>
      <c r="E20" s="298">
        <v>418290</v>
      </c>
      <c r="F20" s="299">
        <v>6.472E-2</v>
      </c>
      <c r="G20" s="300">
        <v>27072.44</v>
      </c>
      <c r="H20" t="s">
        <v>1665</v>
      </c>
      <c r="J20" s="298">
        <v>385970</v>
      </c>
      <c r="K20" s="271">
        <f t="shared" ref="K20:K50" si="2">ROUND(L20/J20,5)</f>
        <v>6.4240000000000005E-2</v>
      </c>
      <c r="L20" s="300">
        <v>24794.799999999999</v>
      </c>
      <c r="M20" s="295">
        <f>ROUND(J20/E20,2)</f>
        <v>0.92</v>
      </c>
      <c r="N20" s="295">
        <f>ROUND(L20/G20,2)</f>
        <v>0.92</v>
      </c>
      <c r="O20" s="301"/>
    </row>
    <row r="21" spans="1:16">
      <c r="A21" t="s">
        <v>2140</v>
      </c>
      <c r="B21" s="218" t="s">
        <v>2142</v>
      </c>
      <c r="D21" s="291"/>
      <c r="E21" s="287">
        <v>6661910</v>
      </c>
      <c r="F21" s="299">
        <v>4.6240000000000003E-2</v>
      </c>
      <c r="G21" s="292">
        <v>308039.51</v>
      </c>
      <c r="H21" t="s">
        <v>1665</v>
      </c>
      <c r="J21" s="290">
        <f>2405530+1635517</f>
        <v>4041047</v>
      </c>
      <c r="K21" s="271">
        <f t="shared" si="2"/>
        <v>4.6800000000000001E-2</v>
      </c>
      <c r="L21" s="292">
        <v>189101.59</v>
      </c>
      <c r="M21" s="295">
        <f t="shared" ref="M21:M51" si="3">ROUND(J21/E21,2)</f>
        <v>0.61</v>
      </c>
      <c r="N21" s="295">
        <f t="shared" ref="N21:N51" si="4">ROUND(L21/G21,2)</f>
        <v>0.61</v>
      </c>
      <c r="O21" s="301"/>
    </row>
    <row r="22" spans="1:16">
      <c r="A22" t="s">
        <v>2140</v>
      </c>
      <c r="B22" s="218" t="s">
        <v>2143</v>
      </c>
      <c r="D22" s="291"/>
      <c r="E22" s="287">
        <v>679840</v>
      </c>
      <c r="F22" s="299">
        <v>5.9429999999999997E-2</v>
      </c>
      <c r="G22" s="292">
        <v>40402.78</v>
      </c>
      <c r="H22" t="s">
        <v>1665</v>
      </c>
      <c r="J22" s="290">
        <f>151220+5500</f>
        <v>156720</v>
      </c>
      <c r="K22" s="271">
        <f t="shared" si="2"/>
        <v>5.9889999999999999E-2</v>
      </c>
      <c r="L22" s="292">
        <v>9386.51</v>
      </c>
      <c r="M22" s="295">
        <f t="shared" si="3"/>
        <v>0.23</v>
      </c>
      <c r="N22" s="295">
        <f t="shared" si="4"/>
        <v>0.23</v>
      </c>
      <c r="O22" s="301"/>
    </row>
    <row r="23" spans="1:16">
      <c r="A23" t="s">
        <v>2140</v>
      </c>
      <c r="B23" s="302" t="s">
        <v>2144</v>
      </c>
      <c r="D23" s="291" t="s">
        <v>2145</v>
      </c>
      <c r="E23" s="287">
        <v>22308</v>
      </c>
      <c r="F23" s="299">
        <v>7.4740000000000001E-2</v>
      </c>
      <c r="G23" s="292">
        <v>1667.29</v>
      </c>
      <c r="H23" t="s">
        <v>1665</v>
      </c>
      <c r="J23" s="290">
        <v>23940</v>
      </c>
      <c r="K23" s="271">
        <f t="shared" si="2"/>
        <v>7.4179999999999996E-2</v>
      </c>
      <c r="L23" s="292">
        <f>1617.69+158.15</f>
        <v>1775.8400000000001</v>
      </c>
      <c r="M23" s="295">
        <f t="shared" si="3"/>
        <v>1.07</v>
      </c>
      <c r="N23" s="295">
        <f t="shared" si="4"/>
        <v>1.07</v>
      </c>
      <c r="O23" s="301"/>
    </row>
    <row r="24" spans="1:16">
      <c r="A24" t="s">
        <v>2140</v>
      </c>
      <c r="B24" s="218" t="s">
        <v>2146</v>
      </c>
      <c r="D24" s="291"/>
      <c r="E24" s="287">
        <v>5738640</v>
      </c>
      <c r="F24" s="299">
        <v>6.8930000000000005E-2</v>
      </c>
      <c r="G24" s="292">
        <v>395579.22</v>
      </c>
      <c r="H24" t="s">
        <v>1665</v>
      </c>
      <c r="J24" s="290">
        <f>5668350+1371440</f>
        <v>7039790</v>
      </c>
      <c r="K24" s="271">
        <f>ROUND(L24/J24,5)</f>
        <v>6.9019999999999998E-2</v>
      </c>
      <c r="L24" s="292">
        <v>485876.15</v>
      </c>
      <c r="M24" s="295">
        <f t="shared" si="3"/>
        <v>1.23</v>
      </c>
      <c r="N24" s="295">
        <f t="shared" si="4"/>
        <v>1.23</v>
      </c>
      <c r="O24" s="303"/>
      <c r="P24" s="304"/>
    </row>
    <row r="25" spans="1:16">
      <c r="A25" t="s">
        <v>2140</v>
      </c>
      <c r="B25" s="302" t="s">
        <v>2147</v>
      </c>
      <c r="D25" s="291" t="s">
        <v>2145</v>
      </c>
      <c r="E25" s="287">
        <v>278090</v>
      </c>
      <c r="F25" s="299">
        <v>7.9409999999999994E-2</v>
      </c>
      <c r="G25" s="292">
        <v>22082.760000000002</v>
      </c>
      <c r="H25" t="s">
        <v>1665</v>
      </c>
      <c r="J25" s="290">
        <v>272710</v>
      </c>
      <c r="K25" s="271">
        <f t="shared" si="2"/>
        <v>8.0049999999999996E-2</v>
      </c>
      <c r="L25" s="292">
        <f>18254.12+3577.17</f>
        <v>21831.29</v>
      </c>
      <c r="M25" s="295">
        <f t="shared" si="3"/>
        <v>0.98</v>
      </c>
      <c r="N25" s="295">
        <f t="shared" si="4"/>
        <v>0.99</v>
      </c>
      <c r="O25" s="301"/>
    </row>
    <row r="26" spans="1:16">
      <c r="A26" t="s">
        <v>2140</v>
      </c>
      <c r="B26" s="218" t="s">
        <v>2148</v>
      </c>
      <c r="D26" s="291"/>
      <c r="E26" s="287">
        <v>5073796.8600000003</v>
      </c>
      <c r="F26" s="299">
        <v>8.1369999999999998E-2</v>
      </c>
      <c r="G26" s="292">
        <v>412860.15</v>
      </c>
      <c r="H26" t="s">
        <v>1665</v>
      </c>
      <c r="J26" s="290">
        <f>4610980+417980</f>
        <v>5028960</v>
      </c>
      <c r="K26" s="271">
        <f t="shared" si="2"/>
        <v>8.1879999999999994E-2</v>
      </c>
      <c r="L26" s="292">
        <v>411795.61</v>
      </c>
      <c r="M26" s="295">
        <f t="shared" si="3"/>
        <v>0.99</v>
      </c>
      <c r="N26" s="295">
        <f t="shared" si="4"/>
        <v>1</v>
      </c>
      <c r="O26" s="301"/>
    </row>
    <row r="27" spans="1:16">
      <c r="A27" t="s">
        <v>2140</v>
      </c>
      <c r="B27" s="302" t="s">
        <v>2149</v>
      </c>
      <c r="D27" s="291" t="s">
        <v>2150</v>
      </c>
      <c r="E27" s="287">
        <v>902651</v>
      </c>
      <c r="F27" s="299">
        <v>5.885E-2</v>
      </c>
      <c r="G27" s="292">
        <v>53120</v>
      </c>
      <c r="H27" t="s">
        <v>1665</v>
      </c>
      <c r="J27" s="290">
        <f>582890+77809+6830</f>
        <v>667529</v>
      </c>
      <c r="K27" s="271">
        <f t="shared" si="2"/>
        <v>6.0650000000000003E-2</v>
      </c>
      <c r="L27" s="305">
        <f>34572.69+4727.45+1185.19</f>
        <v>40485.33</v>
      </c>
      <c r="M27" s="295">
        <f t="shared" si="3"/>
        <v>0.74</v>
      </c>
      <c r="N27" s="295">
        <f t="shared" si="4"/>
        <v>0.76</v>
      </c>
      <c r="O27" s="301"/>
    </row>
    <row r="28" spans="1:16">
      <c r="A28" t="s">
        <v>2140</v>
      </c>
      <c r="B28" s="218" t="s">
        <v>2151</v>
      </c>
      <c r="D28" s="291"/>
      <c r="E28" s="287">
        <v>3592852</v>
      </c>
      <c r="F28" s="299">
        <v>6.0900000000000003E-2</v>
      </c>
      <c r="G28" s="292">
        <v>218787.9</v>
      </c>
      <c r="H28" t="s">
        <v>1665</v>
      </c>
      <c r="J28" s="290">
        <f>3187310+939120</f>
        <v>4126430</v>
      </c>
      <c r="K28" s="271">
        <f t="shared" si="2"/>
        <v>6.0229999999999999E-2</v>
      </c>
      <c r="L28" s="292">
        <v>248541.41</v>
      </c>
      <c r="M28" s="295">
        <f t="shared" si="3"/>
        <v>1.1499999999999999</v>
      </c>
      <c r="N28" s="295">
        <f t="shared" si="4"/>
        <v>1.1399999999999999</v>
      </c>
      <c r="O28" s="303"/>
      <c r="P28" s="304"/>
    </row>
    <row r="29" spans="1:16">
      <c r="A29" t="s">
        <v>2140</v>
      </c>
      <c r="B29" s="218" t="s">
        <v>2152</v>
      </c>
      <c r="D29" s="291"/>
      <c r="E29" s="287">
        <v>18481405</v>
      </c>
      <c r="F29" s="299">
        <v>8.8190000000000004E-2</v>
      </c>
      <c r="G29" s="292">
        <v>1629815.52</v>
      </c>
      <c r="H29" t="s">
        <v>1665</v>
      </c>
      <c r="J29" s="290">
        <f>12440680+3774140</f>
        <v>16214820</v>
      </c>
      <c r="K29" s="271">
        <f t="shared" si="2"/>
        <v>9.2079999999999995E-2</v>
      </c>
      <c r="L29" s="292">
        <v>1493134.45</v>
      </c>
      <c r="M29" s="295">
        <f t="shared" si="3"/>
        <v>0.88</v>
      </c>
      <c r="N29" s="295">
        <f t="shared" si="4"/>
        <v>0.92</v>
      </c>
      <c r="O29" s="301"/>
    </row>
    <row r="30" spans="1:16">
      <c r="A30" t="s">
        <v>2140</v>
      </c>
      <c r="B30" s="302" t="s">
        <v>2153</v>
      </c>
      <c r="D30" s="291" t="s">
        <v>2145</v>
      </c>
      <c r="E30" s="287">
        <v>1429030</v>
      </c>
      <c r="F30" s="299">
        <v>7.1419999999999997E-2</v>
      </c>
      <c r="G30" s="292">
        <v>102056.69</v>
      </c>
      <c r="H30" t="s">
        <v>1665</v>
      </c>
      <c r="J30" s="290">
        <f>1057790+479480</f>
        <v>1537270</v>
      </c>
      <c r="K30" s="271">
        <f t="shared" si="2"/>
        <v>7.1559999999999999E-2</v>
      </c>
      <c r="L30" s="292">
        <f>109655.23+356.01</f>
        <v>110011.23999999999</v>
      </c>
      <c r="M30" s="295">
        <f t="shared" si="3"/>
        <v>1.08</v>
      </c>
      <c r="N30" s="295">
        <f t="shared" si="4"/>
        <v>1.08</v>
      </c>
      <c r="O30" s="301"/>
    </row>
    <row r="31" spans="1:16">
      <c r="A31" t="s">
        <v>2140</v>
      </c>
      <c r="B31" s="218" t="s">
        <v>2154</v>
      </c>
      <c r="D31" s="291"/>
      <c r="E31" s="287">
        <v>32797</v>
      </c>
      <c r="F31" s="299">
        <v>7.5469999999999995E-2</v>
      </c>
      <c r="G31" s="292">
        <v>2475.23</v>
      </c>
      <c r="H31" t="s">
        <v>1665</v>
      </c>
      <c r="J31" s="290">
        <f>30080+488</f>
        <v>30568</v>
      </c>
      <c r="K31" s="271">
        <f t="shared" si="2"/>
        <v>7.8450000000000006E-2</v>
      </c>
      <c r="L31" s="292">
        <v>2398.0300000000002</v>
      </c>
      <c r="M31" s="295">
        <f t="shared" si="3"/>
        <v>0.93</v>
      </c>
      <c r="N31" s="295">
        <f t="shared" si="4"/>
        <v>0.97</v>
      </c>
      <c r="O31" s="303"/>
      <c r="P31" s="304"/>
    </row>
    <row r="32" spans="1:16">
      <c r="A32" t="s">
        <v>2140</v>
      </c>
      <c r="B32" s="302" t="s">
        <v>2155</v>
      </c>
      <c r="D32" s="291" t="s">
        <v>2145</v>
      </c>
      <c r="E32" s="287">
        <v>330190</v>
      </c>
      <c r="F32" s="299">
        <v>5.2330000000000002E-2</v>
      </c>
      <c r="G32" s="292">
        <v>17279.95</v>
      </c>
      <c r="H32" t="s">
        <v>1665</v>
      </c>
      <c r="J32" s="290">
        <f>175220+10584</f>
        <v>185804</v>
      </c>
      <c r="K32" s="271">
        <f t="shared" si="2"/>
        <v>5.4489999999999997E-2</v>
      </c>
      <c r="L32" s="292">
        <f>9676.05+448.28</f>
        <v>10124.33</v>
      </c>
      <c r="M32" s="295">
        <f t="shared" si="3"/>
        <v>0.56000000000000005</v>
      </c>
      <c r="N32" s="295">
        <f t="shared" si="4"/>
        <v>0.59</v>
      </c>
      <c r="O32" s="301"/>
    </row>
    <row r="33" spans="1:16">
      <c r="A33" t="s">
        <v>2140</v>
      </c>
      <c r="B33" s="302" t="s">
        <v>2156</v>
      </c>
      <c r="D33" s="291" t="s">
        <v>2145</v>
      </c>
      <c r="E33" s="287">
        <v>287580</v>
      </c>
      <c r="F33" s="299">
        <v>8.3320000000000005E-2</v>
      </c>
      <c r="G33" s="292">
        <v>23960.489999999998</v>
      </c>
      <c r="H33" t="s">
        <v>1665</v>
      </c>
      <c r="J33" s="290">
        <v>281830</v>
      </c>
      <c r="K33" s="271">
        <f t="shared" si="2"/>
        <v>8.7720000000000006E-2</v>
      </c>
      <c r="L33" s="292">
        <f>18737.79+5984.31</f>
        <v>24722.100000000002</v>
      </c>
      <c r="M33" s="295">
        <f t="shared" si="3"/>
        <v>0.98</v>
      </c>
      <c r="N33" s="295">
        <f t="shared" si="4"/>
        <v>1.03</v>
      </c>
      <c r="O33" s="301"/>
    </row>
    <row r="34" spans="1:16">
      <c r="A34" t="s">
        <v>2140</v>
      </c>
      <c r="B34" s="218" t="s">
        <v>2157</v>
      </c>
      <c r="D34" s="291"/>
      <c r="E34" s="287">
        <v>2529050</v>
      </c>
      <c r="F34" s="299">
        <v>6.5310000000000007E-2</v>
      </c>
      <c r="G34" s="292">
        <v>165170.35</v>
      </c>
      <c r="H34" t="s">
        <v>1665</v>
      </c>
      <c r="J34" s="290">
        <f>1075350+172950</f>
        <v>1248300</v>
      </c>
      <c r="K34" s="271">
        <f t="shared" si="2"/>
        <v>7.6020000000000004E-2</v>
      </c>
      <c r="L34" s="292">
        <v>94900.53</v>
      </c>
      <c r="M34" s="295">
        <f t="shared" si="3"/>
        <v>0.49</v>
      </c>
      <c r="N34" s="295">
        <f t="shared" si="4"/>
        <v>0.56999999999999995</v>
      </c>
      <c r="O34" s="303"/>
      <c r="P34" s="304"/>
    </row>
    <row r="35" spans="1:16">
      <c r="A35" t="s">
        <v>2140</v>
      </c>
      <c r="B35" s="218" t="s">
        <v>2158</v>
      </c>
      <c r="D35" s="291"/>
      <c r="E35" s="287">
        <v>145115</v>
      </c>
      <c r="F35" s="299">
        <v>5.6809999999999999E-2</v>
      </c>
      <c r="G35" s="292">
        <v>8244.56</v>
      </c>
      <c r="H35" t="s">
        <v>1665</v>
      </c>
      <c r="J35" s="290">
        <f>138980+7919</f>
        <v>146899</v>
      </c>
      <c r="K35" s="271">
        <f t="shared" si="2"/>
        <v>4.8759999999999998E-2</v>
      </c>
      <c r="L35" s="292">
        <v>7162.91</v>
      </c>
      <c r="M35" s="295">
        <f t="shared" si="3"/>
        <v>1.01</v>
      </c>
      <c r="N35" s="295">
        <f t="shared" si="4"/>
        <v>0.87</v>
      </c>
      <c r="O35" s="301"/>
    </row>
    <row r="36" spans="1:16">
      <c r="A36" t="s">
        <v>2140</v>
      </c>
      <c r="B36" s="218" t="s">
        <v>2159</v>
      </c>
      <c r="D36" s="291"/>
      <c r="E36" s="287">
        <v>422852</v>
      </c>
      <c r="F36" s="299">
        <v>7.1569999999999995E-2</v>
      </c>
      <c r="G36" s="292">
        <v>30262.74</v>
      </c>
      <c r="H36" t="s">
        <v>1665</v>
      </c>
      <c r="J36" s="290">
        <f>375540+90977</f>
        <v>466517</v>
      </c>
      <c r="K36" s="271">
        <f t="shared" si="2"/>
        <v>7.1309999999999998E-2</v>
      </c>
      <c r="L36" s="292">
        <v>33268.5</v>
      </c>
      <c r="M36" s="295">
        <f t="shared" si="3"/>
        <v>1.1000000000000001</v>
      </c>
      <c r="N36" s="295">
        <f t="shared" si="4"/>
        <v>1.1000000000000001</v>
      </c>
      <c r="O36" s="303"/>
      <c r="P36" s="304"/>
    </row>
    <row r="37" spans="1:16" s="294" customFormat="1">
      <c r="A37" s="294" t="s">
        <v>2140</v>
      </c>
      <c r="B37" s="306" t="s">
        <v>2160</v>
      </c>
      <c r="C37" s="307"/>
      <c r="D37" s="308" t="s">
        <v>2150</v>
      </c>
      <c r="E37" s="287">
        <v>59568942</v>
      </c>
      <c r="F37" s="299">
        <v>9.2200000000000004E-2</v>
      </c>
      <c r="G37" s="292">
        <v>5492495.8399999999</v>
      </c>
      <c r="H37" s="307" t="s">
        <v>1665</v>
      </c>
      <c r="J37" s="309">
        <f>41099914+13358522+7246+644</f>
        <v>54466326</v>
      </c>
      <c r="K37" s="310">
        <f t="shared" si="2"/>
        <v>9.3450000000000005E-2</v>
      </c>
      <c r="L37" s="305">
        <f>5089217.29+685.9+138.72</f>
        <v>5090041.91</v>
      </c>
      <c r="M37" s="311">
        <f t="shared" si="3"/>
        <v>0.91</v>
      </c>
      <c r="N37" s="311">
        <f t="shared" si="4"/>
        <v>0.93</v>
      </c>
      <c r="O37" s="312"/>
      <c r="P37" s="313"/>
    </row>
    <row r="38" spans="1:16">
      <c r="A38" t="s">
        <v>2140</v>
      </c>
      <c r="B38" s="302" t="s">
        <v>2161</v>
      </c>
      <c r="D38" s="291" t="s">
        <v>2145</v>
      </c>
      <c r="E38" s="287">
        <v>16312920</v>
      </c>
      <c r="F38" s="299">
        <v>5.339E-2</v>
      </c>
      <c r="G38" s="292">
        <v>870926.47</v>
      </c>
      <c r="H38" t="s">
        <v>1665</v>
      </c>
      <c r="J38" s="290">
        <f>7052750+1883260</f>
        <v>8936010</v>
      </c>
      <c r="K38" s="271">
        <f t="shared" si="2"/>
        <v>5.3920000000000003E-2</v>
      </c>
      <c r="L38" s="292">
        <f>478523.92+3342.13</f>
        <v>481866.05</v>
      </c>
      <c r="M38" s="295">
        <f t="shared" si="3"/>
        <v>0.55000000000000004</v>
      </c>
      <c r="N38" s="295">
        <f t="shared" si="4"/>
        <v>0.55000000000000004</v>
      </c>
      <c r="O38" s="301"/>
    </row>
    <row r="39" spans="1:16">
      <c r="A39" t="s">
        <v>2140</v>
      </c>
      <c r="B39" s="218" t="s">
        <v>2162</v>
      </c>
      <c r="D39" s="291"/>
      <c r="E39" s="287">
        <v>1872280</v>
      </c>
      <c r="F39" s="299">
        <v>6.5049999999999997E-2</v>
      </c>
      <c r="G39" s="292">
        <v>121788.54</v>
      </c>
      <c r="H39" t="s">
        <v>1665</v>
      </c>
      <c r="J39" s="290">
        <f>1302030+674102</f>
        <v>1976132</v>
      </c>
      <c r="K39" s="271">
        <f t="shared" si="2"/>
        <v>7.3020000000000002E-2</v>
      </c>
      <c r="L39" s="292">
        <v>144293.38</v>
      </c>
      <c r="M39" s="295">
        <f t="shared" si="3"/>
        <v>1.06</v>
      </c>
      <c r="N39" s="295">
        <f t="shared" si="4"/>
        <v>1.18</v>
      </c>
      <c r="O39" s="303"/>
      <c r="P39" s="304"/>
    </row>
    <row r="40" spans="1:16">
      <c r="A40" t="s">
        <v>2140</v>
      </c>
      <c r="B40" s="302" t="s">
        <v>2163</v>
      </c>
      <c r="D40" s="291" t="s">
        <v>2145</v>
      </c>
      <c r="E40" s="287">
        <v>789860</v>
      </c>
      <c r="F40" s="299">
        <v>7.2709999999999997E-2</v>
      </c>
      <c r="G40" s="292">
        <v>57428.85</v>
      </c>
      <c r="H40" t="s">
        <v>1665</v>
      </c>
      <c r="J40" s="290">
        <f>719528+55110</f>
        <v>774638</v>
      </c>
      <c r="K40" s="271">
        <f t="shared" si="2"/>
        <v>7.3319999999999996E-2</v>
      </c>
      <c r="L40" s="292">
        <f>54419.65+2375.8</f>
        <v>56795.450000000004</v>
      </c>
      <c r="M40" s="295">
        <f t="shared" si="3"/>
        <v>0.98</v>
      </c>
      <c r="N40" s="295">
        <f t="shared" si="4"/>
        <v>0.99</v>
      </c>
      <c r="O40" s="301"/>
    </row>
    <row r="41" spans="1:16">
      <c r="A41" t="s">
        <v>2140</v>
      </c>
      <c r="B41" s="302" t="s">
        <v>2164</v>
      </c>
      <c r="D41" s="291" t="s">
        <v>2145</v>
      </c>
      <c r="E41" s="287">
        <v>1896290</v>
      </c>
      <c r="F41" s="299">
        <v>5.33E-2</v>
      </c>
      <c r="G41" s="292">
        <v>101076.01</v>
      </c>
      <c r="H41" t="s">
        <v>1665</v>
      </c>
      <c r="J41" s="290">
        <f>1297350+231640</f>
        <v>1528990</v>
      </c>
      <c r="K41" s="271">
        <f t="shared" si="2"/>
        <v>5.3100000000000001E-2</v>
      </c>
      <c r="L41" s="292">
        <f>77535.67+3649.02</f>
        <v>81184.69</v>
      </c>
      <c r="M41" s="295">
        <f t="shared" si="3"/>
        <v>0.81</v>
      </c>
      <c r="N41" s="295">
        <f t="shared" si="4"/>
        <v>0.8</v>
      </c>
      <c r="O41" s="303"/>
      <c r="P41" s="304"/>
    </row>
    <row r="42" spans="1:16">
      <c r="A42" t="s">
        <v>2140</v>
      </c>
      <c r="B42" s="302" t="s">
        <v>2165</v>
      </c>
      <c r="D42" s="291" t="s">
        <v>2145</v>
      </c>
      <c r="E42" s="287">
        <v>1021399</v>
      </c>
      <c r="F42" s="299">
        <v>4.5900000000000003E-2</v>
      </c>
      <c r="G42" s="292">
        <v>46878.89</v>
      </c>
      <c r="H42" t="s">
        <v>1665</v>
      </c>
      <c r="J42" s="290">
        <f>853880+187299</f>
        <v>1041179</v>
      </c>
      <c r="K42" s="271">
        <f t="shared" si="2"/>
        <v>4.4909999999999999E-2</v>
      </c>
      <c r="L42" s="292">
        <f>43123.77+3633.27</f>
        <v>46757.039999999994</v>
      </c>
      <c r="M42" s="295">
        <f t="shared" si="3"/>
        <v>1.02</v>
      </c>
      <c r="N42" s="295">
        <f t="shared" si="4"/>
        <v>1</v>
      </c>
      <c r="O42" s="301"/>
    </row>
    <row r="43" spans="1:16">
      <c r="A43" t="s">
        <v>2140</v>
      </c>
      <c r="B43" s="218" t="s">
        <v>2166</v>
      </c>
      <c r="D43" s="291"/>
      <c r="E43" s="287">
        <v>91961</v>
      </c>
      <c r="F43" s="299">
        <v>6.1019999999999998E-2</v>
      </c>
      <c r="G43" s="292">
        <v>5611.83</v>
      </c>
      <c r="H43" t="s">
        <v>1665</v>
      </c>
      <c r="J43" s="290">
        <f>106100+8703</f>
        <v>114803</v>
      </c>
      <c r="K43" s="271">
        <f t="shared" si="2"/>
        <v>6.2859999999999999E-2</v>
      </c>
      <c r="L43" s="292">
        <v>7216.03</v>
      </c>
      <c r="M43" s="295">
        <f t="shared" si="3"/>
        <v>1.25</v>
      </c>
      <c r="N43" s="295">
        <f t="shared" si="4"/>
        <v>1.29</v>
      </c>
      <c r="O43" s="301"/>
    </row>
    <row r="44" spans="1:16">
      <c r="A44" t="s">
        <v>2140</v>
      </c>
      <c r="B44" s="302" t="s">
        <v>2167</v>
      </c>
      <c r="D44" s="291" t="s">
        <v>2145</v>
      </c>
      <c r="E44" s="287">
        <v>2868150</v>
      </c>
      <c r="F44" s="299">
        <v>5.1619999999999999E-2</v>
      </c>
      <c r="G44" s="292">
        <v>148041.12</v>
      </c>
      <c r="H44" t="s">
        <v>1665</v>
      </c>
      <c r="J44" s="290">
        <f>1623270+115000</f>
        <v>1738270</v>
      </c>
      <c r="K44" s="271">
        <f t="shared" si="2"/>
        <v>5.2290000000000003E-2</v>
      </c>
      <c r="L44" s="292">
        <f>90691.19+196.06</f>
        <v>90887.25</v>
      </c>
      <c r="M44" s="295">
        <f t="shared" si="3"/>
        <v>0.61</v>
      </c>
      <c r="N44" s="295">
        <f t="shared" si="4"/>
        <v>0.61</v>
      </c>
      <c r="O44" s="303"/>
      <c r="P44" s="301"/>
    </row>
    <row r="45" spans="1:16">
      <c r="A45" t="s">
        <v>2140</v>
      </c>
      <c r="B45" s="218" t="s">
        <v>2168</v>
      </c>
      <c r="D45" s="291"/>
      <c r="E45" s="287">
        <v>55610</v>
      </c>
      <c r="F45" s="299">
        <v>6.7000000000000004E-2</v>
      </c>
      <c r="G45" s="292">
        <v>3726.01</v>
      </c>
      <c r="H45" t="s">
        <v>1665</v>
      </c>
      <c r="J45" s="290">
        <f>51470+1710</f>
        <v>53180</v>
      </c>
      <c r="K45" s="271">
        <f t="shared" si="2"/>
        <v>6.7210000000000006E-2</v>
      </c>
      <c r="L45" s="292">
        <v>3574.41</v>
      </c>
      <c r="M45" s="295">
        <f t="shared" si="3"/>
        <v>0.96</v>
      </c>
      <c r="N45" s="295">
        <f t="shared" si="4"/>
        <v>0.96</v>
      </c>
      <c r="O45" s="301"/>
    </row>
    <row r="46" spans="1:16">
      <c r="A46" t="s">
        <v>2140</v>
      </c>
      <c r="B46" s="302" t="s">
        <v>2169</v>
      </c>
      <c r="D46" s="291" t="s">
        <v>2145</v>
      </c>
      <c r="E46" s="287">
        <v>7344954</v>
      </c>
      <c r="F46" s="299">
        <v>8.1769999999999995E-2</v>
      </c>
      <c r="G46" s="292">
        <v>600579.21000000008</v>
      </c>
      <c r="H46" t="s">
        <v>1665</v>
      </c>
      <c r="J46" s="290">
        <f>6466700+548699</f>
        <v>7015399</v>
      </c>
      <c r="K46" s="271">
        <f t="shared" si="2"/>
        <v>8.2900000000000001E-2</v>
      </c>
      <c r="L46" s="292">
        <v>581610.64</v>
      </c>
      <c r="M46" s="295">
        <f t="shared" si="3"/>
        <v>0.96</v>
      </c>
      <c r="N46" s="295">
        <f t="shared" si="4"/>
        <v>0.97</v>
      </c>
      <c r="O46" s="301"/>
    </row>
    <row r="47" spans="1:16">
      <c r="A47" t="s">
        <v>2140</v>
      </c>
      <c r="B47" s="302" t="s">
        <v>2170</v>
      </c>
      <c r="D47" s="291" t="s">
        <v>2145</v>
      </c>
      <c r="E47" s="287">
        <v>216660</v>
      </c>
      <c r="F47" s="299">
        <v>8.0640000000000003E-2</v>
      </c>
      <c r="G47" s="292">
        <v>17471.580000000002</v>
      </c>
      <c r="H47" t="s">
        <v>1665</v>
      </c>
      <c r="J47" s="290">
        <f>182020+10710</f>
        <v>192730</v>
      </c>
      <c r="K47" s="271">
        <f t="shared" si="2"/>
        <v>8.2820000000000005E-2</v>
      </c>
      <c r="L47" s="292">
        <v>15960.99</v>
      </c>
      <c r="M47" s="295">
        <f t="shared" si="3"/>
        <v>0.89</v>
      </c>
      <c r="N47" s="295">
        <f t="shared" si="4"/>
        <v>0.91</v>
      </c>
      <c r="O47" s="301"/>
    </row>
    <row r="48" spans="1:16">
      <c r="A48" t="s">
        <v>2140</v>
      </c>
      <c r="B48" s="302" t="s">
        <v>2171</v>
      </c>
      <c r="D48" s="291" t="s">
        <v>2145</v>
      </c>
      <c r="E48" s="287">
        <v>436420</v>
      </c>
      <c r="F48" s="299">
        <v>7.3469999999999994E-2</v>
      </c>
      <c r="G48" s="292">
        <v>32063.45</v>
      </c>
      <c r="H48" t="s">
        <v>1665</v>
      </c>
      <c r="J48" s="290">
        <f>228120+10380</f>
        <v>238500</v>
      </c>
      <c r="K48" s="271">
        <f t="shared" si="2"/>
        <v>7.3169999999999999E-2</v>
      </c>
      <c r="L48" s="292">
        <f>16741.72+708.24</f>
        <v>17449.960000000003</v>
      </c>
      <c r="M48" s="295">
        <f t="shared" si="3"/>
        <v>0.55000000000000004</v>
      </c>
      <c r="N48" s="295">
        <f t="shared" si="4"/>
        <v>0.54</v>
      </c>
      <c r="O48" s="301"/>
    </row>
    <row r="49" spans="1:16">
      <c r="A49" t="s">
        <v>2140</v>
      </c>
      <c r="B49" s="302" t="s">
        <v>2172</v>
      </c>
      <c r="D49" s="291" t="s">
        <v>2145</v>
      </c>
      <c r="E49" s="287">
        <v>207298</v>
      </c>
      <c r="F49" s="299">
        <v>5.7439999999999998E-2</v>
      </c>
      <c r="G49" s="292">
        <v>11907.7</v>
      </c>
      <c r="H49" t="s">
        <v>1665</v>
      </c>
      <c r="J49" s="290">
        <f>155650+28847</f>
        <v>184497</v>
      </c>
      <c r="K49" s="271">
        <f t="shared" si="2"/>
        <v>5.7340000000000002E-2</v>
      </c>
      <c r="L49" s="292">
        <f>9308.66+1270.85</f>
        <v>10579.51</v>
      </c>
      <c r="M49" s="295">
        <f t="shared" si="3"/>
        <v>0.89</v>
      </c>
      <c r="N49" s="295">
        <f t="shared" si="4"/>
        <v>0.89</v>
      </c>
      <c r="O49" s="301"/>
    </row>
    <row r="50" spans="1:16">
      <c r="A50" t="s">
        <v>2140</v>
      </c>
      <c r="B50" s="218" t="s">
        <v>2173</v>
      </c>
      <c r="D50" s="291"/>
      <c r="E50" s="296">
        <v>51560</v>
      </c>
      <c r="F50" s="299">
        <v>6.4890000000000003E-2</v>
      </c>
      <c r="G50" s="314">
        <v>3345.64</v>
      </c>
      <c r="H50" t="s">
        <v>1665</v>
      </c>
      <c r="J50" s="315">
        <f>25340+390</f>
        <v>25730</v>
      </c>
      <c r="K50" s="271">
        <f t="shared" si="2"/>
        <v>6.7169999999999994E-2</v>
      </c>
      <c r="L50" s="314">
        <v>1728.2</v>
      </c>
      <c r="M50" s="295">
        <f t="shared" si="3"/>
        <v>0.5</v>
      </c>
      <c r="N50" s="295">
        <f t="shared" si="4"/>
        <v>0.52</v>
      </c>
      <c r="O50" s="303"/>
      <c r="P50" s="304"/>
    </row>
    <row r="51" spans="1:16" s="316" customFormat="1">
      <c r="B51" s="302"/>
      <c r="D51" s="317"/>
      <c r="E51" s="318">
        <f>SUM(E20:E50)</f>
        <v>139760700.86000001</v>
      </c>
      <c r="F51" s="319"/>
      <c r="G51" s="320">
        <f>SUM(G20:G50)</f>
        <v>10972218.719999999</v>
      </c>
      <c r="H51" s="321">
        <f t="shared" ref="H51:L51" si="5">SUM(H20:H50)</f>
        <v>0</v>
      </c>
      <c r="I51" s="321"/>
      <c r="J51" s="322">
        <f t="shared" si="5"/>
        <v>120141488</v>
      </c>
      <c r="K51" s="323">
        <f>+L51/J51</f>
        <v>8.1897238778996975E-2</v>
      </c>
      <c r="L51" s="320">
        <f t="shared" si="5"/>
        <v>9839256.129999999</v>
      </c>
      <c r="M51" s="295">
        <f t="shared" si="3"/>
        <v>0.86</v>
      </c>
      <c r="N51" s="295">
        <f t="shared" si="4"/>
        <v>0.9</v>
      </c>
      <c r="O51" s="304"/>
      <c r="P51" s="304"/>
    </row>
    <row r="52" spans="1:16">
      <c r="D52" s="291"/>
      <c r="K52" s="321"/>
      <c r="N52" s="324"/>
      <c r="O52" s="293"/>
    </row>
    <row r="53" spans="1:16">
      <c r="A53" t="s">
        <v>2174</v>
      </c>
      <c r="B53" t="s">
        <v>2175</v>
      </c>
      <c r="D53" s="291"/>
      <c r="E53" s="287">
        <v>1091847</v>
      </c>
      <c r="F53" s="299">
        <v>5.6140000000000002E-2</v>
      </c>
      <c r="G53" s="289">
        <v>61296</v>
      </c>
      <c r="H53" t="s">
        <v>1665</v>
      </c>
      <c r="J53" s="290">
        <v>1457146</v>
      </c>
      <c r="K53" s="271">
        <f>ROUND(L53/J53,5)</f>
        <v>5.6140000000000002E-2</v>
      </c>
      <c r="L53" s="292">
        <v>81804</v>
      </c>
      <c r="M53" s="295">
        <f t="shared" ref="M53:M55" si="6">ROUND(J53/E53,2)</f>
        <v>1.33</v>
      </c>
      <c r="N53" s="295">
        <f t="shared" ref="N53:N55" si="7">ROUND(L53/G53,2)</f>
        <v>1.33</v>
      </c>
    </row>
    <row r="54" spans="1:16">
      <c r="A54" t="s">
        <v>2174</v>
      </c>
      <c r="B54" t="s">
        <v>2176</v>
      </c>
      <c r="D54" s="291"/>
      <c r="E54" s="296">
        <v>68622</v>
      </c>
      <c r="F54" s="299">
        <v>7.5300000000000006E-2</v>
      </c>
      <c r="G54" s="297">
        <v>5167</v>
      </c>
      <c r="H54" t="s">
        <v>1665</v>
      </c>
      <c r="J54" s="296">
        <v>45845</v>
      </c>
      <c r="K54" s="271">
        <f>ROUND(L54/J54,5)</f>
        <v>7.4160000000000004E-2</v>
      </c>
      <c r="L54" s="314">
        <v>3400</v>
      </c>
      <c r="M54" s="295">
        <f t="shared" si="6"/>
        <v>0.67</v>
      </c>
      <c r="N54" s="295">
        <f t="shared" si="7"/>
        <v>0.66</v>
      </c>
    </row>
    <row r="55" spans="1:16">
      <c r="D55" s="291"/>
      <c r="E55" s="318">
        <f>SUM(E53:E54)</f>
        <v>1160469</v>
      </c>
      <c r="G55" s="320">
        <f>SUM(G53:G54)</f>
        <v>66463</v>
      </c>
      <c r="J55" s="322">
        <f>SUM(J53:J54)</f>
        <v>1502991</v>
      </c>
      <c r="L55" s="320">
        <f>SUM(L53:L54)</f>
        <v>85204</v>
      </c>
      <c r="M55" s="295">
        <f t="shared" si="6"/>
        <v>1.3</v>
      </c>
      <c r="N55" s="295">
        <f t="shared" si="7"/>
        <v>1.28</v>
      </c>
    </row>
    <row r="56" spans="1:16">
      <c r="D56" s="291"/>
    </row>
    <row r="57" spans="1:16" ht="15.75" thickBot="1">
      <c r="D57" s="291"/>
      <c r="E57" s="318">
        <f>E55+E51+E18+E4</f>
        <v>140975504.86000001</v>
      </c>
      <c r="F57" s="274">
        <f t="shared" ref="F57" si="8">ROUND(G57/E57,5)</f>
        <v>7.8369999999999995E-2</v>
      </c>
      <c r="G57" s="325">
        <f>SUM(G55,G51,G18,G4)</f>
        <v>11047579.739999998</v>
      </c>
      <c r="J57" s="322">
        <f>J55+J51+J10</f>
        <v>121696682</v>
      </c>
      <c r="K57" s="271">
        <f>ROUND(L57/J57,6)</f>
        <v>8.1666000000000002E-2</v>
      </c>
      <c r="L57" s="326">
        <f>L55+L51+L10+L6+L4</f>
        <v>9938525.6499999985</v>
      </c>
      <c r="M57" s="295">
        <f t="shared" ref="M57" si="9">ROUND(J57/E57,2)</f>
        <v>0.86</v>
      </c>
      <c r="N57" s="295">
        <f t="shared" ref="N57" si="10">ROUND(L57/G57,2)</f>
        <v>0.9</v>
      </c>
    </row>
    <row r="58" spans="1:16" ht="15.75" thickTop="1">
      <c r="K58" s="32" t="s">
        <v>2177</v>
      </c>
    </row>
    <row r="59" spans="1:16">
      <c r="B59" t="s">
        <v>2178</v>
      </c>
      <c r="L59" s="327"/>
    </row>
    <row r="60" spans="1:16">
      <c r="B60" t="s">
        <v>2179</v>
      </c>
    </row>
  </sheetData>
  <mergeCells count="2">
    <mergeCell ref="D2:G2"/>
    <mergeCell ref="J2:L2"/>
  </mergeCells>
  <printOptions horizontalCentered="1"/>
  <pageMargins left="0.45" right="0.45" top="0.5" bottom="0.5" header="0.3" footer="0.3"/>
  <pageSetup scale="54" orientation="landscape" r:id="rId1"/>
  <headerFooter>
    <oddFooter>&amp;L&amp;F&amp;R&amp;D</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U996"/>
  <sheetViews>
    <sheetView zoomScale="85" zoomScaleNormal="85" workbookViewId="0">
      <pane ySplit="4" topLeftCell="A674" activePane="bottomLeft" state="frozen"/>
      <selection pane="bottomLeft" activeCell="P953" sqref="P953"/>
    </sheetView>
  </sheetViews>
  <sheetFormatPr defaultRowHeight="15" outlineLevelRow="2"/>
  <cols>
    <col min="1" max="1" width="25.5703125" style="3" customWidth="1"/>
    <col min="2" max="2" width="16.42578125" style="2" customWidth="1"/>
    <col min="3" max="3" width="13.140625" style="2" customWidth="1"/>
    <col min="4" max="4" width="40.85546875" style="3" customWidth="1"/>
    <col min="5" max="5" width="9.42578125" style="2" customWidth="1"/>
    <col min="6" max="6" width="36.7109375" style="3" hidden="1" customWidth="1"/>
    <col min="7" max="7" width="12.42578125" style="2" customWidth="1"/>
    <col min="8" max="8" width="14.5703125" style="2" customWidth="1"/>
    <col min="9" max="9" width="9.28515625" style="2" customWidth="1"/>
    <col min="10" max="10" width="20.7109375" style="6" customWidth="1"/>
    <col min="11" max="11" width="10.140625" style="3" customWidth="1"/>
    <col min="12" max="12" width="14.7109375" style="3" customWidth="1"/>
    <col min="13" max="13" width="15.5703125" style="3" customWidth="1"/>
    <col min="14" max="14" width="16" style="3" customWidth="1"/>
    <col min="15" max="15" width="24.5703125" style="3" customWidth="1"/>
    <col min="16" max="16" width="87.42578125" style="3" customWidth="1"/>
    <col min="17" max="17" width="18.28515625" style="3" customWidth="1"/>
    <col min="18" max="18" width="29" style="3" bestFit="1" customWidth="1"/>
    <col min="19" max="16384" width="9.140625" style="3"/>
  </cols>
  <sheetData>
    <row r="1" spans="1:21">
      <c r="A1" s="1" t="s">
        <v>0</v>
      </c>
      <c r="L1" s="7"/>
    </row>
    <row r="2" spans="1:21">
      <c r="A2" s="1" t="s">
        <v>2</v>
      </c>
    </row>
    <row r="4" spans="1:21" s="13" customFormat="1" ht="35.25" customHeight="1">
      <c r="A4" s="8" t="s">
        <v>3</v>
      </c>
      <c r="B4" s="9" t="s">
        <v>4</v>
      </c>
      <c r="C4" s="9" t="s">
        <v>5</v>
      </c>
      <c r="D4" s="8" t="s">
        <v>6</v>
      </c>
      <c r="E4" s="9" t="s">
        <v>7</v>
      </c>
      <c r="F4" s="8" t="s">
        <v>8</v>
      </c>
      <c r="G4" s="10" t="s">
        <v>9</v>
      </c>
      <c r="H4" s="10" t="s">
        <v>1529</v>
      </c>
      <c r="I4" s="9" t="s">
        <v>10</v>
      </c>
      <c r="J4" s="11" t="s">
        <v>11</v>
      </c>
      <c r="K4" s="12" t="s">
        <v>12</v>
      </c>
      <c r="L4" s="12" t="s">
        <v>13</v>
      </c>
      <c r="M4" s="12" t="s">
        <v>14</v>
      </c>
      <c r="N4" s="12" t="s">
        <v>15</v>
      </c>
      <c r="O4" s="12" t="s">
        <v>16</v>
      </c>
      <c r="P4" s="12" t="s">
        <v>1663</v>
      </c>
      <c r="Q4" s="12" t="s">
        <v>1693</v>
      </c>
      <c r="R4" s="12" t="s">
        <v>1694</v>
      </c>
    </row>
    <row r="5" spans="1:21" ht="45" outlineLevel="2">
      <c r="A5" s="14" t="s">
        <v>17</v>
      </c>
      <c r="B5" s="15" t="s">
        <v>18</v>
      </c>
      <c r="C5" s="15" t="s">
        <v>19</v>
      </c>
      <c r="D5" s="14" t="s">
        <v>20</v>
      </c>
      <c r="E5" s="15" t="s">
        <v>21</v>
      </c>
      <c r="F5" s="14" t="s">
        <v>22</v>
      </c>
      <c r="G5" s="15" t="s">
        <v>23</v>
      </c>
      <c r="H5" s="15" t="s">
        <v>1525</v>
      </c>
      <c r="I5" s="15">
        <v>201409</v>
      </c>
      <c r="J5" s="16">
        <v>-607.88</v>
      </c>
      <c r="K5" s="171">
        <f>VLOOKUP(I5,$T$9:$U$23,2)</f>
        <v>9</v>
      </c>
      <c r="L5" s="17">
        <v>1.4833299999999999E-3</v>
      </c>
      <c r="M5" s="16">
        <f>ROUND(J5*K5*L5,2)</f>
        <v>-8.1199999999999992</v>
      </c>
      <c r="N5" s="16">
        <f>ROUND(J5*L5*12,2)</f>
        <v>-10.82</v>
      </c>
      <c r="O5" s="14"/>
      <c r="P5" s="210" t="str">
        <f>VLOOKUP(C5,'WO Descriptions'!$A$5:$D$345,4)</f>
        <v>Approved by: Kevin Driskell on 12/31/2013,  ISRS To replace 24ft of 1.5" CU main at Cypress and E 43rd St. Main is on the C-009 pressure system with a MOP=15psig and a MAOP=16psig. See attached sheet for the work order numbers, length, size and type of main to be abandoned.</v>
      </c>
    </row>
    <row r="6" spans="1:21" outlineLevel="1">
      <c r="A6" s="223"/>
      <c r="B6" s="250"/>
      <c r="C6" s="254" t="s">
        <v>1753</v>
      </c>
      <c r="D6" s="223"/>
      <c r="E6" s="250"/>
      <c r="F6" s="223"/>
      <c r="G6" s="250"/>
      <c r="H6" s="250"/>
      <c r="I6" s="250"/>
      <c r="J6" s="251">
        <f>SUBTOTAL(9,J5:J5)</f>
        <v>-607.88</v>
      </c>
      <c r="K6" s="252"/>
      <c r="L6" s="253"/>
      <c r="M6" s="251">
        <f>SUBTOTAL(9,M5:M5)</f>
        <v>-8.1199999999999992</v>
      </c>
      <c r="N6" s="251">
        <f>SUBTOTAL(9,N5:N5)</f>
        <v>-10.82</v>
      </c>
      <c r="O6" s="223"/>
      <c r="P6" s="210"/>
      <c r="Q6" s="263" t="s">
        <v>2097</v>
      </c>
      <c r="R6" s="263" t="s">
        <v>2098</v>
      </c>
    </row>
    <row r="7" spans="1:21" ht="30" outlineLevel="2">
      <c r="A7" s="14" t="s">
        <v>17</v>
      </c>
      <c r="B7" s="15" t="s">
        <v>24</v>
      </c>
      <c r="C7" s="15" t="s">
        <v>25</v>
      </c>
      <c r="D7" s="14" t="s">
        <v>26</v>
      </c>
      <c r="E7" s="15" t="s">
        <v>27</v>
      </c>
      <c r="F7" s="14" t="s">
        <v>28</v>
      </c>
      <c r="G7" s="15" t="s">
        <v>23</v>
      </c>
      <c r="H7" s="15" t="s">
        <v>1525</v>
      </c>
      <c r="I7" s="15">
        <v>201409</v>
      </c>
      <c r="J7" s="16">
        <v>2.6</v>
      </c>
      <c r="K7" s="171">
        <f>VLOOKUP(I7,$T$9:$U$23,2)</f>
        <v>9</v>
      </c>
      <c r="L7" s="17">
        <v>1.4833299999999999E-3</v>
      </c>
      <c r="M7" s="16">
        <f>ROUND(J7*K7*L7,2)</f>
        <v>0.03</v>
      </c>
      <c r="N7" s="16">
        <f>ROUND(J7*L7*12,2)</f>
        <v>0.05</v>
      </c>
      <c r="O7" s="14"/>
      <c r="P7" s="210" t="str">
        <f>VLOOKUP(C7,'WO Descriptions'!$A$5:$D$345,4)</f>
        <v>Approved by: Ralph Janes on 11/07/2013,  Replace and abandon 10' - 2in pcs main (WO 642656) that was damaged by third party drilling in a power pole.</v>
      </c>
      <c r="T7" s="171" t="s">
        <v>1542</v>
      </c>
      <c r="U7" s="171" t="s">
        <v>12</v>
      </c>
    </row>
    <row r="8" spans="1:21" outlineLevel="1">
      <c r="A8" s="223"/>
      <c r="B8" s="250"/>
      <c r="C8" s="254" t="s">
        <v>1754</v>
      </c>
      <c r="D8" s="223"/>
      <c r="E8" s="250"/>
      <c r="F8" s="223"/>
      <c r="G8" s="250"/>
      <c r="H8" s="250"/>
      <c r="I8" s="250"/>
      <c r="J8" s="251">
        <f>SUBTOTAL(9,J7:J7)</f>
        <v>2.6</v>
      </c>
      <c r="K8" s="252"/>
      <c r="L8" s="253"/>
      <c r="M8" s="251">
        <f>SUBTOTAL(9,M7:M7)</f>
        <v>0.03</v>
      </c>
      <c r="N8" s="251">
        <f>SUBTOTAL(9,N7:N7)</f>
        <v>0.05</v>
      </c>
      <c r="O8" s="223"/>
      <c r="P8" s="210"/>
      <c r="Q8" s="263" t="s">
        <v>2097</v>
      </c>
      <c r="R8" s="263" t="s">
        <v>2099</v>
      </c>
      <c r="T8" s="252"/>
      <c r="U8" s="252"/>
    </row>
    <row r="9" spans="1:21" ht="45" outlineLevel="2">
      <c r="A9" s="14" t="s">
        <v>17</v>
      </c>
      <c r="B9" s="15" t="s">
        <v>29</v>
      </c>
      <c r="C9" s="15" t="s">
        <v>30</v>
      </c>
      <c r="D9" s="14" t="s">
        <v>31</v>
      </c>
      <c r="E9" s="15" t="s">
        <v>32</v>
      </c>
      <c r="F9" s="14" t="s">
        <v>22</v>
      </c>
      <c r="G9" s="15" t="s">
        <v>23</v>
      </c>
      <c r="H9" s="15" t="s">
        <v>1525</v>
      </c>
      <c r="I9" s="15">
        <v>201409</v>
      </c>
      <c r="J9" s="16">
        <v>-49.61</v>
      </c>
      <c r="K9" s="171">
        <f>VLOOKUP(I9,$T$9:$U$23,2)</f>
        <v>9</v>
      </c>
      <c r="L9" s="17">
        <v>1.4833299999999999E-3</v>
      </c>
      <c r="M9" s="16">
        <f>ROUND(J9*K9*L9,2)</f>
        <v>-0.66</v>
      </c>
      <c r="N9" s="16">
        <f>ROUND(J9*L9*12,2)</f>
        <v>-0.88</v>
      </c>
      <c r="O9" s="14"/>
      <c r="P9" s="210" t="str">
        <f>VLOOKUP(C9,'WO Descriptions'!$A$5:$D$345,4)</f>
        <v>Approved by: Galen Shoemaker on 09/23/2013,  To replace 20ft of 4in BS (JO9B) and 5ft of 2in CS (JO9B) and 5ft of 2in CS (65-4958) with 2in CS due to leakage and poor condition of main. MOP=30# MAOP=31# SYSTEM=S-6 TEST=100#</v>
      </c>
      <c r="T9" s="172">
        <v>201409</v>
      </c>
      <c r="U9" s="171">
        <v>9</v>
      </c>
    </row>
    <row r="10" spans="1:21" outlineLevel="1">
      <c r="A10" s="223"/>
      <c r="B10" s="250"/>
      <c r="C10" s="254" t="s">
        <v>1755</v>
      </c>
      <c r="D10" s="223"/>
      <c r="E10" s="250"/>
      <c r="F10" s="223"/>
      <c r="G10" s="250"/>
      <c r="H10" s="250"/>
      <c r="I10" s="250"/>
      <c r="J10" s="251">
        <f>SUBTOTAL(9,J9:J9)</f>
        <v>-49.61</v>
      </c>
      <c r="K10" s="252"/>
      <c r="L10" s="253"/>
      <c r="M10" s="251">
        <f>SUBTOTAL(9,M9:M9)</f>
        <v>-0.66</v>
      </c>
      <c r="N10" s="251">
        <f>SUBTOTAL(9,N9:N9)</f>
        <v>-0.88</v>
      </c>
      <c r="O10" s="223"/>
      <c r="P10" s="210"/>
      <c r="Q10" s="263" t="s">
        <v>2097</v>
      </c>
      <c r="R10" s="263" t="s">
        <v>2098</v>
      </c>
      <c r="T10" s="255"/>
      <c r="U10" s="252"/>
    </row>
    <row r="11" spans="1:21" ht="45" outlineLevel="2">
      <c r="A11" s="14" t="s">
        <v>17</v>
      </c>
      <c r="B11" s="15" t="s">
        <v>33</v>
      </c>
      <c r="C11" s="15" t="s">
        <v>34</v>
      </c>
      <c r="D11" s="14" t="s">
        <v>35</v>
      </c>
      <c r="E11" s="15" t="s">
        <v>36</v>
      </c>
      <c r="F11" s="14" t="s">
        <v>22</v>
      </c>
      <c r="G11" s="15" t="s">
        <v>23</v>
      </c>
      <c r="H11" s="15" t="s">
        <v>1525</v>
      </c>
      <c r="I11" s="15">
        <v>201409</v>
      </c>
      <c r="J11" s="16">
        <v>-133.36000000000001</v>
      </c>
      <c r="K11" s="171">
        <f>VLOOKUP(I11,$T$9:$U$23,2)</f>
        <v>9</v>
      </c>
      <c r="L11" s="17">
        <v>1.4833299999999999E-3</v>
      </c>
      <c r="M11" s="16">
        <f>ROUND(J11*K11*L11,2)</f>
        <v>-1.78</v>
      </c>
      <c r="N11" s="16">
        <f>ROUND(J11*L11*12,2)</f>
        <v>-2.37</v>
      </c>
      <c r="O11" s="14"/>
      <c r="P11" s="210" t="str">
        <f>VLOOKUP(C11,'WO Descriptions'!$A$5:$D$345,4)</f>
        <v>Approved by: Gary Williams on 07/22/2013,  This work order is necessary to replace 600ft-4in bs main (WO#6580) with 4in pe main (WO#13-2796) due to low reads. Pressure System C-01 Pressure .88.</v>
      </c>
      <c r="T11" s="172">
        <v>201410</v>
      </c>
      <c r="U11" s="171">
        <v>8</v>
      </c>
    </row>
    <row r="12" spans="1:21" outlineLevel="1">
      <c r="A12" s="223"/>
      <c r="B12" s="250"/>
      <c r="C12" s="254" t="s">
        <v>1756</v>
      </c>
      <c r="D12" s="223"/>
      <c r="E12" s="250"/>
      <c r="F12" s="223"/>
      <c r="G12" s="250"/>
      <c r="H12" s="250"/>
      <c r="I12" s="250"/>
      <c r="J12" s="251">
        <f>SUBTOTAL(9,J11:J11)</f>
        <v>-133.36000000000001</v>
      </c>
      <c r="K12" s="252"/>
      <c r="L12" s="253"/>
      <c r="M12" s="251">
        <f>SUBTOTAL(9,M11:M11)</f>
        <v>-1.78</v>
      </c>
      <c r="N12" s="251">
        <f>SUBTOTAL(9,N11:N11)</f>
        <v>-2.37</v>
      </c>
      <c r="O12" s="223"/>
      <c r="P12" s="210"/>
      <c r="Q12" s="263" t="s">
        <v>2097</v>
      </c>
      <c r="R12" s="263" t="s">
        <v>2098</v>
      </c>
      <c r="T12" s="255"/>
      <c r="U12" s="252"/>
    </row>
    <row r="13" spans="1:21" ht="30" outlineLevel="2">
      <c r="A13" s="14" t="s">
        <v>17</v>
      </c>
      <c r="B13" s="15" t="s">
        <v>37</v>
      </c>
      <c r="C13" s="15" t="s">
        <v>38</v>
      </c>
      <c r="D13" s="14" t="s">
        <v>39</v>
      </c>
      <c r="E13" s="15" t="s">
        <v>40</v>
      </c>
      <c r="F13" s="14" t="s">
        <v>41</v>
      </c>
      <c r="G13" s="15" t="s">
        <v>23</v>
      </c>
      <c r="H13" s="15" t="s">
        <v>1526</v>
      </c>
      <c r="I13" s="15">
        <v>201409</v>
      </c>
      <c r="J13" s="16">
        <v>10.42</v>
      </c>
      <c r="K13" s="171">
        <f>VLOOKUP(I13,$T$9:$U$23,2)</f>
        <v>9</v>
      </c>
      <c r="L13" s="17">
        <v>1.4833299999999999E-3</v>
      </c>
      <c r="M13" s="16">
        <f>ROUND(J13*K13*L13,2)</f>
        <v>0.14000000000000001</v>
      </c>
      <c r="N13" s="16">
        <f>ROUND(J13*L13*12,2)</f>
        <v>0.19</v>
      </c>
      <c r="O13" s="14"/>
      <c r="P13" s="210" t="str">
        <f>VLOOKUP(C13,'WO Descriptions'!$A$5:$D$345,4)</f>
        <v>Approved by: Kevin Driskell on 09/23/2013,  Relocate 9' of 4'' PE main around storm structure (original WO 13-2516). S-056 pressure system.</v>
      </c>
      <c r="T13" s="172">
        <v>201411</v>
      </c>
      <c r="U13" s="171">
        <v>7</v>
      </c>
    </row>
    <row r="14" spans="1:21" outlineLevel="1">
      <c r="A14" s="223"/>
      <c r="B14" s="250"/>
      <c r="C14" s="254" t="s">
        <v>1757</v>
      </c>
      <c r="D14" s="223"/>
      <c r="E14" s="250"/>
      <c r="F14" s="223"/>
      <c r="G14" s="250"/>
      <c r="H14" s="250"/>
      <c r="I14" s="250"/>
      <c r="J14" s="251">
        <f>SUBTOTAL(9,J13:J13)</f>
        <v>10.42</v>
      </c>
      <c r="K14" s="252"/>
      <c r="L14" s="253"/>
      <c r="M14" s="251">
        <f>SUBTOTAL(9,M13:M13)</f>
        <v>0.14000000000000001</v>
      </c>
      <c r="N14" s="251">
        <f>SUBTOTAL(9,N13:N13)</f>
        <v>0.19</v>
      </c>
      <c r="O14" s="223"/>
      <c r="P14" s="210"/>
      <c r="Q14" s="263" t="s">
        <v>2096</v>
      </c>
      <c r="R14" s="263"/>
      <c r="T14" s="255"/>
      <c r="U14" s="252"/>
    </row>
    <row r="15" spans="1:21" ht="30" outlineLevel="2">
      <c r="A15" s="14" t="s">
        <v>17</v>
      </c>
      <c r="B15" s="15" t="s">
        <v>42</v>
      </c>
      <c r="C15" s="15" t="s">
        <v>43</v>
      </c>
      <c r="D15" s="14" t="s">
        <v>44</v>
      </c>
      <c r="E15" s="15" t="s">
        <v>45</v>
      </c>
      <c r="F15" s="14" t="s">
        <v>22</v>
      </c>
      <c r="G15" s="15" t="s">
        <v>23</v>
      </c>
      <c r="H15" s="15" t="s">
        <v>1525</v>
      </c>
      <c r="I15" s="15">
        <v>201409</v>
      </c>
      <c r="J15" s="16">
        <v>7.45</v>
      </c>
      <c r="K15" s="171">
        <f>VLOOKUP(I15,$T$9:$U$23,2)</f>
        <v>9</v>
      </c>
      <c r="L15" s="17">
        <v>1.4833299999999999E-3</v>
      </c>
      <c r="M15" s="16">
        <f>ROUND(J15*K15*L15,2)</f>
        <v>0.1</v>
      </c>
      <c r="N15" s="16">
        <f>ROUND(J15*L15*12,2)</f>
        <v>0.13</v>
      </c>
      <c r="O15" s="14"/>
      <c r="P15" s="210" t="str">
        <f>VLOOKUP(C15,'WO Descriptions'!$A$5:$D$345,4)</f>
        <v>Approved by: Kevin Driskell on 09/23/2013,  Replace 2" PBS with 12' of 2" thin film steel due to leak.  Abandon 8' of 2" PBS (WO I333).  Work done by MGE crew.  MOP=15#, MAOP=15#</v>
      </c>
      <c r="T15" s="172">
        <v>201412</v>
      </c>
      <c r="U15" s="171">
        <v>6</v>
      </c>
    </row>
    <row r="16" spans="1:21" outlineLevel="1">
      <c r="A16" s="223"/>
      <c r="B16" s="250"/>
      <c r="C16" s="254" t="s">
        <v>1758</v>
      </c>
      <c r="D16" s="223"/>
      <c r="E16" s="250"/>
      <c r="F16" s="223"/>
      <c r="G16" s="250"/>
      <c r="H16" s="250"/>
      <c r="I16" s="250"/>
      <c r="J16" s="251">
        <f>SUBTOTAL(9,J15:J15)</f>
        <v>7.45</v>
      </c>
      <c r="K16" s="252"/>
      <c r="L16" s="253"/>
      <c r="M16" s="251">
        <f>SUBTOTAL(9,M15:M15)</f>
        <v>0.1</v>
      </c>
      <c r="N16" s="251">
        <f>SUBTOTAL(9,N15:N15)</f>
        <v>0.13</v>
      </c>
      <c r="O16" s="223"/>
      <c r="P16" s="210"/>
      <c r="Q16" s="263" t="s">
        <v>2097</v>
      </c>
      <c r="R16" s="263" t="s">
        <v>2098</v>
      </c>
      <c r="T16" s="255"/>
      <c r="U16" s="252"/>
    </row>
    <row r="17" spans="1:21" ht="60" outlineLevel="2">
      <c r="A17" s="14" t="s">
        <v>17</v>
      </c>
      <c r="B17" s="15" t="s">
        <v>46</v>
      </c>
      <c r="C17" s="15" t="s">
        <v>47</v>
      </c>
      <c r="D17" s="14" t="s">
        <v>48</v>
      </c>
      <c r="E17" s="15" t="s">
        <v>49</v>
      </c>
      <c r="F17" s="14" t="s">
        <v>22</v>
      </c>
      <c r="G17" s="15" t="s">
        <v>23</v>
      </c>
      <c r="H17" s="15" t="s">
        <v>1525</v>
      </c>
      <c r="I17" s="15">
        <v>201409</v>
      </c>
      <c r="J17" s="16">
        <v>20.05</v>
      </c>
      <c r="K17" s="171">
        <f>VLOOKUP(I17,$T$9:$U$23,2)</f>
        <v>9</v>
      </c>
      <c r="L17" s="17">
        <v>1.4833299999999999E-3</v>
      </c>
      <c r="M17" s="16">
        <f>ROUND(J17*K17*L17,2)</f>
        <v>0.27</v>
      </c>
      <c r="N17" s="16">
        <f>ROUND(J17*L17*12,2)</f>
        <v>0.36</v>
      </c>
      <c r="O17" s="14"/>
      <c r="P17" s="210" t="str">
        <f>VLOOKUP(C17,'WO Descriptions'!$A$5:$D$345,4)</f>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
      <c r="T17" s="172">
        <v>201501</v>
      </c>
      <c r="U17" s="171">
        <v>5</v>
      </c>
    </row>
    <row r="18" spans="1:21" outlineLevel="1">
      <c r="A18" s="223"/>
      <c r="B18" s="250"/>
      <c r="C18" s="254" t="s">
        <v>1759</v>
      </c>
      <c r="D18" s="223"/>
      <c r="E18" s="250"/>
      <c r="F18" s="223"/>
      <c r="G18" s="250"/>
      <c r="H18" s="250"/>
      <c r="I18" s="250"/>
      <c r="J18" s="251">
        <f>SUBTOTAL(9,J17:J17)</f>
        <v>20.05</v>
      </c>
      <c r="K18" s="252"/>
      <c r="L18" s="253"/>
      <c r="M18" s="251">
        <f>SUBTOTAL(9,M17:M17)</f>
        <v>0.27</v>
      </c>
      <c r="N18" s="251">
        <f>SUBTOTAL(9,N17:N17)</f>
        <v>0.36</v>
      </c>
      <c r="O18" s="223"/>
      <c r="P18" s="210"/>
      <c r="Q18" s="263" t="s">
        <v>2097</v>
      </c>
      <c r="R18" s="263" t="s">
        <v>2098</v>
      </c>
      <c r="T18" s="255"/>
      <c r="U18" s="252"/>
    </row>
    <row r="19" spans="1:21" ht="90" outlineLevel="2">
      <c r="A19" s="14" t="s">
        <v>17</v>
      </c>
      <c r="B19" s="15" t="s">
        <v>50</v>
      </c>
      <c r="C19" s="15" t="s">
        <v>51</v>
      </c>
      <c r="D19" s="14" t="s">
        <v>52</v>
      </c>
      <c r="E19" s="15" t="s">
        <v>53</v>
      </c>
      <c r="F19" s="14" t="s">
        <v>41</v>
      </c>
      <c r="G19" s="15" t="s">
        <v>23</v>
      </c>
      <c r="H19" s="15" t="s">
        <v>1526</v>
      </c>
      <c r="I19" s="15">
        <v>201409</v>
      </c>
      <c r="J19" s="16">
        <v>24425.73</v>
      </c>
      <c r="K19" s="171">
        <f>VLOOKUP(I19,$T$9:$U$23,2)</f>
        <v>9</v>
      </c>
      <c r="L19" s="17">
        <v>1.4833299999999999E-3</v>
      </c>
      <c r="M19" s="16">
        <f>ROUND(J19*K19*L19,2)</f>
        <v>326.08</v>
      </c>
      <c r="N19" s="16">
        <f>ROUND(J19*L19*12,2)</f>
        <v>434.78</v>
      </c>
      <c r="O19" s="14"/>
      <c r="P19" s="210" t="str">
        <f>VLOOKUP(C19,'WO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T19" s="172">
        <v>201502</v>
      </c>
      <c r="U19" s="171">
        <v>4</v>
      </c>
    </row>
    <row r="20" spans="1:21" ht="90" outlineLevel="2">
      <c r="A20" s="14" t="s">
        <v>17</v>
      </c>
      <c r="B20" s="15" t="s">
        <v>50</v>
      </c>
      <c r="C20" s="15" t="s">
        <v>51</v>
      </c>
      <c r="D20" s="14" t="s">
        <v>52</v>
      </c>
      <c r="E20" s="15" t="s">
        <v>53</v>
      </c>
      <c r="F20" s="14" t="s">
        <v>41</v>
      </c>
      <c r="G20" s="15" t="s">
        <v>23</v>
      </c>
      <c r="H20" s="15" t="s">
        <v>1526</v>
      </c>
      <c r="I20" s="15">
        <v>201410</v>
      </c>
      <c r="J20" s="16">
        <v>-17.78</v>
      </c>
      <c r="K20" s="171">
        <f>VLOOKUP(I20,$T$9:$U$23,2)</f>
        <v>8</v>
      </c>
      <c r="L20" s="17">
        <v>1.4833299999999999E-3</v>
      </c>
      <c r="M20" s="16">
        <f>ROUND(J20*K20*L20,2)</f>
        <v>-0.21</v>
      </c>
      <c r="N20" s="16">
        <f>ROUND(J20*L20*12,2)</f>
        <v>-0.32</v>
      </c>
      <c r="O20" s="14"/>
      <c r="P20" s="210" t="str">
        <f>VLOOKUP(C20,'WO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T20" s="172">
        <v>201503</v>
      </c>
      <c r="U20" s="171">
        <v>3</v>
      </c>
    </row>
    <row r="21" spans="1:21" outlineLevel="1">
      <c r="A21" s="223"/>
      <c r="B21" s="250"/>
      <c r="C21" s="254" t="s">
        <v>1760</v>
      </c>
      <c r="D21" s="223"/>
      <c r="E21" s="250"/>
      <c r="F21" s="223"/>
      <c r="G21" s="250"/>
      <c r="H21" s="250"/>
      <c r="I21" s="250"/>
      <c r="J21" s="251">
        <f>SUBTOTAL(9,J19:J20)</f>
        <v>24407.95</v>
      </c>
      <c r="K21" s="252"/>
      <c r="L21" s="253"/>
      <c r="M21" s="251">
        <f>SUBTOTAL(9,M19:M20)</f>
        <v>325.87</v>
      </c>
      <c r="N21" s="251">
        <f>SUBTOTAL(9,N19:N20)</f>
        <v>434.46</v>
      </c>
      <c r="O21" s="223"/>
      <c r="P21" s="210"/>
      <c r="Q21" s="263" t="s">
        <v>2096</v>
      </c>
      <c r="T21" s="255"/>
      <c r="U21" s="252"/>
    </row>
    <row r="22" spans="1:21" ht="120" outlineLevel="2">
      <c r="A22" s="14" t="s">
        <v>54</v>
      </c>
      <c r="B22" s="15" t="s">
        <v>55</v>
      </c>
      <c r="C22" s="15" t="s">
        <v>56</v>
      </c>
      <c r="D22" s="14" t="s">
        <v>57</v>
      </c>
      <c r="E22" s="15" t="s">
        <v>58</v>
      </c>
      <c r="F22" s="14" t="s">
        <v>22</v>
      </c>
      <c r="G22" s="15" t="s">
        <v>23</v>
      </c>
      <c r="H22" s="15" t="s">
        <v>1525</v>
      </c>
      <c r="I22" s="15">
        <v>201411</v>
      </c>
      <c r="J22" s="16">
        <v>180848.77</v>
      </c>
      <c r="K22" s="171">
        <f>VLOOKUP(I22,$T$9:$U$23,2)</f>
        <v>7</v>
      </c>
      <c r="L22" s="17">
        <v>1.4833299999999999E-3</v>
      </c>
      <c r="M22" s="16">
        <f>ROUND(J22*K22*L22,2)</f>
        <v>1877.81</v>
      </c>
      <c r="N22" s="16">
        <f>ROUND(J22*L22*12,2)</f>
        <v>3219.1</v>
      </c>
      <c r="O22" s="14"/>
      <c r="P22" s="210" t="str">
        <f>VLOOKUP(C22,'WO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T22" s="172">
        <v>201504</v>
      </c>
      <c r="U22" s="171">
        <v>2</v>
      </c>
    </row>
    <row r="23" spans="1:21" ht="120" outlineLevel="2">
      <c r="A23" s="14" t="s">
        <v>54</v>
      </c>
      <c r="B23" s="15" t="s">
        <v>55</v>
      </c>
      <c r="C23" s="15" t="s">
        <v>56</v>
      </c>
      <c r="D23" s="14" t="s">
        <v>57</v>
      </c>
      <c r="E23" s="15" t="s">
        <v>58</v>
      </c>
      <c r="F23" s="14" t="s">
        <v>22</v>
      </c>
      <c r="G23" s="15" t="s">
        <v>23</v>
      </c>
      <c r="H23" s="15" t="s">
        <v>1525</v>
      </c>
      <c r="I23" s="15">
        <v>201412</v>
      </c>
      <c r="J23" s="16">
        <v>395.39</v>
      </c>
      <c r="K23" s="171">
        <f>VLOOKUP(I23,$T$9:$U$23,2)</f>
        <v>6</v>
      </c>
      <c r="L23" s="17">
        <v>1.4833299999999999E-3</v>
      </c>
      <c r="M23" s="16">
        <f>ROUND(J23*K23*L23,2)</f>
        <v>3.52</v>
      </c>
      <c r="N23" s="16">
        <f>ROUND(J23*L23*12,2)</f>
        <v>7.04</v>
      </c>
      <c r="O23" s="14"/>
      <c r="P23" s="210" t="str">
        <f>VLOOKUP(C23,'WO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T23" s="172">
        <v>201505</v>
      </c>
      <c r="U23" s="171">
        <v>1</v>
      </c>
    </row>
    <row r="24" spans="1:21" outlineLevel="1">
      <c r="A24" s="223"/>
      <c r="B24" s="250"/>
      <c r="C24" s="254" t="s">
        <v>1761</v>
      </c>
      <c r="D24" s="223"/>
      <c r="E24" s="250"/>
      <c r="F24" s="223"/>
      <c r="G24" s="250"/>
      <c r="H24" s="250"/>
      <c r="I24" s="250"/>
      <c r="J24" s="251">
        <f>SUBTOTAL(9,J22:J23)</f>
        <v>181244.16</v>
      </c>
      <c r="K24" s="252"/>
      <c r="L24" s="253"/>
      <c r="M24" s="251">
        <f>SUBTOTAL(9,M22:M23)</f>
        <v>1881.33</v>
      </c>
      <c r="N24" s="251">
        <f>SUBTOTAL(9,N22:N23)</f>
        <v>3226.14</v>
      </c>
      <c r="O24" s="223"/>
      <c r="P24" s="210"/>
      <c r="Q24" s="263" t="s">
        <v>2097</v>
      </c>
      <c r="R24" s="263" t="s">
        <v>2098</v>
      </c>
      <c r="T24" s="255"/>
      <c r="U24" s="252"/>
    </row>
    <row r="25" spans="1:21" ht="150" outlineLevel="2">
      <c r="A25" s="14" t="s">
        <v>54</v>
      </c>
      <c r="B25" s="15" t="s">
        <v>59</v>
      </c>
      <c r="C25" s="15" t="s">
        <v>60</v>
      </c>
      <c r="D25" s="14" t="s">
        <v>61</v>
      </c>
      <c r="E25" s="15" t="s">
        <v>62</v>
      </c>
      <c r="F25" s="14" t="s">
        <v>22</v>
      </c>
      <c r="G25" s="15" t="s">
        <v>23</v>
      </c>
      <c r="H25" s="15" t="s">
        <v>1525</v>
      </c>
      <c r="I25" s="15">
        <v>201409</v>
      </c>
      <c r="J25" s="16">
        <v>9975.01</v>
      </c>
      <c r="K25" s="171">
        <f>VLOOKUP(I25,$T$9:$U$23,2)</f>
        <v>9</v>
      </c>
      <c r="L25" s="17">
        <v>1.4833299999999999E-3</v>
      </c>
      <c r="M25" s="16">
        <f>ROUND(J25*K25*L25,2)</f>
        <v>133.16999999999999</v>
      </c>
      <c r="N25" s="16">
        <f>ROUND(J25*L25*12,2)</f>
        <v>177.55</v>
      </c>
      <c r="O25" s="14"/>
      <c r="P25" s="210" t="str">
        <f>VLOOKUP(C25,'WO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c r="T25" s="172"/>
      <c r="U25" s="171"/>
    </row>
    <row r="26" spans="1:21" ht="150" outlineLevel="2">
      <c r="A26" s="14" t="s">
        <v>54</v>
      </c>
      <c r="B26" s="15" t="s">
        <v>59</v>
      </c>
      <c r="C26" s="15" t="s">
        <v>60</v>
      </c>
      <c r="D26" s="14" t="s">
        <v>61</v>
      </c>
      <c r="E26" s="15" t="s">
        <v>62</v>
      </c>
      <c r="F26" s="14" t="s">
        <v>22</v>
      </c>
      <c r="G26" s="15" t="s">
        <v>23</v>
      </c>
      <c r="H26" s="15" t="s">
        <v>1525</v>
      </c>
      <c r="I26" s="15">
        <v>201410</v>
      </c>
      <c r="J26" s="16">
        <v>0</v>
      </c>
      <c r="K26" s="171">
        <f>VLOOKUP(I26,$T$9:$U$23,2)</f>
        <v>8</v>
      </c>
      <c r="L26" s="17">
        <v>1.4833299999999999E-3</v>
      </c>
      <c r="M26" s="16">
        <f>ROUND(J26*K26*L26,2)</f>
        <v>0</v>
      </c>
      <c r="N26" s="16">
        <f>ROUND(J26*L26*12,2)</f>
        <v>0</v>
      </c>
      <c r="O26" s="14"/>
      <c r="P26" s="210" t="str">
        <f>VLOOKUP(C26,'WO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row>
    <row r="27" spans="1:21" outlineLevel="1">
      <c r="A27" s="223"/>
      <c r="B27" s="250"/>
      <c r="C27" s="254" t="s">
        <v>1762</v>
      </c>
      <c r="D27" s="223"/>
      <c r="E27" s="250"/>
      <c r="F27" s="223"/>
      <c r="G27" s="250"/>
      <c r="H27" s="250"/>
      <c r="I27" s="250"/>
      <c r="J27" s="251">
        <f>SUBTOTAL(9,J25:J26)</f>
        <v>9975.01</v>
      </c>
      <c r="K27" s="252"/>
      <c r="L27" s="253"/>
      <c r="M27" s="251">
        <f>SUBTOTAL(9,M25:M26)</f>
        <v>133.16999999999999</v>
      </c>
      <c r="N27" s="251">
        <f>SUBTOTAL(9,N25:N26)</f>
        <v>177.55</v>
      </c>
      <c r="O27" s="223"/>
      <c r="P27" s="210"/>
      <c r="Q27" s="263" t="s">
        <v>2097</v>
      </c>
      <c r="R27" s="263" t="s">
        <v>2098</v>
      </c>
    </row>
    <row r="28" spans="1:21" ht="60" outlineLevel="2">
      <c r="A28" s="14" t="s">
        <v>17</v>
      </c>
      <c r="B28" s="15" t="s">
        <v>63</v>
      </c>
      <c r="C28" s="15" t="s">
        <v>64</v>
      </c>
      <c r="D28" s="14" t="s">
        <v>65</v>
      </c>
      <c r="E28" s="15" t="s">
        <v>32</v>
      </c>
      <c r="F28" s="14" t="s">
        <v>22</v>
      </c>
      <c r="G28" s="15" t="s">
        <v>23</v>
      </c>
      <c r="H28" s="15" t="s">
        <v>1525</v>
      </c>
      <c r="I28" s="15">
        <v>201409</v>
      </c>
      <c r="J28" s="16">
        <v>3.2</v>
      </c>
      <c r="K28" s="171">
        <f>VLOOKUP(I28,$T$9:$U$23,2)</f>
        <v>9</v>
      </c>
      <c r="L28" s="17">
        <v>1.4833299999999999E-3</v>
      </c>
      <c r="M28" s="16">
        <f>ROUND(J28*K28*L28,2)</f>
        <v>0.04</v>
      </c>
      <c r="N28" s="16">
        <f>ROUND(J28*L28*12,2)</f>
        <v>0.06</v>
      </c>
      <c r="O28" s="14"/>
      <c r="P28" s="210" t="str">
        <f>VLOOKUP(C28,'WO Descriptions'!$A$5:$D$345,4)</f>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
    </row>
    <row r="29" spans="1:21" outlineLevel="1">
      <c r="A29" s="223"/>
      <c r="B29" s="250"/>
      <c r="C29" s="254" t="s">
        <v>1763</v>
      </c>
      <c r="D29" s="223"/>
      <c r="E29" s="250"/>
      <c r="F29" s="223"/>
      <c r="G29" s="250"/>
      <c r="H29" s="250"/>
      <c r="I29" s="250"/>
      <c r="J29" s="251">
        <f>SUBTOTAL(9,J28:J28)</f>
        <v>3.2</v>
      </c>
      <c r="K29" s="252"/>
      <c r="L29" s="253"/>
      <c r="M29" s="251">
        <f>SUBTOTAL(9,M28:M28)</f>
        <v>0.04</v>
      </c>
      <c r="N29" s="251">
        <f>SUBTOTAL(9,N28:N28)</f>
        <v>0.06</v>
      </c>
      <c r="O29" s="223"/>
      <c r="P29" s="210"/>
      <c r="Q29" s="263" t="s">
        <v>2097</v>
      </c>
      <c r="R29" s="263" t="s">
        <v>2098</v>
      </c>
    </row>
    <row r="30" spans="1:21" ht="30" outlineLevel="2">
      <c r="A30" s="14" t="s">
        <v>66</v>
      </c>
      <c r="B30" s="15" t="s">
        <v>67</v>
      </c>
      <c r="C30" s="15" t="s">
        <v>68</v>
      </c>
      <c r="D30" s="14" t="s">
        <v>69</v>
      </c>
      <c r="E30" s="15" t="s">
        <v>70</v>
      </c>
      <c r="F30" s="14" t="s">
        <v>71</v>
      </c>
      <c r="G30" s="15" t="s">
        <v>23</v>
      </c>
      <c r="H30" s="15" t="s">
        <v>1530</v>
      </c>
      <c r="I30" s="15">
        <v>201409</v>
      </c>
      <c r="J30" s="16">
        <v>33.67</v>
      </c>
      <c r="K30" s="171">
        <f>VLOOKUP(I30,$T$9:$U$23,2)</f>
        <v>9</v>
      </c>
      <c r="L30" s="17">
        <v>2.23333E-3</v>
      </c>
      <c r="M30" s="16">
        <f>ROUND(J30*K30*L30,2)</f>
        <v>0.68</v>
      </c>
      <c r="N30" s="16">
        <f>ROUND(J30*L30*12,2)</f>
        <v>0.9</v>
      </c>
      <c r="O30" s="14"/>
      <c r="P30" s="210" t="str">
        <f>VLOOKUP(C30,'WO Descriptions'!$A$5:$D$345,4)</f>
        <v>Service/Yard Line Replacement (SLRP): Company Crew.  Immediate response - replacement single unprotected steel or copper  (Independence - East Region)</v>
      </c>
    </row>
    <row r="31" spans="1:21" ht="30" outlineLevel="2">
      <c r="A31" s="211" t="s">
        <v>66</v>
      </c>
      <c r="B31" s="212" t="s">
        <v>67</v>
      </c>
      <c r="C31" s="212" t="s">
        <v>68</v>
      </c>
      <c r="D31" s="211" t="s">
        <v>69</v>
      </c>
      <c r="E31" s="212" t="s">
        <v>70</v>
      </c>
      <c r="F31" s="211" t="s">
        <v>71</v>
      </c>
      <c r="G31" s="212" t="s">
        <v>23</v>
      </c>
      <c r="H31" s="212" t="s">
        <v>1530</v>
      </c>
      <c r="I31" s="212">
        <v>201410</v>
      </c>
      <c r="J31" s="213">
        <v>0</v>
      </c>
      <c r="K31" s="171">
        <f>VLOOKUP(I31,$T$9:$U$23,2)</f>
        <v>8</v>
      </c>
      <c r="L31" s="214">
        <v>2.23333E-3</v>
      </c>
      <c r="M31" s="213">
        <f>ROUND(J31*K31*L31,2)</f>
        <v>0</v>
      </c>
      <c r="N31" s="213">
        <f>ROUND(J31*L31*12,2)</f>
        <v>0</v>
      </c>
      <c r="O31" s="14"/>
      <c r="P31" s="210" t="str">
        <f>VLOOKUP(C31,'WO Descriptions'!$A$5:$D$345,4)</f>
        <v>Service/Yard Line Replacement (SLRP): Company Crew.  Immediate response - replacement single unprotected steel or copper  (Independence - East Region)</v>
      </c>
    </row>
    <row r="32" spans="1:21" outlineLevel="1">
      <c r="A32" s="256"/>
      <c r="B32" s="257"/>
      <c r="C32" s="260" t="s">
        <v>1764</v>
      </c>
      <c r="D32" s="256"/>
      <c r="E32" s="257"/>
      <c r="F32" s="256"/>
      <c r="G32" s="257"/>
      <c r="H32" s="257"/>
      <c r="I32" s="257"/>
      <c r="J32" s="258">
        <f>SUBTOTAL(9,J30:J31)</f>
        <v>33.67</v>
      </c>
      <c r="K32" s="252"/>
      <c r="L32" s="259"/>
      <c r="M32" s="258">
        <f>SUBTOTAL(9,M30:M31)</f>
        <v>0.68</v>
      </c>
      <c r="N32" s="258">
        <f>SUBTOTAL(9,N30:N31)</f>
        <v>0.9</v>
      </c>
      <c r="O32" s="223"/>
      <c r="P32" s="210"/>
      <c r="Q32" s="263" t="s">
        <v>2097</v>
      </c>
      <c r="R32" s="263" t="s">
        <v>2102</v>
      </c>
    </row>
    <row r="33" spans="1:18" ht="30" outlineLevel="2">
      <c r="A33" s="14" t="s">
        <v>66</v>
      </c>
      <c r="B33" s="15" t="s">
        <v>72</v>
      </c>
      <c r="C33" s="15" t="s">
        <v>73</v>
      </c>
      <c r="D33" s="14" t="s">
        <v>74</v>
      </c>
      <c r="E33" s="15" t="s">
        <v>75</v>
      </c>
      <c r="F33" s="14" t="s">
        <v>71</v>
      </c>
      <c r="G33" s="15" t="s">
        <v>23</v>
      </c>
      <c r="H33" s="15" t="s">
        <v>1530</v>
      </c>
      <c r="I33" s="15">
        <v>201409</v>
      </c>
      <c r="J33" s="16">
        <v>29889.97</v>
      </c>
      <c r="K33" s="171">
        <f>VLOOKUP(I33,$T$9:$U$23,2)</f>
        <v>9</v>
      </c>
      <c r="L33" s="17">
        <v>2.23333E-3</v>
      </c>
      <c r="M33" s="16">
        <f>ROUND(J33*K33*L33,2)</f>
        <v>600.79</v>
      </c>
      <c r="N33" s="16">
        <f>ROUND(J33*L33*12,2)</f>
        <v>801.05</v>
      </c>
      <c r="O33" s="14"/>
      <c r="P33" s="210" t="str">
        <f>VLOOKUP(C33,'WO Descriptions'!$A$5:$D$345,4)</f>
        <v>Service/Yard Line Replacement (SLRP): Company Crew.  Immediate response - replacement single unprotected steel or copper  (Kansas City - Central Region)</v>
      </c>
    </row>
    <row r="34" spans="1:18" ht="30" outlineLevel="2">
      <c r="A34" s="211" t="s">
        <v>66</v>
      </c>
      <c r="B34" s="212" t="s">
        <v>72</v>
      </c>
      <c r="C34" s="212" t="s">
        <v>73</v>
      </c>
      <c r="D34" s="211" t="s">
        <v>74</v>
      </c>
      <c r="E34" s="212" t="s">
        <v>75</v>
      </c>
      <c r="F34" s="211" t="s">
        <v>71</v>
      </c>
      <c r="G34" s="212" t="s">
        <v>23</v>
      </c>
      <c r="H34" s="212" t="s">
        <v>1530</v>
      </c>
      <c r="I34" s="212">
        <v>201410</v>
      </c>
      <c r="J34" s="213">
        <v>170646.25</v>
      </c>
      <c r="K34" s="171">
        <f>VLOOKUP(I34,$T$9:$U$23,2)</f>
        <v>8</v>
      </c>
      <c r="L34" s="214">
        <v>2.23333E-3</v>
      </c>
      <c r="M34" s="213">
        <f>ROUND(J34*K34*L34,2)</f>
        <v>3048.88</v>
      </c>
      <c r="N34" s="213">
        <f>ROUND(J34*L34*12,2)</f>
        <v>4573.3100000000004</v>
      </c>
      <c r="O34" s="14"/>
      <c r="P34" s="210" t="str">
        <f>VLOOKUP(C34,'WO Descriptions'!$A$5:$D$345,4)</f>
        <v>Service/Yard Line Replacement (SLRP): Company Crew.  Immediate response - replacement single unprotected steel or copper  (Kansas City - Central Region)</v>
      </c>
    </row>
    <row r="35" spans="1:18" ht="30" outlineLevel="2">
      <c r="A35" s="211" t="s">
        <v>66</v>
      </c>
      <c r="B35" s="212" t="s">
        <v>72</v>
      </c>
      <c r="C35" s="212" t="s">
        <v>73</v>
      </c>
      <c r="D35" s="211" t="s">
        <v>74</v>
      </c>
      <c r="E35" s="212" t="s">
        <v>75</v>
      </c>
      <c r="F35" s="211" t="s">
        <v>71</v>
      </c>
      <c r="G35" s="212" t="s">
        <v>23</v>
      </c>
      <c r="H35" s="212" t="s">
        <v>1530</v>
      </c>
      <c r="I35" s="212">
        <v>201411</v>
      </c>
      <c r="J35" s="213">
        <v>75040.75</v>
      </c>
      <c r="K35" s="171">
        <f>VLOOKUP(I35,$T$9:$U$23,2)</f>
        <v>7</v>
      </c>
      <c r="L35" s="214">
        <v>2.23333E-3</v>
      </c>
      <c r="M35" s="213">
        <f>ROUND(J35*K35*L35,2)</f>
        <v>1173.1400000000001</v>
      </c>
      <c r="N35" s="213">
        <f>ROUND(J35*L35*12,2)</f>
        <v>2011.09</v>
      </c>
      <c r="O35" s="14"/>
      <c r="P35" s="210" t="str">
        <f>VLOOKUP(C35,'WO Descriptions'!$A$5:$D$345,4)</f>
        <v>Service/Yard Line Replacement (SLRP): Company Crew.  Immediate response - replacement single unprotected steel or copper  (Kansas City - Central Region)</v>
      </c>
    </row>
    <row r="36" spans="1:18" ht="30" outlineLevel="2">
      <c r="A36" s="211" t="s">
        <v>66</v>
      </c>
      <c r="B36" s="212" t="s">
        <v>72</v>
      </c>
      <c r="C36" s="212" t="s">
        <v>73</v>
      </c>
      <c r="D36" s="211" t="s">
        <v>74</v>
      </c>
      <c r="E36" s="212" t="s">
        <v>75</v>
      </c>
      <c r="F36" s="211" t="s">
        <v>71</v>
      </c>
      <c r="G36" s="212" t="s">
        <v>23</v>
      </c>
      <c r="H36" s="212" t="s">
        <v>1530</v>
      </c>
      <c r="I36" s="212">
        <v>201412</v>
      </c>
      <c r="J36" s="213">
        <v>137868.63</v>
      </c>
      <c r="K36" s="171">
        <f>VLOOKUP(I36,$T$9:$U$23,2)</f>
        <v>6</v>
      </c>
      <c r="L36" s="214">
        <v>2.23333E-3</v>
      </c>
      <c r="M36" s="213">
        <f>ROUND(J36*K36*L36,2)</f>
        <v>1847.44</v>
      </c>
      <c r="N36" s="213">
        <f>ROUND(J36*L36*12,2)</f>
        <v>3694.87</v>
      </c>
      <c r="O36" s="14"/>
      <c r="P36" s="210" t="str">
        <f>VLOOKUP(C36,'WO Descriptions'!$A$5:$D$345,4)</f>
        <v>Service/Yard Line Replacement (SLRP): Company Crew.  Immediate response - replacement single unprotected steel or copper  (Kansas City - Central Region)</v>
      </c>
    </row>
    <row r="37" spans="1:18" outlineLevel="1">
      <c r="A37" s="256"/>
      <c r="B37" s="257"/>
      <c r="C37" s="260" t="s">
        <v>1765</v>
      </c>
      <c r="D37" s="256"/>
      <c r="E37" s="257"/>
      <c r="F37" s="256"/>
      <c r="G37" s="257"/>
      <c r="H37" s="257"/>
      <c r="I37" s="257"/>
      <c r="J37" s="258">
        <f>SUBTOTAL(9,J33:J36)</f>
        <v>413445.6</v>
      </c>
      <c r="K37" s="252"/>
      <c r="L37" s="259"/>
      <c r="M37" s="258">
        <f>SUBTOTAL(9,M33:M36)</f>
        <v>6670.25</v>
      </c>
      <c r="N37" s="258">
        <f>SUBTOTAL(9,N33:N36)</f>
        <v>11080.32</v>
      </c>
      <c r="O37" s="223"/>
      <c r="P37" s="210"/>
      <c r="Q37" s="263" t="s">
        <v>2097</v>
      </c>
      <c r="R37" s="263" t="s">
        <v>2102</v>
      </c>
    </row>
    <row r="38" spans="1:18" ht="30" outlineLevel="2">
      <c r="A38" s="14" t="s">
        <v>66</v>
      </c>
      <c r="B38" s="15" t="s">
        <v>76</v>
      </c>
      <c r="C38" s="15" t="s">
        <v>77</v>
      </c>
      <c r="D38" s="14" t="s">
        <v>78</v>
      </c>
      <c r="E38" s="15" t="s">
        <v>79</v>
      </c>
      <c r="F38" s="14" t="s">
        <v>80</v>
      </c>
      <c r="G38" s="15" t="s">
        <v>23</v>
      </c>
      <c r="H38" s="15" t="s">
        <v>1531</v>
      </c>
      <c r="I38" s="15">
        <v>201409</v>
      </c>
      <c r="J38" s="16">
        <v>5719.2</v>
      </c>
      <c r="K38" s="171">
        <f>VLOOKUP(I38,$T$9:$U$23,2)</f>
        <v>9</v>
      </c>
      <c r="L38" s="17">
        <v>2.23333E-3</v>
      </c>
      <c r="M38" s="16">
        <f>ROUND(J38*K38*L38,2)</f>
        <v>114.96</v>
      </c>
      <c r="N38" s="16">
        <f>ROUND(J38*L38*12,2)</f>
        <v>153.27000000000001</v>
      </c>
      <c r="O38" s="14"/>
      <c r="P38" s="210" t="str">
        <f>VLOOKUP(C38,'WO Descriptions'!$A$5:$D$345,4)</f>
        <v>Service/Yard Line Replacement (SLRP): Contract Crew.  Modified Block by Block - Planned replacement of unprotected steel or copper  (Lee's Summit - East Region)</v>
      </c>
    </row>
    <row r="39" spans="1:18" outlineLevel="1">
      <c r="A39" s="223"/>
      <c r="B39" s="250"/>
      <c r="C39" s="254" t="s">
        <v>1766</v>
      </c>
      <c r="D39" s="223"/>
      <c r="E39" s="250"/>
      <c r="F39" s="223"/>
      <c r="G39" s="250"/>
      <c r="H39" s="250"/>
      <c r="I39" s="250"/>
      <c r="J39" s="251">
        <f>SUBTOTAL(9,J38:J38)</f>
        <v>5719.2</v>
      </c>
      <c r="K39" s="252"/>
      <c r="L39" s="253"/>
      <c r="M39" s="251">
        <f>SUBTOTAL(9,M38:M38)</f>
        <v>114.96</v>
      </c>
      <c r="N39" s="251">
        <f>SUBTOTAL(9,N38:N38)</f>
        <v>153.27000000000001</v>
      </c>
      <c r="O39" s="223"/>
      <c r="P39" s="210"/>
      <c r="Q39" s="263" t="s">
        <v>2097</v>
      </c>
      <c r="R39" s="263" t="s">
        <v>2102</v>
      </c>
    </row>
    <row r="40" spans="1:18" ht="30" outlineLevel="2">
      <c r="A40" s="14" t="s">
        <v>66</v>
      </c>
      <c r="B40" s="15" t="s">
        <v>81</v>
      </c>
      <c r="C40" s="15" t="s">
        <v>82</v>
      </c>
      <c r="D40" s="14" t="s">
        <v>83</v>
      </c>
      <c r="E40" s="15" t="s">
        <v>84</v>
      </c>
      <c r="F40" s="14" t="s">
        <v>85</v>
      </c>
      <c r="G40" s="15" t="s">
        <v>23</v>
      </c>
      <c r="H40" s="15" t="s">
        <v>1530</v>
      </c>
      <c r="I40" s="15">
        <v>201409</v>
      </c>
      <c r="J40" s="16">
        <v>152025.89000000001</v>
      </c>
      <c r="K40" s="171">
        <f>VLOOKUP(I40,$T$9:$U$23,2)</f>
        <v>9</v>
      </c>
      <c r="L40" s="17">
        <v>2.23333E-3</v>
      </c>
      <c r="M40" s="16">
        <f>ROUND(J40*K40*L40,2)</f>
        <v>3055.72</v>
      </c>
      <c r="N40" s="16">
        <f>ROUND(J40*L40*12,2)</f>
        <v>4074.29</v>
      </c>
      <c r="O40" s="14"/>
      <c r="P40" s="210" t="str">
        <f>VLOOKUP(C40,'WO Descriptions'!$A$5:$D$345,4)</f>
        <v>Service/Yard Line Replacement (SLRP): Contract Crew.  Block by Block - Planned replacement of all unprotected steel or copper in a single block.  (Kansas City - Central Region)</v>
      </c>
    </row>
    <row r="41" spans="1:18" ht="30" outlineLevel="2">
      <c r="A41" s="211" t="s">
        <v>66</v>
      </c>
      <c r="B41" s="212" t="s">
        <v>81</v>
      </c>
      <c r="C41" s="212" t="s">
        <v>82</v>
      </c>
      <c r="D41" s="211" t="s">
        <v>83</v>
      </c>
      <c r="E41" s="212" t="s">
        <v>84</v>
      </c>
      <c r="F41" s="211" t="s">
        <v>85</v>
      </c>
      <c r="G41" s="212" t="s">
        <v>23</v>
      </c>
      <c r="H41" s="212" t="s">
        <v>1530</v>
      </c>
      <c r="I41" s="212">
        <v>201410</v>
      </c>
      <c r="J41" s="213">
        <v>28628.69</v>
      </c>
      <c r="K41" s="171">
        <f>VLOOKUP(I41,$T$9:$U$23,2)</f>
        <v>8</v>
      </c>
      <c r="L41" s="214">
        <v>2.23333E-3</v>
      </c>
      <c r="M41" s="213">
        <f>ROUND(J41*K41*L41,2)</f>
        <v>511.5</v>
      </c>
      <c r="N41" s="213">
        <f>ROUND(J41*L41*12,2)</f>
        <v>767.25</v>
      </c>
      <c r="O41" s="14"/>
      <c r="P41" s="210" t="str">
        <f>VLOOKUP(C41,'WO Descriptions'!$A$5:$D$345,4)</f>
        <v>Service/Yard Line Replacement (SLRP): Contract Crew.  Block by Block - Planned replacement of all unprotected steel or copper in a single block.  (Kansas City - Central Region)</v>
      </c>
    </row>
    <row r="42" spans="1:18" ht="30" outlineLevel="2">
      <c r="A42" s="211" t="s">
        <v>66</v>
      </c>
      <c r="B42" s="212" t="s">
        <v>81</v>
      </c>
      <c r="C42" s="212" t="s">
        <v>82</v>
      </c>
      <c r="D42" s="211" t="s">
        <v>83</v>
      </c>
      <c r="E42" s="212" t="s">
        <v>84</v>
      </c>
      <c r="F42" s="211" t="s">
        <v>85</v>
      </c>
      <c r="G42" s="212" t="s">
        <v>23</v>
      </c>
      <c r="H42" s="212" t="s">
        <v>1530</v>
      </c>
      <c r="I42" s="212">
        <v>201411</v>
      </c>
      <c r="J42" s="213">
        <v>18288.689999999999</v>
      </c>
      <c r="K42" s="171">
        <f>VLOOKUP(I42,$T$9:$U$23,2)</f>
        <v>7</v>
      </c>
      <c r="L42" s="214">
        <v>2.23333E-3</v>
      </c>
      <c r="M42" s="213">
        <f>ROUND(J42*K42*L42,2)</f>
        <v>285.91000000000003</v>
      </c>
      <c r="N42" s="213">
        <f>ROUND(J42*L42*12,2)</f>
        <v>490.14</v>
      </c>
      <c r="O42" s="14"/>
      <c r="P42" s="210" t="str">
        <f>VLOOKUP(C42,'WO Descriptions'!$A$5:$D$345,4)</f>
        <v>Service/Yard Line Replacement (SLRP): Contract Crew.  Block by Block - Planned replacement of all unprotected steel or copper in a single block.  (Kansas City - Central Region)</v>
      </c>
    </row>
    <row r="43" spans="1:18" ht="30" outlineLevel="2">
      <c r="A43" s="211" t="s">
        <v>66</v>
      </c>
      <c r="B43" s="212" t="s">
        <v>81</v>
      </c>
      <c r="C43" s="212" t="s">
        <v>82</v>
      </c>
      <c r="D43" s="211" t="s">
        <v>83</v>
      </c>
      <c r="E43" s="212" t="s">
        <v>84</v>
      </c>
      <c r="F43" s="211" t="s">
        <v>85</v>
      </c>
      <c r="G43" s="212" t="s">
        <v>23</v>
      </c>
      <c r="H43" s="212" t="s">
        <v>1530</v>
      </c>
      <c r="I43" s="212">
        <v>201412</v>
      </c>
      <c r="J43" s="213">
        <v>21637.919999999998</v>
      </c>
      <c r="K43" s="171">
        <f>VLOOKUP(I43,$T$9:$U$23,2)</f>
        <v>6</v>
      </c>
      <c r="L43" s="214">
        <v>2.23333E-3</v>
      </c>
      <c r="M43" s="213">
        <f>ROUND(J43*K43*L43,2)</f>
        <v>289.95</v>
      </c>
      <c r="N43" s="213">
        <f>ROUND(J43*L43*12,2)</f>
        <v>579.9</v>
      </c>
      <c r="O43" s="14"/>
      <c r="P43" s="210" t="str">
        <f>VLOOKUP(C43,'WO Descriptions'!$A$5:$D$345,4)</f>
        <v>Service/Yard Line Replacement (SLRP): Contract Crew.  Block by Block - Planned replacement of all unprotected steel or copper in a single block.  (Kansas City - Central Region)</v>
      </c>
    </row>
    <row r="44" spans="1:18" outlineLevel="1">
      <c r="A44" s="256"/>
      <c r="B44" s="257"/>
      <c r="C44" s="260" t="s">
        <v>1767</v>
      </c>
      <c r="D44" s="256"/>
      <c r="E44" s="257"/>
      <c r="F44" s="256"/>
      <c r="G44" s="257"/>
      <c r="H44" s="257"/>
      <c r="I44" s="257"/>
      <c r="J44" s="258">
        <f>SUBTOTAL(9,J40:J43)</f>
        <v>220581.19</v>
      </c>
      <c r="K44" s="252"/>
      <c r="L44" s="259"/>
      <c r="M44" s="258">
        <f>SUBTOTAL(9,M40:M43)</f>
        <v>4143.08</v>
      </c>
      <c r="N44" s="258">
        <f>SUBTOTAL(9,N40:N43)</f>
        <v>5911.58</v>
      </c>
      <c r="O44" s="223"/>
      <c r="P44" s="210"/>
      <c r="Q44" s="263" t="s">
        <v>2097</v>
      </c>
      <c r="R44" s="263" t="s">
        <v>2102</v>
      </c>
    </row>
    <row r="45" spans="1:18" ht="30" outlineLevel="2">
      <c r="A45" s="14" t="s">
        <v>66</v>
      </c>
      <c r="B45" s="15" t="s">
        <v>86</v>
      </c>
      <c r="C45" s="15" t="s">
        <v>87</v>
      </c>
      <c r="D45" s="14" t="s">
        <v>88</v>
      </c>
      <c r="E45" s="15" t="s">
        <v>89</v>
      </c>
      <c r="F45" s="14" t="s">
        <v>85</v>
      </c>
      <c r="G45" s="15" t="s">
        <v>23</v>
      </c>
      <c r="H45" s="15" t="s">
        <v>1530</v>
      </c>
      <c r="I45" s="15">
        <v>201409</v>
      </c>
      <c r="J45" s="16">
        <v>5005.29</v>
      </c>
      <c r="K45" s="171">
        <f>VLOOKUP(I45,$T$9:$U$23,2)</f>
        <v>9</v>
      </c>
      <c r="L45" s="17">
        <v>2.23333E-3</v>
      </c>
      <c r="M45" s="16">
        <f>ROUND(J45*K45*L45,2)</f>
        <v>100.61</v>
      </c>
      <c r="N45" s="16">
        <f>ROUND(J45*L45*12,2)</f>
        <v>134.13999999999999</v>
      </c>
      <c r="O45" s="14"/>
      <c r="P45" s="210" t="str">
        <f>VLOOKUP(C45,'WO Descriptions'!$A$5:$D$345,4)</f>
        <v>Service/Yard Line Replacement (SLRP): Contract Crew.  Block by Block - Planned replacement of all unprotected steel or copper in a single block.  (Monett - South Region)</v>
      </c>
    </row>
    <row r="46" spans="1:18" outlineLevel="1">
      <c r="A46" s="223"/>
      <c r="B46" s="250"/>
      <c r="C46" s="254" t="s">
        <v>1768</v>
      </c>
      <c r="D46" s="223"/>
      <c r="E46" s="250"/>
      <c r="F46" s="223"/>
      <c r="G46" s="250"/>
      <c r="H46" s="250"/>
      <c r="I46" s="250"/>
      <c r="J46" s="251">
        <f>SUBTOTAL(9,J45:J45)</f>
        <v>5005.29</v>
      </c>
      <c r="K46" s="252"/>
      <c r="L46" s="253"/>
      <c r="M46" s="251">
        <f>SUBTOTAL(9,M45:M45)</f>
        <v>100.61</v>
      </c>
      <c r="N46" s="251">
        <f>SUBTOTAL(9,N45:N45)</f>
        <v>134.13999999999999</v>
      </c>
      <c r="O46" s="223"/>
      <c r="P46" s="210"/>
      <c r="Q46" s="263" t="s">
        <v>2097</v>
      </c>
      <c r="R46" s="263" t="s">
        <v>2102</v>
      </c>
    </row>
    <row r="47" spans="1:18" ht="30" outlineLevel="2">
      <c r="A47" s="14" t="s">
        <v>66</v>
      </c>
      <c r="B47" s="15" t="s">
        <v>90</v>
      </c>
      <c r="C47" s="15" t="s">
        <v>91</v>
      </c>
      <c r="D47" s="14" t="s">
        <v>78</v>
      </c>
      <c r="E47" s="15" t="s">
        <v>92</v>
      </c>
      <c r="F47" s="14" t="s">
        <v>80</v>
      </c>
      <c r="G47" s="15" t="s">
        <v>23</v>
      </c>
      <c r="H47" s="15" t="s">
        <v>1530</v>
      </c>
      <c r="I47" s="15">
        <v>201409</v>
      </c>
      <c r="J47" s="16">
        <v>26370.98</v>
      </c>
      <c r="K47" s="171">
        <f>VLOOKUP(I47,$T$9:$U$23,2)</f>
        <v>9</v>
      </c>
      <c r="L47" s="17">
        <v>2.23333E-3</v>
      </c>
      <c r="M47" s="16">
        <f>ROUND(J47*K47*L47,2)</f>
        <v>530.05999999999995</v>
      </c>
      <c r="N47" s="16">
        <f>ROUND(J47*L47*12,2)</f>
        <v>706.74</v>
      </c>
      <c r="O47" s="14"/>
      <c r="P47" s="210" t="str">
        <f>VLOOKUP(C47,'WO Descriptions'!$A$5:$D$345,4)</f>
        <v>Service/Yard Line Replacement (SLRP): Company Crew.  Modified Block by Block - Planned replacement of all unprotected steel or copper in a single block.  (Monett - South Region)</v>
      </c>
    </row>
    <row r="48" spans="1:18" ht="30" outlineLevel="2">
      <c r="A48" s="211" t="s">
        <v>66</v>
      </c>
      <c r="B48" s="212" t="s">
        <v>90</v>
      </c>
      <c r="C48" s="212" t="s">
        <v>91</v>
      </c>
      <c r="D48" s="211" t="s">
        <v>78</v>
      </c>
      <c r="E48" s="212" t="s">
        <v>92</v>
      </c>
      <c r="F48" s="211" t="s">
        <v>80</v>
      </c>
      <c r="G48" s="212" t="s">
        <v>23</v>
      </c>
      <c r="H48" s="212" t="s">
        <v>1530</v>
      </c>
      <c r="I48" s="212">
        <v>201410</v>
      </c>
      <c r="J48" s="213">
        <v>7587.08</v>
      </c>
      <c r="K48" s="171">
        <f>VLOOKUP(I48,$T$9:$U$23,2)</f>
        <v>8</v>
      </c>
      <c r="L48" s="214">
        <v>2.23333E-3</v>
      </c>
      <c r="M48" s="213">
        <f>ROUND(J48*K48*L48,2)</f>
        <v>135.56</v>
      </c>
      <c r="N48" s="213">
        <f>ROUND(J48*L48*12,2)</f>
        <v>203.33</v>
      </c>
      <c r="O48" s="14"/>
      <c r="P48" s="210" t="str">
        <f>VLOOKUP(C48,'WO Descriptions'!$A$5:$D$345,4)</f>
        <v>Service/Yard Line Replacement (SLRP): Company Crew.  Modified Block by Block - Planned replacement of all unprotected steel or copper in a single block.  (Monett - South Region)</v>
      </c>
    </row>
    <row r="49" spans="1:18" ht="30" outlineLevel="2">
      <c r="A49" s="211" t="s">
        <v>66</v>
      </c>
      <c r="B49" s="212" t="s">
        <v>90</v>
      </c>
      <c r="C49" s="212" t="s">
        <v>91</v>
      </c>
      <c r="D49" s="211" t="s">
        <v>78</v>
      </c>
      <c r="E49" s="212" t="s">
        <v>92</v>
      </c>
      <c r="F49" s="211" t="s">
        <v>80</v>
      </c>
      <c r="G49" s="212" t="s">
        <v>23</v>
      </c>
      <c r="H49" s="212" t="s">
        <v>1530</v>
      </c>
      <c r="I49" s="212">
        <v>201411</v>
      </c>
      <c r="J49" s="213">
        <v>25805.41</v>
      </c>
      <c r="K49" s="171">
        <f>VLOOKUP(I49,$T$9:$U$23,2)</f>
        <v>7</v>
      </c>
      <c r="L49" s="214">
        <v>2.23333E-3</v>
      </c>
      <c r="M49" s="213">
        <f>ROUND(J49*K49*L49,2)</f>
        <v>403.42</v>
      </c>
      <c r="N49" s="213">
        <f>ROUND(J49*L49*12,2)</f>
        <v>691.58</v>
      </c>
      <c r="O49" s="14"/>
      <c r="P49" s="210" t="str">
        <f>VLOOKUP(C49,'WO Descriptions'!$A$5:$D$345,4)</f>
        <v>Service/Yard Line Replacement (SLRP): Company Crew.  Modified Block by Block - Planned replacement of all unprotected steel or copper in a single block.  (Monett - South Region)</v>
      </c>
    </row>
    <row r="50" spans="1:18" ht="30" outlineLevel="2">
      <c r="A50" s="211" t="s">
        <v>66</v>
      </c>
      <c r="B50" s="212" t="s">
        <v>90</v>
      </c>
      <c r="C50" s="212" t="s">
        <v>91</v>
      </c>
      <c r="D50" s="211" t="s">
        <v>78</v>
      </c>
      <c r="E50" s="212" t="s">
        <v>92</v>
      </c>
      <c r="F50" s="211" t="s">
        <v>80</v>
      </c>
      <c r="G50" s="212" t="s">
        <v>23</v>
      </c>
      <c r="H50" s="212" t="s">
        <v>1530</v>
      </c>
      <c r="I50" s="212">
        <v>201412</v>
      </c>
      <c r="J50" s="213">
        <v>11747.82</v>
      </c>
      <c r="K50" s="171">
        <f>VLOOKUP(I50,$T$9:$U$23,2)</f>
        <v>6</v>
      </c>
      <c r="L50" s="214">
        <v>2.23333E-3</v>
      </c>
      <c r="M50" s="213">
        <f>ROUND(J50*K50*L50,2)</f>
        <v>157.41999999999999</v>
      </c>
      <c r="N50" s="213">
        <f>ROUND(J50*L50*12,2)</f>
        <v>314.83999999999997</v>
      </c>
      <c r="O50" s="14"/>
      <c r="P50" s="210" t="str">
        <f>VLOOKUP(C50,'WO Descriptions'!$A$5:$D$345,4)</f>
        <v>Service/Yard Line Replacement (SLRP): Company Crew.  Modified Block by Block - Planned replacement of all unprotected steel or copper in a single block.  (Monett - South Region)</v>
      </c>
    </row>
    <row r="51" spans="1:18" outlineLevel="1">
      <c r="A51" s="256"/>
      <c r="B51" s="257"/>
      <c r="C51" s="260" t="s">
        <v>1769</v>
      </c>
      <c r="D51" s="256"/>
      <c r="E51" s="257"/>
      <c r="F51" s="256"/>
      <c r="G51" s="257"/>
      <c r="H51" s="257"/>
      <c r="I51" s="257"/>
      <c r="J51" s="258">
        <f>SUBTOTAL(9,J47:J50)</f>
        <v>71511.290000000008</v>
      </c>
      <c r="K51" s="252"/>
      <c r="L51" s="259"/>
      <c r="M51" s="258">
        <f>SUBTOTAL(9,M47:M50)</f>
        <v>1226.46</v>
      </c>
      <c r="N51" s="258">
        <f>SUBTOTAL(9,N47:N50)</f>
        <v>1916.49</v>
      </c>
      <c r="O51" s="223"/>
      <c r="P51" s="210"/>
      <c r="Q51" s="263" t="s">
        <v>2097</v>
      </c>
      <c r="R51" s="263" t="s">
        <v>2102</v>
      </c>
    </row>
    <row r="52" spans="1:18" ht="30" outlineLevel="2">
      <c r="A52" s="211" t="s">
        <v>1584</v>
      </c>
      <c r="B52" s="212" t="s">
        <v>1586</v>
      </c>
      <c r="C52" s="212" t="s">
        <v>1587</v>
      </c>
      <c r="D52" s="211" t="s">
        <v>1588</v>
      </c>
      <c r="E52" s="212" t="s">
        <v>1589</v>
      </c>
      <c r="F52" s="211" t="s">
        <v>1590</v>
      </c>
      <c r="G52" s="212" t="s">
        <v>23</v>
      </c>
      <c r="H52" s="212" t="s">
        <v>1530</v>
      </c>
      <c r="I52" s="212">
        <v>201409</v>
      </c>
      <c r="J52" s="213">
        <v>3649.84</v>
      </c>
      <c r="K52" s="171">
        <f>VLOOKUP(I52,$T$9:$U$23,2)</f>
        <v>9</v>
      </c>
      <c r="L52" s="214">
        <v>2.0333333000000001E-3</v>
      </c>
      <c r="M52" s="213">
        <f>ROUND(J52*K52*L52,2)</f>
        <v>66.790000000000006</v>
      </c>
      <c r="N52" s="213">
        <f>ROUND(J52*L52*12,2)</f>
        <v>89.06</v>
      </c>
      <c r="O52" s="14"/>
      <c r="P52" s="210" t="str">
        <f>VLOOKUP(C52,'WO Descriptions'!$A$5:$D$345,4)</f>
        <v>Service/Yard Line Replacement (SLRP): Company Crew.  Modified Block by Block - Planned replacement of all unprotected steel or copper in a single block.  (Monett - South Region)</v>
      </c>
    </row>
    <row r="53" spans="1:18" ht="30" outlineLevel="2">
      <c r="A53" s="211" t="s">
        <v>1584</v>
      </c>
      <c r="B53" s="212" t="s">
        <v>1586</v>
      </c>
      <c r="C53" s="212" t="s">
        <v>1587</v>
      </c>
      <c r="D53" s="211" t="s">
        <v>1588</v>
      </c>
      <c r="E53" s="212" t="s">
        <v>1589</v>
      </c>
      <c r="F53" s="211" t="s">
        <v>1590</v>
      </c>
      <c r="G53" s="212" t="s">
        <v>23</v>
      </c>
      <c r="H53" s="212" t="s">
        <v>1530</v>
      </c>
      <c r="I53" s="212">
        <v>201410</v>
      </c>
      <c r="J53" s="213">
        <v>10750.98</v>
      </c>
      <c r="K53" s="171">
        <f>VLOOKUP(I53,$T$9:$U$23,2)</f>
        <v>8</v>
      </c>
      <c r="L53" s="214">
        <v>2.0333333000000001E-3</v>
      </c>
      <c r="M53" s="213">
        <f>ROUND(J53*K53*L53,2)</f>
        <v>174.88</v>
      </c>
      <c r="N53" s="213">
        <f>ROUND(J53*L53*12,2)</f>
        <v>262.32</v>
      </c>
      <c r="O53" s="14"/>
      <c r="P53" s="210" t="str">
        <f>VLOOKUP(C53,'WO Descriptions'!$A$5:$D$345,4)</f>
        <v>Service/Yard Line Replacement (SLRP): Company Crew.  Modified Block by Block - Planned replacement of all unprotected steel or copper in a single block.  (Monett - South Region)</v>
      </c>
    </row>
    <row r="54" spans="1:18" ht="30" outlineLevel="2">
      <c r="A54" s="211" t="s">
        <v>1584</v>
      </c>
      <c r="B54" s="212" t="s">
        <v>1586</v>
      </c>
      <c r="C54" s="212" t="s">
        <v>1587</v>
      </c>
      <c r="D54" s="211" t="s">
        <v>1588</v>
      </c>
      <c r="E54" s="212" t="s">
        <v>1589</v>
      </c>
      <c r="F54" s="211" t="s">
        <v>1590</v>
      </c>
      <c r="G54" s="212" t="s">
        <v>23</v>
      </c>
      <c r="H54" s="212" t="s">
        <v>1530</v>
      </c>
      <c r="I54" s="212">
        <v>201411</v>
      </c>
      <c r="J54" s="213">
        <v>3556.67</v>
      </c>
      <c r="K54" s="171">
        <f>VLOOKUP(I54,$T$9:$U$23,2)</f>
        <v>7</v>
      </c>
      <c r="L54" s="214">
        <v>2.0333333000000001E-3</v>
      </c>
      <c r="M54" s="213">
        <f>ROUND(J54*K54*L54,2)</f>
        <v>50.62</v>
      </c>
      <c r="N54" s="213">
        <f>ROUND(J54*L54*12,2)</f>
        <v>86.78</v>
      </c>
      <c r="O54" s="14"/>
      <c r="P54" s="210" t="str">
        <f>VLOOKUP(C54,'WO Descriptions'!$A$5:$D$345,4)</f>
        <v>Service/Yard Line Replacement (SLRP): Company Crew.  Modified Block by Block - Planned replacement of all unprotected steel or copper in a single block.  (Monett - South Region)</v>
      </c>
    </row>
    <row r="55" spans="1:18" ht="30" outlineLevel="2">
      <c r="A55" s="211" t="s">
        <v>1584</v>
      </c>
      <c r="B55" s="212" t="s">
        <v>1586</v>
      </c>
      <c r="C55" s="212" t="s">
        <v>1587</v>
      </c>
      <c r="D55" s="211" t="s">
        <v>1588</v>
      </c>
      <c r="E55" s="212" t="s">
        <v>1589</v>
      </c>
      <c r="F55" s="211" t="s">
        <v>1590</v>
      </c>
      <c r="G55" s="212" t="s">
        <v>23</v>
      </c>
      <c r="H55" s="212" t="s">
        <v>1530</v>
      </c>
      <c r="I55" s="212">
        <v>201412</v>
      </c>
      <c r="J55" s="213">
        <v>2193.1</v>
      </c>
      <c r="K55" s="171">
        <f>VLOOKUP(I55,$T$9:$U$23,2)</f>
        <v>6</v>
      </c>
      <c r="L55" s="214">
        <v>2.0333333000000001E-3</v>
      </c>
      <c r="M55" s="213">
        <f>ROUND(J55*K55*L55,2)</f>
        <v>26.76</v>
      </c>
      <c r="N55" s="213">
        <f>ROUND(J55*L55*12,2)</f>
        <v>53.51</v>
      </c>
      <c r="O55" s="14"/>
      <c r="P55" s="210" t="str">
        <f>VLOOKUP(C55,'WO Descriptions'!$A$5:$D$345,4)</f>
        <v>Service/Yard Line Replacement (SLRP): Company Crew.  Modified Block by Block - Planned replacement of all unprotected steel or copper in a single block.  (Monett - South Region)</v>
      </c>
    </row>
    <row r="56" spans="1:18" outlineLevel="1">
      <c r="A56" s="256"/>
      <c r="B56" s="257"/>
      <c r="C56" s="260" t="s">
        <v>1770</v>
      </c>
      <c r="D56" s="256"/>
      <c r="E56" s="257"/>
      <c r="F56" s="256"/>
      <c r="G56" s="257"/>
      <c r="H56" s="257"/>
      <c r="I56" s="257"/>
      <c r="J56" s="258">
        <f>SUBTOTAL(9,J52:J55)</f>
        <v>20150.589999999997</v>
      </c>
      <c r="K56" s="252"/>
      <c r="L56" s="259"/>
      <c r="M56" s="258">
        <f>SUBTOTAL(9,M52:M55)</f>
        <v>319.05</v>
      </c>
      <c r="N56" s="258">
        <f>SUBTOTAL(9,N52:N55)</f>
        <v>491.66999999999996</v>
      </c>
      <c r="O56" s="223"/>
      <c r="P56" s="210"/>
      <c r="Q56" s="263" t="s">
        <v>2097</v>
      </c>
      <c r="R56" s="263" t="s">
        <v>2102</v>
      </c>
    </row>
    <row r="57" spans="1:18" ht="30" outlineLevel="2">
      <c r="A57" s="211" t="s">
        <v>66</v>
      </c>
      <c r="B57" s="212" t="s">
        <v>93</v>
      </c>
      <c r="C57" s="212" t="s">
        <v>94</v>
      </c>
      <c r="D57" s="211" t="s">
        <v>95</v>
      </c>
      <c r="E57" s="212" t="s">
        <v>96</v>
      </c>
      <c r="F57" s="211" t="s">
        <v>97</v>
      </c>
      <c r="G57" s="212" t="s">
        <v>23</v>
      </c>
      <c r="H57" s="212" t="s">
        <v>1530</v>
      </c>
      <c r="I57" s="212">
        <v>201409</v>
      </c>
      <c r="J57" s="213">
        <v>-596.15</v>
      </c>
      <c r="K57" s="171">
        <f>VLOOKUP(I57,$T$9:$U$23,2)</f>
        <v>9</v>
      </c>
      <c r="L57" s="214">
        <v>2.23333E-3</v>
      </c>
      <c r="M57" s="213">
        <f>ROUND(J57*K57*L57,2)</f>
        <v>-11.98</v>
      </c>
      <c r="N57" s="213">
        <f>ROUND(J57*L57*12,2)</f>
        <v>-15.98</v>
      </c>
      <c r="O57" s="14"/>
      <c r="P57" s="210" t="str">
        <f>VLOOKUP(C57,'WO Descriptions'!$A$5:$D$345,4)</f>
        <v>Service/Yard Line Replacement (SLRP): Company Crew.  Service/yard line replacement - Material Charges Only  (Kansas City - Central Region)</v>
      </c>
    </row>
    <row r="58" spans="1:18" outlineLevel="1">
      <c r="A58" s="256"/>
      <c r="B58" s="257"/>
      <c r="C58" s="260" t="s">
        <v>1771</v>
      </c>
      <c r="D58" s="256"/>
      <c r="E58" s="257"/>
      <c r="F58" s="256"/>
      <c r="G58" s="257"/>
      <c r="H58" s="257"/>
      <c r="I58" s="257"/>
      <c r="J58" s="258">
        <f>SUBTOTAL(9,J57:J57)</f>
        <v>-596.15</v>
      </c>
      <c r="K58" s="252"/>
      <c r="L58" s="259"/>
      <c r="M58" s="258">
        <f>SUBTOTAL(9,M57:M57)</f>
        <v>-11.98</v>
      </c>
      <c r="N58" s="258">
        <f>SUBTOTAL(9,N57:N57)</f>
        <v>-15.98</v>
      </c>
      <c r="O58" s="223"/>
      <c r="P58" s="210"/>
      <c r="Q58" s="263" t="s">
        <v>2097</v>
      </c>
      <c r="R58" s="263" t="s">
        <v>2102</v>
      </c>
    </row>
    <row r="59" spans="1:18" ht="45" outlineLevel="2">
      <c r="A59" s="14" t="s">
        <v>17</v>
      </c>
      <c r="B59" s="15" t="s">
        <v>98</v>
      </c>
      <c r="C59" s="15" t="s">
        <v>99</v>
      </c>
      <c r="D59" s="14" t="s">
        <v>100</v>
      </c>
      <c r="E59" s="15" t="s">
        <v>62</v>
      </c>
      <c r="F59" s="14" t="s">
        <v>22</v>
      </c>
      <c r="G59" s="15" t="s">
        <v>23</v>
      </c>
      <c r="H59" s="15" t="s">
        <v>1525</v>
      </c>
      <c r="I59" s="15">
        <v>201409</v>
      </c>
      <c r="J59" s="16">
        <v>0.32</v>
      </c>
      <c r="K59" s="171">
        <f>VLOOKUP(I59,$T$9:$U$23,2)</f>
        <v>9</v>
      </c>
      <c r="L59" s="17">
        <v>1.4833299999999999E-3</v>
      </c>
      <c r="M59" s="16">
        <f>ROUND(J59*K59*L59,2)</f>
        <v>0</v>
      </c>
      <c r="N59" s="16">
        <f>ROUND(J59*L59*12,2)</f>
        <v>0.01</v>
      </c>
      <c r="O59" s="14"/>
      <c r="P59" s="210" t="str">
        <f>VLOOKUP(C59,'WO Descriptions'!$A$5:$D$345,4)</f>
        <v>Approved by: Ralph Janes on 05/01/2013,  Replace and abandon 337' of 2&amp;quot; PBS main (none WO) with 340' of 2&amp;quot; PE. The existing main was isolated and cut off the rectifier by the installation of PE main on WO# 13-2654. (ISRS).</v>
      </c>
    </row>
    <row r="60" spans="1:18" outlineLevel="1">
      <c r="A60" s="223"/>
      <c r="B60" s="250"/>
      <c r="C60" s="254" t="s">
        <v>1772</v>
      </c>
      <c r="D60" s="223"/>
      <c r="E60" s="250"/>
      <c r="F60" s="223"/>
      <c r="G60" s="250"/>
      <c r="H60" s="250"/>
      <c r="I60" s="250"/>
      <c r="J60" s="251">
        <f>SUBTOTAL(9,J59:J59)</f>
        <v>0.32</v>
      </c>
      <c r="K60" s="252"/>
      <c r="L60" s="253"/>
      <c r="M60" s="251">
        <f>SUBTOTAL(9,M59:M59)</f>
        <v>0</v>
      </c>
      <c r="N60" s="251">
        <f>SUBTOTAL(9,N59:N59)</f>
        <v>0.01</v>
      </c>
      <c r="O60" s="223"/>
      <c r="P60" s="210"/>
      <c r="Q60" s="263" t="s">
        <v>2097</v>
      </c>
      <c r="R60" s="263" t="s">
        <v>2098</v>
      </c>
    </row>
    <row r="61" spans="1:18" ht="75" outlineLevel="2">
      <c r="A61" s="14" t="s">
        <v>17</v>
      </c>
      <c r="B61" s="15" t="s">
        <v>101</v>
      </c>
      <c r="C61" s="15" t="s">
        <v>102</v>
      </c>
      <c r="D61" s="14" t="s">
        <v>103</v>
      </c>
      <c r="E61" s="15" t="s">
        <v>104</v>
      </c>
      <c r="F61" s="14" t="s">
        <v>41</v>
      </c>
      <c r="G61" s="15" t="s">
        <v>23</v>
      </c>
      <c r="H61" s="15" t="s">
        <v>1526</v>
      </c>
      <c r="I61" s="15">
        <v>201409</v>
      </c>
      <c r="J61" s="16">
        <v>-39.9</v>
      </c>
      <c r="K61" s="171">
        <f>VLOOKUP(I61,$T$9:$U$23,2)</f>
        <v>9</v>
      </c>
      <c r="L61" s="17">
        <v>1.4833299999999999E-3</v>
      </c>
      <c r="M61" s="16">
        <f>ROUND(J61*K61*L61,2)</f>
        <v>-0.53</v>
      </c>
      <c r="N61" s="16">
        <f>ROUND(J61*L61*12,2)</f>
        <v>-0.71</v>
      </c>
      <c r="O61" s="14"/>
      <c r="P61" s="210" t="str">
        <f>VLOOKUP(C61,'WO Descriptions'!$A$5:$D$345,4)</f>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
    </row>
    <row r="62" spans="1:18" outlineLevel="1">
      <c r="A62" s="223"/>
      <c r="B62" s="250"/>
      <c r="C62" s="254" t="s">
        <v>1773</v>
      </c>
      <c r="D62" s="223"/>
      <c r="E62" s="250"/>
      <c r="F62" s="223"/>
      <c r="G62" s="250"/>
      <c r="H62" s="250"/>
      <c r="I62" s="250"/>
      <c r="J62" s="251">
        <f>SUBTOTAL(9,J61:J61)</f>
        <v>-39.9</v>
      </c>
      <c r="K62" s="252"/>
      <c r="L62" s="253"/>
      <c r="M62" s="251">
        <f>SUBTOTAL(9,M61:M61)</f>
        <v>-0.53</v>
      </c>
      <c r="N62" s="251">
        <f>SUBTOTAL(9,N61:N61)</f>
        <v>-0.71</v>
      </c>
      <c r="O62" s="223"/>
      <c r="P62" s="210"/>
      <c r="Q62" s="263" t="s">
        <v>2096</v>
      </c>
    </row>
    <row r="63" spans="1:18" ht="75" outlineLevel="2">
      <c r="A63" s="14" t="s">
        <v>17</v>
      </c>
      <c r="B63" s="15" t="s">
        <v>105</v>
      </c>
      <c r="C63" s="15" t="s">
        <v>106</v>
      </c>
      <c r="D63" s="14" t="s">
        <v>107</v>
      </c>
      <c r="E63" s="15" t="s">
        <v>108</v>
      </c>
      <c r="F63" s="14" t="s">
        <v>28</v>
      </c>
      <c r="G63" s="15" t="s">
        <v>23</v>
      </c>
      <c r="H63" s="15" t="s">
        <v>1525</v>
      </c>
      <c r="I63" s="15">
        <v>201409</v>
      </c>
      <c r="J63" s="16">
        <v>-10120.82</v>
      </c>
      <c r="K63" s="171">
        <f>VLOOKUP(I63,$T$9:$U$23,2)</f>
        <v>9</v>
      </c>
      <c r="L63" s="17">
        <v>1.4833299999999999E-3</v>
      </c>
      <c r="M63" s="16">
        <f>ROUND(J63*K63*L63,2)</f>
        <v>-135.11000000000001</v>
      </c>
      <c r="N63" s="16">
        <f>ROUND(J63*L63*12,2)</f>
        <v>-180.15</v>
      </c>
      <c r="O63" s="14"/>
      <c r="P63" s="210" t="str">
        <f>VLOOKUP(C63,'WO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4" spans="1:18" ht="75" outlineLevel="2">
      <c r="A64" s="14" t="s">
        <v>17</v>
      </c>
      <c r="B64" s="15" t="s">
        <v>105</v>
      </c>
      <c r="C64" s="15" t="s">
        <v>106</v>
      </c>
      <c r="D64" s="14" t="s">
        <v>107</v>
      </c>
      <c r="E64" s="15" t="s">
        <v>108</v>
      </c>
      <c r="F64" s="14" t="s">
        <v>28</v>
      </c>
      <c r="G64" s="15" t="s">
        <v>23</v>
      </c>
      <c r="H64" s="15" t="s">
        <v>1525</v>
      </c>
      <c r="I64" s="15">
        <v>201410</v>
      </c>
      <c r="J64" s="16">
        <v>-961.99</v>
      </c>
      <c r="K64" s="171">
        <f>VLOOKUP(I64,$T$9:$U$23,2)</f>
        <v>8</v>
      </c>
      <c r="L64" s="17">
        <v>1.4833299999999999E-3</v>
      </c>
      <c r="M64" s="16">
        <f>ROUND(J64*K64*L64,2)</f>
        <v>-11.42</v>
      </c>
      <c r="N64" s="16">
        <f>ROUND(J64*L64*12,2)</f>
        <v>-17.12</v>
      </c>
      <c r="O64" s="14"/>
      <c r="P64" s="210" t="str">
        <f>VLOOKUP(C64,'WO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5" spans="1:18" ht="75" outlineLevel="2">
      <c r="A65" s="14" t="s">
        <v>17</v>
      </c>
      <c r="B65" s="15" t="s">
        <v>105</v>
      </c>
      <c r="C65" s="15" t="s">
        <v>106</v>
      </c>
      <c r="D65" s="14" t="s">
        <v>107</v>
      </c>
      <c r="E65" s="15" t="s">
        <v>108</v>
      </c>
      <c r="F65" s="14" t="s">
        <v>28</v>
      </c>
      <c r="G65" s="15" t="s">
        <v>23</v>
      </c>
      <c r="H65" s="15" t="s">
        <v>1525</v>
      </c>
      <c r="I65" s="15">
        <v>201411</v>
      </c>
      <c r="J65" s="16">
        <v>132.91</v>
      </c>
      <c r="K65" s="171">
        <f>VLOOKUP(I65,$T$9:$U$23,2)</f>
        <v>7</v>
      </c>
      <c r="L65" s="17">
        <v>1.4833299999999999E-3</v>
      </c>
      <c r="M65" s="16">
        <f>ROUND(J65*K65*L65,2)</f>
        <v>1.38</v>
      </c>
      <c r="N65" s="16">
        <f>ROUND(J65*L65*12,2)</f>
        <v>2.37</v>
      </c>
      <c r="O65" s="14"/>
      <c r="P65" s="210" t="str">
        <f>VLOOKUP(C65,'WO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6" spans="1:18" outlineLevel="1">
      <c r="A66" s="223"/>
      <c r="B66" s="250"/>
      <c r="C66" s="254" t="s">
        <v>1774</v>
      </c>
      <c r="D66" s="223"/>
      <c r="E66" s="250"/>
      <c r="F66" s="223"/>
      <c r="G66" s="250"/>
      <c r="H66" s="250"/>
      <c r="I66" s="250"/>
      <c r="J66" s="251">
        <f>SUBTOTAL(9,J63:J65)</f>
        <v>-10949.9</v>
      </c>
      <c r="K66" s="252"/>
      <c r="L66" s="253"/>
      <c r="M66" s="251">
        <f>SUBTOTAL(9,M63:M65)</f>
        <v>-145.15</v>
      </c>
      <c r="N66" s="251">
        <f>SUBTOTAL(9,N63:N65)</f>
        <v>-194.9</v>
      </c>
      <c r="O66" s="223"/>
      <c r="P66" s="210"/>
      <c r="Q66" s="263" t="s">
        <v>2097</v>
      </c>
      <c r="R66" s="263" t="s">
        <v>2099</v>
      </c>
    </row>
    <row r="67" spans="1:18" ht="60" outlineLevel="2">
      <c r="A67" s="14" t="s">
        <v>17</v>
      </c>
      <c r="B67" s="15" t="s">
        <v>109</v>
      </c>
      <c r="C67" s="15" t="s">
        <v>110</v>
      </c>
      <c r="D67" s="14" t="s">
        <v>111</v>
      </c>
      <c r="E67" s="15" t="s">
        <v>112</v>
      </c>
      <c r="F67" s="14" t="s">
        <v>22</v>
      </c>
      <c r="G67" s="15" t="s">
        <v>23</v>
      </c>
      <c r="H67" s="15" t="s">
        <v>1525</v>
      </c>
      <c r="I67" s="15">
        <v>201409</v>
      </c>
      <c r="J67" s="16">
        <v>-30.63</v>
      </c>
      <c r="K67" s="171">
        <f>VLOOKUP(I67,$T$9:$U$23,2)</f>
        <v>9</v>
      </c>
      <c r="L67" s="17">
        <v>1.4833299999999999E-3</v>
      </c>
      <c r="M67" s="16">
        <f>ROUND(J67*K67*L67,2)</f>
        <v>-0.41</v>
      </c>
      <c r="N67" s="16">
        <f>ROUND(J67*L67*12,2)</f>
        <v>-0.55000000000000004</v>
      </c>
      <c r="O67" s="14"/>
      <c r="P67" s="210" t="str">
        <f>VLOOKUP(C67,'WO Descriptions'!$A$5:$D$345,4)</f>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
    </row>
    <row r="68" spans="1:18" outlineLevel="1">
      <c r="A68" s="223"/>
      <c r="B68" s="250"/>
      <c r="C68" s="254" t="s">
        <v>1775</v>
      </c>
      <c r="D68" s="223"/>
      <c r="E68" s="250"/>
      <c r="F68" s="223"/>
      <c r="G68" s="250"/>
      <c r="H68" s="250"/>
      <c r="I68" s="250"/>
      <c r="J68" s="251">
        <f>SUBTOTAL(9,J67:J67)</f>
        <v>-30.63</v>
      </c>
      <c r="K68" s="252"/>
      <c r="L68" s="253"/>
      <c r="M68" s="251">
        <f>SUBTOTAL(9,M67:M67)</f>
        <v>-0.41</v>
      </c>
      <c r="N68" s="251">
        <f>SUBTOTAL(9,N67:N67)</f>
        <v>-0.55000000000000004</v>
      </c>
      <c r="O68" s="223"/>
      <c r="P68" s="210"/>
      <c r="Q68" s="263" t="s">
        <v>2097</v>
      </c>
      <c r="R68" s="263" t="s">
        <v>2098</v>
      </c>
    </row>
    <row r="69" spans="1:18" ht="105" outlineLevel="2">
      <c r="A69" s="14" t="s">
        <v>17</v>
      </c>
      <c r="B69" s="15" t="s">
        <v>113</v>
      </c>
      <c r="C69" s="15" t="s">
        <v>114</v>
      </c>
      <c r="D69" s="14" t="s">
        <v>115</v>
      </c>
      <c r="E69" s="15" t="s">
        <v>58</v>
      </c>
      <c r="F69" s="14" t="s">
        <v>22</v>
      </c>
      <c r="G69" s="15" t="s">
        <v>23</v>
      </c>
      <c r="H69" s="15" t="s">
        <v>1525</v>
      </c>
      <c r="I69" s="15">
        <v>201409</v>
      </c>
      <c r="J69" s="16">
        <v>-170.7</v>
      </c>
      <c r="K69" s="171">
        <f>VLOOKUP(I69,$T$9:$U$23,2)</f>
        <v>9</v>
      </c>
      <c r="L69" s="17">
        <v>1.4833299999999999E-3</v>
      </c>
      <c r="M69" s="16">
        <f>ROUND(J69*K69*L69,2)</f>
        <v>-2.2799999999999998</v>
      </c>
      <c r="N69" s="16">
        <f>ROUND(J69*L69*12,2)</f>
        <v>-3.04</v>
      </c>
      <c r="O69" s="14"/>
      <c r="P69" s="210" t="str">
        <f>VLOOKUP(C69,'WO Descriptions'!$A$5:$D$345,4)</f>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
    </row>
    <row r="70" spans="1:18" outlineLevel="1">
      <c r="A70" s="223"/>
      <c r="B70" s="250"/>
      <c r="C70" s="254" t="s">
        <v>1776</v>
      </c>
      <c r="D70" s="223"/>
      <c r="E70" s="250"/>
      <c r="F70" s="223"/>
      <c r="G70" s="250"/>
      <c r="H70" s="250"/>
      <c r="I70" s="250"/>
      <c r="J70" s="251">
        <f>SUBTOTAL(9,J69:J69)</f>
        <v>-170.7</v>
      </c>
      <c r="K70" s="252"/>
      <c r="L70" s="253"/>
      <c r="M70" s="251">
        <f>SUBTOTAL(9,M69:M69)</f>
        <v>-2.2799999999999998</v>
      </c>
      <c r="N70" s="251">
        <f>SUBTOTAL(9,N69:N69)</f>
        <v>-3.04</v>
      </c>
      <c r="O70" s="223"/>
      <c r="P70" s="210"/>
      <c r="Q70" s="263" t="s">
        <v>2097</v>
      </c>
      <c r="R70" s="263" t="s">
        <v>2098</v>
      </c>
    </row>
    <row r="71" spans="1:18" ht="120" outlineLevel="2">
      <c r="A71" s="14" t="s">
        <v>17</v>
      </c>
      <c r="B71" s="15" t="s">
        <v>116</v>
      </c>
      <c r="C71" s="15" t="s">
        <v>117</v>
      </c>
      <c r="D71" s="14" t="s">
        <v>118</v>
      </c>
      <c r="E71" s="15" t="s">
        <v>27</v>
      </c>
      <c r="F71" s="14" t="s">
        <v>28</v>
      </c>
      <c r="G71" s="15" t="s">
        <v>23</v>
      </c>
      <c r="H71" s="15" t="s">
        <v>1525</v>
      </c>
      <c r="I71" s="15">
        <v>201409</v>
      </c>
      <c r="J71" s="16">
        <v>-586.59</v>
      </c>
      <c r="K71" s="171">
        <f>VLOOKUP(I71,$T$9:$U$23,2)</f>
        <v>9</v>
      </c>
      <c r="L71" s="17">
        <v>1.4833299999999999E-3</v>
      </c>
      <c r="M71" s="16">
        <f>ROUND(J71*K71*L71,2)</f>
        <v>-7.83</v>
      </c>
      <c r="N71" s="16">
        <f>ROUND(J71*L71*12,2)</f>
        <v>-10.44</v>
      </c>
      <c r="O71" s="14"/>
      <c r="P71" s="210" t="str">
        <f>VLOOKUP(C71,'WO Descriptions'!$A$5:$D$345,4)</f>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
    </row>
    <row r="72" spans="1:18" outlineLevel="1">
      <c r="A72" s="223"/>
      <c r="B72" s="250"/>
      <c r="C72" s="254" t="s">
        <v>1777</v>
      </c>
      <c r="D72" s="223"/>
      <c r="E72" s="250"/>
      <c r="F72" s="223"/>
      <c r="G72" s="250"/>
      <c r="H72" s="250"/>
      <c r="I72" s="250"/>
      <c r="J72" s="251">
        <f>SUBTOTAL(9,J71:J71)</f>
        <v>-586.59</v>
      </c>
      <c r="K72" s="252"/>
      <c r="L72" s="253"/>
      <c r="M72" s="251">
        <f>SUBTOTAL(9,M71:M71)</f>
        <v>-7.83</v>
      </c>
      <c r="N72" s="251">
        <f>SUBTOTAL(9,N71:N71)</f>
        <v>-10.44</v>
      </c>
      <c r="O72" s="223"/>
      <c r="P72" s="210"/>
      <c r="Q72" s="263" t="s">
        <v>2097</v>
      </c>
      <c r="R72" s="263" t="s">
        <v>2099</v>
      </c>
    </row>
    <row r="73" spans="1:18" ht="90" outlineLevel="2">
      <c r="A73" s="14" t="s">
        <v>17</v>
      </c>
      <c r="B73" s="15" t="s">
        <v>119</v>
      </c>
      <c r="C73" s="15" t="s">
        <v>120</v>
      </c>
      <c r="D73" s="14" t="s">
        <v>121</v>
      </c>
      <c r="E73" s="15" t="s">
        <v>32</v>
      </c>
      <c r="F73" s="14" t="s">
        <v>22</v>
      </c>
      <c r="G73" s="15" t="s">
        <v>23</v>
      </c>
      <c r="H73" s="15" t="s">
        <v>1525</v>
      </c>
      <c r="I73" s="15">
        <v>201409</v>
      </c>
      <c r="J73" s="16">
        <v>-269.26</v>
      </c>
      <c r="K73" s="171">
        <f>VLOOKUP(I73,$T$9:$U$23,2)</f>
        <v>9</v>
      </c>
      <c r="L73" s="17">
        <v>1.4833299999999999E-3</v>
      </c>
      <c r="M73" s="16">
        <f>ROUND(J73*K73*L73,2)</f>
        <v>-3.59</v>
      </c>
      <c r="N73" s="16">
        <f>ROUND(J73*L73*12,2)</f>
        <v>-4.79</v>
      </c>
      <c r="O73" s="14"/>
      <c r="P73" s="210" t="str">
        <f>VLOOKUP(C73,'WO Descriptions'!$A$5:$D$345,4)</f>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
    </row>
    <row r="74" spans="1:18" outlineLevel="1">
      <c r="A74" s="223"/>
      <c r="B74" s="250"/>
      <c r="C74" s="254" t="s">
        <v>1778</v>
      </c>
      <c r="D74" s="223"/>
      <c r="E74" s="250"/>
      <c r="F74" s="223"/>
      <c r="G74" s="250"/>
      <c r="H74" s="250"/>
      <c r="I74" s="250"/>
      <c r="J74" s="251">
        <f>SUBTOTAL(9,J73:J73)</f>
        <v>-269.26</v>
      </c>
      <c r="K74" s="252"/>
      <c r="L74" s="253"/>
      <c r="M74" s="251">
        <f>SUBTOTAL(9,M73:M73)</f>
        <v>-3.59</v>
      </c>
      <c r="N74" s="251">
        <f>SUBTOTAL(9,N73:N73)</f>
        <v>-4.79</v>
      </c>
      <c r="O74" s="223"/>
      <c r="P74" s="210"/>
      <c r="Q74" s="263" t="s">
        <v>2097</v>
      </c>
      <c r="R74" s="263" t="s">
        <v>2098</v>
      </c>
    </row>
    <row r="75" spans="1:18" ht="120" outlineLevel="2">
      <c r="A75" s="14" t="s">
        <v>17</v>
      </c>
      <c r="B75" s="15" t="s">
        <v>122</v>
      </c>
      <c r="C75" s="15" t="s">
        <v>123</v>
      </c>
      <c r="D75" s="14" t="s">
        <v>124</v>
      </c>
      <c r="E75" s="15" t="s">
        <v>125</v>
      </c>
      <c r="F75" s="14" t="s">
        <v>126</v>
      </c>
      <c r="G75" s="15" t="s">
        <v>23</v>
      </c>
      <c r="H75" s="15" t="s">
        <v>1525</v>
      </c>
      <c r="I75" s="15">
        <v>201409</v>
      </c>
      <c r="J75" s="16">
        <v>-131.71</v>
      </c>
      <c r="K75" s="171">
        <f>VLOOKUP(I75,$T$9:$U$23,2)</f>
        <v>9</v>
      </c>
      <c r="L75" s="17">
        <v>1.4833299999999999E-3</v>
      </c>
      <c r="M75" s="16">
        <f>ROUND(J75*K75*L75,2)</f>
        <v>-1.76</v>
      </c>
      <c r="N75" s="16">
        <f>ROUND(J75*L75*12,2)</f>
        <v>-2.34</v>
      </c>
      <c r="O75" s="14"/>
      <c r="P75" s="210" t="str">
        <f>VLOOKUP(C75,'WO Descriptions'!$A$5:$D$345,4)</f>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
    </row>
    <row r="76" spans="1:18" outlineLevel="1">
      <c r="A76" s="223"/>
      <c r="B76" s="250"/>
      <c r="C76" s="254" t="s">
        <v>1779</v>
      </c>
      <c r="D76" s="223"/>
      <c r="E76" s="250"/>
      <c r="F76" s="223"/>
      <c r="G76" s="250"/>
      <c r="H76" s="250"/>
      <c r="I76" s="250"/>
      <c r="J76" s="251">
        <f>SUBTOTAL(9,J75:J75)</f>
        <v>-131.71</v>
      </c>
      <c r="K76" s="252"/>
      <c r="L76" s="253"/>
      <c r="M76" s="251">
        <f>SUBTOTAL(9,M75:M75)</f>
        <v>-1.76</v>
      </c>
      <c r="N76" s="251">
        <f>SUBTOTAL(9,N75:N75)</f>
        <v>-2.34</v>
      </c>
      <c r="O76" s="223"/>
      <c r="P76" s="210"/>
      <c r="Q76" s="263" t="s">
        <v>2094</v>
      </c>
      <c r="R76" s="263" t="s">
        <v>2095</v>
      </c>
    </row>
    <row r="77" spans="1:18" ht="165" outlineLevel="2">
      <c r="A77" s="14" t="s">
        <v>17</v>
      </c>
      <c r="B77" s="15" t="s">
        <v>127</v>
      </c>
      <c r="C77" s="15" t="s">
        <v>128</v>
      </c>
      <c r="D77" s="14" t="s">
        <v>129</v>
      </c>
      <c r="E77" s="15" t="s">
        <v>62</v>
      </c>
      <c r="F77" s="14" t="s">
        <v>22</v>
      </c>
      <c r="G77" s="15" t="s">
        <v>23</v>
      </c>
      <c r="H77" s="15" t="s">
        <v>1525</v>
      </c>
      <c r="I77" s="15">
        <v>201409</v>
      </c>
      <c r="J77" s="16">
        <v>-1334.18</v>
      </c>
      <c r="K77" s="171">
        <f>VLOOKUP(I77,$T$9:$U$23,2)</f>
        <v>9</v>
      </c>
      <c r="L77" s="17">
        <v>1.4833299999999999E-3</v>
      </c>
      <c r="M77" s="16">
        <f>ROUND(J77*K77*L77,2)</f>
        <v>-17.809999999999999</v>
      </c>
      <c r="N77" s="16">
        <f>ROUND(J77*L77*12,2)</f>
        <v>-23.75</v>
      </c>
      <c r="O77" s="14"/>
      <c r="P77" s="210" t="str">
        <f>VLOOKUP(C77,'WO Descriptions'!$A$5:$D$345,4)</f>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
    </row>
    <row r="78" spans="1:18" outlineLevel="1">
      <c r="A78" s="223"/>
      <c r="B78" s="250"/>
      <c r="C78" s="254" t="s">
        <v>1780</v>
      </c>
      <c r="D78" s="223"/>
      <c r="E78" s="250"/>
      <c r="F78" s="223"/>
      <c r="G78" s="250"/>
      <c r="H78" s="250"/>
      <c r="I78" s="250"/>
      <c r="J78" s="251">
        <f>SUBTOTAL(9,J77:J77)</f>
        <v>-1334.18</v>
      </c>
      <c r="K78" s="252"/>
      <c r="L78" s="253"/>
      <c r="M78" s="251">
        <f>SUBTOTAL(9,M77:M77)</f>
        <v>-17.809999999999999</v>
      </c>
      <c r="N78" s="251">
        <f>SUBTOTAL(9,N77:N77)</f>
        <v>-23.75</v>
      </c>
      <c r="O78" s="223"/>
      <c r="P78" s="210"/>
      <c r="Q78" s="263" t="s">
        <v>2097</v>
      </c>
      <c r="R78" s="263" t="s">
        <v>2098</v>
      </c>
    </row>
    <row r="79" spans="1:18" ht="30" outlineLevel="2">
      <c r="A79" s="14" t="s">
        <v>17</v>
      </c>
      <c r="B79" s="15" t="s">
        <v>130</v>
      </c>
      <c r="C79" s="15" t="s">
        <v>131</v>
      </c>
      <c r="D79" s="14" t="s">
        <v>132</v>
      </c>
      <c r="E79" s="15" t="s">
        <v>36</v>
      </c>
      <c r="F79" s="14" t="s">
        <v>22</v>
      </c>
      <c r="G79" s="15" t="s">
        <v>23</v>
      </c>
      <c r="H79" s="15" t="s">
        <v>1525</v>
      </c>
      <c r="I79" s="15">
        <v>201409</v>
      </c>
      <c r="J79" s="16">
        <v>-317.52</v>
      </c>
      <c r="K79" s="171">
        <f>VLOOKUP(I79,$T$9:$U$23,2)</f>
        <v>9</v>
      </c>
      <c r="L79" s="17">
        <v>1.4833299999999999E-3</v>
      </c>
      <c r="M79" s="16">
        <f>ROUND(J79*K79*L79,2)</f>
        <v>-4.24</v>
      </c>
      <c r="N79" s="16">
        <f>ROUND(J79*L79*12,2)</f>
        <v>-5.65</v>
      </c>
      <c r="O79" s="14"/>
      <c r="P79" s="210" t="str">
        <f>VLOOKUP(C79,'WO Descriptions'!$A$5:$D$345,4)</f>
        <v>Approved by: Gary Williams on 11/15/2013,  REPLACING 377'-4in BARE STEEL MAIN (WO#512) WITH 377'-4in PE (WO#13-2830).PRESSURE SYSTEM C-01.</v>
      </c>
    </row>
    <row r="80" spans="1:18" outlineLevel="1">
      <c r="A80" s="223"/>
      <c r="B80" s="250"/>
      <c r="C80" s="254" t="s">
        <v>1781</v>
      </c>
      <c r="D80" s="223"/>
      <c r="E80" s="250"/>
      <c r="F80" s="223"/>
      <c r="G80" s="250"/>
      <c r="H80" s="250"/>
      <c r="I80" s="250"/>
      <c r="J80" s="251">
        <f>SUBTOTAL(9,J79:J79)</f>
        <v>-317.52</v>
      </c>
      <c r="K80" s="252"/>
      <c r="L80" s="253"/>
      <c r="M80" s="251">
        <f>SUBTOTAL(9,M79:M79)</f>
        <v>-4.24</v>
      </c>
      <c r="N80" s="251">
        <f>SUBTOTAL(9,N79:N79)</f>
        <v>-5.65</v>
      </c>
      <c r="O80" s="223"/>
      <c r="P80" s="210"/>
      <c r="Q80" s="263" t="s">
        <v>2097</v>
      </c>
      <c r="R80" s="263" t="s">
        <v>2098</v>
      </c>
    </row>
    <row r="81" spans="1:18" ht="105" outlineLevel="2">
      <c r="A81" s="14" t="s">
        <v>17</v>
      </c>
      <c r="B81" s="15" t="s">
        <v>133</v>
      </c>
      <c r="C81" s="15" t="s">
        <v>134</v>
      </c>
      <c r="D81" s="14" t="s">
        <v>135</v>
      </c>
      <c r="E81" s="15" t="s">
        <v>136</v>
      </c>
      <c r="F81" s="14" t="s">
        <v>137</v>
      </c>
      <c r="G81" s="15" t="s">
        <v>23</v>
      </c>
      <c r="H81" s="15" t="s">
        <v>1526</v>
      </c>
      <c r="I81" s="15">
        <v>201409</v>
      </c>
      <c r="J81" s="16">
        <v>-3718.06</v>
      </c>
      <c r="K81" s="171">
        <f>VLOOKUP(I81,$T$9:$U$23,2)</f>
        <v>9</v>
      </c>
      <c r="L81" s="17">
        <v>1.4833299999999999E-3</v>
      </c>
      <c r="M81" s="16">
        <f>ROUND(J81*K81*L81,2)</f>
        <v>-49.64</v>
      </c>
      <c r="N81" s="16">
        <f>ROUND(J81*L81*12,2)</f>
        <v>-66.180000000000007</v>
      </c>
      <c r="O81" s="14"/>
      <c r="P81" s="210" t="str">
        <f>VLOOKUP(C81,'WO Descriptions'!$A$5:$D$345,4)</f>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
    </row>
    <row r="82" spans="1:18" outlineLevel="1">
      <c r="A82" s="223"/>
      <c r="B82" s="250"/>
      <c r="C82" s="254" t="s">
        <v>1782</v>
      </c>
      <c r="D82" s="223"/>
      <c r="E82" s="250"/>
      <c r="F82" s="223"/>
      <c r="G82" s="250"/>
      <c r="H82" s="250"/>
      <c r="I82" s="250"/>
      <c r="J82" s="251">
        <f>SUBTOTAL(9,J81:J81)</f>
        <v>-3718.06</v>
      </c>
      <c r="K82" s="252"/>
      <c r="L82" s="253"/>
      <c r="M82" s="251">
        <f>SUBTOTAL(9,M81:M81)</f>
        <v>-49.64</v>
      </c>
      <c r="N82" s="251">
        <f>SUBTOTAL(9,N81:N81)</f>
        <v>-66.180000000000007</v>
      </c>
      <c r="O82" s="223"/>
      <c r="P82" s="210"/>
      <c r="Q82" s="263" t="s">
        <v>2096</v>
      </c>
    </row>
    <row r="83" spans="1:18" ht="60" outlineLevel="2">
      <c r="A83" s="14" t="s">
        <v>54</v>
      </c>
      <c r="B83" s="15" t="s">
        <v>138</v>
      </c>
      <c r="C83" s="15" t="s">
        <v>139</v>
      </c>
      <c r="D83" s="14" t="s">
        <v>140</v>
      </c>
      <c r="E83" s="15" t="s">
        <v>141</v>
      </c>
      <c r="F83" s="14" t="s">
        <v>142</v>
      </c>
      <c r="G83" s="15" t="s">
        <v>23</v>
      </c>
      <c r="H83" s="15" t="s">
        <v>1525</v>
      </c>
      <c r="I83" s="15">
        <v>201409</v>
      </c>
      <c r="J83" s="16">
        <v>-2154.0500000000002</v>
      </c>
      <c r="K83" s="171">
        <f>VLOOKUP(I83,$T$9:$U$23,2)</f>
        <v>9</v>
      </c>
      <c r="L83" s="17">
        <v>1.4833299999999999E-3</v>
      </c>
      <c r="M83" s="16">
        <f>ROUND(J83*K83*L83,2)</f>
        <v>-28.76</v>
      </c>
      <c r="N83" s="16">
        <f>ROUND(J83*L83*12,2)</f>
        <v>-38.340000000000003</v>
      </c>
      <c r="O83" s="14"/>
      <c r="P83" s="210" t="str">
        <f>VLOOKUP(C83,'WO Descriptions'!$A$5:$D$345,4)</f>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
    </row>
    <row r="84" spans="1:18" outlineLevel="1">
      <c r="A84" s="223"/>
      <c r="B84" s="250"/>
      <c r="C84" s="254" t="s">
        <v>1783</v>
      </c>
      <c r="D84" s="223"/>
      <c r="E84" s="250"/>
      <c r="F84" s="223"/>
      <c r="G84" s="250"/>
      <c r="H84" s="250"/>
      <c r="I84" s="250"/>
      <c r="J84" s="251">
        <f>SUBTOTAL(9,J83:J83)</f>
        <v>-2154.0500000000002</v>
      </c>
      <c r="K84" s="252"/>
      <c r="L84" s="253"/>
      <c r="M84" s="251">
        <f>SUBTOTAL(9,M83:M83)</f>
        <v>-28.76</v>
      </c>
      <c r="N84" s="251">
        <f>SUBTOTAL(9,N83:N83)</f>
        <v>-38.340000000000003</v>
      </c>
      <c r="O84" s="223"/>
      <c r="P84" s="210"/>
      <c r="Q84" s="263" t="s">
        <v>2097</v>
      </c>
      <c r="R84" s="263" t="s">
        <v>2100</v>
      </c>
    </row>
    <row r="85" spans="1:18" ht="45" outlineLevel="2">
      <c r="A85" s="14" t="s">
        <v>17</v>
      </c>
      <c r="B85" s="15" t="s">
        <v>143</v>
      </c>
      <c r="C85" s="15" t="s">
        <v>144</v>
      </c>
      <c r="D85" s="14" t="s">
        <v>145</v>
      </c>
      <c r="E85" s="15" t="s">
        <v>62</v>
      </c>
      <c r="F85" s="14" t="s">
        <v>22</v>
      </c>
      <c r="G85" s="15" t="s">
        <v>23</v>
      </c>
      <c r="H85" s="15" t="s">
        <v>1525</v>
      </c>
      <c r="I85" s="15">
        <v>201409</v>
      </c>
      <c r="J85" s="16">
        <v>-515.72</v>
      </c>
      <c r="K85" s="171">
        <f>VLOOKUP(I85,$T$9:$U$23,2)</f>
        <v>9</v>
      </c>
      <c r="L85" s="17">
        <v>1.4833299999999999E-3</v>
      </c>
      <c r="M85" s="16">
        <f>ROUND(J85*K85*L85,2)</f>
        <v>-6.88</v>
      </c>
      <c r="N85" s="16">
        <f>ROUND(J85*L85*12,2)</f>
        <v>-9.18</v>
      </c>
      <c r="O85" s="14"/>
      <c r="P85" s="210" t="str">
        <f>VLOOKUP(C85,'WO Descriptions'!$A$5:$D$345,4)</f>
        <v>Approved by: Ralph Janes on 09/03/2013,  Main to Abandon: 620' of 4in PBS, year 1926,work order 149. Replace with 640' of 4in PE on wo# 13-2920. This section of bare steel main has a history of leakage with several leak clamps installed.  ISRS</v>
      </c>
    </row>
    <row r="86" spans="1:18" outlineLevel="1">
      <c r="A86" s="223"/>
      <c r="B86" s="250"/>
      <c r="C86" s="254" t="s">
        <v>1784</v>
      </c>
      <c r="D86" s="223"/>
      <c r="E86" s="250"/>
      <c r="F86" s="223"/>
      <c r="G86" s="250"/>
      <c r="H86" s="250"/>
      <c r="I86" s="250"/>
      <c r="J86" s="251">
        <f>SUBTOTAL(9,J85:J85)</f>
        <v>-515.72</v>
      </c>
      <c r="K86" s="252"/>
      <c r="L86" s="253"/>
      <c r="M86" s="251">
        <f>SUBTOTAL(9,M85:M85)</f>
        <v>-6.88</v>
      </c>
      <c r="N86" s="251">
        <f>SUBTOTAL(9,N85:N85)</f>
        <v>-9.18</v>
      </c>
      <c r="O86" s="223"/>
      <c r="P86" s="210"/>
      <c r="Q86" s="263" t="s">
        <v>2097</v>
      </c>
      <c r="R86" s="263" t="s">
        <v>2098</v>
      </c>
    </row>
    <row r="87" spans="1:18" ht="105" outlineLevel="2">
      <c r="A87" s="14" t="s">
        <v>54</v>
      </c>
      <c r="B87" s="15" t="s">
        <v>146</v>
      </c>
      <c r="C87" s="15" t="s">
        <v>147</v>
      </c>
      <c r="D87" s="14" t="s">
        <v>148</v>
      </c>
      <c r="E87" s="15" t="s">
        <v>62</v>
      </c>
      <c r="F87" s="14" t="s">
        <v>22</v>
      </c>
      <c r="G87" s="15" t="s">
        <v>23</v>
      </c>
      <c r="H87" s="15" t="s">
        <v>1525</v>
      </c>
      <c r="I87" s="15">
        <v>201411</v>
      </c>
      <c r="J87" s="16">
        <v>800090.36</v>
      </c>
      <c r="K87" s="171">
        <f>VLOOKUP(I87,$T$9:$U$23,2)</f>
        <v>7</v>
      </c>
      <c r="L87" s="17">
        <v>1.4833299999999999E-3</v>
      </c>
      <c r="M87" s="16">
        <f>ROUND(J87*K87*L87,2)</f>
        <v>8307.59</v>
      </c>
      <c r="N87" s="16">
        <f>ROUND(J87*L87*12,2)</f>
        <v>14241.58</v>
      </c>
      <c r="O87" s="14"/>
      <c r="P87" s="210" t="str">
        <f>VLOOKUP(C87,'WO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88" spans="1:18" ht="105" outlineLevel="2">
      <c r="A88" s="14" t="s">
        <v>54</v>
      </c>
      <c r="B88" s="15" t="s">
        <v>146</v>
      </c>
      <c r="C88" s="15" t="s">
        <v>147</v>
      </c>
      <c r="D88" s="14" t="s">
        <v>148</v>
      </c>
      <c r="E88" s="15" t="s">
        <v>62</v>
      </c>
      <c r="F88" s="14" t="s">
        <v>22</v>
      </c>
      <c r="G88" s="15" t="s">
        <v>23</v>
      </c>
      <c r="H88" s="15" t="s">
        <v>1525</v>
      </c>
      <c r="I88" s="15">
        <v>201412</v>
      </c>
      <c r="J88" s="16">
        <v>4971.3500000000004</v>
      </c>
      <c r="K88" s="171">
        <f>VLOOKUP(I88,$T$9:$U$23,2)</f>
        <v>6</v>
      </c>
      <c r="L88" s="17">
        <v>1.4833299999999999E-3</v>
      </c>
      <c r="M88" s="16">
        <f>ROUND(J88*K88*L88,2)</f>
        <v>44.24</v>
      </c>
      <c r="N88" s="16">
        <f>ROUND(J88*L88*12,2)</f>
        <v>88.49</v>
      </c>
      <c r="O88" s="14"/>
      <c r="P88" s="210" t="str">
        <f>VLOOKUP(C88,'WO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89" spans="1:18" outlineLevel="1">
      <c r="A89" s="223"/>
      <c r="B89" s="250"/>
      <c r="C89" s="254" t="s">
        <v>1785</v>
      </c>
      <c r="D89" s="223"/>
      <c r="E89" s="250"/>
      <c r="F89" s="223"/>
      <c r="G89" s="250"/>
      <c r="H89" s="250"/>
      <c r="I89" s="250"/>
      <c r="J89" s="251">
        <f>SUBTOTAL(9,J87:J88)</f>
        <v>805061.71</v>
      </c>
      <c r="K89" s="252"/>
      <c r="L89" s="253"/>
      <c r="M89" s="251">
        <f>SUBTOTAL(9,M87:M88)</f>
        <v>8351.83</v>
      </c>
      <c r="N89" s="251">
        <f>SUBTOTAL(9,N87:N88)</f>
        <v>14330.07</v>
      </c>
      <c r="O89" s="223"/>
      <c r="P89" s="210"/>
      <c r="Q89" s="263" t="s">
        <v>2097</v>
      </c>
      <c r="R89" s="263" t="s">
        <v>2098</v>
      </c>
    </row>
    <row r="90" spans="1:18" ht="60" outlineLevel="2">
      <c r="A90" s="14" t="s">
        <v>17</v>
      </c>
      <c r="B90" s="15" t="s">
        <v>149</v>
      </c>
      <c r="C90" s="15" t="s">
        <v>150</v>
      </c>
      <c r="D90" s="14" t="s">
        <v>151</v>
      </c>
      <c r="E90" s="15" t="s">
        <v>40</v>
      </c>
      <c r="F90" s="14" t="s">
        <v>41</v>
      </c>
      <c r="G90" s="15" t="s">
        <v>23</v>
      </c>
      <c r="H90" s="15" t="s">
        <v>1526</v>
      </c>
      <c r="I90" s="15">
        <v>201409</v>
      </c>
      <c r="J90" s="16">
        <v>-860.78</v>
      </c>
      <c r="K90" s="171">
        <f>VLOOKUP(I90,$T$9:$U$23,2)</f>
        <v>9</v>
      </c>
      <c r="L90" s="17">
        <v>1.4833299999999999E-3</v>
      </c>
      <c r="M90" s="16">
        <f>ROUND(J90*K90*L90,2)</f>
        <v>-11.49</v>
      </c>
      <c r="N90" s="16">
        <f>ROUND(J90*L90*12,2)</f>
        <v>-15.32</v>
      </c>
      <c r="O90" s="14"/>
      <c r="P90" s="210" t="str">
        <f>VLOOKUP(C90,'WO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91" spans="1:18" ht="60" outlineLevel="2">
      <c r="A91" s="14" t="s">
        <v>17</v>
      </c>
      <c r="B91" s="15" t="s">
        <v>149</v>
      </c>
      <c r="C91" s="15" t="s">
        <v>150</v>
      </c>
      <c r="D91" s="14" t="s">
        <v>151</v>
      </c>
      <c r="E91" s="15" t="s">
        <v>40</v>
      </c>
      <c r="F91" s="14" t="s">
        <v>41</v>
      </c>
      <c r="G91" s="15" t="s">
        <v>23</v>
      </c>
      <c r="H91" s="15" t="s">
        <v>1526</v>
      </c>
      <c r="I91" s="15">
        <v>201412</v>
      </c>
      <c r="J91" s="16">
        <v>19553.21</v>
      </c>
      <c r="K91" s="171">
        <f>VLOOKUP(I91,$T$9:$U$23,2)</f>
        <v>6</v>
      </c>
      <c r="L91" s="17">
        <v>1.4833299999999999E-3</v>
      </c>
      <c r="M91" s="16">
        <f>ROUND(J91*K91*L91,2)</f>
        <v>174.02</v>
      </c>
      <c r="N91" s="16">
        <f>ROUND(J91*L91*12,2)</f>
        <v>348.05</v>
      </c>
      <c r="O91" s="14"/>
      <c r="P91" s="210" t="str">
        <f>VLOOKUP(C91,'WO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92" spans="1:18" outlineLevel="1">
      <c r="A92" s="223"/>
      <c r="B92" s="250"/>
      <c r="C92" s="254" t="s">
        <v>1786</v>
      </c>
      <c r="D92" s="223"/>
      <c r="E92" s="250"/>
      <c r="F92" s="223"/>
      <c r="G92" s="250"/>
      <c r="H92" s="250"/>
      <c r="I92" s="250"/>
      <c r="J92" s="251">
        <f>SUBTOTAL(9,J90:J91)</f>
        <v>18692.43</v>
      </c>
      <c r="K92" s="252"/>
      <c r="L92" s="253"/>
      <c r="M92" s="251">
        <f>SUBTOTAL(9,M90:M91)</f>
        <v>162.53</v>
      </c>
      <c r="N92" s="251">
        <f>SUBTOTAL(9,N90:N91)</f>
        <v>332.73</v>
      </c>
      <c r="O92" s="223"/>
      <c r="P92" s="210"/>
      <c r="Q92" s="263" t="s">
        <v>2096</v>
      </c>
    </row>
    <row r="93" spans="1:18" ht="60" outlineLevel="2">
      <c r="A93" s="18" t="s">
        <v>17</v>
      </c>
      <c r="B93" s="15" t="s">
        <v>152</v>
      </c>
      <c r="C93" s="15" t="s">
        <v>153</v>
      </c>
      <c r="D93" s="14" t="s">
        <v>154</v>
      </c>
      <c r="E93" s="15" t="s">
        <v>53</v>
      </c>
      <c r="F93" s="14" t="s">
        <v>41</v>
      </c>
      <c r="G93" s="15" t="s">
        <v>23</v>
      </c>
      <c r="H93" s="15" t="s">
        <v>1526</v>
      </c>
      <c r="I93" s="15">
        <v>201409</v>
      </c>
      <c r="J93" s="16">
        <v>-31.85</v>
      </c>
      <c r="K93" s="171">
        <f>VLOOKUP(I93,$T$9:$U$23,2)</f>
        <v>9</v>
      </c>
      <c r="L93" s="17">
        <v>1.4833299999999999E-3</v>
      </c>
      <c r="M93" s="16">
        <f>ROUND(J93*K93*L93,2)</f>
        <v>-0.43</v>
      </c>
      <c r="N93" s="16">
        <f>ROUND(J93*L93*12,2)</f>
        <v>-0.56999999999999995</v>
      </c>
      <c r="O93" s="14"/>
      <c r="P93" s="210" t="str">
        <f>VLOOKUP(C93,'WO Descriptions'!$A$5:$D$345,4)</f>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
    </row>
    <row r="94" spans="1:18" outlineLevel="1">
      <c r="A94" s="225"/>
      <c r="B94" s="250"/>
      <c r="C94" s="254" t="s">
        <v>1787</v>
      </c>
      <c r="D94" s="223"/>
      <c r="E94" s="250"/>
      <c r="F94" s="223"/>
      <c r="G94" s="250"/>
      <c r="H94" s="250"/>
      <c r="I94" s="250"/>
      <c r="J94" s="251">
        <f>SUBTOTAL(9,J93:J93)</f>
        <v>-31.85</v>
      </c>
      <c r="K94" s="252"/>
      <c r="L94" s="253"/>
      <c r="M94" s="251">
        <f>SUBTOTAL(9,M93:M93)</f>
        <v>-0.43</v>
      </c>
      <c r="N94" s="251">
        <f>SUBTOTAL(9,N93:N93)</f>
        <v>-0.56999999999999995</v>
      </c>
      <c r="O94" s="223"/>
      <c r="P94" s="210"/>
      <c r="Q94" s="263" t="s">
        <v>2096</v>
      </c>
    </row>
    <row r="95" spans="1:18" ht="45" outlineLevel="2">
      <c r="A95" s="18" t="s">
        <v>17</v>
      </c>
      <c r="B95" s="15" t="s">
        <v>155</v>
      </c>
      <c r="C95" s="15" t="s">
        <v>156</v>
      </c>
      <c r="D95" s="14" t="s">
        <v>157</v>
      </c>
      <c r="E95" s="15" t="s">
        <v>32</v>
      </c>
      <c r="F95" s="14" t="s">
        <v>22</v>
      </c>
      <c r="G95" s="15" t="s">
        <v>23</v>
      </c>
      <c r="H95" s="15" t="s">
        <v>1525</v>
      </c>
      <c r="I95" s="15">
        <v>201409</v>
      </c>
      <c r="J95" s="16">
        <v>-469.08</v>
      </c>
      <c r="K95" s="171">
        <f>VLOOKUP(I95,$T$9:$U$23,2)</f>
        <v>9</v>
      </c>
      <c r="L95" s="17">
        <v>1.4833299999999999E-3</v>
      </c>
      <c r="M95" s="16">
        <f>ROUND(J95*K95*L95,2)</f>
        <v>-6.26</v>
      </c>
      <c r="N95" s="16">
        <f>ROUND(J95*L95*12,2)</f>
        <v>-8.35</v>
      </c>
      <c r="O95" s="14"/>
      <c r="P95" s="210" t="str">
        <f>VLOOKUP(C95,'WO Descriptions'!$A$5:$D$345,4)</f>
        <v>Approved by: Ken Thomas on 11/15/2013,  Abandon 890' - 2' PBS (WO#: A8605) and replace with 890' - 2" PE due to history of leakage. Project Location: McHenry and Main; Pressure System: S-1; MOP: 20 psig; MAOP: 20 psig; Design: 58 psig; Test: 100 psig; ISRS $24.58/ft</v>
      </c>
    </row>
    <row r="96" spans="1:18" outlineLevel="1">
      <c r="A96" s="225"/>
      <c r="B96" s="250"/>
      <c r="C96" s="254" t="s">
        <v>1788</v>
      </c>
      <c r="D96" s="223"/>
      <c r="E96" s="250"/>
      <c r="F96" s="223"/>
      <c r="G96" s="250"/>
      <c r="H96" s="250"/>
      <c r="I96" s="250"/>
      <c r="J96" s="251">
        <f>SUBTOTAL(9,J95:J95)</f>
        <v>-469.08</v>
      </c>
      <c r="K96" s="252"/>
      <c r="L96" s="253"/>
      <c r="M96" s="251">
        <f>SUBTOTAL(9,M95:M95)</f>
        <v>-6.26</v>
      </c>
      <c r="N96" s="251">
        <f>SUBTOTAL(9,N95:N95)</f>
        <v>-8.35</v>
      </c>
      <c r="O96" s="223"/>
      <c r="P96" s="210"/>
      <c r="Q96" s="263" t="s">
        <v>2097</v>
      </c>
      <c r="R96" s="263" t="s">
        <v>2098</v>
      </c>
    </row>
    <row r="97" spans="1:18" outlineLevel="2">
      <c r="A97" s="14" t="s">
        <v>17</v>
      </c>
      <c r="B97" s="15" t="s">
        <v>158</v>
      </c>
      <c r="C97" s="15" t="s">
        <v>159</v>
      </c>
      <c r="D97" s="14" t="s">
        <v>160</v>
      </c>
      <c r="E97" s="15" t="s">
        <v>108</v>
      </c>
      <c r="F97" s="14" t="s">
        <v>28</v>
      </c>
      <c r="G97" s="15" t="s">
        <v>23</v>
      </c>
      <c r="H97" s="15" t="s">
        <v>1525</v>
      </c>
      <c r="I97" s="15">
        <v>201409</v>
      </c>
      <c r="J97" s="16">
        <v>-217.66</v>
      </c>
      <c r="K97" s="171">
        <f>VLOOKUP(I97,$T$9:$U$23,2)</f>
        <v>9</v>
      </c>
      <c r="L97" s="17">
        <v>1.4833299999999999E-3</v>
      </c>
      <c r="M97" s="16">
        <f>ROUND(J97*K97*L97,2)</f>
        <v>-2.91</v>
      </c>
      <c r="N97" s="16">
        <f>ROUND(J97*L97*12,2)</f>
        <v>-3.87</v>
      </c>
      <c r="O97" s="14"/>
      <c r="P97" s="210" t="str">
        <f>VLOOKUP(C97,'WO Descriptions'!$A$5:$D$345,4)</f>
        <v>Approved by: Kevin Driskell on 01/23/2014,  Lay 40'-4in thin film for DRS #758 (WO 14-3282).</v>
      </c>
    </row>
    <row r="98" spans="1:18" outlineLevel="1">
      <c r="A98" s="223"/>
      <c r="B98" s="250"/>
      <c r="C98" s="254" t="s">
        <v>1789</v>
      </c>
      <c r="D98" s="223"/>
      <c r="E98" s="250"/>
      <c r="F98" s="223"/>
      <c r="G98" s="250"/>
      <c r="H98" s="250"/>
      <c r="I98" s="250"/>
      <c r="J98" s="251">
        <f>SUBTOTAL(9,J97:J97)</f>
        <v>-217.66</v>
      </c>
      <c r="K98" s="252"/>
      <c r="L98" s="253"/>
      <c r="M98" s="251">
        <f>SUBTOTAL(9,M97:M97)</f>
        <v>-2.91</v>
      </c>
      <c r="N98" s="251">
        <f>SUBTOTAL(9,N97:N97)</f>
        <v>-3.87</v>
      </c>
      <c r="O98" s="223"/>
      <c r="P98" s="210"/>
      <c r="Q98" s="263" t="s">
        <v>2097</v>
      </c>
      <c r="R98" s="263" t="s">
        <v>2099</v>
      </c>
    </row>
    <row r="99" spans="1:18" ht="60" outlineLevel="2">
      <c r="A99" s="18" t="s">
        <v>17</v>
      </c>
      <c r="B99" s="15" t="s">
        <v>161</v>
      </c>
      <c r="C99" s="15" t="s">
        <v>162</v>
      </c>
      <c r="D99" s="14" t="s">
        <v>163</v>
      </c>
      <c r="E99" s="15" t="s">
        <v>62</v>
      </c>
      <c r="F99" s="14" t="s">
        <v>22</v>
      </c>
      <c r="G99" s="15" t="s">
        <v>23</v>
      </c>
      <c r="H99" s="15" t="s">
        <v>1525</v>
      </c>
      <c r="I99" s="15">
        <v>201409</v>
      </c>
      <c r="J99" s="16">
        <v>-286.58999999999997</v>
      </c>
      <c r="K99" s="171">
        <f>VLOOKUP(I99,$T$9:$U$23,2)</f>
        <v>9</v>
      </c>
      <c r="L99" s="17">
        <v>1.4833299999999999E-3</v>
      </c>
      <c r="M99" s="16">
        <f>ROUND(J99*K99*L99,2)</f>
        <v>-3.83</v>
      </c>
      <c r="N99" s="16">
        <f>ROUND(J99*L99*12,2)</f>
        <v>-5.0999999999999996</v>
      </c>
      <c r="O99" s="14"/>
      <c r="P99" s="210" t="str">
        <f>VLOOKUP(C99,'WO Descriptions'!$A$5:$D$345,4)</f>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
    </row>
    <row r="100" spans="1:18" outlineLevel="1">
      <c r="A100" s="225"/>
      <c r="B100" s="250"/>
      <c r="C100" s="254" t="s">
        <v>1790</v>
      </c>
      <c r="D100" s="223"/>
      <c r="E100" s="250"/>
      <c r="F100" s="223"/>
      <c r="G100" s="250"/>
      <c r="H100" s="250"/>
      <c r="I100" s="250"/>
      <c r="J100" s="251">
        <f>SUBTOTAL(9,J99:J99)</f>
        <v>-286.58999999999997</v>
      </c>
      <c r="K100" s="252"/>
      <c r="L100" s="253"/>
      <c r="M100" s="251">
        <f>SUBTOTAL(9,M99:M99)</f>
        <v>-3.83</v>
      </c>
      <c r="N100" s="251">
        <f>SUBTOTAL(9,N99:N99)</f>
        <v>-5.0999999999999996</v>
      </c>
      <c r="O100" s="223"/>
      <c r="P100" s="210"/>
      <c r="Q100" s="263" t="s">
        <v>2097</v>
      </c>
      <c r="R100" s="263" t="s">
        <v>2098</v>
      </c>
    </row>
    <row r="101" spans="1:18" ht="120" outlineLevel="2">
      <c r="A101" s="18" t="s">
        <v>164</v>
      </c>
      <c r="B101" s="15" t="s">
        <v>165</v>
      </c>
      <c r="C101" s="15" t="s">
        <v>166</v>
      </c>
      <c r="D101" s="14" t="s">
        <v>167</v>
      </c>
      <c r="E101" s="15" t="s">
        <v>168</v>
      </c>
      <c r="F101" s="14" t="s">
        <v>169</v>
      </c>
      <c r="G101" s="15" t="s">
        <v>23</v>
      </c>
      <c r="H101" s="15" t="s">
        <v>1528</v>
      </c>
      <c r="I101" s="15">
        <v>201409</v>
      </c>
      <c r="J101" s="16">
        <v>-54</v>
      </c>
      <c r="K101" s="171">
        <f>VLOOKUP(I101,$T$9:$U$23,2)</f>
        <v>9</v>
      </c>
      <c r="L101" s="17">
        <v>2.1916700000000002E-3</v>
      </c>
      <c r="M101" s="16">
        <f>ROUND(J101*K101*L101,2)</f>
        <v>-1.07</v>
      </c>
      <c r="N101" s="16">
        <f>ROUND(J101*L101*12,2)</f>
        <v>-1.42</v>
      </c>
      <c r="O101" s="14"/>
      <c r="P101" s="210" t="str">
        <f>VLOOKUP(C101,'WO Descriptions'!$A$5:$D$345,4)</f>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
    </row>
    <row r="102" spans="1:18" outlineLevel="1">
      <c r="A102" s="225"/>
      <c r="B102" s="250"/>
      <c r="C102" s="254" t="s">
        <v>1791</v>
      </c>
      <c r="D102" s="223"/>
      <c r="E102" s="250"/>
      <c r="F102" s="223"/>
      <c r="G102" s="250"/>
      <c r="H102" s="250"/>
      <c r="I102" s="250"/>
      <c r="J102" s="251">
        <f>SUBTOTAL(9,J101:J101)</f>
        <v>-54</v>
      </c>
      <c r="K102" s="252"/>
      <c r="L102" s="253"/>
      <c r="M102" s="251">
        <f>SUBTOTAL(9,M101:M101)</f>
        <v>-1.07</v>
      </c>
      <c r="N102" s="251">
        <f>SUBTOTAL(9,N101:N101)</f>
        <v>-1.42</v>
      </c>
      <c r="O102" s="223"/>
      <c r="P102" s="210"/>
      <c r="Q102" s="263" t="s">
        <v>2097</v>
      </c>
      <c r="R102" s="263" t="s">
        <v>2099</v>
      </c>
    </row>
    <row r="103" spans="1:18" ht="180" outlineLevel="2">
      <c r="A103" s="18" t="s">
        <v>17</v>
      </c>
      <c r="B103" s="15" t="s">
        <v>170</v>
      </c>
      <c r="C103" s="15" t="s">
        <v>171</v>
      </c>
      <c r="D103" s="14" t="s">
        <v>172</v>
      </c>
      <c r="E103" s="15" t="s">
        <v>62</v>
      </c>
      <c r="F103" s="14" t="s">
        <v>22</v>
      </c>
      <c r="G103" s="15" t="s">
        <v>23</v>
      </c>
      <c r="H103" s="15" t="s">
        <v>1525</v>
      </c>
      <c r="I103" s="15">
        <v>201409</v>
      </c>
      <c r="J103" s="16">
        <v>-3880.74</v>
      </c>
      <c r="K103" s="171">
        <f>VLOOKUP(I103,$T$9:$U$23,2)</f>
        <v>9</v>
      </c>
      <c r="L103" s="17">
        <v>1.4833299999999999E-3</v>
      </c>
      <c r="M103" s="16">
        <f>ROUND(J103*K103*L103,2)</f>
        <v>-51.81</v>
      </c>
      <c r="N103" s="16">
        <f>ROUND(J103*L103*12,2)</f>
        <v>-69.08</v>
      </c>
      <c r="O103" s="14"/>
      <c r="P103" s="210" t="str">
        <f>VLOOKUP(C103,'WO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104" spans="1:18" ht="180" outlineLevel="2">
      <c r="A104" s="18" t="s">
        <v>54</v>
      </c>
      <c r="B104" s="15" t="s">
        <v>170</v>
      </c>
      <c r="C104" s="15" t="s">
        <v>171</v>
      </c>
      <c r="D104" s="14" t="s">
        <v>172</v>
      </c>
      <c r="E104" s="15" t="s">
        <v>62</v>
      </c>
      <c r="F104" s="14" t="s">
        <v>22</v>
      </c>
      <c r="G104" s="15" t="s">
        <v>23</v>
      </c>
      <c r="H104" s="15" t="s">
        <v>1525</v>
      </c>
      <c r="I104" s="15">
        <v>201409</v>
      </c>
      <c r="J104" s="16">
        <v>-865.45</v>
      </c>
      <c r="K104" s="171">
        <f>VLOOKUP(I104,$T$9:$U$23,2)</f>
        <v>9</v>
      </c>
      <c r="L104" s="17">
        <v>1.4833299999999999E-3</v>
      </c>
      <c r="M104" s="16">
        <f>ROUND(J104*K104*L104,2)</f>
        <v>-11.55</v>
      </c>
      <c r="N104" s="16">
        <f>ROUND(J104*L104*12,2)</f>
        <v>-15.4</v>
      </c>
      <c r="O104" s="14"/>
      <c r="P104" s="210" t="str">
        <f>VLOOKUP(C104,'WO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105" spans="1:18" outlineLevel="1">
      <c r="A105" s="225"/>
      <c r="B105" s="250"/>
      <c r="C105" s="254" t="s">
        <v>1792</v>
      </c>
      <c r="D105" s="223"/>
      <c r="E105" s="250"/>
      <c r="F105" s="223"/>
      <c r="G105" s="250"/>
      <c r="H105" s="250"/>
      <c r="I105" s="250"/>
      <c r="J105" s="251">
        <f>SUBTOTAL(9,J103:J104)</f>
        <v>-4746.1899999999996</v>
      </c>
      <c r="K105" s="252"/>
      <c r="L105" s="253"/>
      <c r="M105" s="251">
        <f>SUBTOTAL(9,M103:M104)</f>
        <v>-63.36</v>
      </c>
      <c r="N105" s="251">
        <f>SUBTOTAL(9,N103:N104)</f>
        <v>-84.48</v>
      </c>
      <c r="O105" s="223"/>
      <c r="P105" s="210"/>
      <c r="Q105" s="263" t="s">
        <v>2097</v>
      </c>
      <c r="R105" s="263" t="s">
        <v>2098</v>
      </c>
    </row>
    <row r="106" spans="1:18" ht="60" outlineLevel="2">
      <c r="A106" s="18" t="s">
        <v>17</v>
      </c>
      <c r="B106" s="15" t="s">
        <v>173</v>
      </c>
      <c r="C106" s="15" t="s">
        <v>174</v>
      </c>
      <c r="D106" s="14" t="s">
        <v>175</v>
      </c>
      <c r="E106" s="15" t="s">
        <v>176</v>
      </c>
      <c r="F106" s="14" t="s">
        <v>28</v>
      </c>
      <c r="G106" s="15" t="s">
        <v>23</v>
      </c>
      <c r="H106" s="15" t="s">
        <v>1525</v>
      </c>
      <c r="I106" s="15">
        <v>201409</v>
      </c>
      <c r="J106" s="16">
        <v>10.59</v>
      </c>
      <c r="K106" s="171">
        <f>VLOOKUP(I106,$T$9:$U$23,2)</f>
        <v>9</v>
      </c>
      <c r="L106" s="17">
        <v>1.4833299999999999E-3</v>
      </c>
      <c r="M106" s="16">
        <f>ROUND(J106*K106*L106,2)</f>
        <v>0.14000000000000001</v>
      </c>
      <c r="N106" s="16">
        <f>ROUND(J106*L106*12,2)</f>
        <v>0.19</v>
      </c>
      <c r="O106" s="14"/>
      <c r="P106" s="210" t="str">
        <f>VLOOKUP(C106,'WO Descriptions'!$A$5:$D$345,4)</f>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
    </row>
    <row r="107" spans="1:18" outlineLevel="1">
      <c r="A107" s="225"/>
      <c r="B107" s="250"/>
      <c r="C107" s="254" t="s">
        <v>1793</v>
      </c>
      <c r="D107" s="223"/>
      <c r="E107" s="250"/>
      <c r="F107" s="223"/>
      <c r="G107" s="250"/>
      <c r="H107" s="250"/>
      <c r="I107" s="250"/>
      <c r="J107" s="251">
        <f>SUBTOTAL(9,J106:J106)</f>
        <v>10.59</v>
      </c>
      <c r="K107" s="252"/>
      <c r="L107" s="253"/>
      <c r="M107" s="251">
        <f>SUBTOTAL(9,M106:M106)</f>
        <v>0.14000000000000001</v>
      </c>
      <c r="N107" s="251">
        <f>SUBTOTAL(9,N106:N106)</f>
        <v>0.19</v>
      </c>
      <c r="O107" s="223"/>
      <c r="P107" s="210"/>
      <c r="Q107" s="263" t="s">
        <v>2097</v>
      </c>
      <c r="R107" s="263" t="s">
        <v>2099</v>
      </c>
    </row>
    <row r="108" spans="1:18" ht="30" outlineLevel="2">
      <c r="A108" s="18" t="s">
        <v>17</v>
      </c>
      <c r="B108" s="15" t="s">
        <v>177</v>
      </c>
      <c r="C108" s="15" t="s">
        <v>178</v>
      </c>
      <c r="D108" s="14" t="s">
        <v>179</v>
      </c>
      <c r="E108" s="15" t="s">
        <v>176</v>
      </c>
      <c r="F108" s="14" t="s">
        <v>28</v>
      </c>
      <c r="G108" s="15" t="s">
        <v>23</v>
      </c>
      <c r="H108" s="15" t="s">
        <v>1525</v>
      </c>
      <c r="I108" s="15">
        <v>201409</v>
      </c>
      <c r="J108" s="16">
        <v>28.45</v>
      </c>
      <c r="K108" s="171">
        <f>VLOOKUP(I108,$T$9:$U$23,2)</f>
        <v>9</v>
      </c>
      <c r="L108" s="17">
        <v>1.4833299999999999E-3</v>
      </c>
      <c r="M108" s="16">
        <f>ROUND(J108*K108*L108,2)</f>
        <v>0.38</v>
      </c>
      <c r="N108" s="16">
        <f>ROUND(J108*L108*12,2)</f>
        <v>0.51</v>
      </c>
      <c r="O108" s="14"/>
      <c r="P108" s="210" t="str">
        <f>VLOOKUP(C108,'WO Descriptions'!$A$5:$D$345,4)</f>
        <v>Approved by Galen Shoemaker 9/10/2013.  Manually work order set up due to woes is being changed over.</v>
      </c>
    </row>
    <row r="109" spans="1:18" outlineLevel="1">
      <c r="A109" s="225"/>
      <c r="B109" s="250"/>
      <c r="C109" s="254" t="s">
        <v>1794</v>
      </c>
      <c r="D109" s="223"/>
      <c r="E109" s="250"/>
      <c r="F109" s="223"/>
      <c r="G109" s="250"/>
      <c r="H109" s="250"/>
      <c r="I109" s="250"/>
      <c r="J109" s="251">
        <f>SUBTOTAL(9,J108:J108)</f>
        <v>28.45</v>
      </c>
      <c r="K109" s="252"/>
      <c r="L109" s="253"/>
      <c r="M109" s="251">
        <f>SUBTOTAL(9,M108:M108)</f>
        <v>0.38</v>
      </c>
      <c r="N109" s="251">
        <f>SUBTOTAL(9,N108:N108)</f>
        <v>0.51</v>
      </c>
      <c r="O109" s="223"/>
      <c r="P109" s="210"/>
      <c r="Q109" s="263" t="s">
        <v>2097</v>
      </c>
      <c r="R109" s="263" t="s">
        <v>2099</v>
      </c>
    </row>
    <row r="110" spans="1:18" ht="75" outlineLevel="2">
      <c r="A110" s="18" t="s">
        <v>17</v>
      </c>
      <c r="B110" s="15" t="s">
        <v>180</v>
      </c>
      <c r="C110" s="15" t="s">
        <v>181</v>
      </c>
      <c r="D110" s="14" t="s">
        <v>182</v>
      </c>
      <c r="E110" s="15" t="s">
        <v>53</v>
      </c>
      <c r="F110" s="14" t="s">
        <v>41</v>
      </c>
      <c r="G110" s="15" t="s">
        <v>23</v>
      </c>
      <c r="H110" s="15" t="s">
        <v>1526</v>
      </c>
      <c r="I110" s="15">
        <v>201409</v>
      </c>
      <c r="J110" s="16">
        <v>-243.49</v>
      </c>
      <c r="K110" s="171">
        <f>VLOOKUP(I110,$T$9:$U$23,2)</f>
        <v>9</v>
      </c>
      <c r="L110" s="17">
        <v>1.4833299999999999E-3</v>
      </c>
      <c r="M110" s="16">
        <f>ROUND(J110*K110*L110,2)</f>
        <v>-3.25</v>
      </c>
      <c r="N110" s="16">
        <f>ROUND(J110*L110*12,2)</f>
        <v>-4.33</v>
      </c>
      <c r="O110" s="14"/>
      <c r="P110" s="210" t="str">
        <f>VLOOKUP(C110,'WO Descriptions'!$A$5:$D$345,4)</f>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
    </row>
    <row r="111" spans="1:18" outlineLevel="1">
      <c r="A111" s="225"/>
      <c r="B111" s="250"/>
      <c r="C111" s="254" t="s">
        <v>1795</v>
      </c>
      <c r="D111" s="223"/>
      <c r="E111" s="250"/>
      <c r="F111" s="223"/>
      <c r="G111" s="250"/>
      <c r="H111" s="250"/>
      <c r="I111" s="250"/>
      <c r="J111" s="251">
        <f>SUBTOTAL(9,J110:J110)</f>
        <v>-243.49</v>
      </c>
      <c r="K111" s="252"/>
      <c r="L111" s="253"/>
      <c r="M111" s="251">
        <f>SUBTOTAL(9,M110:M110)</f>
        <v>-3.25</v>
      </c>
      <c r="N111" s="251">
        <f>SUBTOTAL(9,N110:N110)</f>
        <v>-4.33</v>
      </c>
      <c r="O111" s="223"/>
      <c r="P111" s="210"/>
      <c r="Q111" s="263" t="s">
        <v>2096</v>
      </c>
    </row>
    <row r="112" spans="1:18" ht="90" outlineLevel="2">
      <c r="A112" s="14" t="s">
        <v>17</v>
      </c>
      <c r="B112" s="15" t="s">
        <v>183</v>
      </c>
      <c r="C112" s="15" t="s">
        <v>184</v>
      </c>
      <c r="D112" s="14" t="s">
        <v>185</v>
      </c>
      <c r="E112" s="15" t="s">
        <v>53</v>
      </c>
      <c r="F112" s="14" t="s">
        <v>41</v>
      </c>
      <c r="G112" s="15" t="s">
        <v>23</v>
      </c>
      <c r="H112" s="15" t="s">
        <v>1526</v>
      </c>
      <c r="I112" s="15">
        <v>201409</v>
      </c>
      <c r="J112" s="16">
        <v>-1163.68</v>
      </c>
      <c r="K112" s="171">
        <f>VLOOKUP(I112,$T$9:$U$23,2)</f>
        <v>9</v>
      </c>
      <c r="L112" s="17">
        <v>1.4833299999999999E-3</v>
      </c>
      <c r="M112" s="16">
        <f>ROUND(J112*K112*L112,2)</f>
        <v>-15.54</v>
      </c>
      <c r="N112" s="16">
        <f>ROUND(J112*L112*12,2)</f>
        <v>-20.71</v>
      </c>
      <c r="O112" s="14"/>
      <c r="P112" s="210" t="str">
        <f>VLOOKUP(C112,'WO Descriptions'!$A$5:$D$345,4)</f>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
    </row>
    <row r="113" spans="1:18" outlineLevel="1">
      <c r="A113" s="223"/>
      <c r="B113" s="250"/>
      <c r="C113" s="254" t="s">
        <v>1796</v>
      </c>
      <c r="D113" s="223"/>
      <c r="E113" s="250"/>
      <c r="F113" s="223"/>
      <c r="G113" s="250"/>
      <c r="H113" s="250"/>
      <c r="I113" s="250"/>
      <c r="J113" s="251">
        <f>SUBTOTAL(9,J112:J112)</f>
        <v>-1163.68</v>
      </c>
      <c r="K113" s="252"/>
      <c r="L113" s="253"/>
      <c r="M113" s="251">
        <f>SUBTOTAL(9,M112:M112)</f>
        <v>-15.54</v>
      </c>
      <c r="N113" s="251">
        <f>SUBTOTAL(9,N112:N112)</f>
        <v>-20.71</v>
      </c>
      <c r="O113" s="223"/>
      <c r="P113" s="210"/>
      <c r="Q113" s="263" t="s">
        <v>2096</v>
      </c>
    </row>
    <row r="114" spans="1:18" ht="30" outlineLevel="2">
      <c r="A114" s="18" t="s">
        <v>17</v>
      </c>
      <c r="B114" s="15" t="s">
        <v>186</v>
      </c>
      <c r="C114" s="15" t="s">
        <v>187</v>
      </c>
      <c r="D114" s="14" t="s">
        <v>188</v>
      </c>
      <c r="E114" s="15" t="s">
        <v>108</v>
      </c>
      <c r="F114" s="14" t="s">
        <v>28</v>
      </c>
      <c r="G114" s="15" t="s">
        <v>23</v>
      </c>
      <c r="H114" s="15" t="s">
        <v>1525</v>
      </c>
      <c r="I114" s="15">
        <v>201409</v>
      </c>
      <c r="J114" s="16">
        <v>-23.18</v>
      </c>
      <c r="K114" s="171">
        <f>VLOOKUP(I114,$T$9:$U$23,2)</f>
        <v>9</v>
      </c>
      <c r="L114" s="17">
        <v>1.4833299999999999E-3</v>
      </c>
      <c r="M114" s="16">
        <f>ROUND(J114*K114*L114,2)</f>
        <v>-0.31</v>
      </c>
      <c r="N114" s="16">
        <f>ROUND(J114*L114*12,2)</f>
        <v>-0.41</v>
      </c>
      <c r="O114" s="14"/>
      <c r="P114" s="210" t="str">
        <f>VLOOKUP(C114,'WO Descriptions'!$A$5:$D$345,4)</f>
        <v>Approved by: Kevin Driskell on 01/03/2014,  LAY 26'-4" TF STEEL DUE TO EXISTING GAS MAIN EXPOSED ON HILL.  ABANDONED 18FT-4" PCS(B1476A).</v>
      </c>
    </row>
    <row r="115" spans="1:18" outlineLevel="1">
      <c r="A115" s="225"/>
      <c r="B115" s="250"/>
      <c r="C115" s="254" t="s">
        <v>1797</v>
      </c>
      <c r="D115" s="223"/>
      <c r="E115" s="250"/>
      <c r="F115" s="223"/>
      <c r="G115" s="250"/>
      <c r="H115" s="250"/>
      <c r="I115" s="250"/>
      <c r="J115" s="251">
        <f>SUBTOTAL(9,J114:J114)</f>
        <v>-23.18</v>
      </c>
      <c r="K115" s="252"/>
      <c r="L115" s="253"/>
      <c r="M115" s="251">
        <f>SUBTOTAL(9,M114:M114)</f>
        <v>-0.31</v>
      </c>
      <c r="N115" s="251">
        <f>SUBTOTAL(9,N114:N114)</f>
        <v>-0.41</v>
      </c>
      <c r="O115" s="223"/>
      <c r="P115" s="210"/>
      <c r="Q115" s="263" t="s">
        <v>2097</v>
      </c>
      <c r="R115" s="263" t="s">
        <v>2099</v>
      </c>
    </row>
    <row r="116" spans="1:18" ht="165" outlineLevel="2">
      <c r="A116" s="18" t="s">
        <v>17</v>
      </c>
      <c r="B116" s="15" t="s">
        <v>189</v>
      </c>
      <c r="C116" s="15" t="s">
        <v>190</v>
      </c>
      <c r="D116" s="14" t="s">
        <v>191</v>
      </c>
      <c r="E116" s="15" t="s">
        <v>62</v>
      </c>
      <c r="F116" s="14" t="s">
        <v>22</v>
      </c>
      <c r="G116" s="15" t="s">
        <v>23</v>
      </c>
      <c r="H116" s="15" t="s">
        <v>1525</v>
      </c>
      <c r="I116" s="15">
        <v>201409</v>
      </c>
      <c r="J116" s="16">
        <v>-2735.91</v>
      </c>
      <c r="K116" s="171">
        <f>VLOOKUP(I116,$T$9:$U$23,2)</f>
        <v>9</v>
      </c>
      <c r="L116" s="17">
        <v>1.4833299999999999E-3</v>
      </c>
      <c r="M116" s="16">
        <f>ROUND(J116*K116*L116,2)</f>
        <v>-36.520000000000003</v>
      </c>
      <c r="N116" s="16">
        <f>ROUND(J116*L116*12,2)</f>
        <v>-48.7</v>
      </c>
      <c r="O116" s="14"/>
      <c r="P116" s="210" t="str">
        <f>VLOOKUP(C116,'WO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7" spans="1:18" ht="165" outlineLevel="2">
      <c r="A117" s="18" t="s">
        <v>17</v>
      </c>
      <c r="B117" s="15" t="s">
        <v>189</v>
      </c>
      <c r="C117" s="15" t="s">
        <v>190</v>
      </c>
      <c r="D117" s="14" t="s">
        <v>191</v>
      </c>
      <c r="E117" s="15" t="s">
        <v>62</v>
      </c>
      <c r="F117" s="14" t="s">
        <v>22</v>
      </c>
      <c r="G117" s="15" t="s">
        <v>23</v>
      </c>
      <c r="H117" s="15" t="s">
        <v>1525</v>
      </c>
      <c r="I117" s="15">
        <v>201411</v>
      </c>
      <c r="J117" s="16">
        <v>-151959.22</v>
      </c>
      <c r="K117" s="171">
        <f>VLOOKUP(I117,$T$9:$U$23,2)</f>
        <v>7</v>
      </c>
      <c r="L117" s="17">
        <v>1.4833299999999999E-3</v>
      </c>
      <c r="M117" s="16">
        <f>ROUND(J117*K117*L117,2)</f>
        <v>-1577.84</v>
      </c>
      <c r="N117" s="16">
        <f>ROUND(J117*L117*12,2)</f>
        <v>-2704.87</v>
      </c>
      <c r="O117" s="14"/>
      <c r="P117" s="210" t="str">
        <f>VLOOKUP(C117,'WO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8" spans="1:18" ht="165" outlineLevel="2">
      <c r="A118" s="18" t="s">
        <v>54</v>
      </c>
      <c r="B118" s="15" t="s">
        <v>189</v>
      </c>
      <c r="C118" s="15" t="s">
        <v>190</v>
      </c>
      <c r="D118" s="14" t="s">
        <v>191</v>
      </c>
      <c r="E118" s="15" t="s">
        <v>62</v>
      </c>
      <c r="F118" s="14" t="s">
        <v>22</v>
      </c>
      <c r="G118" s="15" t="s">
        <v>23</v>
      </c>
      <c r="H118" s="15" t="s">
        <v>1525</v>
      </c>
      <c r="I118" s="15">
        <v>201411</v>
      </c>
      <c r="J118" s="16">
        <v>151959.22</v>
      </c>
      <c r="K118" s="171">
        <f>VLOOKUP(I118,$T$9:$U$23,2)</f>
        <v>7</v>
      </c>
      <c r="L118" s="17">
        <v>1.4833299999999999E-3</v>
      </c>
      <c r="M118" s="16">
        <f>ROUND(J118*K118*L118,2)</f>
        <v>1577.84</v>
      </c>
      <c r="N118" s="16">
        <f>ROUND(J118*L118*12,2)</f>
        <v>2704.87</v>
      </c>
      <c r="O118" s="14"/>
      <c r="P118" s="210" t="str">
        <f>VLOOKUP(C118,'WO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9" spans="1:18" outlineLevel="1">
      <c r="A119" s="225"/>
      <c r="B119" s="250"/>
      <c r="C119" s="254" t="s">
        <v>1798</v>
      </c>
      <c r="D119" s="223"/>
      <c r="E119" s="250"/>
      <c r="F119" s="223"/>
      <c r="G119" s="250"/>
      <c r="H119" s="250"/>
      <c r="I119" s="250"/>
      <c r="J119" s="251">
        <f>SUBTOTAL(9,J116:J118)</f>
        <v>-2735.9100000000035</v>
      </c>
      <c r="K119" s="252"/>
      <c r="L119" s="253"/>
      <c r="M119" s="251">
        <f>SUBTOTAL(9,M116:M118)</f>
        <v>-36.519999999999982</v>
      </c>
      <c r="N119" s="251">
        <f>SUBTOTAL(9,N116:N118)</f>
        <v>-48.699999999999818</v>
      </c>
      <c r="O119" s="223"/>
      <c r="P119" s="210"/>
      <c r="Q119" s="263" t="s">
        <v>2097</v>
      </c>
      <c r="R119" s="263" t="s">
        <v>2098</v>
      </c>
    </row>
    <row r="120" spans="1:18" outlineLevel="2">
      <c r="A120" s="211" t="s">
        <v>66</v>
      </c>
      <c r="B120" s="212" t="s">
        <v>192</v>
      </c>
      <c r="C120" s="212" t="s">
        <v>193</v>
      </c>
      <c r="D120" s="211" t="s">
        <v>194</v>
      </c>
      <c r="E120" s="212" t="s">
        <v>195</v>
      </c>
      <c r="F120" s="211" t="s">
        <v>196</v>
      </c>
      <c r="G120" s="212" t="s">
        <v>23</v>
      </c>
      <c r="H120" s="212" t="s">
        <v>1530</v>
      </c>
      <c r="I120" s="212">
        <v>201410</v>
      </c>
      <c r="J120" s="213">
        <v>100.15</v>
      </c>
      <c r="K120" s="171">
        <f>VLOOKUP(I120,$T$9:$U$23,2)</f>
        <v>8</v>
      </c>
      <c r="L120" s="214">
        <v>2.23333E-3</v>
      </c>
      <c r="M120" s="213">
        <f>ROUND(J120*K120*L120,2)</f>
        <v>1.79</v>
      </c>
      <c r="N120" s="213">
        <f>ROUND(J120*L120*12,2)</f>
        <v>2.68</v>
      </c>
      <c r="O120" s="14"/>
      <c r="P120" s="210" t="str">
        <f>VLOOKUP(C120,'WO Descriptions'!$A$5:$D$345,4)</f>
        <v>Line Locates - Service Line Replacements Only (Kansas City - Central Region)</v>
      </c>
    </row>
    <row r="121" spans="1:18" outlineLevel="2">
      <c r="A121" s="211" t="s">
        <v>66</v>
      </c>
      <c r="B121" s="212" t="s">
        <v>192</v>
      </c>
      <c r="C121" s="212" t="s">
        <v>193</v>
      </c>
      <c r="D121" s="211" t="s">
        <v>194</v>
      </c>
      <c r="E121" s="212" t="s">
        <v>195</v>
      </c>
      <c r="F121" s="211" t="s">
        <v>196</v>
      </c>
      <c r="G121" s="212" t="s">
        <v>23</v>
      </c>
      <c r="H121" s="212" t="s">
        <v>1530</v>
      </c>
      <c r="I121" s="212">
        <v>201411</v>
      </c>
      <c r="J121" s="213">
        <v>-2.78</v>
      </c>
      <c r="K121" s="171">
        <f>VLOOKUP(I121,$T$9:$U$23,2)</f>
        <v>7</v>
      </c>
      <c r="L121" s="214">
        <v>2.23333E-3</v>
      </c>
      <c r="M121" s="213">
        <f>ROUND(J121*K121*L121,2)</f>
        <v>-0.04</v>
      </c>
      <c r="N121" s="213">
        <f>ROUND(J121*L121*12,2)</f>
        <v>-7.0000000000000007E-2</v>
      </c>
      <c r="O121" s="14"/>
      <c r="P121" s="210" t="str">
        <f>VLOOKUP(C121,'WO Descriptions'!$A$5:$D$345,4)</f>
        <v>Line Locates - Service Line Replacements Only (Kansas City - Central Region)</v>
      </c>
    </row>
    <row r="122" spans="1:18" outlineLevel="2">
      <c r="A122" s="211" t="s">
        <v>66</v>
      </c>
      <c r="B122" s="212" t="s">
        <v>192</v>
      </c>
      <c r="C122" s="212" t="s">
        <v>193</v>
      </c>
      <c r="D122" s="211" t="s">
        <v>194</v>
      </c>
      <c r="E122" s="212" t="s">
        <v>195</v>
      </c>
      <c r="F122" s="211" t="s">
        <v>196</v>
      </c>
      <c r="G122" s="212" t="s">
        <v>23</v>
      </c>
      <c r="H122" s="212" t="s">
        <v>1530</v>
      </c>
      <c r="I122" s="212">
        <v>201412</v>
      </c>
      <c r="J122" s="213">
        <v>-8.64</v>
      </c>
      <c r="K122" s="171">
        <f>VLOOKUP(I122,$T$9:$U$23,2)</f>
        <v>6</v>
      </c>
      <c r="L122" s="214">
        <v>2.23333E-3</v>
      </c>
      <c r="M122" s="213">
        <f>ROUND(J122*K122*L122,2)</f>
        <v>-0.12</v>
      </c>
      <c r="N122" s="213">
        <f>ROUND(J122*L122*12,2)</f>
        <v>-0.23</v>
      </c>
      <c r="O122" s="14"/>
      <c r="P122" s="210" t="str">
        <f>VLOOKUP(C122,'WO Descriptions'!$A$5:$D$345,4)</f>
        <v>Line Locates - Service Line Replacements Only (Kansas City - Central Region)</v>
      </c>
    </row>
    <row r="123" spans="1:18" outlineLevel="1">
      <c r="A123" s="256"/>
      <c r="B123" s="257"/>
      <c r="C123" s="260" t="s">
        <v>1799</v>
      </c>
      <c r="D123" s="256"/>
      <c r="E123" s="257"/>
      <c r="F123" s="256"/>
      <c r="G123" s="257"/>
      <c r="H123" s="257"/>
      <c r="I123" s="257"/>
      <c r="J123" s="258">
        <f>SUBTOTAL(9,J120:J122)</f>
        <v>88.73</v>
      </c>
      <c r="K123" s="252"/>
      <c r="L123" s="259"/>
      <c r="M123" s="258">
        <f>SUBTOTAL(9,M120:M122)</f>
        <v>1.63</v>
      </c>
      <c r="N123" s="258">
        <f>SUBTOTAL(9,N120:N122)</f>
        <v>2.3800000000000003</v>
      </c>
      <c r="O123" s="223"/>
      <c r="P123" s="210"/>
      <c r="Q123" s="263" t="s">
        <v>2097</v>
      </c>
      <c r="R123" s="263" t="s">
        <v>2102</v>
      </c>
    </row>
    <row r="124" spans="1:18" ht="30" outlineLevel="2">
      <c r="A124" s="211" t="s">
        <v>66</v>
      </c>
      <c r="B124" s="212" t="s">
        <v>197</v>
      </c>
      <c r="C124" s="212" t="s">
        <v>198</v>
      </c>
      <c r="D124" s="211" t="s">
        <v>69</v>
      </c>
      <c r="E124" s="212" t="s">
        <v>199</v>
      </c>
      <c r="F124" s="211" t="s">
        <v>71</v>
      </c>
      <c r="G124" s="212" t="s">
        <v>23</v>
      </c>
      <c r="H124" s="212" t="s">
        <v>1530</v>
      </c>
      <c r="I124" s="212">
        <v>201409</v>
      </c>
      <c r="J124" s="213">
        <v>4610.79</v>
      </c>
      <c r="K124" s="171">
        <f>VLOOKUP(I124,$T$9:$U$23,2)</f>
        <v>9</v>
      </c>
      <c r="L124" s="214">
        <v>2.23333E-3</v>
      </c>
      <c r="M124" s="213">
        <f>ROUND(J124*K124*L124,2)</f>
        <v>92.68</v>
      </c>
      <c r="N124" s="213">
        <f>ROUND(J124*L124*12,2)</f>
        <v>123.57</v>
      </c>
      <c r="O124" s="14"/>
      <c r="P124" s="210" t="str">
        <f>VLOOKUP(C124,'WO Descriptions'!$A$5:$D$345,4)</f>
        <v>Service/Yard Line Replacement (SLRP): Company Crew.  Immediate response - replacement single unprotected steel or copper  (Monett - South Region)</v>
      </c>
    </row>
    <row r="125" spans="1:18" ht="30" outlineLevel="2">
      <c r="A125" s="211" t="s">
        <v>66</v>
      </c>
      <c r="B125" s="212" t="s">
        <v>197</v>
      </c>
      <c r="C125" s="212" t="s">
        <v>198</v>
      </c>
      <c r="D125" s="211" t="s">
        <v>69</v>
      </c>
      <c r="E125" s="212" t="s">
        <v>199</v>
      </c>
      <c r="F125" s="211" t="s">
        <v>71</v>
      </c>
      <c r="G125" s="212" t="s">
        <v>23</v>
      </c>
      <c r="H125" s="212" t="s">
        <v>1530</v>
      </c>
      <c r="I125" s="212">
        <v>201411</v>
      </c>
      <c r="J125" s="213">
        <v>-444.19</v>
      </c>
      <c r="K125" s="171">
        <f>VLOOKUP(I125,$T$9:$U$23,2)</f>
        <v>7</v>
      </c>
      <c r="L125" s="214">
        <v>2.23333E-3</v>
      </c>
      <c r="M125" s="213">
        <f>ROUND(J125*K125*L125,2)</f>
        <v>-6.94</v>
      </c>
      <c r="N125" s="213">
        <f>ROUND(J125*L125*12,2)</f>
        <v>-11.9</v>
      </c>
      <c r="O125" s="14"/>
      <c r="P125" s="210" t="str">
        <f>VLOOKUP(C125,'WO Descriptions'!$A$5:$D$345,4)</f>
        <v>Service/Yard Line Replacement (SLRP): Company Crew.  Immediate response - replacement single unprotected steel or copper  (Monett - South Region)</v>
      </c>
    </row>
    <row r="126" spans="1:18" ht="30" outlineLevel="2">
      <c r="A126" s="211" t="s">
        <v>66</v>
      </c>
      <c r="B126" s="212" t="s">
        <v>197</v>
      </c>
      <c r="C126" s="212" t="s">
        <v>198</v>
      </c>
      <c r="D126" s="211" t="s">
        <v>69</v>
      </c>
      <c r="E126" s="212" t="s">
        <v>199</v>
      </c>
      <c r="F126" s="211" t="s">
        <v>71</v>
      </c>
      <c r="G126" s="212" t="s">
        <v>23</v>
      </c>
      <c r="H126" s="212" t="s">
        <v>1530</v>
      </c>
      <c r="I126" s="212">
        <v>201412</v>
      </c>
      <c r="J126" s="213">
        <v>28.04</v>
      </c>
      <c r="K126" s="171">
        <f>VLOOKUP(I126,$T$9:$U$23,2)</f>
        <v>6</v>
      </c>
      <c r="L126" s="214">
        <v>2.23333E-3</v>
      </c>
      <c r="M126" s="213">
        <f>ROUND(J126*K126*L126,2)</f>
        <v>0.38</v>
      </c>
      <c r="N126" s="213">
        <f>ROUND(J126*L126*12,2)</f>
        <v>0.75</v>
      </c>
      <c r="O126" s="14"/>
      <c r="P126" s="210" t="str">
        <f>VLOOKUP(C126,'WO Descriptions'!$A$5:$D$345,4)</f>
        <v>Service/Yard Line Replacement (SLRP): Company Crew.  Immediate response - replacement single unprotected steel or copper  (Monett - South Region)</v>
      </c>
    </row>
    <row r="127" spans="1:18" outlineLevel="1">
      <c r="A127" s="256"/>
      <c r="B127" s="257"/>
      <c r="C127" s="260" t="s">
        <v>1800</v>
      </c>
      <c r="D127" s="256"/>
      <c r="E127" s="257"/>
      <c r="F127" s="256"/>
      <c r="G127" s="257"/>
      <c r="H127" s="257"/>
      <c r="I127" s="257"/>
      <c r="J127" s="258">
        <f>SUBTOTAL(9,J124:J126)</f>
        <v>4194.6400000000003</v>
      </c>
      <c r="K127" s="252"/>
      <c r="L127" s="259"/>
      <c r="M127" s="258">
        <f>SUBTOTAL(9,M124:M126)</f>
        <v>86.12</v>
      </c>
      <c r="N127" s="258">
        <f>SUBTOTAL(9,N124:N126)</f>
        <v>112.41999999999999</v>
      </c>
      <c r="O127" s="223"/>
      <c r="P127" s="210"/>
      <c r="Q127" s="263" t="s">
        <v>2097</v>
      </c>
      <c r="R127" s="263" t="s">
        <v>2102</v>
      </c>
    </row>
    <row r="128" spans="1:18" ht="30" outlineLevel="2">
      <c r="A128" s="211" t="s">
        <v>1584</v>
      </c>
      <c r="B128" s="212" t="s">
        <v>1591</v>
      </c>
      <c r="C128" s="212" t="s">
        <v>1592</v>
      </c>
      <c r="D128" s="211" t="s">
        <v>1593</v>
      </c>
      <c r="E128" s="212" t="s">
        <v>1594</v>
      </c>
      <c r="F128" s="211" t="s">
        <v>1590</v>
      </c>
      <c r="G128" s="212" t="s">
        <v>23</v>
      </c>
      <c r="H128" s="212" t="s">
        <v>1530</v>
      </c>
      <c r="I128" s="212">
        <v>201409</v>
      </c>
      <c r="J128" s="213">
        <v>1343.76</v>
      </c>
      <c r="K128" s="171">
        <f>VLOOKUP(I128,$T$9:$U$23,2)</f>
        <v>9</v>
      </c>
      <c r="L128" s="214">
        <v>2.0333333000000001E-3</v>
      </c>
      <c r="M128" s="213">
        <f>ROUND(J128*K128*L128,2)</f>
        <v>24.59</v>
      </c>
      <c r="N128" s="213">
        <f>ROUND(J128*L128*12,2)</f>
        <v>32.79</v>
      </c>
      <c r="O128" s="14"/>
      <c r="P128" s="210" t="str">
        <f>VLOOKUP(C128,'WO Descriptions'!$A$5:$D$345,4)</f>
        <v>Service/Yard Line Replacement (SLRP): Company Crew.  Immediate response - replacement single unprotected steel or copper  (Monett - South Region)</v>
      </c>
    </row>
    <row r="129" spans="1:18" ht="30" outlineLevel="2">
      <c r="A129" s="211" t="s">
        <v>1584</v>
      </c>
      <c r="B129" s="212" t="s">
        <v>1591</v>
      </c>
      <c r="C129" s="212" t="s">
        <v>1592</v>
      </c>
      <c r="D129" s="211" t="s">
        <v>1593</v>
      </c>
      <c r="E129" s="212" t="s">
        <v>1594</v>
      </c>
      <c r="F129" s="211" t="s">
        <v>1590</v>
      </c>
      <c r="G129" s="212" t="s">
        <v>23</v>
      </c>
      <c r="H129" s="212" t="s">
        <v>1530</v>
      </c>
      <c r="I129" s="212">
        <v>201410</v>
      </c>
      <c r="J129" s="213">
        <v>2397.15</v>
      </c>
      <c r="K129" s="171">
        <f>VLOOKUP(I129,$T$9:$U$23,2)</f>
        <v>8</v>
      </c>
      <c r="L129" s="214">
        <v>2.0333333000000001E-3</v>
      </c>
      <c r="M129" s="213">
        <f>ROUND(J129*K129*L129,2)</f>
        <v>38.99</v>
      </c>
      <c r="N129" s="213">
        <f>ROUND(J129*L129*12,2)</f>
        <v>58.49</v>
      </c>
      <c r="O129" s="14"/>
      <c r="P129" s="210" t="str">
        <f>VLOOKUP(C129,'WO Descriptions'!$A$5:$D$345,4)</f>
        <v>Service/Yard Line Replacement (SLRP): Company Crew.  Immediate response - replacement single unprotected steel or copper  (Monett - South Region)</v>
      </c>
    </row>
    <row r="130" spans="1:18" ht="30" outlineLevel="2">
      <c r="A130" s="211" t="s">
        <v>1584</v>
      </c>
      <c r="B130" s="212" t="s">
        <v>1591</v>
      </c>
      <c r="C130" s="212" t="s">
        <v>1592</v>
      </c>
      <c r="D130" s="211" t="s">
        <v>1593</v>
      </c>
      <c r="E130" s="212" t="s">
        <v>1594</v>
      </c>
      <c r="F130" s="211" t="s">
        <v>1590</v>
      </c>
      <c r="G130" s="212" t="s">
        <v>23</v>
      </c>
      <c r="H130" s="212" t="s">
        <v>1530</v>
      </c>
      <c r="I130" s="212">
        <v>201411</v>
      </c>
      <c r="J130" s="213">
        <v>-65.48</v>
      </c>
      <c r="K130" s="171">
        <f>VLOOKUP(I130,$T$9:$U$23,2)</f>
        <v>7</v>
      </c>
      <c r="L130" s="214">
        <v>2.0333333000000001E-3</v>
      </c>
      <c r="M130" s="213">
        <f>ROUND(J130*K130*L130,2)</f>
        <v>-0.93</v>
      </c>
      <c r="N130" s="213">
        <f>ROUND(J130*L130*12,2)</f>
        <v>-1.6</v>
      </c>
      <c r="O130" s="14"/>
      <c r="P130" s="210" t="str">
        <f>VLOOKUP(C130,'WO Descriptions'!$A$5:$D$345,4)</f>
        <v>Service/Yard Line Replacement (SLRP): Company Crew.  Immediate response - replacement single unprotected steel or copper  (Monett - South Region)</v>
      </c>
    </row>
    <row r="131" spans="1:18" ht="30" outlineLevel="2">
      <c r="A131" s="211" t="s">
        <v>1584</v>
      </c>
      <c r="B131" s="212" t="s">
        <v>1591</v>
      </c>
      <c r="C131" s="212" t="s">
        <v>1592</v>
      </c>
      <c r="D131" s="211" t="s">
        <v>1593</v>
      </c>
      <c r="E131" s="212" t="s">
        <v>1594</v>
      </c>
      <c r="F131" s="211" t="s">
        <v>1590</v>
      </c>
      <c r="G131" s="212" t="s">
        <v>23</v>
      </c>
      <c r="H131" s="212" t="s">
        <v>1530</v>
      </c>
      <c r="I131" s="212">
        <v>201412</v>
      </c>
      <c r="J131" s="213">
        <v>-207.19</v>
      </c>
      <c r="K131" s="171">
        <f>VLOOKUP(I131,$T$9:$U$23,2)</f>
        <v>6</v>
      </c>
      <c r="L131" s="214">
        <v>2.0333333000000001E-3</v>
      </c>
      <c r="M131" s="213">
        <f>ROUND(J131*K131*L131,2)</f>
        <v>-2.5299999999999998</v>
      </c>
      <c r="N131" s="213">
        <f>ROUND(J131*L131*12,2)</f>
        <v>-5.0599999999999996</v>
      </c>
      <c r="O131" s="14"/>
      <c r="P131" s="210" t="str">
        <f>VLOOKUP(C131,'WO Descriptions'!$A$5:$D$345,4)</f>
        <v>Service/Yard Line Replacement (SLRP): Company Crew.  Immediate response - replacement single unprotected steel or copper  (Monett - South Region)</v>
      </c>
    </row>
    <row r="132" spans="1:18" outlineLevel="1">
      <c r="A132" s="256"/>
      <c r="B132" s="257"/>
      <c r="C132" s="260" t="s">
        <v>1801</v>
      </c>
      <c r="D132" s="256"/>
      <c r="E132" s="257"/>
      <c r="F132" s="256"/>
      <c r="G132" s="257"/>
      <c r="H132" s="257"/>
      <c r="I132" s="257"/>
      <c r="J132" s="258">
        <f>SUBTOTAL(9,J128:J131)</f>
        <v>3468.24</v>
      </c>
      <c r="K132" s="252"/>
      <c r="L132" s="259"/>
      <c r="M132" s="258">
        <f>SUBTOTAL(9,M128:M131)</f>
        <v>60.12</v>
      </c>
      <c r="N132" s="258">
        <f>SUBTOTAL(9,N128:N131)</f>
        <v>84.62</v>
      </c>
      <c r="O132" s="223"/>
      <c r="P132" s="210"/>
      <c r="Q132" s="263" t="s">
        <v>2097</v>
      </c>
      <c r="R132" s="263" t="s">
        <v>2102</v>
      </c>
    </row>
    <row r="133" spans="1:18" ht="30" outlineLevel="2">
      <c r="A133" s="211" t="s">
        <v>1584</v>
      </c>
      <c r="B133" s="212" t="s">
        <v>1595</v>
      </c>
      <c r="C133" s="212" t="s">
        <v>1596</v>
      </c>
      <c r="D133" s="211" t="s">
        <v>1593</v>
      </c>
      <c r="E133" s="212" t="s">
        <v>1597</v>
      </c>
      <c r="F133" s="211" t="s">
        <v>1590</v>
      </c>
      <c r="G133" s="212" t="s">
        <v>23</v>
      </c>
      <c r="H133" s="212" t="s">
        <v>1530</v>
      </c>
      <c r="I133" s="212">
        <v>201409</v>
      </c>
      <c r="J133" s="213">
        <v>34137.56</v>
      </c>
      <c r="K133" s="171">
        <f>VLOOKUP(I133,$T$9:$U$23,2)</f>
        <v>9</v>
      </c>
      <c r="L133" s="214">
        <v>2.0333333000000001E-3</v>
      </c>
      <c r="M133" s="213">
        <f>ROUND(J133*K133*L133,2)</f>
        <v>624.72</v>
      </c>
      <c r="N133" s="213">
        <f>ROUND(J133*L133*12,2)</f>
        <v>832.96</v>
      </c>
      <c r="O133" s="14"/>
      <c r="P133" s="210" t="str">
        <f>VLOOKUP(C133,'WO Descriptions'!$A$5:$D$345,4)</f>
        <v>Service/Yard Line Replacement (SLRP): Company Crew.  Immediate response - replacement single unprotected steel or copper  (Monett - South Region)</v>
      </c>
    </row>
    <row r="134" spans="1:18" ht="30" outlineLevel="2">
      <c r="A134" s="211" t="s">
        <v>1584</v>
      </c>
      <c r="B134" s="212" t="s">
        <v>1595</v>
      </c>
      <c r="C134" s="212" t="s">
        <v>1596</v>
      </c>
      <c r="D134" s="211" t="s">
        <v>1593</v>
      </c>
      <c r="E134" s="212" t="s">
        <v>1597</v>
      </c>
      <c r="F134" s="211" t="s">
        <v>1590</v>
      </c>
      <c r="G134" s="212" t="s">
        <v>23</v>
      </c>
      <c r="H134" s="212" t="s">
        <v>1530</v>
      </c>
      <c r="I134" s="212">
        <v>201410</v>
      </c>
      <c r="J134" s="213">
        <v>26051.41</v>
      </c>
      <c r="K134" s="171">
        <f>VLOOKUP(I134,$T$9:$U$23,2)</f>
        <v>8</v>
      </c>
      <c r="L134" s="214">
        <v>2.0333333000000001E-3</v>
      </c>
      <c r="M134" s="213">
        <f>ROUND(J134*K134*L134,2)</f>
        <v>423.77</v>
      </c>
      <c r="N134" s="213">
        <f>ROUND(J134*L134*12,2)</f>
        <v>635.65</v>
      </c>
      <c r="O134" s="14"/>
      <c r="P134" s="210" t="str">
        <f>VLOOKUP(C134,'WO Descriptions'!$A$5:$D$345,4)</f>
        <v>Service/Yard Line Replacement (SLRP): Company Crew.  Immediate response - replacement single unprotected steel or copper  (Monett - South Region)</v>
      </c>
    </row>
    <row r="135" spans="1:18" ht="30" outlineLevel="2">
      <c r="A135" s="211" t="s">
        <v>1584</v>
      </c>
      <c r="B135" s="212" t="s">
        <v>1595</v>
      </c>
      <c r="C135" s="212" t="s">
        <v>1596</v>
      </c>
      <c r="D135" s="211" t="s">
        <v>1593</v>
      </c>
      <c r="E135" s="212" t="s">
        <v>1597</v>
      </c>
      <c r="F135" s="211" t="s">
        <v>1590</v>
      </c>
      <c r="G135" s="212" t="s">
        <v>23</v>
      </c>
      <c r="H135" s="212" t="s">
        <v>1530</v>
      </c>
      <c r="I135" s="212">
        <v>201411</v>
      </c>
      <c r="J135" s="213">
        <v>12942.18</v>
      </c>
      <c r="K135" s="171">
        <f>VLOOKUP(I135,$T$9:$U$23,2)</f>
        <v>7</v>
      </c>
      <c r="L135" s="214">
        <v>2.0333333000000001E-3</v>
      </c>
      <c r="M135" s="213">
        <f>ROUND(J135*K135*L135,2)</f>
        <v>184.21</v>
      </c>
      <c r="N135" s="213">
        <f>ROUND(J135*L135*12,2)</f>
        <v>315.79000000000002</v>
      </c>
      <c r="O135" s="14"/>
      <c r="P135" s="210" t="str">
        <f>VLOOKUP(C135,'WO Descriptions'!$A$5:$D$345,4)</f>
        <v>Service/Yard Line Replacement (SLRP): Company Crew.  Immediate response - replacement single unprotected steel or copper  (Monett - South Region)</v>
      </c>
    </row>
    <row r="136" spans="1:18" ht="30" outlineLevel="2">
      <c r="A136" s="211" t="s">
        <v>1584</v>
      </c>
      <c r="B136" s="212" t="s">
        <v>1595</v>
      </c>
      <c r="C136" s="212" t="s">
        <v>1596</v>
      </c>
      <c r="D136" s="211" t="s">
        <v>1593</v>
      </c>
      <c r="E136" s="212" t="s">
        <v>1597</v>
      </c>
      <c r="F136" s="211" t="s">
        <v>1590</v>
      </c>
      <c r="G136" s="212" t="s">
        <v>23</v>
      </c>
      <c r="H136" s="212" t="s">
        <v>1530</v>
      </c>
      <c r="I136" s="212">
        <v>201412</v>
      </c>
      <c r="J136" s="213">
        <v>24376.35</v>
      </c>
      <c r="K136" s="171">
        <f>VLOOKUP(I136,$T$9:$U$23,2)</f>
        <v>6</v>
      </c>
      <c r="L136" s="214">
        <v>2.0333333000000001E-3</v>
      </c>
      <c r="M136" s="213">
        <f>ROUND(J136*K136*L136,2)</f>
        <v>297.39</v>
      </c>
      <c r="N136" s="213">
        <f>ROUND(J136*L136*12,2)</f>
        <v>594.78</v>
      </c>
      <c r="O136" s="14"/>
      <c r="P136" s="210" t="str">
        <f>VLOOKUP(C136,'WO Descriptions'!$A$5:$D$345,4)</f>
        <v>Service/Yard Line Replacement (SLRP): Company Crew.  Immediate response - replacement single unprotected steel or copper  (Monett - South Region)</v>
      </c>
    </row>
    <row r="137" spans="1:18" outlineLevel="1">
      <c r="A137" s="256"/>
      <c r="B137" s="257"/>
      <c r="C137" s="260" t="s">
        <v>1802</v>
      </c>
      <c r="D137" s="256"/>
      <c r="E137" s="257"/>
      <c r="F137" s="256"/>
      <c r="G137" s="257"/>
      <c r="H137" s="257"/>
      <c r="I137" s="257"/>
      <c r="J137" s="258">
        <f>SUBTOTAL(9,J133:J136)</f>
        <v>97507.5</v>
      </c>
      <c r="K137" s="252"/>
      <c r="L137" s="259"/>
      <c r="M137" s="258">
        <f>SUBTOTAL(9,M133:M136)</f>
        <v>1530.0900000000001</v>
      </c>
      <c r="N137" s="258">
        <f>SUBTOTAL(9,N133:N136)</f>
        <v>2379.1800000000003</v>
      </c>
      <c r="O137" s="223"/>
      <c r="P137" s="210"/>
      <c r="Q137" s="263" t="s">
        <v>2097</v>
      </c>
      <c r="R137" s="263" t="s">
        <v>2102</v>
      </c>
    </row>
    <row r="138" spans="1:18" ht="30" outlineLevel="2">
      <c r="A138" s="211" t="s">
        <v>66</v>
      </c>
      <c r="B138" s="212" t="s">
        <v>200</v>
      </c>
      <c r="C138" s="212" t="s">
        <v>201</v>
      </c>
      <c r="D138" s="211" t="s">
        <v>202</v>
      </c>
      <c r="E138" s="212" t="s">
        <v>203</v>
      </c>
      <c r="F138" s="211" t="s">
        <v>80</v>
      </c>
      <c r="G138" s="212" t="s">
        <v>23</v>
      </c>
      <c r="H138" s="212" t="s">
        <v>1530</v>
      </c>
      <c r="I138" s="212">
        <v>201409</v>
      </c>
      <c r="J138" s="213">
        <v>103697.26</v>
      </c>
      <c r="K138" s="171">
        <f>VLOOKUP(I138,$T$9:$U$23,2)</f>
        <v>9</v>
      </c>
      <c r="L138" s="214">
        <v>2.23333E-3</v>
      </c>
      <c r="M138" s="213">
        <f>ROUND(J138*K138*L138,2)</f>
        <v>2084.31</v>
      </c>
      <c r="N138" s="213">
        <f>ROUND(J138*L138*12,2)</f>
        <v>2779.08</v>
      </c>
      <c r="O138" s="14"/>
      <c r="P138" s="210" t="str">
        <f>VLOOKUP(C138,'WO Descriptions'!$A$5:$D$345,4)</f>
        <v>Service/Yard Line Replacement (SLRP): Company Crew.  Modified Block by Block - Planned replacement of all unprotected steel or copper in a single block.  (Kansas City - Central Region)</v>
      </c>
    </row>
    <row r="139" spans="1:18" ht="30" outlineLevel="2">
      <c r="A139" s="211" t="s">
        <v>66</v>
      </c>
      <c r="B139" s="212" t="s">
        <v>200</v>
      </c>
      <c r="C139" s="212" t="s">
        <v>201</v>
      </c>
      <c r="D139" s="211" t="s">
        <v>202</v>
      </c>
      <c r="E139" s="212" t="s">
        <v>203</v>
      </c>
      <c r="F139" s="211" t="s">
        <v>80</v>
      </c>
      <c r="G139" s="212" t="s">
        <v>23</v>
      </c>
      <c r="H139" s="212" t="s">
        <v>1530</v>
      </c>
      <c r="I139" s="212">
        <v>201410</v>
      </c>
      <c r="J139" s="213">
        <v>64057.599999999999</v>
      </c>
      <c r="K139" s="171">
        <f>VLOOKUP(I139,$T$9:$U$23,2)</f>
        <v>8</v>
      </c>
      <c r="L139" s="214">
        <v>2.23333E-3</v>
      </c>
      <c r="M139" s="213">
        <f>ROUND(J139*K139*L139,2)</f>
        <v>1144.49</v>
      </c>
      <c r="N139" s="213">
        <f>ROUND(J139*L139*12,2)</f>
        <v>1716.74</v>
      </c>
      <c r="O139" s="14"/>
      <c r="P139" s="210" t="str">
        <f>VLOOKUP(C139,'WO Descriptions'!$A$5:$D$345,4)</f>
        <v>Service/Yard Line Replacement (SLRP): Company Crew.  Modified Block by Block - Planned replacement of all unprotected steel or copper in a single block.  (Kansas City - Central Region)</v>
      </c>
    </row>
    <row r="140" spans="1:18" ht="30" outlineLevel="2">
      <c r="A140" s="211" t="s">
        <v>66</v>
      </c>
      <c r="B140" s="212" t="s">
        <v>200</v>
      </c>
      <c r="C140" s="212" t="s">
        <v>201</v>
      </c>
      <c r="D140" s="211" t="s">
        <v>202</v>
      </c>
      <c r="E140" s="212" t="s">
        <v>203</v>
      </c>
      <c r="F140" s="211" t="s">
        <v>80</v>
      </c>
      <c r="G140" s="212" t="s">
        <v>23</v>
      </c>
      <c r="H140" s="212" t="s">
        <v>1530</v>
      </c>
      <c r="I140" s="212">
        <v>201411</v>
      </c>
      <c r="J140" s="213">
        <v>8450.75</v>
      </c>
      <c r="K140" s="171">
        <f>VLOOKUP(I140,$T$9:$U$23,2)</f>
        <v>7</v>
      </c>
      <c r="L140" s="214">
        <v>2.23333E-3</v>
      </c>
      <c r="M140" s="213">
        <f>ROUND(J140*K140*L140,2)</f>
        <v>132.11000000000001</v>
      </c>
      <c r="N140" s="213">
        <f>ROUND(J140*L140*12,2)</f>
        <v>226.48</v>
      </c>
      <c r="O140" s="14"/>
      <c r="P140" s="210" t="str">
        <f>VLOOKUP(C140,'WO Descriptions'!$A$5:$D$345,4)</f>
        <v>Service/Yard Line Replacement (SLRP): Company Crew.  Modified Block by Block - Planned replacement of all unprotected steel or copper in a single block.  (Kansas City - Central Region)</v>
      </c>
    </row>
    <row r="141" spans="1:18" ht="30" outlineLevel="2">
      <c r="A141" s="211" t="s">
        <v>66</v>
      </c>
      <c r="B141" s="212" t="s">
        <v>200</v>
      </c>
      <c r="C141" s="212" t="s">
        <v>201</v>
      </c>
      <c r="D141" s="211" t="s">
        <v>202</v>
      </c>
      <c r="E141" s="212" t="s">
        <v>203</v>
      </c>
      <c r="F141" s="211" t="s">
        <v>80</v>
      </c>
      <c r="G141" s="212" t="s">
        <v>23</v>
      </c>
      <c r="H141" s="212" t="s">
        <v>1530</v>
      </c>
      <c r="I141" s="212">
        <v>201412</v>
      </c>
      <c r="J141" s="213">
        <v>23427.599999999999</v>
      </c>
      <c r="K141" s="171">
        <f>VLOOKUP(I141,$T$9:$U$23,2)</f>
        <v>6</v>
      </c>
      <c r="L141" s="214">
        <v>2.23333E-3</v>
      </c>
      <c r="M141" s="213">
        <f>ROUND(J141*K141*L141,2)</f>
        <v>313.93</v>
      </c>
      <c r="N141" s="213">
        <f>ROUND(J141*L141*12,2)</f>
        <v>627.86</v>
      </c>
      <c r="O141" s="14"/>
      <c r="P141" s="210" t="str">
        <f>VLOOKUP(C141,'WO Descriptions'!$A$5:$D$345,4)</f>
        <v>Service/Yard Line Replacement (SLRP): Company Crew.  Modified Block by Block - Planned replacement of all unprotected steel or copper in a single block.  (Kansas City - Central Region)</v>
      </c>
    </row>
    <row r="142" spans="1:18" outlineLevel="1">
      <c r="A142" s="256"/>
      <c r="B142" s="257"/>
      <c r="C142" s="260" t="s">
        <v>1803</v>
      </c>
      <c r="D142" s="256"/>
      <c r="E142" s="257"/>
      <c r="F142" s="256"/>
      <c r="G142" s="257"/>
      <c r="H142" s="257"/>
      <c r="I142" s="257"/>
      <c r="J142" s="258">
        <f>SUBTOTAL(9,J138:J141)</f>
        <v>199633.21</v>
      </c>
      <c r="K142" s="252"/>
      <c r="L142" s="259"/>
      <c r="M142" s="258">
        <f>SUBTOTAL(9,M138:M141)</f>
        <v>3674.84</v>
      </c>
      <c r="N142" s="258">
        <f>SUBTOTAL(9,N138:N141)</f>
        <v>5350.1599999999989</v>
      </c>
      <c r="O142" s="223"/>
      <c r="P142" s="210"/>
      <c r="Q142" s="263" t="s">
        <v>2097</v>
      </c>
      <c r="R142" s="263" t="s">
        <v>2102</v>
      </c>
    </row>
    <row r="143" spans="1:18" ht="30" outlineLevel="2">
      <c r="A143" s="211" t="s">
        <v>66</v>
      </c>
      <c r="B143" s="212" t="s">
        <v>204</v>
      </c>
      <c r="C143" s="212" t="s">
        <v>205</v>
      </c>
      <c r="D143" s="211" t="s">
        <v>206</v>
      </c>
      <c r="E143" s="212" t="s">
        <v>207</v>
      </c>
      <c r="F143" s="211" t="s">
        <v>97</v>
      </c>
      <c r="G143" s="212" t="s">
        <v>23</v>
      </c>
      <c r="H143" s="212" t="s">
        <v>1530</v>
      </c>
      <c r="I143" s="212">
        <v>201409</v>
      </c>
      <c r="J143" s="213">
        <v>-46.62</v>
      </c>
      <c r="K143" s="171">
        <f>VLOOKUP(I143,$T$9:$U$23,2)</f>
        <v>9</v>
      </c>
      <c r="L143" s="214">
        <v>2.23333E-3</v>
      </c>
      <c r="M143" s="213">
        <f>ROUND(J143*K143*L143,2)</f>
        <v>-0.94</v>
      </c>
      <c r="N143" s="213">
        <f>ROUND(J143*L143*12,2)</f>
        <v>-1.25</v>
      </c>
      <c r="O143" s="14"/>
      <c r="P143" s="210" t="str">
        <f>VLOOKUP(C143,'WO Descriptions'!$A$5:$D$345,4)</f>
        <v>Service/Yard Line Replacement (SLRP): Company Crew.  Service/yard line replacement - Material Charges Only  (Kansas City - Monett - South Region)</v>
      </c>
    </row>
    <row r="144" spans="1:18" outlineLevel="1">
      <c r="A144" s="256"/>
      <c r="B144" s="257"/>
      <c r="C144" s="260" t="s">
        <v>1804</v>
      </c>
      <c r="D144" s="256"/>
      <c r="E144" s="257"/>
      <c r="F144" s="256"/>
      <c r="G144" s="257"/>
      <c r="H144" s="257"/>
      <c r="I144" s="257"/>
      <c r="J144" s="258">
        <f>SUBTOTAL(9,J143:J143)</f>
        <v>-46.62</v>
      </c>
      <c r="K144" s="252"/>
      <c r="L144" s="259"/>
      <c r="M144" s="258">
        <f>SUBTOTAL(9,M143:M143)</f>
        <v>-0.94</v>
      </c>
      <c r="N144" s="258">
        <f>SUBTOTAL(9,N143:N143)</f>
        <v>-1.25</v>
      </c>
      <c r="O144" s="223"/>
      <c r="P144" s="210"/>
      <c r="Q144" s="263" t="s">
        <v>2097</v>
      </c>
      <c r="R144" s="263" t="s">
        <v>2102</v>
      </c>
    </row>
    <row r="145" spans="1:18" ht="30" outlineLevel="2">
      <c r="A145" s="211" t="s">
        <v>66</v>
      </c>
      <c r="B145" s="212" t="s">
        <v>208</v>
      </c>
      <c r="C145" s="212" t="s">
        <v>209</v>
      </c>
      <c r="D145" s="211" t="s">
        <v>210</v>
      </c>
      <c r="E145" s="212" t="s">
        <v>211</v>
      </c>
      <c r="F145" s="211" t="s">
        <v>212</v>
      </c>
      <c r="G145" s="212" t="s">
        <v>23</v>
      </c>
      <c r="H145" s="212" t="s">
        <v>1530</v>
      </c>
      <c r="I145" s="212">
        <v>201409</v>
      </c>
      <c r="J145" s="213">
        <v>-620.16</v>
      </c>
      <c r="K145" s="171">
        <f>VLOOKUP(I145,$T$9:$U$23,2)</f>
        <v>9</v>
      </c>
      <c r="L145" s="214">
        <v>2.23333E-3</v>
      </c>
      <c r="M145" s="213">
        <f>ROUND(J145*K145*L145,2)</f>
        <v>-12.47</v>
      </c>
      <c r="N145" s="213">
        <f>ROUND(J145*L145*12,2)</f>
        <v>-16.62</v>
      </c>
      <c r="O145" s="14"/>
      <c r="P145" s="210" t="str">
        <f>VLOOKUP(C145,'WO Descriptions'!$A$5:$D$345,4)</f>
        <v>Service/Yard Line Replacement (SLRP): Contract Crew.  Immediate response - replacement single unprotected steel or copper  (Joplin - South Region)</v>
      </c>
    </row>
    <row r="146" spans="1:18" outlineLevel="1">
      <c r="A146" s="256"/>
      <c r="B146" s="257"/>
      <c r="C146" s="260" t="s">
        <v>1805</v>
      </c>
      <c r="D146" s="256"/>
      <c r="E146" s="257"/>
      <c r="F146" s="256"/>
      <c r="G146" s="257"/>
      <c r="H146" s="257"/>
      <c r="I146" s="257"/>
      <c r="J146" s="258">
        <f>SUBTOTAL(9,J145:J145)</f>
        <v>-620.16</v>
      </c>
      <c r="K146" s="252"/>
      <c r="L146" s="259"/>
      <c r="M146" s="258">
        <f>SUBTOTAL(9,M145:M145)</f>
        <v>-12.47</v>
      </c>
      <c r="N146" s="258">
        <f>SUBTOTAL(9,N145:N145)</f>
        <v>-16.62</v>
      </c>
      <c r="O146" s="223"/>
      <c r="P146" s="210"/>
      <c r="Q146" s="263" t="s">
        <v>2097</v>
      </c>
      <c r="R146" s="263" t="s">
        <v>2102</v>
      </c>
    </row>
    <row r="147" spans="1:18" ht="45" outlineLevel="2">
      <c r="A147" s="18" t="s">
        <v>17</v>
      </c>
      <c r="B147" s="15" t="s">
        <v>213</v>
      </c>
      <c r="C147" s="15" t="s">
        <v>214</v>
      </c>
      <c r="D147" s="14" t="s">
        <v>215</v>
      </c>
      <c r="E147" s="15" t="s">
        <v>216</v>
      </c>
      <c r="F147" s="14" t="s">
        <v>22</v>
      </c>
      <c r="G147" s="15" t="s">
        <v>23</v>
      </c>
      <c r="H147" s="15" t="s">
        <v>1525</v>
      </c>
      <c r="I147" s="15">
        <v>201409</v>
      </c>
      <c r="J147" s="16">
        <v>-587.16999999999996</v>
      </c>
      <c r="K147" s="171">
        <f>VLOOKUP(I147,$T$9:$U$23,2)</f>
        <v>9</v>
      </c>
      <c r="L147" s="17">
        <v>1.4833299999999999E-3</v>
      </c>
      <c r="M147" s="16">
        <f>ROUND(J147*K147*L147,2)</f>
        <v>-7.84</v>
      </c>
      <c r="N147" s="16">
        <f>ROUND(J147*L147*12,2)</f>
        <v>-10.45</v>
      </c>
      <c r="O147" s="14"/>
      <c r="P147" s="210" t="str">
        <f>VLOOKUP(C147,'WO Descriptions'!$A$5:$D$345,4)</f>
        <v>Approved by: Steve Holcomb on 06/06/2013,  Replace 3308' - 3in PBS (WO#: A7180) with 3310' - 4in PE pipe due to history of leakage. Project Location: Murphy Blvd and Main St; Pressure System: C-1; MOP: 58 psig; MAOP: 58 psig; Design: 58 psig; Test: 100 psig; ISRS $29.97/ft</v>
      </c>
    </row>
    <row r="148" spans="1:18" outlineLevel="1">
      <c r="A148" s="225"/>
      <c r="B148" s="250"/>
      <c r="C148" s="254" t="s">
        <v>1806</v>
      </c>
      <c r="D148" s="223"/>
      <c r="E148" s="250"/>
      <c r="F148" s="223"/>
      <c r="G148" s="250"/>
      <c r="H148" s="250"/>
      <c r="I148" s="250"/>
      <c r="J148" s="251">
        <f>SUBTOTAL(9,J147:J147)</f>
        <v>-587.16999999999996</v>
      </c>
      <c r="K148" s="252"/>
      <c r="L148" s="253"/>
      <c r="M148" s="251">
        <f>SUBTOTAL(9,M147:M147)</f>
        <v>-7.84</v>
      </c>
      <c r="N148" s="251">
        <f>SUBTOTAL(9,N147:N147)</f>
        <v>-10.45</v>
      </c>
      <c r="O148" s="223"/>
      <c r="P148" s="210"/>
      <c r="Q148" s="263" t="s">
        <v>2097</v>
      </c>
      <c r="R148" s="263" t="s">
        <v>2098</v>
      </c>
    </row>
    <row r="149" spans="1:18" outlineLevel="2">
      <c r="A149" s="18" t="s">
        <v>217</v>
      </c>
      <c r="B149" s="15" t="s">
        <v>218</v>
      </c>
      <c r="C149" s="15" t="s">
        <v>219</v>
      </c>
      <c r="D149" s="14" t="s">
        <v>220</v>
      </c>
      <c r="E149" s="15" t="s">
        <v>221</v>
      </c>
      <c r="F149" s="14" t="s">
        <v>222</v>
      </c>
      <c r="G149" s="15" t="s">
        <v>23</v>
      </c>
      <c r="H149" s="15" t="s">
        <v>1524</v>
      </c>
      <c r="I149" s="15">
        <v>201409</v>
      </c>
      <c r="J149" s="16">
        <v>120417.26</v>
      </c>
      <c r="K149" s="171">
        <f>VLOOKUP(I149,$T$9:$U$23,2)</f>
        <v>9</v>
      </c>
      <c r="L149" s="17">
        <v>1.4833299999999999E-3</v>
      </c>
      <c r="M149" s="16">
        <f>ROUND(J149*K149*L149,2)</f>
        <v>1607.57</v>
      </c>
      <c r="N149" s="16">
        <f>ROUND(J149*L149*12,2)</f>
        <v>2143.42</v>
      </c>
      <c r="O149" s="14"/>
      <c r="P149" s="210" t="str">
        <f>VLOOKUP(C149,'WO Descriptions'!$A$5:$D$345,4)</f>
        <v>Project Type:B</v>
      </c>
    </row>
    <row r="150" spans="1:18" outlineLevel="2">
      <c r="A150" s="18" t="s">
        <v>217</v>
      </c>
      <c r="B150" s="15" t="s">
        <v>218</v>
      </c>
      <c r="C150" s="15" t="s">
        <v>219</v>
      </c>
      <c r="D150" s="14" t="s">
        <v>220</v>
      </c>
      <c r="E150" s="15" t="s">
        <v>221</v>
      </c>
      <c r="F150" s="14" t="s">
        <v>222</v>
      </c>
      <c r="G150" s="15" t="s">
        <v>23</v>
      </c>
      <c r="H150" s="15" t="s">
        <v>1524</v>
      </c>
      <c r="I150" s="15">
        <v>201410</v>
      </c>
      <c r="J150" s="16">
        <v>70665.899999999994</v>
      </c>
      <c r="K150" s="171">
        <f>VLOOKUP(I150,$T$9:$U$23,2)</f>
        <v>8</v>
      </c>
      <c r="L150" s="17">
        <v>1.4833299999999999E-3</v>
      </c>
      <c r="M150" s="16">
        <f>ROUND(J150*K150*L150,2)</f>
        <v>838.57</v>
      </c>
      <c r="N150" s="16">
        <f>ROUND(J150*L150*12,2)</f>
        <v>1257.8499999999999</v>
      </c>
      <c r="O150" s="14"/>
      <c r="P150" s="210" t="str">
        <f>VLOOKUP(C150,'WO Descriptions'!$A$5:$D$345,4)</f>
        <v>Project Type:B</v>
      </c>
    </row>
    <row r="151" spans="1:18" outlineLevel="2">
      <c r="A151" s="18" t="s">
        <v>217</v>
      </c>
      <c r="B151" s="15" t="s">
        <v>218</v>
      </c>
      <c r="C151" s="15" t="s">
        <v>219</v>
      </c>
      <c r="D151" s="14" t="s">
        <v>220</v>
      </c>
      <c r="E151" s="15" t="s">
        <v>221</v>
      </c>
      <c r="F151" s="14" t="s">
        <v>222</v>
      </c>
      <c r="G151" s="15" t="s">
        <v>23</v>
      </c>
      <c r="H151" s="15" t="s">
        <v>1524</v>
      </c>
      <c r="I151" s="15">
        <v>201411</v>
      </c>
      <c r="J151" s="16">
        <v>63472.43</v>
      </c>
      <c r="K151" s="171">
        <f>VLOOKUP(I151,$T$9:$U$23,2)</f>
        <v>7</v>
      </c>
      <c r="L151" s="17">
        <v>1.4833299999999999E-3</v>
      </c>
      <c r="M151" s="16">
        <f>ROUND(J151*K151*L151,2)</f>
        <v>659.05</v>
      </c>
      <c r="N151" s="16">
        <f>ROUND(J151*L151*12,2)</f>
        <v>1129.81</v>
      </c>
      <c r="O151" s="14"/>
      <c r="P151" s="210" t="str">
        <f>VLOOKUP(C151,'WO Descriptions'!$A$5:$D$345,4)</f>
        <v>Project Type:B</v>
      </c>
    </row>
    <row r="152" spans="1:18" outlineLevel="2">
      <c r="A152" s="14" t="s">
        <v>217</v>
      </c>
      <c r="B152" s="15" t="s">
        <v>218</v>
      </c>
      <c r="C152" s="15" t="s">
        <v>219</v>
      </c>
      <c r="D152" s="14" t="s">
        <v>220</v>
      </c>
      <c r="E152" s="15" t="s">
        <v>221</v>
      </c>
      <c r="F152" s="14" t="s">
        <v>222</v>
      </c>
      <c r="G152" s="15" t="s">
        <v>23</v>
      </c>
      <c r="H152" s="15" t="s">
        <v>1524</v>
      </c>
      <c r="I152" s="15">
        <v>201412</v>
      </c>
      <c r="J152" s="16">
        <v>30904.42</v>
      </c>
      <c r="K152" s="171">
        <f>VLOOKUP(I152,$T$9:$U$23,2)</f>
        <v>6</v>
      </c>
      <c r="L152" s="17">
        <v>1.4833299999999999E-3</v>
      </c>
      <c r="M152" s="16">
        <f>ROUND(J152*K152*L152,2)</f>
        <v>275.05</v>
      </c>
      <c r="N152" s="16">
        <f>ROUND(J152*L152*12,2)</f>
        <v>550.1</v>
      </c>
      <c r="O152" s="14"/>
      <c r="P152" s="210" t="str">
        <f>VLOOKUP(C152,'WO Descriptions'!$A$5:$D$345,4)</f>
        <v>Project Type:B</v>
      </c>
    </row>
    <row r="153" spans="1:18" outlineLevel="1">
      <c r="A153" s="223"/>
      <c r="B153" s="250"/>
      <c r="C153" s="254" t="s">
        <v>1807</v>
      </c>
      <c r="D153" s="223"/>
      <c r="E153" s="250"/>
      <c r="F153" s="223"/>
      <c r="G153" s="250"/>
      <c r="H153" s="250"/>
      <c r="I153" s="250"/>
      <c r="J153" s="251">
        <f>SUBTOTAL(9,J149:J152)</f>
        <v>285460.00999999995</v>
      </c>
      <c r="K153" s="252"/>
      <c r="L153" s="253"/>
      <c r="M153" s="251">
        <f>SUBTOTAL(9,M149:M152)</f>
        <v>3380.24</v>
      </c>
      <c r="N153" s="251">
        <f>SUBTOTAL(9,N149:N152)</f>
        <v>5081.18</v>
      </c>
      <c r="O153" s="223"/>
      <c r="P153" s="210"/>
      <c r="Q153" s="263" t="s">
        <v>2094</v>
      </c>
      <c r="R153" s="263" t="s">
        <v>2103</v>
      </c>
    </row>
    <row r="154" spans="1:18" ht="30" outlineLevel="2">
      <c r="A154" s="211" t="s">
        <v>66</v>
      </c>
      <c r="B154" s="212" t="s">
        <v>223</v>
      </c>
      <c r="C154" s="212" t="s">
        <v>224</v>
      </c>
      <c r="D154" s="211" t="s">
        <v>88</v>
      </c>
      <c r="E154" s="212" t="s">
        <v>225</v>
      </c>
      <c r="F154" s="211" t="s">
        <v>85</v>
      </c>
      <c r="G154" s="212" t="s">
        <v>23</v>
      </c>
      <c r="H154" s="212" t="s">
        <v>1530</v>
      </c>
      <c r="I154" s="212">
        <v>201409</v>
      </c>
      <c r="J154" s="213">
        <v>6250.26</v>
      </c>
      <c r="K154" s="171">
        <f>VLOOKUP(I154,$T$9:$U$23,2)</f>
        <v>9</v>
      </c>
      <c r="L154" s="214">
        <v>2.23333E-3</v>
      </c>
      <c r="M154" s="213">
        <f>ROUND(J154*K154*L154,2)</f>
        <v>125.63</v>
      </c>
      <c r="N154" s="213">
        <f>ROUND(J154*L154*12,2)</f>
        <v>167.51</v>
      </c>
      <c r="O154" s="14"/>
      <c r="P154" s="210" t="str">
        <f>VLOOKUP(C154,'WO Descriptions'!$A$5:$D$345,4)</f>
        <v>Service/Yard Line Replacement (SLRP): Contract Crew.  Block by Block - Planned replacement of all unprotected steel or copper in a single block.  (Joplin - South Region)</v>
      </c>
    </row>
    <row r="155" spans="1:18" ht="30" outlineLevel="2">
      <c r="A155" s="211" t="s">
        <v>66</v>
      </c>
      <c r="B155" s="212" t="s">
        <v>223</v>
      </c>
      <c r="C155" s="212" t="s">
        <v>224</v>
      </c>
      <c r="D155" s="211" t="s">
        <v>88</v>
      </c>
      <c r="E155" s="212" t="s">
        <v>225</v>
      </c>
      <c r="F155" s="211" t="s">
        <v>85</v>
      </c>
      <c r="G155" s="212" t="s">
        <v>23</v>
      </c>
      <c r="H155" s="212" t="s">
        <v>1530</v>
      </c>
      <c r="I155" s="212">
        <v>201411</v>
      </c>
      <c r="J155" s="213">
        <v>-864.28</v>
      </c>
      <c r="K155" s="171">
        <f>VLOOKUP(I155,$T$9:$U$23,2)</f>
        <v>7</v>
      </c>
      <c r="L155" s="214">
        <v>2.23333E-3</v>
      </c>
      <c r="M155" s="213">
        <f>ROUND(J155*K155*L155,2)</f>
        <v>-13.51</v>
      </c>
      <c r="N155" s="213">
        <f>ROUND(J155*L155*12,2)</f>
        <v>-23.16</v>
      </c>
      <c r="O155" s="14"/>
      <c r="P155" s="210" t="str">
        <f>VLOOKUP(C155,'WO Descriptions'!$A$5:$D$345,4)</f>
        <v>Service/Yard Line Replacement (SLRP): Contract Crew.  Block by Block - Planned replacement of all unprotected steel or copper in a single block.  (Joplin - South Region)</v>
      </c>
    </row>
    <row r="156" spans="1:18" ht="30" outlineLevel="2">
      <c r="A156" s="211" t="s">
        <v>66</v>
      </c>
      <c r="B156" s="212" t="s">
        <v>223</v>
      </c>
      <c r="C156" s="212" t="s">
        <v>224</v>
      </c>
      <c r="D156" s="211" t="s">
        <v>88</v>
      </c>
      <c r="E156" s="212" t="s">
        <v>225</v>
      </c>
      <c r="F156" s="211" t="s">
        <v>85</v>
      </c>
      <c r="G156" s="212" t="s">
        <v>23</v>
      </c>
      <c r="H156" s="212" t="s">
        <v>1530</v>
      </c>
      <c r="I156" s="212">
        <v>201412</v>
      </c>
      <c r="J156" s="213">
        <v>18.05</v>
      </c>
      <c r="K156" s="171">
        <f>VLOOKUP(I156,$T$9:$U$23,2)</f>
        <v>6</v>
      </c>
      <c r="L156" s="214">
        <v>2.23333E-3</v>
      </c>
      <c r="M156" s="213">
        <f>ROUND(J156*K156*L156,2)</f>
        <v>0.24</v>
      </c>
      <c r="N156" s="213">
        <f>ROUND(J156*L156*12,2)</f>
        <v>0.48</v>
      </c>
      <c r="O156" s="14"/>
      <c r="P156" s="210" t="str">
        <f>VLOOKUP(C156,'WO Descriptions'!$A$5:$D$345,4)</f>
        <v>Service/Yard Line Replacement (SLRP): Contract Crew.  Block by Block - Planned replacement of all unprotected steel or copper in a single block.  (Joplin - South Region)</v>
      </c>
    </row>
    <row r="157" spans="1:18" outlineLevel="1">
      <c r="A157" s="256"/>
      <c r="B157" s="257"/>
      <c r="C157" s="260" t="s">
        <v>1808</v>
      </c>
      <c r="D157" s="256"/>
      <c r="E157" s="257"/>
      <c r="F157" s="256"/>
      <c r="G157" s="257"/>
      <c r="H157" s="257"/>
      <c r="I157" s="257"/>
      <c r="J157" s="258">
        <f>SUBTOTAL(9,J154:J156)</f>
        <v>5404.0300000000007</v>
      </c>
      <c r="K157" s="252"/>
      <c r="L157" s="259"/>
      <c r="M157" s="258">
        <f>SUBTOTAL(9,M154:M156)</f>
        <v>112.35999999999999</v>
      </c>
      <c r="N157" s="258">
        <f>SUBTOTAL(9,N154:N156)</f>
        <v>144.82999999999998</v>
      </c>
      <c r="O157" s="223"/>
      <c r="P157" s="210"/>
      <c r="Q157" s="263" t="s">
        <v>2097</v>
      </c>
      <c r="R157" s="263" t="s">
        <v>2102</v>
      </c>
    </row>
    <row r="158" spans="1:18" ht="30" outlineLevel="2">
      <c r="A158" s="211" t="s">
        <v>1584</v>
      </c>
      <c r="B158" s="212" t="s">
        <v>1598</v>
      </c>
      <c r="C158" s="212" t="s">
        <v>1599</v>
      </c>
      <c r="D158" s="211" t="s">
        <v>1600</v>
      </c>
      <c r="E158" s="212" t="s">
        <v>1601</v>
      </c>
      <c r="F158" s="211" t="s">
        <v>1590</v>
      </c>
      <c r="G158" s="212" t="s">
        <v>23</v>
      </c>
      <c r="H158" s="212" t="s">
        <v>1530</v>
      </c>
      <c r="I158" s="212">
        <v>201409</v>
      </c>
      <c r="J158" s="213">
        <v>34733.839999999997</v>
      </c>
      <c r="K158" s="171">
        <f>VLOOKUP(I158,$T$9:$U$23,2)</f>
        <v>9</v>
      </c>
      <c r="L158" s="214">
        <v>2.0333333000000001E-3</v>
      </c>
      <c r="M158" s="213">
        <f>ROUND(J158*K158*L158,2)</f>
        <v>635.63</v>
      </c>
      <c r="N158" s="213">
        <f>ROUND(J158*L158*12,2)</f>
        <v>847.51</v>
      </c>
      <c r="O158" s="14"/>
      <c r="P158" s="210" t="str">
        <f>VLOOKUP(C158,'WO Descriptions'!$A$5:$D$345,4)</f>
        <v>Service/Yard Line Replacement (SLRP): Contract Crew.  Block by Block - Planned replacement of all unprotected steel or copper in a single block.  (Joplin - South Region)</v>
      </c>
    </row>
    <row r="159" spans="1:18" ht="30" outlineLevel="2">
      <c r="A159" s="211" t="s">
        <v>1584</v>
      </c>
      <c r="B159" s="212" t="s">
        <v>1598</v>
      </c>
      <c r="C159" s="212" t="s">
        <v>1599</v>
      </c>
      <c r="D159" s="211" t="s">
        <v>1600</v>
      </c>
      <c r="E159" s="212" t="s">
        <v>1601</v>
      </c>
      <c r="F159" s="211" t="s">
        <v>1590</v>
      </c>
      <c r="G159" s="212" t="s">
        <v>23</v>
      </c>
      <c r="H159" s="212" t="s">
        <v>1530</v>
      </c>
      <c r="I159" s="212">
        <v>201410</v>
      </c>
      <c r="J159" s="213">
        <v>8169.02</v>
      </c>
      <c r="K159" s="171">
        <f>VLOOKUP(I159,$T$9:$U$23,2)</f>
        <v>8</v>
      </c>
      <c r="L159" s="214">
        <v>2.0333333000000001E-3</v>
      </c>
      <c r="M159" s="213">
        <f>ROUND(J159*K159*L159,2)</f>
        <v>132.88</v>
      </c>
      <c r="N159" s="213">
        <f>ROUND(J159*L159*12,2)</f>
        <v>199.32</v>
      </c>
      <c r="O159" s="14"/>
      <c r="P159" s="210" t="str">
        <f>VLOOKUP(C159,'WO Descriptions'!$A$5:$D$345,4)</f>
        <v>Service/Yard Line Replacement (SLRP): Contract Crew.  Block by Block - Planned replacement of all unprotected steel or copper in a single block.  (Joplin - South Region)</v>
      </c>
    </row>
    <row r="160" spans="1:18" ht="30" outlineLevel="2">
      <c r="A160" s="211" t="s">
        <v>1584</v>
      </c>
      <c r="B160" s="212" t="s">
        <v>1598</v>
      </c>
      <c r="C160" s="212" t="s">
        <v>1599</v>
      </c>
      <c r="D160" s="211" t="s">
        <v>1600</v>
      </c>
      <c r="E160" s="212" t="s">
        <v>1601</v>
      </c>
      <c r="F160" s="211" t="s">
        <v>1590</v>
      </c>
      <c r="G160" s="212" t="s">
        <v>23</v>
      </c>
      <c r="H160" s="212" t="s">
        <v>1530</v>
      </c>
      <c r="I160" s="212">
        <v>201411</v>
      </c>
      <c r="J160" s="213">
        <v>7279.43</v>
      </c>
      <c r="K160" s="171">
        <f>VLOOKUP(I160,$T$9:$U$23,2)</f>
        <v>7</v>
      </c>
      <c r="L160" s="214">
        <v>2.0333333000000001E-3</v>
      </c>
      <c r="M160" s="213">
        <f>ROUND(J160*K160*L160,2)</f>
        <v>103.61</v>
      </c>
      <c r="N160" s="213">
        <f>ROUND(J160*L160*12,2)</f>
        <v>177.62</v>
      </c>
      <c r="O160" s="14"/>
      <c r="P160" s="210" t="str">
        <f>VLOOKUP(C160,'WO Descriptions'!$A$5:$D$345,4)</f>
        <v>Service/Yard Line Replacement (SLRP): Contract Crew.  Block by Block - Planned replacement of all unprotected steel or copper in a single block.  (Joplin - South Region)</v>
      </c>
    </row>
    <row r="161" spans="1:18" ht="30" outlineLevel="2">
      <c r="A161" s="211" t="s">
        <v>1584</v>
      </c>
      <c r="B161" s="212" t="s">
        <v>1598</v>
      </c>
      <c r="C161" s="212" t="s">
        <v>1599</v>
      </c>
      <c r="D161" s="211" t="s">
        <v>1600</v>
      </c>
      <c r="E161" s="212" t="s">
        <v>1601</v>
      </c>
      <c r="F161" s="211" t="s">
        <v>1590</v>
      </c>
      <c r="G161" s="212" t="s">
        <v>23</v>
      </c>
      <c r="H161" s="212" t="s">
        <v>1530</v>
      </c>
      <c r="I161" s="212">
        <v>201412</v>
      </c>
      <c r="J161" s="213">
        <v>23241.21</v>
      </c>
      <c r="K161" s="171">
        <f>VLOOKUP(I161,$T$9:$U$23,2)</f>
        <v>6</v>
      </c>
      <c r="L161" s="214">
        <v>2.0333333000000001E-3</v>
      </c>
      <c r="M161" s="213">
        <f>ROUND(J161*K161*L161,2)</f>
        <v>283.54000000000002</v>
      </c>
      <c r="N161" s="213">
        <f>ROUND(J161*L161*12,2)</f>
        <v>567.09</v>
      </c>
      <c r="O161" s="14"/>
      <c r="P161" s="210" t="str">
        <f>VLOOKUP(C161,'WO Descriptions'!$A$5:$D$345,4)</f>
        <v>Service/Yard Line Replacement (SLRP): Contract Crew.  Block by Block - Planned replacement of all unprotected steel or copper in a single block.  (Joplin - South Region)</v>
      </c>
    </row>
    <row r="162" spans="1:18" outlineLevel="1">
      <c r="A162" s="256"/>
      <c r="B162" s="257"/>
      <c r="C162" s="260" t="s">
        <v>1809</v>
      </c>
      <c r="D162" s="256"/>
      <c r="E162" s="257"/>
      <c r="F162" s="256"/>
      <c r="G162" s="257"/>
      <c r="H162" s="257"/>
      <c r="I162" s="257"/>
      <c r="J162" s="258">
        <f>SUBTOTAL(9,J158:J161)</f>
        <v>73423.5</v>
      </c>
      <c r="K162" s="252"/>
      <c r="L162" s="259"/>
      <c r="M162" s="258">
        <f>SUBTOTAL(9,M158:M161)</f>
        <v>1155.6600000000001</v>
      </c>
      <c r="N162" s="258">
        <f>SUBTOTAL(9,N158:N161)</f>
        <v>1791.54</v>
      </c>
      <c r="O162" s="223"/>
      <c r="P162" s="210"/>
      <c r="Q162" s="263" t="s">
        <v>2097</v>
      </c>
      <c r="R162" s="263" t="s">
        <v>2102</v>
      </c>
    </row>
    <row r="163" spans="1:18" ht="30" outlineLevel="2">
      <c r="A163" s="211" t="s">
        <v>66</v>
      </c>
      <c r="B163" s="212" t="s">
        <v>226</v>
      </c>
      <c r="C163" s="212" t="s">
        <v>227</v>
      </c>
      <c r="D163" s="211" t="s">
        <v>78</v>
      </c>
      <c r="E163" s="212" t="s">
        <v>228</v>
      </c>
      <c r="F163" s="211" t="s">
        <v>80</v>
      </c>
      <c r="G163" s="212" t="s">
        <v>23</v>
      </c>
      <c r="H163" s="212" t="s">
        <v>1530</v>
      </c>
      <c r="I163" s="212">
        <v>201409</v>
      </c>
      <c r="J163" s="213">
        <v>16732.5</v>
      </c>
      <c r="K163" s="171">
        <f>VLOOKUP(I163,$T$9:$U$23,2)</f>
        <v>9</v>
      </c>
      <c r="L163" s="214">
        <v>2.23333E-3</v>
      </c>
      <c r="M163" s="213">
        <f>ROUND(J163*K163*L163,2)</f>
        <v>336.32</v>
      </c>
      <c r="N163" s="213">
        <f>ROUND(J163*L163*12,2)</f>
        <v>448.43</v>
      </c>
      <c r="O163" s="14"/>
      <c r="P163" s="210" t="str">
        <f>VLOOKUP(C163,'WO Descriptions'!$A$5:$D$345,4)</f>
        <v>Service/Yard Line Replacement (SLRP): Company Crew.  Modified Block by Block - Planned replacement of all unprotected steel or copper in a single block.  (Joplin - South Region)</v>
      </c>
    </row>
    <row r="164" spans="1:18" ht="30" outlineLevel="2">
      <c r="A164" s="211" t="s">
        <v>66</v>
      </c>
      <c r="B164" s="212" t="s">
        <v>226</v>
      </c>
      <c r="C164" s="212" t="s">
        <v>227</v>
      </c>
      <c r="D164" s="211" t="s">
        <v>78</v>
      </c>
      <c r="E164" s="212" t="s">
        <v>228</v>
      </c>
      <c r="F164" s="211" t="s">
        <v>80</v>
      </c>
      <c r="G164" s="212" t="s">
        <v>23</v>
      </c>
      <c r="H164" s="212" t="s">
        <v>1530</v>
      </c>
      <c r="I164" s="212">
        <v>201410</v>
      </c>
      <c r="J164" s="213">
        <v>955.76</v>
      </c>
      <c r="K164" s="171">
        <f>VLOOKUP(I164,$T$9:$U$23,2)</f>
        <v>8</v>
      </c>
      <c r="L164" s="214">
        <v>2.23333E-3</v>
      </c>
      <c r="M164" s="213">
        <f>ROUND(J164*K164*L164,2)</f>
        <v>17.079999999999998</v>
      </c>
      <c r="N164" s="213">
        <f>ROUND(J164*L164*12,2)</f>
        <v>25.61</v>
      </c>
      <c r="O164" s="14"/>
      <c r="P164" s="210" t="str">
        <f>VLOOKUP(C164,'WO Descriptions'!$A$5:$D$345,4)</f>
        <v>Service/Yard Line Replacement (SLRP): Company Crew.  Modified Block by Block - Planned replacement of all unprotected steel or copper in a single block.  (Joplin - South Region)</v>
      </c>
    </row>
    <row r="165" spans="1:18" ht="30" outlineLevel="2">
      <c r="A165" s="211" t="s">
        <v>66</v>
      </c>
      <c r="B165" s="212" t="s">
        <v>226</v>
      </c>
      <c r="C165" s="212" t="s">
        <v>227</v>
      </c>
      <c r="D165" s="211" t="s">
        <v>78</v>
      </c>
      <c r="E165" s="212" t="s">
        <v>228</v>
      </c>
      <c r="F165" s="211" t="s">
        <v>80</v>
      </c>
      <c r="G165" s="212" t="s">
        <v>23</v>
      </c>
      <c r="H165" s="212" t="s">
        <v>1530</v>
      </c>
      <c r="I165" s="212">
        <v>201411</v>
      </c>
      <c r="J165" s="213">
        <v>-783.88</v>
      </c>
      <c r="K165" s="171">
        <f>VLOOKUP(I165,$T$9:$U$23,2)</f>
        <v>7</v>
      </c>
      <c r="L165" s="214">
        <v>2.23333E-3</v>
      </c>
      <c r="M165" s="213">
        <f>ROUND(J165*K165*L165,2)</f>
        <v>-12.25</v>
      </c>
      <c r="N165" s="213">
        <f>ROUND(J165*L165*12,2)</f>
        <v>-21.01</v>
      </c>
      <c r="O165" s="14"/>
      <c r="P165" s="210" t="str">
        <f>VLOOKUP(C165,'WO Descriptions'!$A$5:$D$345,4)</f>
        <v>Service/Yard Line Replacement (SLRP): Company Crew.  Modified Block by Block - Planned replacement of all unprotected steel or copper in a single block.  (Joplin - South Region)</v>
      </c>
    </row>
    <row r="166" spans="1:18" ht="30" outlineLevel="2">
      <c r="A166" s="211" t="s">
        <v>66</v>
      </c>
      <c r="B166" s="212" t="s">
        <v>226</v>
      </c>
      <c r="C166" s="212" t="s">
        <v>227</v>
      </c>
      <c r="D166" s="211" t="s">
        <v>78</v>
      </c>
      <c r="E166" s="212" t="s">
        <v>228</v>
      </c>
      <c r="F166" s="211" t="s">
        <v>80</v>
      </c>
      <c r="G166" s="212" t="s">
        <v>23</v>
      </c>
      <c r="H166" s="212" t="s">
        <v>1530</v>
      </c>
      <c r="I166" s="212">
        <v>201412</v>
      </c>
      <c r="J166" s="213">
        <v>148.91</v>
      </c>
      <c r="K166" s="171">
        <f>VLOOKUP(I166,$T$9:$U$23,2)</f>
        <v>6</v>
      </c>
      <c r="L166" s="214">
        <v>2.23333E-3</v>
      </c>
      <c r="M166" s="213">
        <f>ROUND(J166*K166*L166,2)</f>
        <v>2</v>
      </c>
      <c r="N166" s="213">
        <f>ROUND(J166*L166*12,2)</f>
        <v>3.99</v>
      </c>
      <c r="O166" s="14"/>
      <c r="P166" s="210" t="str">
        <f>VLOOKUP(C166,'WO Descriptions'!$A$5:$D$345,4)</f>
        <v>Service/Yard Line Replacement (SLRP): Company Crew.  Modified Block by Block - Planned replacement of all unprotected steel or copper in a single block.  (Joplin - South Region)</v>
      </c>
    </row>
    <row r="167" spans="1:18" outlineLevel="1">
      <c r="A167" s="256"/>
      <c r="B167" s="257"/>
      <c r="C167" s="260" t="s">
        <v>1810</v>
      </c>
      <c r="D167" s="256"/>
      <c r="E167" s="257"/>
      <c r="F167" s="256"/>
      <c r="G167" s="257"/>
      <c r="H167" s="257"/>
      <c r="I167" s="257"/>
      <c r="J167" s="258">
        <f>SUBTOTAL(9,J163:J166)</f>
        <v>17053.289999999997</v>
      </c>
      <c r="K167" s="252"/>
      <c r="L167" s="259"/>
      <c r="M167" s="258">
        <f>SUBTOTAL(9,M163:M166)</f>
        <v>343.15</v>
      </c>
      <c r="N167" s="258">
        <f>SUBTOTAL(9,N163:N166)</f>
        <v>457.02000000000004</v>
      </c>
      <c r="O167" s="223"/>
      <c r="P167" s="210"/>
      <c r="Q167" s="263" t="s">
        <v>2097</v>
      </c>
      <c r="R167" s="263" t="s">
        <v>2102</v>
      </c>
    </row>
    <row r="168" spans="1:18" ht="30" outlineLevel="2">
      <c r="A168" s="211" t="s">
        <v>66</v>
      </c>
      <c r="B168" s="212" t="s">
        <v>229</v>
      </c>
      <c r="C168" s="212" t="s">
        <v>230</v>
      </c>
      <c r="D168" s="211" t="s">
        <v>78</v>
      </c>
      <c r="E168" s="212" t="s">
        <v>231</v>
      </c>
      <c r="F168" s="211" t="s">
        <v>80</v>
      </c>
      <c r="G168" s="212" t="s">
        <v>23</v>
      </c>
      <c r="H168" s="212" t="s">
        <v>1530</v>
      </c>
      <c r="I168" s="212">
        <v>201409</v>
      </c>
      <c r="J168" s="213">
        <v>46346.59</v>
      </c>
      <c r="K168" s="171">
        <f>VLOOKUP(I168,$T$9:$U$23,2)</f>
        <v>9</v>
      </c>
      <c r="L168" s="214">
        <v>2.23333E-3</v>
      </c>
      <c r="M168" s="213">
        <f>ROUND(J168*K168*L168,2)</f>
        <v>931.57</v>
      </c>
      <c r="N168" s="213">
        <f>ROUND(J168*L168*12,2)</f>
        <v>1242.0899999999999</v>
      </c>
      <c r="O168" s="14"/>
      <c r="P168" s="210" t="str">
        <f>VLOOKUP(C168,'WO Descriptions'!$A$5:$D$345,4)</f>
        <v>Service/Yard Line Replacement (SLRP): Company Crew.  Modified Block by Block - Planned replacement of all unprotected steel or copper in a single block.  (Lee's Summit - East Region)</v>
      </c>
    </row>
    <row r="169" spans="1:18" ht="30" outlineLevel="2">
      <c r="A169" s="211" t="s">
        <v>66</v>
      </c>
      <c r="B169" s="212" t="s">
        <v>229</v>
      </c>
      <c r="C169" s="212" t="s">
        <v>230</v>
      </c>
      <c r="D169" s="211" t="s">
        <v>78</v>
      </c>
      <c r="E169" s="212" t="s">
        <v>231</v>
      </c>
      <c r="F169" s="211" t="s">
        <v>80</v>
      </c>
      <c r="G169" s="212" t="s">
        <v>23</v>
      </c>
      <c r="H169" s="212" t="s">
        <v>1530</v>
      </c>
      <c r="I169" s="212">
        <v>201410</v>
      </c>
      <c r="J169" s="213">
        <v>7523.71</v>
      </c>
      <c r="K169" s="171">
        <f>VLOOKUP(I169,$T$9:$U$23,2)</f>
        <v>8</v>
      </c>
      <c r="L169" s="214">
        <v>2.23333E-3</v>
      </c>
      <c r="M169" s="213">
        <f>ROUND(J169*K169*L169,2)</f>
        <v>134.41999999999999</v>
      </c>
      <c r="N169" s="213">
        <f>ROUND(J169*L169*12,2)</f>
        <v>201.64</v>
      </c>
      <c r="O169" s="14"/>
      <c r="P169" s="210" t="str">
        <f>VLOOKUP(C169,'WO Descriptions'!$A$5:$D$345,4)</f>
        <v>Service/Yard Line Replacement (SLRP): Company Crew.  Modified Block by Block - Planned replacement of all unprotected steel or copper in a single block.  (Lee's Summit - East Region)</v>
      </c>
    </row>
    <row r="170" spans="1:18" ht="30" outlineLevel="2">
      <c r="A170" s="211" t="s">
        <v>66</v>
      </c>
      <c r="B170" s="212" t="s">
        <v>229</v>
      </c>
      <c r="C170" s="212" t="s">
        <v>230</v>
      </c>
      <c r="D170" s="211" t="s">
        <v>78</v>
      </c>
      <c r="E170" s="212" t="s">
        <v>231</v>
      </c>
      <c r="F170" s="211" t="s">
        <v>80</v>
      </c>
      <c r="G170" s="212" t="s">
        <v>23</v>
      </c>
      <c r="H170" s="212" t="s">
        <v>1530</v>
      </c>
      <c r="I170" s="212">
        <v>201411</v>
      </c>
      <c r="J170" s="213">
        <v>-3450.23</v>
      </c>
      <c r="K170" s="171">
        <f>VLOOKUP(I170,$T$9:$U$23,2)</f>
        <v>7</v>
      </c>
      <c r="L170" s="214">
        <v>2.23333E-3</v>
      </c>
      <c r="M170" s="213">
        <f>ROUND(J170*K170*L170,2)</f>
        <v>-53.94</v>
      </c>
      <c r="N170" s="213">
        <f>ROUND(J170*L170*12,2)</f>
        <v>-92.47</v>
      </c>
      <c r="O170" s="14"/>
      <c r="P170" s="210" t="str">
        <f>VLOOKUP(C170,'WO Descriptions'!$A$5:$D$345,4)</f>
        <v>Service/Yard Line Replacement (SLRP): Company Crew.  Modified Block by Block - Planned replacement of all unprotected steel or copper in a single block.  (Lee's Summit - East Region)</v>
      </c>
    </row>
    <row r="171" spans="1:18" ht="30" outlineLevel="2">
      <c r="A171" s="211" t="s">
        <v>66</v>
      </c>
      <c r="B171" s="212" t="s">
        <v>229</v>
      </c>
      <c r="C171" s="212" t="s">
        <v>230</v>
      </c>
      <c r="D171" s="211" t="s">
        <v>78</v>
      </c>
      <c r="E171" s="212" t="s">
        <v>231</v>
      </c>
      <c r="F171" s="211" t="s">
        <v>80</v>
      </c>
      <c r="G171" s="212" t="s">
        <v>23</v>
      </c>
      <c r="H171" s="212" t="s">
        <v>1530</v>
      </c>
      <c r="I171" s="212">
        <v>201412</v>
      </c>
      <c r="J171" s="213">
        <v>4761.8599999999997</v>
      </c>
      <c r="K171" s="171">
        <f>VLOOKUP(I171,$T$9:$U$23,2)</f>
        <v>6</v>
      </c>
      <c r="L171" s="214">
        <v>2.23333E-3</v>
      </c>
      <c r="M171" s="213">
        <f>ROUND(J171*K171*L171,2)</f>
        <v>63.81</v>
      </c>
      <c r="N171" s="213">
        <f>ROUND(J171*L171*12,2)</f>
        <v>127.62</v>
      </c>
      <c r="O171" s="14"/>
      <c r="P171" s="210" t="str">
        <f>VLOOKUP(C171,'WO Descriptions'!$A$5:$D$345,4)</f>
        <v>Service/Yard Line Replacement (SLRP): Company Crew.  Modified Block by Block - Planned replacement of all unprotected steel or copper in a single block.  (Lee's Summit - East Region)</v>
      </c>
    </row>
    <row r="172" spans="1:18" outlineLevel="1">
      <c r="A172" s="256"/>
      <c r="B172" s="257"/>
      <c r="C172" s="260" t="s">
        <v>1811</v>
      </c>
      <c r="D172" s="256"/>
      <c r="E172" s="257"/>
      <c r="F172" s="256"/>
      <c r="G172" s="257"/>
      <c r="H172" s="257"/>
      <c r="I172" s="257"/>
      <c r="J172" s="258">
        <f>SUBTOTAL(9,J168:J171)</f>
        <v>55181.929999999993</v>
      </c>
      <c r="K172" s="252"/>
      <c r="L172" s="259"/>
      <c r="M172" s="258">
        <f>SUBTOTAL(9,M168:M171)</f>
        <v>1075.8599999999999</v>
      </c>
      <c r="N172" s="258">
        <f>SUBTOTAL(9,N168:N171)</f>
        <v>1478.88</v>
      </c>
      <c r="O172" s="223"/>
      <c r="P172" s="210"/>
      <c r="Q172" s="263" t="s">
        <v>2097</v>
      </c>
      <c r="R172" s="263" t="s">
        <v>2102</v>
      </c>
    </row>
    <row r="173" spans="1:18" ht="30" outlineLevel="2">
      <c r="A173" s="211" t="s">
        <v>1584</v>
      </c>
      <c r="B173" s="212" t="s">
        <v>1602</v>
      </c>
      <c r="C173" s="212" t="s">
        <v>1603</v>
      </c>
      <c r="D173" s="211" t="s">
        <v>1588</v>
      </c>
      <c r="E173" s="212" t="s">
        <v>1604</v>
      </c>
      <c r="F173" s="211" t="s">
        <v>1590</v>
      </c>
      <c r="G173" s="212" t="s">
        <v>23</v>
      </c>
      <c r="H173" s="212" t="s">
        <v>1530</v>
      </c>
      <c r="I173" s="212">
        <v>201409</v>
      </c>
      <c r="J173" s="213">
        <v>-4.0199999999999996</v>
      </c>
      <c r="K173" s="171">
        <f>VLOOKUP(I173,$T$9:$U$23,2)</f>
        <v>9</v>
      </c>
      <c r="L173" s="214">
        <v>2.0333333000000001E-3</v>
      </c>
      <c r="M173" s="213">
        <f>ROUND(J173*K173*L173,2)</f>
        <v>-7.0000000000000007E-2</v>
      </c>
      <c r="N173" s="213">
        <f>ROUND(J173*L173*12,2)</f>
        <v>-0.1</v>
      </c>
      <c r="O173" s="14"/>
      <c r="P173" s="210" t="str">
        <f>VLOOKUP(C173,'WO Descriptions'!$A$5:$D$345,4)</f>
        <v>Service/Yard Line Replacement (SLRP): Company Crew.  Modified Block by Block - Planned replacement of all unprotected steel or copper in a single block.  (Lee's Summit - East Region)</v>
      </c>
    </row>
    <row r="174" spans="1:18" outlineLevel="1">
      <c r="A174" s="256"/>
      <c r="B174" s="257"/>
      <c r="C174" s="260" t="s">
        <v>1812</v>
      </c>
      <c r="D174" s="256"/>
      <c r="E174" s="257"/>
      <c r="F174" s="256"/>
      <c r="G174" s="257"/>
      <c r="H174" s="257"/>
      <c r="I174" s="257"/>
      <c r="J174" s="258">
        <f>SUBTOTAL(9,J173:J173)</f>
        <v>-4.0199999999999996</v>
      </c>
      <c r="K174" s="252"/>
      <c r="L174" s="259"/>
      <c r="M174" s="258">
        <f>SUBTOTAL(9,M173:M173)</f>
        <v>-7.0000000000000007E-2</v>
      </c>
      <c r="N174" s="258">
        <f>SUBTOTAL(9,N173:N173)</f>
        <v>-0.1</v>
      </c>
      <c r="O174" s="223"/>
      <c r="P174" s="210"/>
      <c r="Q174" s="263" t="s">
        <v>2097</v>
      </c>
      <c r="R174" s="263" t="s">
        <v>2102</v>
      </c>
    </row>
    <row r="175" spans="1:18" ht="45" outlineLevel="2">
      <c r="A175" s="18" t="s">
        <v>17</v>
      </c>
      <c r="B175" s="15" t="s">
        <v>232</v>
      </c>
      <c r="C175" s="15" t="s">
        <v>233</v>
      </c>
      <c r="D175" s="14" t="s">
        <v>234</v>
      </c>
      <c r="E175" s="15" t="s">
        <v>40</v>
      </c>
      <c r="F175" s="14" t="s">
        <v>41</v>
      </c>
      <c r="G175" s="15" t="s">
        <v>23</v>
      </c>
      <c r="H175" s="15" t="s">
        <v>1526</v>
      </c>
      <c r="I175" s="15">
        <v>201409</v>
      </c>
      <c r="J175" s="16">
        <v>34.520000000000003</v>
      </c>
      <c r="K175" s="171">
        <f>VLOOKUP(I175,$T$9:$U$23,2)</f>
        <v>9</v>
      </c>
      <c r="L175" s="17">
        <v>1.4833299999999999E-3</v>
      </c>
      <c r="M175" s="16">
        <f>ROUND(J175*K175*L175,2)</f>
        <v>0.46</v>
      </c>
      <c r="N175" s="16">
        <f>ROUND(J175*L175*12,2)</f>
        <v>0.61</v>
      </c>
      <c r="O175" s="14"/>
      <c r="P175" s="210" t="str">
        <f>VLOOKUP(C175,'WO Descriptions'!$A$5:$D$345,4)</f>
        <v>Approved by: Kevin Driskell on 04/08/2013,  Relocate 50' of 2in PE due to public improvement, grade cuts will put existing gas main at 15in deep. Install 1-1/4in bypass for service to UMB Bank. Retire 10'-2in CS, 1992 wo 92-6977; 40'-2in PE 2009 wo 09-6139.</v>
      </c>
    </row>
    <row r="176" spans="1:18" outlineLevel="1">
      <c r="A176" s="225"/>
      <c r="B176" s="250"/>
      <c r="C176" s="254" t="s">
        <v>1813</v>
      </c>
      <c r="D176" s="223"/>
      <c r="E176" s="250"/>
      <c r="F176" s="223"/>
      <c r="G176" s="250"/>
      <c r="H176" s="250"/>
      <c r="I176" s="250"/>
      <c r="J176" s="251">
        <f>SUBTOTAL(9,J175:J175)</f>
        <v>34.520000000000003</v>
      </c>
      <c r="K176" s="252"/>
      <c r="L176" s="253"/>
      <c r="M176" s="251">
        <f>SUBTOTAL(9,M175:M175)</f>
        <v>0.46</v>
      </c>
      <c r="N176" s="251">
        <f>SUBTOTAL(9,N175:N175)</f>
        <v>0.61</v>
      </c>
      <c r="O176" s="223"/>
      <c r="P176" s="210"/>
      <c r="Q176" s="263" t="s">
        <v>2096</v>
      </c>
    </row>
    <row r="177" spans="1:18" ht="105" outlineLevel="2">
      <c r="A177" s="14" t="s">
        <v>17</v>
      </c>
      <c r="B177" s="15" t="s">
        <v>235</v>
      </c>
      <c r="C177" s="15" t="s">
        <v>236</v>
      </c>
      <c r="D177" s="14" t="s">
        <v>237</v>
      </c>
      <c r="E177" s="15" t="s">
        <v>62</v>
      </c>
      <c r="F177" s="14" t="s">
        <v>22</v>
      </c>
      <c r="G177" s="15" t="s">
        <v>23</v>
      </c>
      <c r="H177" s="15" t="s">
        <v>1525</v>
      </c>
      <c r="I177" s="15">
        <v>201409</v>
      </c>
      <c r="J177" s="16">
        <v>16.510000000000002</v>
      </c>
      <c r="K177" s="171">
        <f>VLOOKUP(I177,$T$9:$U$23,2)</f>
        <v>9</v>
      </c>
      <c r="L177" s="17">
        <v>1.4833299999999999E-3</v>
      </c>
      <c r="M177" s="16">
        <f>ROUND(J177*K177*L177,2)</f>
        <v>0.22</v>
      </c>
      <c r="N177" s="16">
        <f>ROUND(J177*L177*12,2)</f>
        <v>0.28999999999999998</v>
      </c>
      <c r="O177" s="14"/>
      <c r="P177" s="210" t="str">
        <f>VLOOKUP(C177,'WO Descriptions'!$A$5:$D$345,4)</f>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
    </row>
    <row r="178" spans="1:18" outlineLevel="1">
      <c r="A178" s="223"/>
      <c r="B178" s="250"/>
      <c r="C178" s="254" t="s">
        <v>1814</v>
      </c>
      <c r="D178" s="223"/>
      <c r="E178" s="250"/>
      <c r="F178" s="223"/>
      <c r="G178" s="250"/>
      <c r="H178" s="250"/>
      <c r="I178" s="250"/>
      <c r="J178" s="251">
        <f>SUBTOTAL(9,J177:J177)</f>
        <v>16.510000000000002</v>
      </c>
      <c r="K178" s="252"/>
      <c r="L178" s="253"/>
      <c r="M178" s="251">
        <f>SUBTOTAL(9,M177:M177)</f>
        <v>0.22</v>
      </c>
      <c r="N178" s="251">
        <f>SUBTOTAL(9,N177:N177)</f>
        <v>0.28999999999999998</v>
      </c>
      <c r="O178" s="223"/>
      <c r="P178" s="210"/>
      <c r="Q178" s="263" t="s">
        <v>2097</v>
      </c>
      <c r="R178" s="263" t="s">
        <v>2098</v>
      </c>
    </row>
    <row r="179" spans="1:18" ht="105" outlineLevel="2">
      <c r="A179" s="18" t="s">
        <v>238</v>
      </c>
      <c r="B179" s="15" t="s">
        <v>239</v>
      </c>
      <c r="C179" s="15" t="s">
        <v>240</v>
      </c>
      <c r="D179" s="14" t="s">
        <v>241</v>
      </c>
      <c r="E179" s="15" t="s">
        <v>168</v>
      </c>
      <c r="F179" s="14" t="s">
        <v>169</v>
      </c>
      <c r="G179" s="15" t="s">
        <v>23</v>
      </c>
      <c r="H179" s="15" t="s">
        <v>1528</v>
      </c>
      <c r="I179" s="15">
        <v>201409</v>
      </c>
      <c r="J179" s="16">
        <v>5.08</v>
      </c>
      <c r="K179" s="171">
        <f>VLOOKUP(I179,$T$9:$U$23,2)</f>
        <v>9</v>
      </c>
      <c r="L179" s="17">
        <v>2.3833299999999999E-3</v>
      </c>
      <c r="M179" s="16">
        <f>ROUND(J179*K179*L179,2)</f>
        <v>0.11</v>
      </c>
      <c r="N179" s="16">
        <f>ROUND(J179*L179*12,2)</f>
        <v>0.15</v>
      </c>
      <c r="O179" s="14"/>
      <c r="P179" s="210" t="str">
        <f>VLOOKUP(C179,'WO Descriptions'!$A$5:$D$345,4)</f>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
    </row>
    <row r="180" spans="1:18" outlineLevel="1">
      <c r="A180" s="225"/>
      <c r="B180" s="250"/>
      <c r="C180" s="254" t="s">
        <v>1815</v>
      </c>
      <c r="D180" s="223"/>
      <c r="E180" s="250"/>
      <c r="F180" s="223"/>
      <c r="G180" s="250"/>
      <c r="H180" s="250"/>
      <c r="I180" s="250"/>
      <c r="J180" s="251">
        <f>SUBTOTAL(9,J179:J179)</f>
        <v>5.08</v>
      </c>
      <c r="K180" s="252"/>
      <c r="L180" s="253"/>
      <c r="M180" s="251">
        <f>SUBTOTAL(9,M179:M179)</f>
        <v>0.11</v>
      </c>
      <c r="N180" s="251">
        <f>SUBTOTAL(9,N179:N179)</f>
        <v>0.15</v>
      </c>
      <c r="O180" s="223"/>
      <c r="P180" s="210"/>
      <c r="Q180" s="263" t="s">
        <v>2097</v>
      </c>
      <c r="R180" s="263" t="s">
        <v>2099</v>
      </c>
    </row>
    <row r="181" spans="1:18" ht="30" outlineLevel="2">
      <c r="A181" s="18" t="s">
        <v>242</v>
      </c>
      <c r="B181" s="15" t="s">
        <v>243</v>
      </c>
      <c r="C181" s="15" t="s">
        <v>244</v>
      </c>
      <c r="D181" s="14" t="s">
        <v>245</v>
      </c>
      <c r="E181" s="15" t="s">
        <v>246</v>
      </c>
      <c r="F181" s="14" t="s">
        <v>247</v>
      </c>
      <c r="G181" s="15" t="s">
        <v>23</v>
      </c>
      <c r="H181" s="15" t="s">
        <v>1525</v>
      </c>
      <c r="I181" s="15">
        <v>201409</v>
      </c>
      <c r="J181" s="16">
        <v>-9517.91</v>
      </c>
      <c r="K181" s="171">
        <f>VLOOKUP(I181,$T$9:$U$23,2)</f>
        <v>9</v>
      </c>
      <c r="L181" s="17">
        <v>1.4833299999999999E-3</v>
      </c>
      <c r="M181" s="16">
        <f>ROUND(J181*K181*L181,2)</f>
        <v>-127.06</v>
      </c>
      <c r="N181" s="16">
        <f>ROUND(J181*L181*12,2)</f>
        <v>-169.42</v>
      </c>
      <c r="O181" s="14"/>
      <c r="P181" s="210" t="str">
        <f>VLOOKUP(C181,'WO Descriptions'!$A$5:$D$345,4)</f>
        <v>Rob Hack approved through email due to being out of town and copy of email attached with work order in file.  Approved 7/30/2013.  Official approval in WOES 8/5/2013</v>
      </c>
    </row>
    <row r="182" spans="1:18" outlineLevel="1">
      <c r="A182" s="225"/>
      <c r="B182" s="250"/>
      <c r="C182" s="254" t="s">
        <v>1816</v>
      </c>
      <c r="D182" s="223"/>
      <c r="E182" s="250"/>
      <c r="F182" s="223"/>
      <c r="G182" s="250"/>
      <c r="H182" s="250"/>
      <c r="I182" s="250"/>
      <c r="J182" s="251">
        <f>SUBTOTAL(9,J181:J181)</f>
        <v>-9517.91</v>
      </c>
      <c r="K182" s="252"/>
      <c r="L182" s="253"/>
      <c r="M182" s="251">
        <f>SUBTOTAL(9,M181:M181)</f>
        <v>-127.06</v>
      </c>
      <c r="N182" s="251">
        <f>SUBTOTAL(9,N181:N181)</f>
        <v>-169.42</v>
      </c>
      <c r="O182" s="223"/>
      <c r="P182" s="210"/>
      <c r="Q182" s="263" t="s">
        <v>2097</v>
      </c>
      <c r="R182" s="263" t="s">
        <v>2101</v>
      </c>
    </row>
    <row r="183" spans="1:18" ht="75" outlineLevel="2">
      <c r="A183" s="18" t="s">
        <v>17</v>
      </c>
      <c r="B183" s="15" t="s">
        <v>248</v>
      </c>
      <c r="C183" s="15" t="s">
        <v>249</v>
      </c>
      <c r="D183" s="14" t="s">
        <v>250</v>
      </c>
      <c r="E183" s="15" t="s">
        <v>62</v>
      </c>
      <c r="F183" s="14" t="s">
        <v>22</v>
      </c>
      <c r="G183" s="15" t="s">
        <v>23</v>
      </c>
      <c r="H183" s="15" t="s">
        <v>1525</v>
      </c>
      <c r="I183" s="15">
        <v>201409</v>
      </c>
      <c r="J183" s="16">
        <v>-0.82</v>
      </c>
      <c r="K183" s="171">
        <f>VLOOKUP(I183,$T$9:$U$23,2)</f>
        <v>9</v>
      </c>
      <c r="L183" s="17">
        <v>1.4833299999999999E-3</v>
      </c>
      <c r="M183" s="16">
        <f>ROUND(J183*K183*L183,2)</f>
        <v>-0.01</v>
      </c>
      <c r="N183" s="16">
        <f>ROUND(J183*L183*12,2)</f>
        <v>-0.01</v>
      </c>
      <c r="O183" s="14"/>
      <c r="P183" s="210" t="str">
        <f>VLOOKUP(C183,'WO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184" spans="1:18" ht="75" outlineLevel="2">
      <c r="A184" s="18" t="s">
        <v>17</v>
      </c>
      <c r="B184" s="15" t="s">
        <v>251</v>
      </c>
      <c r="C184" s="15" t="s">
        <v>249</v>
      </c>
      <c r="D184" s="14" t="s">
        <v>250</v>
      </c>
      <c r="E184" s="15" t="s">
        <v>62</v>
      </c>
      <c r="F184" s="14" t="s">
        <v>22</v>
      </c>
      <c r="G184" s="15" t="s">
        <v>23</v>
      </c>
      <c r="H184" s="15" t="s">
        <v>1525</v>
      </c>
      <c r="I184" s="15">
        <v>201409</v>
      </c>
      <c r="J184" s="16">
        <v>-735.35</v>
      </c>
      <c r="K184" s="171">
        <f>VLOOKUP(I184,$T$9:$U$23,2)</f>
        <v>9</v>
      </c>
      <c r="L184" s="17">
        <v>1.4833299999999999E-3</v>
      </c>
      <c r="M184" s="16">
        <f>ROUND(J184*K184*L184,2)</f>
        <v>-9.82</v>
      </c>
      <c r="N184" s="16">
        <f>ROUND(J184*L184*12,2)</f>
        <v>-13.09</v>
      </c>
      <c r="O184" s="14"/>
      <c r="P184" s="210" t="str">
        <f>VLOOKUP(C184,'WO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185" spans="1:18" outlineLevel="1">
      <c r="A185" s="225"/>
      <c r="B185" s="250"/>
      <c r="C185" s="254" t="s">
        <v>1817</v>
      </c>
      <c r="D185" s="223"/>
      <c r="E185" s="250"/>
      <c r="F185" s="223"/>
      <c r="G185" s="250"/>
      <c r="H185" s="250"/>
      <c r="I185" s="250"/>
      <c r="J185" s="251">
        <f>SUBTOTAL(9,J183:J184)</f>
        <v>-736.17000000000007</v>
      </c>
      <c r="K185" s="252"/>
      <c r="L185" s="253"/>
      <c r="M185" s="251">
        <f>SUBTOTAL(9,M183:M184)</f>
        <v>-9.83</v>
      </c>
      <c r="N185" s="251">
        <f>SUBTOTAL(9,N183:N184)</f>
        <v>-13.1</v>
      </c>
      <c r="O185" s="223"/>
      <c r="P185" s="210"/>
      <c r="Q185" s="263" t="s">
        <v>2097</v>
      </c>
      <c r="R185" s="263" t="s">
        <v>2098</v>
      </c>
    </row>
    <row r="186" spans="1:18" ht="45" outlineLevel="2">
      <c r="A186" s="18" t="s">
        <v>17</v>
      </c>
      <c r="B186" s="15" t="s">
        <v>252</v>
      </c>
      <c r="C186" s="15" t="s">
        <v>253</v>
      </c>
      <c r="D186" s="14" t="s">
        <v>254</v>
      </c>
      <c r="E186" s="15" t="s">
        <v>141</v>
      </c>
      <c r="F186" s="14" t="s">
        <v>142</v>
      </c>
      <c r="G186" s="15" t="s">
        <v>23</v>
      </c>
      <c r="H186" s="15" t="s">
        <v>1525</v>
      </c>
      <c r="I186" s="15">
        <v>201409</v>
      </c>
      <c r="J186" s="16">
        <v>-226.18</v>
      </c>
      <c r="K186" s="171">
        <f>VLOOKUP(I186,$T$9:$U$23,2)</f>
        <v>9</v>
      </c>
      <c r="L186" s="17">
        <v>1.4833299999999999E-3</v>
      </c>
      <c r="M186" s="16">
        <f>ROUND(J186*K186*L186,2)</f>
        <v>-3.02</v>
      </c>
      <c r="N186" s="16">
        <f>ROUND(J186*L186*12,2)</f>
        <v>-4.03</v>
      </c>
      <c r="O186" s="14"/>
      <c r="P186" s="210" t="str">
        <f>VLOOKUP(C186,'WO Descriptions'!$A$5:$D$345,4)</f>
        <v>Approved by: Melvin Burns on 07/28/2013,  Replace 70ft of 4in CI with 4in PE due to broken CI main.  Bag off and Tie-in points should be in greenway to the east of the driveway of 1820 W 38th St.  Tie-over 3 services.  Cost per foot $330.16</v>
      </c>
    </row>
    <row r="187" spans="1:18" outlineLevel="1">
      <c r="A187" s="225"/>
      <c r="B187" s="250"/>
      <c r="C187" s="254" t="s">
        <v>1818</v>
      </c>
      <c r="D187" s="223"/>
      <c r="E187" s="250"/>
      <c r="F187" s="223"/>
      <c r="G187" s="250"/>
      <c r="H187" s="250"/>
      <c r="I187" s="250"/>
      <c r="J187" s="251">
        <f>SUBTOTAL(9,J186:J186)</f>
        <v>-226.18</v>
      </c>
      <c r="K187" s="252"/>
      <c r="L187" s="253"/>
      <c r="M187" s="251">
        <f>SUBTOTAL(9,M186:M186)</f>
        <v>-3.02</v>
      </c>
      <c r="N187" s="251">
        <f>SUBTOTAL(9,N186:N186)</f>
        <v>-4.03</v>
      </c>
      <c r="O187" s="223"/>
      <c r="P187" s="210"/>
      <c r="Q187" s="263" t="s">
        <v>2097</v>
      </c>
      <c r="R187" s="263" t="s">
        <v>2100</v>
      </c>
    </row>
    <row r="188" spans="1:18" ht="60" outlineLevel="2">
      <c r="A188" s="18" t="s">
        <v>17</v>
      </c>
      <c r="B188" s="15" t="s">
        <v>255</v>
      </c>
      <c r="C188" s="15" t="s">
        <v>256</v>
      </c>
      <c r="D188" s="14" t="s">
        <v>257</v>
      </c>
      <c r="E188" s="15" t="s">
        <v>258</v>
      </c>
      <c r="F188" s="14" t="s">
        <v>259</v>
      </c>
      <c r="G188" s="15" t="s">
        <v>23</v>
      </c>
      <c r="H188" s="15" t="s">
        <v>1525</v>
      </c>
      <c r="I188" s="15">
        <v>201409</v>
      </c>
      <c r="J188" s="16">
        <v>-257.27</v>
      </c>
      <c r="K188" s="171">
        <f>VLOOKUP(I188,$T$9:$U$23,2)</f>
        <v>9</v>
      </c>
      <c r="L188" s="17">
        <v>1.4833299999999999E-3</v>
      </c>
      <c r="M188" s="16">
        <f>ROUND(J188*K188*L188,2)</f>
        <v>-3.43</v>
      </c>
      <c r="N188" s="16">
        <f>ROUND(J188*L188*12,2)</f>
        <v>-4.58</v>
      </c>
      <c r="O188" s="14"/>
      <c r="P188" s="210" t="str">
        <f>VLOOKUP(C188,'WO Descriptions'!$A$5:$D$345,4)</f>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
    </row>
    <row r="189" spans="1:18" outlineLevel="1">
      <c r="A189" s="225"/>
      <c r="B189" s="250"/>
      <c r="C189" s="254" t="s">
        <v>1819</v>
      </c>
      <c r="D189" s="223"/>
      <c r="E189" s="250"/>
      <c r="F189" s="223"/>
      <c r="G189" s="250"/>
      <c r="H189" s="250"/>
      <c r="I189" s="250"/>
      <c r="J189" s="251">
        <f>SUBTOTAL(9,J188:J188)</f>
        <v>-257.27</v>
      </c>
      <c r="K189" s="252"/>
      <c r="L189" s="253"/>
      <c r="M189" s="251">
        <f>SUBTOTAL(9,M188:M188)</f>
        <v>-3.43</v>
      </c>
      <c r="N189" s="251">
        <f>SUBTOTAL(9,N188:N188)</f>
        <v>-4.58</v>
      </c>
      <c r="O189" s="223"/>
      <c r="P189" s="210"/>
      <c r="Q189" s="263" t="s">
        <v>2097</v>
      </c>
      <c r="R189" s="263" t="s">
        <v>2101</v>
      </c>
    </row>
    <row r="190" spans="1:18" ht="75" outlineLevel="2">
      <c r="A190" s="18" t="s">
        <v>17</v>
      </c>
      <c r="B190" s="15" t="s">
        <v>260</v>
      </c>
      <c r="C190" s="15" t="s">
        <v>261</v>
      </c>
      <c r="D190" s="14" t="s">
        <v>262</v>
      </c>
      <c r="E190" s="15" t="s">
        <v>258</v>
      </c>
      <c r="F190" s="14" t="s">
        <v>259</v>
      </c>
      <c r="G190" s="15" t="s">
        <v>23</v>
      </c>
      <c r="H190" s="15" t="s">
        <v>1525</v>
      </c>
      <c r="I190" s="15">
        <v>201409</v>
      </c>
      <c r="J190" s="16">
        <v>-264.56</v>
      </c>
      <c r="K190" s="171">
        <f>VLOOKUP(I190,$T$9:$U$23,2)</f>
        <v>9</v>
      </c>
      <c r="L190" s="17">
        <v>1.4833299999999999E-3</v>
      </c>
      <c r="M190" s="16">
        <f>ROUND(J190*K190*L190,2)</f>
        <v>-3.53</v>
      </c>
      <c r="N190" s="16">
        <f>ROUND(J190*L190*12,2)</f>
        <v>-4.71</v>
      </c>
      <c r="O190" s="14"/>
      <c r="P190" s="210" t="str">
        <f>VLOOKUP(C190,'WO Descriptions'!$A$5:$D$345,4)</f>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
    </row>
    <row r="191" spans="1:18" outlineLevel="1">
      <c r="A191" s="225"/>
      <c r="B191" s="250"/>
      <c r="C191" s="254" t="s">
        <v>1820</v>
      </c>
      <c r="D191" s="223"/>
      <c r="E191" s="250"/>
      <c r="F191" s="223"/>
      <c r="G191" s="250"/>
      <c r="H191" s="250"/>
      <c r="I191" s="250"/>
      <c r="J191" s="251">
        <f>SUBTOTAL(9,J190:J190)</f>
        <v>-264.56</v>
      </c>
      <c r="K191" s="252"/>
      <c r="L191" s="253"/>
      <c r="M191" s="251">
        <f>SUBTOTAL(9,M190:M190)</f>
        <v>-3.53</v>
      </c>
      <c r="N191" s="251">
        <f>SUBTOTAL(9,N190:N190)</f>
        <v>-4.71</v>
      </c>
      <c r="O191" s="223"/>
      <c r="P191" s="210"/>
      <c r="Q191" s="263" t="s">
        <v>2097</v>
      </c>
      <c r="R191" s="263" t="s">
        <v>2101</v>
      </c>
    </row>
    <row r="192" spans="1:18" ht="60" outlineLevel="2">
      <c r="A192" s="14" t="s">
        <v>17</v>
      </c>
      <c r="B192" s="15" t="s">
        <v>263</v>
      </c>
      <c r="C192" s="15" t="s">
        <v>264</v>
      </c>
      <c r="D192" s="14" t="s">
        <v>265</v>
      </c>
      <c r="E192" s="15" t="s">
        <v>62</v>
      </c>
      <c r="F192" s="14" t="s">
        <v>22</v>
      </c>
      <c r="G192" s="15" t="s">
        <v>23</v>
      </c>
      <c r="H192" s="15" t="s">
        <v>1525</v>
      </c>
      <c r="I192" s="15">
        <v>201409</v>
      </c>
      <c r="J192" s="16">
        <v>-405.55</v>
      </c>
      <c r="K192" s="171">
        <f>VLOOKUP(I192,$T$9:$U$23,2)</f>
        <v>9</v>
      </c>
      <c r="L192" s="17">
        <v>1.4833299999999999E-3</v>
      </c>
      <c r="M192" s="16">
        <f>ROUND(J192*K192*L192,2)</f>
        <v>-5.41</v>
      </c>
      <c r="N192" s="16">
        <f>ROUND(J192*L192*12,2)</f>
        <v>-7.22</v>
      </c>
      <c r="O192" s="14"/>
      <c r="P192" s="210" t="str">
        <f>VLOOKUP(C192,'WO Descriptions'!$A$5:$D$345,4)</f>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
    </row>
    <row r="193" spans="1:18" outlineLevel="1">
      <c r="A193" s="223"/>
      <c r="B193" s="250"/>
      <c r="C193" s="254" t="s">
        <v>1821</v>
      </c>
      <c r="D193" s="223"/>
      <c r="E193" s="250"/>
      <c r="F193" s="223"/>
      <c r="G193" s="250"/>
      <c r="H193" s="250"/>
      <c r="I193" s="250"/>
      <c r="J193" s="251">
        <f>SUBTOTAL(9,J192:J192)</f>
        <v>-405.55</v>
      </c>
      <c r="K193" s="252"/>
      <c r="L193" s="253"/>
      <c r="M193" s="251">
        <f>SUBTOTAL(9,M192:M192)</f>
        <v>-5.41</v>
      </c>
      <c r="N193" s="251">
        <f>SUBTOTAL(9,N192:N192)</f>
        <v>-7.22</v>
      </c>
      <c r="O193" s="223"/>
      <c r="P193" s="210"/>
      <c r="Q193" s="263" t="s">
        <v>2097</v>
      </c>
      <c r="R193" s="263" t="s">
        <v>2098</v>
      </c>
    </row>
    <row r="194" spans="1:18" ht="45" outlineLevel="2">
      <c r="A194" s="14" t="s">
        <v>17</v>
      </c>
      <c r="B194" s="15" t="s">
        <v>266</v>
      </c>
      <c r="C194" s="15" t="s">
        <v>267</v>
      </c>
      <c r="D194" s="14" t="s">
        <v>268</v>
      </c>
      <c r="E194" s="15" t="s">
        <v>104</v>
      </c>
      <c r="F194" s="14" t="s">
        <v>41</v>
      </c>
      <c r="G194" s="15" t="s">
        <v>23</v>
      </c>
      <c r="H194" s="15" t="s">
        <v>1526</v>
      </c>
      <c r="I194" s="15">
        <v>201409</v>
      </c>
      <c r="J194" s="16">
        <v>3</v>
      </c>
      <c r="K194" s="171">
        <f>VLOOKUP(I194,$T$9:$U$23,2)</f>
        <v>9</v>
      </c>
      <c r="L194" s="17">
        <v>1.4833299999999999E-3</v>
      </c>
      <c r="M194" s="16">
        <f>ROUND(J194*K194*L194,2)</f>
        <v>0.04</v>
      </c>
      <c r="N194" s="16">
        <f>ROUND(J194*L194*12,2)</f>
        <v>0.05</v>
      </c>
      <c r="O194" s="14"/>
      <c r="P194" s="210" t="str">
        <f>VLOOKUP(C194,'WO Descriptions'!$A$5:$D$345,4)</f>
        <v>Approved by: Ralph Janes on 09/05/2013,  Public Improvement Project: Country Lane Storm. Install a 20' x 5' dogleg for a new storm inlet at Country Lane and Country Place. Install 30' of 2in PE and retire 20' of 3in PE (WO# 78-3836). ISRS</v>
      </c>
    </row>
    <row r="195" spans="1:18" outlineLevel="1">
      <c r="A195" s="223"/>
      <c r="B195" s="250"/>
      <c r="C195" s="254" t="s">
        <v>1822</v>
      </c>
      <c r="D195" s="223"/>
      <c r="E195" s="250"/>
      <c r="F195" s="223"/>
      <c r="G195" s="250"/>
      <c r="H195" s="250"/>
      <c r="I195" s="250"/>
      <c r="J195" s="251">
        <f>SUBTOTAL(9,J194:J194)</f>
        <v>3</v>
      </c>
      <c r="K195" s="252"/>
      <c r="L195" s="253"/>
      <c r="M195" s="251">
        <f>SUBTOTAL(9,M194:M194)</f>
        <v>0.04</v>
      </c>
      <c r="N195" s="251">
        <f>SUBTOTAL(9,N194:N194)</f>
        <v>0.05</v>
      </c>
      <c r="O195" s="223"/>
      <c r="P195" s="210"/>
      <c r="Q195" s="263" t="s">
        <v>2096</v>
      </c>
    </row>
    <row r="196" spans="1:18" ht="75" outlineLevel="2">
      <c r="A196" s="14" t="s">
        <v>17</v>
      </c>
      <c r="B196" s="15" t="s">
        <v>269</v>
      </c>
      <c r="C196" s="15" t="s">
        <v>270</v>
      </c>
      <c r="D196" s="14" t="s">
        <v>271</v>
      </c>
      <c r="E196" s="15" t="s">
        <v>62</v>
      </c>
      <c r="F196" s="14" t="s">
        <v>22</v>
      </c>
      <c r="G196" s="15" t="s">
        <v>23</v>
      </c>
      <c r="H196" s="15" t="s">
        <v>1525</v>
      </c>
      <c r="I196" s="15">
        <v>201409</v>
      </c>
      <c r="J196" s="16">
        <v>0.82</v>
      </c>
      <c r="K196" s="171">
        <f>VLOOKUP(I196,$T$9:$U$23,2)</f>
        <v>9</v>
      </c>
      <c r="L196" s="17">
        <v>1.4833299999999999E-3</v>
      </c>
      <c r="M196" s="16">
        <f>ROUND(J196*K196*L196,2)</f>
        <v>0.01</v>
      </c>
      <c r="N196" s="16">
        <f>ROUND(J196*L196*12,2)</f>
        <v>0.01</v>
      </c>
      <c r="O196" s="14"/>
      <c r="P196" s="210" t="str">
        <f>VLOOKUP(C196,'WO Descriptions'!$A$5:$D$345,4)</f>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
    </row>
    <row r="197" spans="1:18" outlineLevel="1">
      <c r="A197" s="223"/>
      <c r="B197" s="250"/>
      <c r="C197" s="254" t="s">
        <v>1823</v>
      </c>
      <c r="D197" s="223"/>
      <c r="E197" s="250"/>
      <c r="F197" s="223"/>
      <c r="G197" s="250"/>
      <c r="H197" s="250"/>
      <c r="I197" s="250"/>
      <c r="J197" s="251">
        <f>SUBTOTAL(9,J196:J196)</f>
        <v>0.82</v>
      </c>
      <c r="K197" s="252"/>
      <c r="L197" s="253"/>
      <c r="M197" s="251">
        <f>SUBTOTAL(9,M196:M196)</f>
        <v>0.01</v>
      </c>
      <c r="N197" s="251">
        <f>SUBTOTAL(9,N196:N196)</f>
        <v>0.01</v>
      </c>
      <c r="O197" s="223"/>
      <c r="P197" s="210"/>
      <c r="Q197" s="263" t="s">
        <v>2097</v>
      </c>
      <c r="R197" s="263" t="s">
        <v>2098</v>
      </c>
    </row>
    <row r="198" spans="1:18" ht="45" outlineLevel="2">
      <c r="A198" s="14" t="s">
        <v>17</v>
      </c>
      <c r="B198" s="15" t="s">
        <v>272</v>
      </c>
      <c r="C198" s="15" t="s">
        <v>273</v>
      </c>
      <c r="D198" s="14" t="s">
        <v>274</v>
      </c>
      <c r="E198" s="15" t="s">
        <v>36</v>
      </c>
      <c r="F198" s="14" t="s">
        <v>22</v>
      </c>
      <c r="G198" s="15" t="s">
        <v>23</v>
      </c>
      <c r="H198" s="15" t="s">
        <v>1525</v>
      </c>
      <c r="I198" s="15">
        <v>201409</v>
      </c>
      <c r="J198" s="16">
        <v>-319.74</v>
      </c>
      <c r="K198" s="171">
        <f>VLOOKUP(I198,$T$9:$U$23,2)</f>
        <v>9</v>
      </c>
      <c r="L198" s="17">
        <v>1.4833299999999999E-3</v>
      </c>
      <c r="M198" s="16">
        <f>ROUND(J198*K198*L198,2)</f>
        <v>-4.2699999999999996</v>
      </c>
      <c r="N198" s="16">
        <f>ROUND(J198*L198*12,2)</f>
        <v>-5.69</v>
      </c>
      <c r="O198" s="14"/>
      <c r="P198" s="210" t="str">
        <f>VLOOKUP(C198,'WO Descriptions'!$A$5:$D$345,4)</f>
        <v>Approved by: Gary Williams on 03/03/2014,  TO LAY 680FT-4PE MAIN TO REPLACE 666FT-4 BARE STEEL MAIN.Due to other leakage on pipe.Cost per foot:$40.16 MOP:14oz MAOP: 21oz Design MAOP:14oz Test Pressure:100 PSIG.</v>
      </c>
    </row>
    <row r="199" spans="1:18" ht="45" outlineLevel="2">
      <c r="A199" s="14" t="s">
        <v>17</v>
      </c>
      <c r="B199" s="15" t="s">
        <v>272</v>
      </c>
      <c r="C199" s="15" t="s">
        <v>273</v>
      </c>
      <c r="D199" s="14" t="s">
        <v>274</v>
      </c>
      <c r="E199" s="15" t="s">
        <v>36</v>
      </c>
      <c r="F199" s="14" t="s">
        <v>22</v>
      </c>
      <c r="G199" s="15" t="s">
        <v>23</v>
      </c>
      <c r="H199" s="15" t="s">
        <v>1525</v>
      </c>
      <c r="I199" s="15">
        <v>201410</v>
      </c>
      <c r="J199" s="16">
        <v>-30089.42</v>
      </c>
      <c r="K199" s="171">
        <f>VLOOKUP(I199,$T$9:$U$23,2)</f>
        <v>8</v>
      </c>
      <c r="L199" s="17">
        <v>1.4833299999999999E-3</v>
      </c>
      <c r="M199" s="16">
        <f>ROUND(J199*K199*L199,2)</f>
        <v>-357.06</v>
      </c>
      <c r="N199" s="16">
        <f>ROUND(J199*L199*12,2)</f>
        <v>-535.59</v>
      </c>
      <c r="O199" s="14"/>
      <c r="P199" s="210" t="str">
        <f>VLOOKUP(C199,'WO Descriptions'!$A$5:$D$345,4)</f>
        <v>Approved by: Gary Williams on 03/03/2014,  TO LAY 680FT-4PE MAIN TO REPLACE 666FT-4 BARE STEEL MAIN.Due to other leakage on pipe.Cost per foot:$40.16 MOP:14oz MAOP: 21oz Design MAOP:14oz Test Pressure:100 PSIG.</v>
      </c>
    </row>
    <row r="200" spans="1:18" ht="45" outlineLevel="2">
      <c r="A200" s="14" t="s">
        <v>54</v>
      </c>
      <c r="B200" s="15" t="s">
        <v>272</v>
      </c>
      <c r="C200" s="15" t="s">
        <v>273</v>
      </c>
      <c r="D200" s="14" t="s">
        <v>274</v>
      </c>
      <c r="E200" s="15" t="s">
        <v>36</v>
      </c>
      <c r="F200" s="14" t="s">
        <v>22</v>
      </c>
      <c r="G200" s="15" t="s">
        <v>23</v>
      </c>
      <c r="H200" s="15" t="s">
        <v>1525</v>
      </c>
      <c r="I200" s="15">
        <v>201410</v>
      </c>
      <c r="J200" s="16">
        <v>30089.42</v>
      </c>
      <c r="K200" s="171">
        <f>VLOOKUP(I200,$T$9:$U$23,2)</f>
        <v>8</v>
      </c>
      <c r="L200" s="17">
        <v>1.4833299999999999E-3</v>
      </c>
      <c r="M200" s="16">
        <f>ROUND(J200*K200*L200,2)</f>
        <v>357.06</v>
      </c>
      <c r="N200" s="16">
        <f>ROUND(J200*L200*12,2)</f>
        <v>535.59</v>
      </c>
      <c r="O200" s="14"/>
      <c r="P200" s="210" t="str">
        <f>VLOOKUP(C200,'WO Descriptions'!$A$5:$D$345,4)</f>
        <v>Approved by: Gary Williams on 03/03/2014,  TO LAY 680FT-4PE MAIN TO REPLACE 666FT-4 BARE STEEL MAIN.Due to other leakage on pipe.Cost per foot:$40.16 MOP:14oz MAOP: 21oz Design MAOP:14oz Test Pressure:100 PSIG.</v>
      </c>
    </row>
    <row r="201" spans="1:18" outlineLevel="1">
      <c r="A201" s="223"/>
      <c r="B201" s="250"/>
      <c r="C201" s="254" t="s">
        <v>1824</v>
      </c>
      <c r="D201" s="223"/>
      <c r="E201" s="250"/>
      <c r="F201" s="223"/>
      <c r="G201" s="250"/>
      <c r="H201" s="250"/>
      <c r="I201" s="250"/>
      <c r="J201" s="251">
        <f>SUBTOTAL(9,J198:J200)</f>
        <v>-319.7400000000016</v>
      </c>
      <c r="K201" s="252"/>
      <c r="L201" s="253"/>
      <c r="M201" s="251">
        <f>SUBTOTAL(9,M198:M200)</f>
        <v>-4.2699999999999818</v>
      </c>
      <c r="N201" s="251">
        <f>SUBTOTAL(9,N198:N200)</f>
        <v>-5.6900000000000546</v>
      </c>
      <c r="O201" s="223"/>
      <c r="P201" s="210"/>
      <c r="Q201" s="263" t="s">
        <v>2097</v>
      </c>
      <c r="R201" s="263" t="s">
        <v>2098</v>
      </c>
    </row>
    <row r="202" spans="1:18" ht="60" outlineLevel="2">
      <c r="A202" s="14" t="s">
        <v>17</v>
      </c>
      <c r="B202" s="15" t="s">
        <v>275</v>
      </c>
      <c r="C202" s="15" t="s">
        <v>276</v>
      </c>
      <c r="D202" s="14" t="s">
        <v>277</v>
      </c>
      <c r="E202" s="15" t="s">
        <v>40</v>
      </c>
      <c r="F202" s="14" t="s">
        <v>41</v>
      </c>
      <c r="G202" s="15" t="s">
        <v>23</v>
      </c>
      <c r="H202" s="15" t="s">
        <v>1526</v>
      </c>
      <c r="I202" s="15">
        <v>201409</v>
      </c>
      <c r="J202" s="16">
        <v>-955.41</v>
      </c>
      <c r="K202" s="171">
        <f>VLOOKUP(I202,$T$9:$U$23,2)</f>
        <v>9</v>
      </c>
      <c r="L202" s="17">
        <v>1.4833299999999999E-3</v>
      </c>
      <c r="M202" s="16">
        <f>ROUND(J202*K202*L202,2)</f>
        <v>-12.75</v>
      </c>
      <c r="N202" s="16">
        <f>ROUND(J202*L202*12,2)</f>
        <v>-17.010000000000002</v>
      </c>
      <c r="O202" s="14"/>
      <c r="P202" s="210" t="str">
        <f>VLOOKUP(C202,'WO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203" spans="1:18" ht="60" outlineLevel="2">
      <c r="A203" s="14" t="s">
        <v>54</v>
      </c>
      <c r="B203" s="15" t="s">
        <v>275</v>
      </c>
      <c r="C203" s="15" t="s">
        <v>276</v>
      </c>
      <c r="D203" s="14" t="s">
        <v>277</v>
      </c>
      <c r="E203" s="15" t="s">
        <v>40</v>
      </c>
      <c r="F203" s="14" t="s">
        <v>41</v>
      </c>
      <c r="G203" s="15" t="s">
        <v>23</v>
      </c>
      <c r="H203" s="15" t="s">
        <v>1526</v>
      </c>
      <c r="I203" s="15">
        <v>201409</v>
      </c>
      <c r="J203" s="16">
        <v>-211.86</v>
      </c>
      <c r="K203" s="171">
        <f>VLOOKUP(I203,$T$9:$U$23,2)</f>
        <v>9</v>
      </c>
      <c r="L203" s="17">
        <v>1.4833299999999999E-3</v>
      </c>
      <c r="M203" s="16">
        <f>ROUND(J203*K203*L203,2)</f>
        <v>-2.83</v>
      </c>
      <c r="N203" s="16">
        <f>ROUND(J203*L203*12,2)</f>
        <v>-3.77</v>
      </c>
      <c r="O203" s="14"/>
      <c r="P203" s="210" t="str">
        <f>VLOOKUP(C203,'WO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204" spans="1:18" outlineLevel="1">
      <c r="A204" s="223"/>
      <c r="B204" s="250"/>
      <c r="C204" s="254" t="s">
        <v>1825</v>
      </c>
      <c r="D204" s="223"/>
      <c r="E204" s="250"/>
      <c r="F204" s="223"/>
      <c r="G204" s="250"/>
      <c r="H204" s="250"/>
      <c r="I204" s="250"/>
      <c r="J204" s="251">
        <f>SUBTOTAL(9,J202:J203)</f>
        <v>-1167.27</v>
      </c>
      <c r="K204" s="252"/>
      <c r="L204" s="253"/>
      <c r="M204" s="251">
        <f>SUBTOTAL(9,M202:M203)</f>
        <v>-15.58</v>
      </c>
      <c r="N204" s="251">
        <f>SUBTOTAL(9,N202:N203)</f>
        <v>-20.78</v>
      </c>
      <c r="O204" s="223"/>
      <c r="P204" s="210"/>
      <c r="Q204" s="263" t="s">
        <v>2096</v>
      </c>
    </row>
    <row r="205" spans="1:18" ht="45" outlineLevel="2">
      <c r="A205" s="14" t="s">
        <v>17</v>
      </c>
      <c r="B205" s="15" t="s">
        <v>278</v>
      </c>
      <c r="C205" s="15" t="s">
        <v>279</v>
      </c>
      <c r="D205" s="14" t="s">
        <v>280</v>
      </c>
      <c r="E205" s="15" t="s">
        <v>104</v>
      </c>
      <c r="F205" s="14" t="s">
        <v>41</v>
      </c>
      <c r="G205" s="15" t="s">
        <v>23</v>
      </c>
      <c r="H205" s="15" t="s">
        <v>1526</v>
      </c>
      <c r="I205" s="15">
        <v>201409</v>
      </c>
      <c r="J205" s="16">
        <v>-53.52</v>
      </c>
      <c r="K205" s="171">
        <f>VLOOKUP(I205,$T$9:$U$23,2)</f>
        <v>9</v>
      </c>
      <c r="L205" s="17">
        <v>1.4833299999999999E-3</v>
      </c>
      <c r="M205" s="16">
        <f>ROUND(J205*K205*L205,2)</f>
        <v>-0.71</v>
      </c>
      <c r="N205" s="16">
        <f>ROUND(J205*L205*12,2)</f>
        <v>-0.95</v>
      </c>
      <c r="O205" s="14"/>
      <c r="P205" s="210" t="str">
        <f>VLOOKUP(C205,'WO Descriptions'!$A$5:$D$345,4)</f>
        <v>Approved by: Ralph Janes on 03/05/2014,  Relocate and abandon 15' - 4" pe main (00-1895) by installing 30' - temporary 2" pe main and then 15' - 4" pe main to allow the rural water district to install a new water tower main and tap. (ISRS)</v>
      </c>
    </row>
    <row r="206" spans="1:18" ht="45" outlineLevel="2">
      <c r="A206" s="14" t="s">
        <v>17</v>
      </c>
      <c r="B206" s="15" t="s">
        <v>278</v>
      </c>
      <c r="C206" s="15" t="s">
        <v>279</v>
      </c>
      <c r="D206" s="14" t="s">
        <v>280</v>
      </c>
      <c r="E206" s="15" t="s">
        <v>104</v>
      </c>
      <c r="F206" s="14" t="s">
        <v>41</v>
      </c>
      <c r="G206" s="15" t="s">
        <v>23</v>
      </c>
      <c r="H206" s="15" t="s">
        <v>1526</v>
      </c>
      <c r="I206" s="15">
        <v>201412</v>
      </c>
      <c r="J206" s="16">
        <v>-1972.63</v>
      </c>
      <c r="K206" s="171">
        <f>VLOOKUP(I206,$T$9:$U$23,2)</f>
        <v>6</v>
      </c>
      <c r="L206" s="17">
        <v>1.4833299999999999E-3</v>
      </c>
      <c r="M206" s="16">
        <f>ROUND(J206*K206*L206,2)</f>
        <v>-17.559999999999999</v>
      </c>
      <c r="N206" s="16">
        <f>ROUND(J206*L206*12,2)</f>
        <v>-35.11</v>
      </c>
      <c r="O206" s="14"/>
      <c r="P206" s="210" t="str">
        <f>VLOOKUP(C206,'WO Descriptions'!$A$5:$D$345,4)</f>
        <v>Approved by: Ralph Janes on 03/05/2014,  Relocate and abandon 15' - 4" pe main (00-1895) by installing 30' - temporary 2" pe main and then 15' - 4" pe main to allow the rural water district to install a new water tower main and tap. (ISRS)</v>
      </c>
    </row>
    <row r="207" spans="1:18" ht="45" outlineLevel="2">
      <c r="A207" s="14" t="s">
        <v>54</v>
      </c>
      <c r="B207" s="15" t="s">
        <v>278</v>
      </c>
      <c r="C207" s="15" t="s">
        <v>279</v>
      </c>
      <c r="D207" s="14" t="s">
        <v>280</v>
      </c>
      <c r="E207" s="15" t="s">
        <v>104</v>
      </c>
      <c r="F207" s="14" t="s">
        <v>41</v>
      </c>
      <c r="G207" s="15" t="s">
        <v>23</v>
      </c>
      <c r="H207" s="15" t="s">
        <v>1526</v>
      </c>
      <c r="I207" s="15">
        <v>201412</v>
      </c>
      <c r="J207" s="16">
        <v>1972.63</v>
      </c>
      <c r="K207" s="171">
        <f>VLOOKUP(I207,$T$9:$U$23,2)</f>
        <v>6</v>
      </c>
      <c r="L207" s="17">
        <v>1.4833299999999999E-3</v>
      </c>
      <c r="M207" s="16">
        <f>ROUND(J207*K207*L207,2)</f>
        <v>17.559999999999999</v>
      </c>
      <c r="N207" s="16">
        <f>ROUND(J207*L207*12,2)</f>
        <v>35.11</v>
      </c>
      <c r="O207" s="14"/>
      <c r="P207" s="210" t="str">
        <f>VLOOKUP(C207,'WO Descriptions'!$A$5:$D$345,4)</f>
        <v>Approved by: Ralph Janes on 03/05/2014,  Relocate and abandon 15' - 4" pe main (00-1895) by installing 30' - temporary 2" pe main and then 15' - 4" pe main to allow the rural water district to install a new water tower main and tap. (ISRS)</v>
      </c>
    </row>
    <row r="208" spans="1:18" outlineLevel="1">
      <c r="A208" s="223"/>
      <c r="B208" s="250"/>
      <c r="C208" s="254" t="s">
        <v>1826</v>
      </c>
      <c r="D208" s="223"/>
      <c r="E208" s="250"/>
      <c r="F208" s="223"/>
      <c r="G208" s="250"/>
      <c r="H208" s="250"/>
      <c r="I208" s="250"/>
      <c r="J208" s="251">
        <f>SUBTOTAL(9,J205:J207)</f>
        <v>-53.519999999999982</v>
      </c>
      <c r="K208" s="252"/>
      <c r="L208" s="253"/>
      <c r="M208" s="251">
        <f>SUBTOTAL(9,M205:M207)</f>
        <v>-0.71000000000000085</v>
      </c>
      <c r="N208" s="251">
        <f>SUBTOTAL(9,N205:N207)</f>
        <v>-0.95000000000000284</v>
      </c>
      <c r="O208" s="223"/>
      <c r="P208" s="210"/>
      <c r="Q208" s="263" t="s">
        <v>2096</v>
      </c>
    </row>
    <row r="209" spans="1:18" ht="105" outlineLevel="2">
      <c r="A209" s="14" t="s">
        <v>17</v>
      </c>
      <c r="B209" s="15" t="s">
        <v>281</v>
      </c>
      <c r="C209" s="15" t="s">
        <v>282</v>
      </c>
      <c r="D209" s="14" t="s">
        <v>283</v>
      </c>
      <c r="E209" s="15" t="s">
        <v>40</v>
      </c>
      <c r="F209" s="14" t="s">
        <v>41</v>
      </c>
      <c r="G209" s="15" t="s">
        <v>23</v>
      </c>
      <c r="H209" s="15" t="s">
        <v>1526</v>
      </c>
      <c r="I209" s="15">
        <v>201409</v>
      </c>
      <c r="J209" s="16">
        <v>-3433.06</v>
      </c>
      <c r="K209" s="171">
        <f>VLOOKUP(I209,$T$9:$U$23,2)</f>
        <v>9</v>
      </c>
      <c r="L209" s="17">
        <v>1.4833299999999999E-3</v>
      </c>
      <c r="M209" s="16">
        <f>ROUND(J209*K209*L209,2)</f>
        <v>-45.83</v>
      </c>
      <c r="N209" s="16">
        <f>ROUND(J209*L209*12,2)</f>
        <v>-61.11</v>
      </c>
      <c r="O209" s="14"/>
      <c r="P209" s="210" t="str">
        <f>VLOOKUP(C209,'WO Descriptions'!$A$5:$D$345,4)</f>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
    </row>
    <row r="210" spans="1:18" outlineLevel="1">
      <c r="A210" s="223"/>
      <c r="B210" s="250"/>
      <c r="C210" s="254" t="s">
        <v>1827</v>
      </c>
      <c r="D210" s="223"/>
      <c r="E210" s="250"/>
      <c r="F210" s="223"/>
      <c r="G210" s="250"/>
      <c r="H210" s="250"/>
      <c r="I210" s="250"/>
      <c r="J210" s="251">
        <f>SUBTOTAL(9,J209:J209)</f>
        <v>-3433.06</v>
      </c>
      <c r="K210" s="252"/>
      <c r="L210" s="253"/>
      <c r="M210" s="251">
        <f>SUBTOTAL(9,M209:M209)</f>
        <v>-45.83</v>
      </c>
      <c r="N210" s="251">
        <f>SUBTOTAL(9,N209:N209)</f>
        <v>-61.11</v>
      </c>
      <c r="O210" s="223"/>
      <c r="P210" s="210"/>
      <c r="Q210" s="263" t="s">
        <v>2096</v>
      </c>
    </row>
    <row r="211" spans="1:18" ht="75" outlineLevel="2">
      <c r="A211" s="14" t="s">
        <v>54</v>
      </c>
      <c r="B211" s="15" t="s">
        <v>284</v>
      </c>
      <c r="C211" s="15" t="s">
        <v>285</v>
      </c>
      <c r="D211" s="14" t="s">
        <v>286</v>
      </c>
      <c r="E211" s="15" t="s">
        <v>58</v>
      </c>
      <c r="F211" s="14" t="s">
        <v>22</v>
      </c>
      <c r="G211" s="15" t="s">
        <v>23</v>
      </c>
      <c r="H211" s="15" t="s">
        <v>1525</v>
      </c>
      <c r="I211" s="15">
        <v>201410</v>
      </c>
      <c r="J211" s="16">
        <v>258234.64</v>
      </c>
      <c r="K211" s="171">
        <f>VLOOKUP(I211,$T$9:$U$23,2)</f>
        <v>8</v>
      </c>
      <c r="L211" s="17">
        <v>1.4833299999999999E-3</v>
      </c>
      <c r="M211" s="16">
        <f>ROUND(J211*K211*L211,2)</f>
        <v>3064.38</v>
      </c>
      <c r="N211" s="16">
        <f>ROUND(J211*L211*12,2)</f>
        <v>4596.57</v>
      </c>
      <c r="O211" s="14"/>
      <c r="P211" s="210" t="str">
        <f>VLOOKUP(C211,'WO Descriptions'!$A$5:$D$345,4)</f>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
    </row>
    <row r="212" spans="1:18" outlineLevel="1">
      <c r="A212" s="223"/>
      <c r="B212" s="250"/>
      <c r="C212" s="254" t="s">
        <v>1828</v>
      </c>
      <c r="D212" s="223"/>
      <c r="E212" s="250"/>
      <c r="F212" s="223"/>
      <c r="G212" s="250"/>
      <c r="H212" s="250"/>
      <c r="I212" s="250"/>
      <c r="J212" s="251">
        <f>SUBTOTAL(9,J211:J211)</f>
        <v>258234.64</v>
      </c>
      <c r="K212" s="252"/>
      <c r="L212" s="253"/>
      <c r="M212" s="251">
        <f>SUBTOTAL(9,M211:M211)</f>
        <v>3064.38</v>
      </c>
      <c r="N212" s="251">
        <f>SUBTOTAL(9,N211:N211)</f>
        <v>4596.57</v>
      </c>
      <c r="O212" s="223"/>
      <c r="P212" s="210"/>
      <c r="Q212" s="263" t="s">
        <v>2097</v>
      </c>
      <c r="R212" s="263" t="s">
        <v>2098</v>
      </c>
    </row>
    <row r="213" spans="1:18" ht="60" outlineLevel="2">
      <c r="A213" s="14" t="s">
        <v>17</v>
      </c>
      <c r="B213" s="15" t="s">
        <v>287</v>
      </c>
      <c r="C213" s="15" t="s">
        <v>288</v>
      </c>
      <c r="D213" s="14" t="s">
        <v>289</v>
      </c>
      <c r="E213" s="15" t="s">
        <v>21</v>
      </c>
      <c r="F213" s="14" t="s">
        <v>22</v>
      </c>
      <c r="G213" s="15" t="s">
        <v>23</v>
      </c>
      <c r="H213" s="15" t="s">
        <v>1525</v>
      </c>
      <c r="I213" s="15">
        <v>201409</v>
      </c>
      <c r="J213" s="16">
        <v>-258.58</v>
      </c>
      <c r="K213" s="171">
        <f>VLOOKUP(I213,$T$9:$U$23,2)</f>
        <v>9</v>
      </c>
      <c r="L213" s="17">
        <v>1.4833299999999999E-3</v>
      </c>
      <c r="M213" s="16">
        <f>ROUND(J213*K213*L213,2)</f>
        <v>-3.45</v>
      </c>
      <c r="N213" s="16">
        <f>ROUND(J213*L213*12,2)</f>
        <v>-4.5999999999999996</v>
      </c>
      <c r="O213" s="14"/>
      <c r="P213" s="210" t="str">
        <f>VLOOKUP(C213,'WO Descriptions'!$A$5:$D$345,4)</f>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
    </row>
    <row r="214" spans="1:18" outlineLevel="1">
      <c r="A214" s="223"/>
      <c r="B214" s="250"/>
      <c r="C214" s="254" t="s">
        <v>1829</v>
      </c>
      <c r="D214" s="223"/>
      <c r="E214" s="250"/>
      <c r="F214" s="223"/>
      <c r="G214" s="250"/>
      <c r="H214" s="250"/>
      <c r="I214" s="250"/>
      <c r="J214" s="251">
        <f>SUBTOTAL(9,J213:J213)</f>
        <v>-258.58</v>
      </c>
      <c r="K214" s="252"/>
      <c r="L214" s="253"/>
      <c r="M214" s="251">
        <f>SUBTOTAL(9,M213:M213)</f>
        <v>-3.45</v>
      </c>
      <c r="N214" s="251">
        <f>SUBTOTAL(9,N213:N213)</f>
        <v>-4.5999999999999996</v>
      </c>
      <c r="O214" s="223"/>
      <c r="P214" s="210"/>
      <c r="Q214" s="263" t="s">
        <v>2097</v>
      </c>
      <c r="R214" s="263" t="s">
        <v>2098</v>
      </c>
    </row>
    <row r="215" spans="1:18" ht="60" outlineLevel="2">
      <c r="A215" s="14" t="s">
        <v>17</v>
      </c>
      <c r="B215" s="15" t="s">
        <v>290</v>
      </c>
      <c r="C215" s="15" t="s">
        <v>291</v>
      </c>
      <c r="D215" s="14" t="s">
        <v>292</v>
      </c>
      <c r="E215" s="15" t="s">
        <v>62</v>
      </c>
      <c r="F215" s="14" t="s">
        <v>22</v>
      </c>
      <c r="G215" s="15" t="s">
        <v>23</v>
      </c>
      <c r="H215" s="15" t="s">
        <v>1525</v>
      </c>
      <c r="I215" s="15">
        <v>201409</v>
      </c>
      <c r="J215" s="16">
        <v>-309.68</v>
      </c>
      <c r="K215" s="171">
        <f>VLOOKUP(I215,$T$9:$U$23,2)</f>
        <v>9</v>
      </c>
      <c r="L215" s="17">
        <v>1.4833299999999999E-3</v>
      </c>
      <c r="M215" s="16">
        <f>ROUND(J215*K215*L215,2)</f>
        <v>-4.13</v>
      </c>
      <c r="N215" s="16">
        <f>ROUND(J215*L215*12,2)</f>
        <v>-5.51</v>
      </c>
      <c r="O215" s="14"/>
      <c r="P215" s="210" t="str">
        <f>VLOOKUP(C215,'WO Descriptions'!$A$5:$D$345,4)</f>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
    </row>
    <row r="216" spans="1:18" outlineLevel="1">
      <c r="A216" s="223"/>
      <c r="B216" s="250"/>
      <c r="C216" s="254" t="s">
        <v>1830</v>
      </c>
      <c r="D216" s="223"/>
      <c r="E216" s="250"/>
      <c r="F216" s="223"/>
      <c r="G216" s="250"/>
      <c r="H216" s="250"/>
      <c r="I216" s="250"/>
      <c r="J216" s="251">
        <f>SUBTOTAL(9,J215:J215)</f>
        <v>-309.68</v>
      </c>
      <c r="K216" s="252"/>
      <c r="L216" s="253"/>
      <c r="M216" s="251">
        <f>SUBTOTAL(9,M215:M215)</f>
        <v>-4.13</v>
      </c>
      <c r="N216" s="251">
        <f>SUBTOTAL(9,N215:N215)</f>
        <v>-5.51</v>
      </c>
      <c r="O216" s="223"/>
      <c r="P216" s="210"/>
      <c r="Q216" s="263" t="s">
        <v>2097</v>
      </c>
      <c r="R216" s="263" t="s">
        <v>2098</v>
      </c>
    </row>
    <row r="217" spans="1:18" ht="60" outlineLevel="2">
      <c r="A217" s="14" t="s">
        <v>17</v>
      </c>
      <c r="B217" s="15" t="s">
        <v>293</v>
      </c>
      <c r="C217" s="15" t="s">
        <v>294</v>
      </c>
      <c r="D217" s="14" t="s">
        <v>295</v>
      </c>
      <c r="E217" s="15" t="s">
        <v>296</v>
      </c>
      <c r="F217" s="14" t="s">
        <v>28</v>
      </c>
      <c r="G217" s="15" t="s">
        <v>23</v>
      </c>
      <c r="H217" s="15" t="s">
        <v>1525</v>
      </c>
      <c r="I217" s="15">
        <v>201409</v>
      </c>
      <c r="J217" s="16">
        <v>-79.17</v>
      </c>
      <c r="K217" s="171">
        <f>VLOOKUP(I217,$T$9:$U$23,2)</f>
        <v>9</v>
      </c>
      <c r="L217" s="17">
        <v>1.4833299999999999E-3</v>
      </c>
      <c r="M217" s="16">
        <f>ROUND(J217*K217*L217,2)</f>
        <v>-1.06</v>
      </c>
      <c r="N217" s="16">
        <f>ROUND(J217*L217*12,2)</f>
        <v>-1.41</v>
      </c>
      <c r="O217" s="14"/>
      <c r="P217" s="210" t="str">
        <f>VLOOKUP(C217,'WO Descriptions'!$A$5:$D$345,4)</f>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
    </row>
    <row r="218" spans="1:18" outlineLevel="1">
      <c r="A218" s="223"/>
      <c r="B218" s="250"/>
      <c r="C218" s="254" t="s">
        <v>1831</v>
      </c>
      <c r="D218" s="223"/>
      <c r="E218" s="250"/>
      <c r="F218" s="223"/>
      <c r="G218" s="250"/>
      <c r="H218" s="250"/>
      <c r="I218" s="250"/>
      <c r="J218" s="251">
        <f>SUBTOTAL(9,J217:J217)</f>
        <v>-79.17</v>
      </c>
      <c r="K218" s="252"/>
      <c r="L218" s="253"/>
      <c r="M218" s="251">
        <f>SUBTOTAL(9,M217:M217)</f>
        <v>-1.06</v>
      </c>
      <c r="N218" s="251">
        <f>SUBTOTAL(9,N217:N217)</f>
        <v>-1.41</v>
      </c>
      <c r="O218" s="223"/>
      <c r="P218" s="210"/>
      <c r="Q218" s="263" t="s">
        <v>2097</v>
      </c>
      <c r="R218" s="263" t="s">
        <v>2099</v>
      </c>
    </row>
    <row r="219" spans="1:18" ht="60" outlineLevel="2">
      <c r="A219" s="14" t="s">
        <v>17</v>
      </c>
      <c r="B219" s="15" t="s">
        <v>297</v>
      </c>
      <c r="C219" s="15" t="s">
        <v>298</v>
      </c>
      <c r="D219" s="14" t="s">
        <v>299</v>
      </c>
      <c r="E219" s="15" t="s">
        <v>21</v>
      </c>
      <c r="F219" s="14" t="s">
        <v>22</v>
      </c>
      <c r="G219" s="15" t="s">
        <v>23</v>
      </c>
      <c r="H219" s="15" t="s">
        <v>1525</v>
      </c>
      <c r="I219" s="15">
        <v>201409</v>
      </c>
      <c r="J219" s="16">
        <v>-1027.9100000000001</v>
      </c>
      <c r="K219" s="171">
        <f>VLOOKUP(I219,$T$9:$U$23,2)</f>
        <v>9</v>
      </c>
      <c r="L219" s="17">
        <v>1.4833299999999999E-3</v>
      </c>
      <c r="M219" s="16">
        <f>ROUND(J219*K219*L219,2)</f>
        <v>-13.72</v>
      </c>
      <c r="N219" s="16">
        <f>ROUND(J219*L219*12,2)</f>
        <v>-18.3</v>
      </c>
      <c r="O219" s="14"/>
      <c r="P219" s="210" t="str">
        <f>VLOOKUP(C219,'WO Descriptions'!$A$5:$D$345,4)</f>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
    </row>
    <row r="220" spans="1:18" outlineLevel="1">
      <c r="A220" s="223"/>
      <c r="B220" s="250"/>
      <c r="C220" s="254" t="s">
        <v>1832</v>
      </c>
      <c r="D220" s="223"/>
      <c r="E220" s="250"/>
      <c r="F220" s="223"/>
      <c r="G220" s="250"/>
      <c r="H220" s="250"/>
      <c r="I220" s="250"/>
      <c r="J220" s="251">
        <f>SUBTOTAL(9,J219:J219)</f>
        <v>-1027.9100000000001</v>
      </c>
      <c r="K220" s="252"/>
      <c r="L220" s="253"/>
      <c r="M220" s="251">
        <f>SUBTOTAL(9,M219:M219)</f>
        <v>-13.72</v>
      </c>
      <c r="N220" s="251">
        <f>SUBTOTAL(9,N219:N219)</f>
        <v>-18.3</v>
      </c>
      <c r="O220" s="223"/>
      <c r="P220" s="210"/>
      <c r="Q220" s="263" t="s">
        <v>2097</v>
      </c>
      <c r="R220" s="263" t="s">
        <v>2098</v>
      </c>
    </row>
    <row r="221" spans="1:18" ht="45" outlineLevel="2">
      <c r="A221" s="14" t="s">
        <v>17</v>
      </c>
      <c r="B221" s="15" t="s">
        <v>300</v>
      </c>
      <c r="C221" s="15" t="s">
        <v>301</v>
      </c>
      <c r="D221" s="14" t="s">
        <v>302</v>
      </c>
      <c r="E221" s="15" t="s">
        <v>141</v>
      </c>
      <c r="F221" s="14" t="s">
        <v>142</v>
      </c>
      <c r="G221" s="15" t="s">
        <v>23</v>
      </c>
      <c r="H221" s="15" t="s">
        <v>1525</v>
      </c>
      <c r="I221" s="15">
        <v>201409</v>
      </c>
      <c r="J221" s="16">
        <v>-683.05</v>
      </c>
      <c r="K221" s="171">
        <f>VLOOKUP(I221,$T$9:$U$23,2)</f>
        <v>9</v>
      </c>
      <c r="L221" s="17">
        <v>1.4833299999999999E-3</v>
      </c>
      <c r="M221" s="16">
        <f>ROUND(J221*K221*L221,2)</f>
        <v>-9.1199999999999992</v>
      </c>
      <c r="N221" s="16">
        <f>ROUND(J221*L221*12,2)</f>
        <v>-12.16</v>
      </c>
      <c r="O221" s="14"/>
      <c r="P221" s="210" t="str">
        <f>VLOOKUP(C221,'WO Descriptions'!$A$5:$D$345,4)</f>
        <v>Approved by: Kevin Driskell on 12/16/2013,  AOR.  Replace 35' of 4in CI with PE main.  CI is in angle of repose due to 12' of parallel excavation next to main.  This project must be completed by Feb 16, 2014.  AOR happened 119' SSCB of 45th Street.  Tie-over 1 service at 4505 Agnes.</v>
      </c>
    </row>
    <row r="222" spans="1:18" outlineLevel="1">
      <c r="A222" s="223"/>
      <c r="B222" s="250"/>
      <c r="C222" s="254" t="s">
        <v>1833</v>
      </c>
      <c r="D222" s="223"/>
      <c r="E222" s="250"/>
      <c r="F222" s="223"/>
      <c r="G222" s="250"/>
      <c r="H222" s="250"/>
      <c r="I222" s="250"/>
      <c r="J222" s="251">
        <f>SUBTOTAL(9,J221:J221)</f>
        <v>-683.05</v>
      </c>
      <c r="K222" s="252"/>
      <c r="L222" s="253"/>
      <c r="M222" s="251">
        <f>SUBTOTAL(9,M221:M221)</f>
        <v>-9.1199999999999992</v>
      </c>
      <c r="N222" s="251">
        <f>SUBTOTAL(9,N221:N221)</f>
        <v>-12.16</v>
      </c>
      <c r="O222" s="223"/>
      <c r="P222" s="210"/>
      <c r="Q222" s="263" t="s">
        <v>2097</v>
      </c>
      <c r="R222" s="263" t="s">
        <v>2100</v>
      </c>
    </row>
    <row r="223" spans="1:18" ht="90" outlineLevel="2">
      <c r="A223" s="14" t="s">
        <v>17</v>
      </c>
      <c r="B223" s="15" t="s">
        <v>1024</v>
      </c>
      <c r="C223" s="15" t="s">
        <v>1025</v>
      </c>
      <c r="D223" s="14" t="s">
        <v>1026</v>
      </c>
      <c r="E223" s="15" t="s">
        <v>216</v>
      </c>
      <c r="F223" s="14" t="s">
        <v>22</v>
      </c>
      <c r="G223" s="15" t="s">
        <v>23</v>
      </c>
      <c r="H223" s="15" t="s">
        <v>1525</v>
      </c>
      <c r="I223" s="15">
        <v>201412</v>
      </c>
      <c r="J223" s="16">
        <v>48840.31</v>
      </c>
      <c r="K223" s="171">
        <f>VLOOKUP(I223,$T$9:$U$23,2)</f>
        <v>6</v>
      </c>
      <c r="L223" s="17">
        <v>1.4833299999999999E-3</v>
      </c>
      <c r="M223" s="16">
        <f>ROUND(J223*K223*L223,2)</f>
        <v>434.68</v>
      </c>
      <c r="N223" s="16">
        <f>ROUND(J223*L223*12,2)</f>
        <v>869.36</v>
      </c>
      <c r="O223" s="14"/>
      <c r="P223" s="210" t="str">
        <f>VLOOKUP(C223,'WO Descriptions'!$A$5:$D$345,4)</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row>
    <row r="224" spans="1:18" outlineLevel="1">
      <c r="A224" s="223"/>
      <c r="B224" s="250"/>
      <c r="C224" s="254" t="s">
        <v>1834</v>
      </c>
      <c r="D224" s="223"/>
      <c r="E224" s="250"/>
      <c r="F224" s="223"/>
      <c r="G224" s="250"/>
      <c r="H224" s="250"/>
      <c r="I224" s="250"/>
      <c r="J224" s="251">
        <f>SUBTOTAL(9,J223:J223)</f>
        <v>48840.31</v>
      </c>
      <c r="K224" s="252"/>
      <c r="L224" s="253"/>
      <c r="M224" s="251">
        <f>SUBTOTAL(9,M223:M223)</f>
        <v>434.68</v>
      </c>
      <c r="N224" s="251">
        <f>SUBTOTAL(9,N223:N223)</f>
        <v>869.36</v>
      </c>
      <c r="O224" s="223"/>
      <c r="P224" s="210"/>
      <c r="Q224" s="263" t="s">
        <v>2097</v>
      </c>
      <c r="R224" s="263" t="s">
        <v>2098</v>
      </c>
    </row>
    <row r="225" spans="1:18" ht="75" outlineLevel="2">
      <c r="A225" s="14" t="s">
        <v>54</v>
      </c>
      <c r="B225" s="15" t="s">
        <v>303</v>
      </c>
      <c r="C225" s="15" t="s">
        <v>304</v>
      </c>
      <c r="D225" s="14" t="s">
        <v>305</v>
      </c>
      <c r="E225" s="15" t="s">
        <v>104</v>
      </c>
      <c r="F225" s="14" t="s">
        <v>41</v>
      </c>
      <c r="G225" s="15" t="s">
        <v>23</v>
      </c>
      <c r="H225" s="15" t="s">
        <v>1526</v>
      </c>
      <c r="I225" s="15">
        <v>201409</v>
      </c>
      <c r="J225" s="16">
        <v>-52.25</v>
      </c>
      <c r="K225" s="171">
        <f>VLOOKUP(I225,$T$9:$U$23,2)</f>
        <v>9</v>
      </c>
      <c r="L225" s="17">
        <v>1.4833299999999999E-3</v>
      </c>
      <c r="M225" s="16">
        <f>ROUND(J225*K225*L225,2)</f>
        <v>-0.7</v>
      </c>
      <c r="N225" s="16">
        <f>ROUND(J225*L225*12,2)</f>
        <v>-0.93</v>
      </c>
      <c r="O225" s="14"/>
      <c r="P225" s="210" t="str">
        <f>VLOOKUP(C225,'WO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226" spans="1:18" ht="75" outlineLevel="2">
      <c r="A226" s="14" t="s">
        <v>54</v>
      </c>
      <c r="B226" s="15" t="s">
        <v>303</v>
      </c>
      <c r="C226" s="15" t="s">
        <v>304</v>
      </c>
      <c r="D226" s="14" t="s">
        <v>305</v>
      </c>
      <c r="E226" s="15" t="s">
        <v>104</v>
      </c>
      <c r="F226" s="14" t="s">
        <v>41</v>
      </c>
      <c r="G226" s="15" t="s">
        <v>23</v>
      </c>
      <c r="H226" s="15" t="s">
        <v>1526</v>
      </c>
      <c r="I226" s="15">
        <v>201411</v>
      </c>
      <c r="J226" s="16">
        <v>0</v>
      </c>
      <c r="K226" s="171">
        <f>VLOOKUP(I226,$T$9:$U$23,2)</f>
        <v>7</v>
      </c>
      <c r="L226" s="17">
        <v>1.4833299999999999E-3</v>
      </c>
      <c r="M226" s="16">
        <f>ROUND(J226*K226*L226,2)</f>
        <v>0</v>
      </c>
      <c r="N226" s="16">
        <f>ROUND(J226*L226*12,2)</f>
        <v>0</v>
      </c>
      <c r="O226" s="14"/>
      <c r="P226" s="210" t="str">
        <f>VLOOKUP(C226,'WO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227" spans="1:18" outlineLevel="1">
      <c r="A227" s="223"/>
      <c r="B227" s="250"/>
      <c r="C227" s="254" t="s">
        <v>1835</v>
      </c>
      <c r="D227" s="223"/>
      <c r="E227" s="250"/>
      <c r="F227" s="223"/>
      <c r="G227" s="250"/>
      <c r="H227" s="250"/>
      <c r="I227" s="250"/>
      <c r="J227" s="251">
        <f>SUBTOTAL(9,J225:J226)</f>
        <v>-52.25</v>
      </c>
      <c r="K227" s="252"/>
      <c r="L227" s="253"/>
      <c r="M227" s="251">
        <f>SUBTOTAL(9,M225:M226)</f>
        <v>-0.7</v>
      </c>
      <c r="N227" s="251">
        <f>SUBTOTAL(9,N225:N226)</f>
        <v>-0.93</v>
      </c>
      <c r="O227" s="223"/>
      <c r="P227" s="210"/>
      <c r="Q227" s="263" t="s">
        <v>2096</v>
      </c>
    </row>
    <row r="228" spans="1:18" ht="30" outlineLevel="2">
      <c r="A228" s="14" t="s">
        <v>54</v>
      </c>
      <c r="B228" s="15" t="s">
        <v>306</v>
      </c>
      <c r="C228" s="15" t="s">
        <v>307</v>
      </c>
      <c r="D228" s="14" t="s">
        <v>308</v>
      </c>
      <c r="E228" s="15" t="s">
        <v>36</v>
      </c>
      <c r="F228" s="14" t="s">
        <v>22</v>
      </c>
      <c r="G228" s="15" t="s">
        <v>23</v>
      </c>
      <c r="H228" s="15" t="s">
        <v>1525</v>
      </c>
      <c r="I228" s="15">
        <v>201409</v>
      </c>
      <c r="J228" s="16">
        <v>-195.22</v>
      </c>
      <c r="K228" s="171">
        <f>VLOOKUP(I228,$T$9:$U$23,2)</f>
        <v>9</v>
      </c>
      <c r="L228" s="17">
        <v>1.4833299999999999E-3</v>
      </c>
      <c r="M228" s="16">
        <f>ROUND(J228*K228*L228,2)</f>
        <v>-2.61</v>
      </c>
      <c r="N228" s="16">
        <f>ROUND(J228*L228*12,2)</f>
        <v>-3.47</v>
      </c>
      <c r="O228" s="14"/>
      <c r="P228" s="210" t="str">
        <f>VLOOKUP(C228,'WO Descriptions'!$A$5:$D$345,4)</f>
        <v>Approved by: Gary Williams on 03/14/2014,  TO lay 288FT-2IN PE main to replace 288FT-2IN PBS (WO#35207) due to down project.</v>
      </c>
    </row>
    <row r="229" spans="1:18" ht="30" outlineLevel="2">
      <c r="A229" s="14" t="s">
        <v>54</v>
      </c>
      <c r="B229" s="15" t="s">
        <v>306</v>
      </c>
      <c r="C229" s="15" t="s">
        <v>307</v>
      </c>
      <c r="D229" s="14" t="s">
        <v>308</v>
      </c>
      <c r="E229" s="15" t="s">
        <v>36</v>
      </c>
      <c r="F229" s="14" t="s">
        <v>22</v>
      </c>
      <c r="G229" s="15" t="s">
        <v>23</v>
      </c>
      <c r="H229" s="15" t="s">
        <v>1525</v>
      </c>
      <c r="I229" s="15">
        <v>201410</v>
      </c>
      <c r="J229" s="16">
        <v>0</v>
      </c>
      <c r="K229" s="171">
        <f>VLOOKUP(I229,$T$9:$U$23,2)</f>
        <v>8</v>
      </c>
      <c r="L229" s="17">
        <v>1.4833299999999999E-3</v>
      </c>
      <c r="M229" s="16">
        <f>ROUND(J229*K229*L229,2)</f>
        <v>0</v>
      </c>
      <c r="N229" s="16">
        <f>ROUND(J229*L229*12,2)</f>
        <v>0</v>
      </c>
      <c r="O229" s="14"/>
      <c r="P229" s="210" t="str">
        <f>VLOOKUP(C229,'WO Descriptions'!$A$5:$D$345,4)</f>
        <v>Approved by: Gary Williams on 03/14/2014,  TO lay 288FT-2IN PE main to replace 288FT-2IN PBS (WO#35207) due to down project.</v>
      </c>
    </row>
    <row r="230" spans="1:18" outlineLevel="1">
      <c r="A230" s="223"/>
      <c r="B230" s="250"/>
      <c r="C230" s="254" t="s">
        <v>1836</v>
      </c>
      <c r="D230" s="223"/>
      <c r="E230" s="250"/>
      <c r="F230" s="223"/>
      <c r="G230" s="250"/>
      <c r="H230" s="250"/>
      <c r="I230" s="250"/>
      <c r="J230" s="251">
        <f>SUBTOTAL(9,J228:J229)</f>
        <v>-195.22</v>
      </c>
      <c r="K230" s="252"/>
      <c r="L230" s="253"/>
      <c r="M230" s="251">
        <f>SUBTOTAL(9,M228:M229)</f>
        <v>-2.61</v>
      </c>
      <c r="N230" s="251">
        <f>SUBTOTAL(9,N228:N229)</f>
        <v>-3.47</v>
      </c>
      <c r="O230" s="223"/>
      <c r="P230" s="210"/>
      <c r="Q230" s="263" t="s">
        <v>2097</v>
      </c>
      <c r="R230" s="263" t="s">
        <v>2098</v>
      </c>
    </row>
    <row r="231" spans="1:18" ht="75" outlineLevel="2">
      <c r="A231" s="14" t="s">
        <v>54</v>
      </c>
      <c r="B231" s="15" t="s">
        <v>309</v>
      </c>
      <c r="C231" s="15" t="s">
        <v>310</v>
      </c>
      <c r="D231" s="14" t="s">
        <v>311</v>
      </c>
      <c r="E231" s="15" t="s">
        <v>216</v>
      </c>
      <c r="F231" s="14" t="s">
        <v>22</v>
      </c>
      <c r="G231" s="15" t="s">
        <v>23</v>
      </c>
      <c r="H231" s="15" t="s">
        <v>1525</v>
      </c>
      <c r="I231" s="15">
        <v>201411</v>
      </c>
      <c r="J231" s="16">
        <v>40780.9</v>
      </c>
      <c r="K231" s="171">
        <f>VLOOKUP(I231,$T$9:$U$23,2)</f>
        <v>7</v>
      </c>
      <c r="L231" s="17">
        <v>1.4833299999999999E-3</v>
      </c>
      <c r="M231" s="16">
        <f>ROUND(J231*K231*L231,2)</f>
        <v>423.44</v>
      </c>
      <c r="N231" s="16">
        <f>ROUND(J231*L231*12,2)</f>
        <v>725.9</v>
      </c>
      <c r="O231" s="14"/>
      <c r="P231" s="210" t="str">
        <f>VLOOKUP(C231,'WO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232" spans="1:18" ht="75" outlineLevel="2">
      <c r="A232" s="14" t="s">
        <v>54</v>
      </c>
      <c r="B232" s="15" t="s">
        <v>309</v>
      </c>
      <c r="C232" s="15" t="s">
        <v>310</v>
      </c>
      <c r="D232" s="14" t="s">
        <v>311</v>
      </c>
      <c r="E232" s="15" t="s">
        <v>216</v>
      </c>
      <c r="F232" s="14" t="s">
        <v>22</v>
      </c>
      <c r="G232" s="15" t="s">
        <v>23</v>
      </c>
      <c r="H232" s="15" t="s">
        <v>1525</v>
      </c>
      <c r="I232" s="15">
        <v>201412</v>
      </c>
      <c r="J232" s="16">
        <v>-104.47</v>
      </c>
      <c r="K232" s="171">
        <f>VLOOKUP(I232,$T$9:$U$23,2)</f>
        <v>6</v>
      </c>
      <c r="L232" s="17">
        <v>1.4833299999999999E-3</v>
      </c>
      <c r="M232" s="16">
        <f>ROUND(J232*K232*L232,2)</f>
        <v>-0.93</v>
      </c>
      <c r="N232" s="16">
        <f>ROUND(J232*L232*12,2)</f>
        <v>-1.86</v>
      </c>
      <c r="O232" s="14"/>
      <c r="P232" s="210" t="str">
        <f>VLOOKUP(C232,'WO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233" spans="1:18" outlineLevel="1">
      <c r="A233" s="223"/>
      <c r="B233" s="250"/>
      <c r="C233" s="254" t="s">
        <v>1837</v>
      </c>
      <c r="D233" s="223"/>
      <c r="E233" s="250"/>
      <c r="F233" s="223"/>
      <c r="G233" s="250"/>
      <c r="H233" s="250"/>
      <c r="I233" s="250"/>
      <c r="J233" s="251">
        <f>SUBTOTAL(9,J231:J232)</f>
        <v>40676.43</v>
      </c>
      <c r="K233" s="252"/>
      <c r="L233" s="253"/>
      <c r="M233" s="251">
        <f>SUBTOTAL(9,M231:M232)</f>
        <v>422.51</v>
      </c>
      <c r="N233" s="251">
        <f>SUBTOTAL(9,N231:N232)</f>
        <v>724.04</v>
      </c>
      <c r="O233" s="223"/>
      <c r="P233" s="210"/>
      <c r="Q233" s="263" t="s">
        <v>2097</v>
      </c>
      <c r="R233" s="263" t="s">
        <v>2098</v>
      </c>
    </row>
    <row r="234" spans="1:18" ht="45" outlineLevel="2">
      <c r="A234" s="14" t="s">
        <v>17</v>
      </c>
      <c r="B234" s="15" t="s">
        <v>312</v>
      </c>
      <c r="C234" s="15" t="s">
        <v>313</v>
      </c>
      <c r="D234" s="14" t="s">
        <v>314</v>
      </c>
      <c r="E234" s="15" t="s">
        <v>176</v>
      </c>
      <c r="F234" s="14" t="s">
        <v>28</v>
      </c>
      <c r="G234" s="15" t="s">
        <v>23</v>
      </c>
      <c r="H234" s="15" t="s">
        <v>1525</v>
      </c>
      <c r="I234" s="15">
        <v>201409</v>
      </c>
      <c r="J234" s="16">
        <v>5.0199999999999996</v>
      </c>
      <c r="K234" s="171">
        <f>VLOOKUP(I234,$T$9:$U$23,2)</f>
        <v>9</v>
      </c>
      <c r="L234" s="17">
        <v>1.4833299999999999E-3</v>
      </c>
      <c r="M234" s="16">
        <f>ROUND(J234*K234*L234,2)</f>
        <v>7.0000000000000007E-2</v>
      </c>
      <c r="N234" s="16">
        <f>ROUND(J234*L234*12,2)</f>
        <v>0.09</v>
      </c>
      <c r="O234" s="14"/>
      <c r="P234" s="210" t="str">
        <f>VLOOKUP(C234,'WO Descriptions'!$A$5:$D$345,4)</f>
        <v>Approved by: Galen Shoemaker on 10/08/2013,  To replace 5ft of 2in Plastic Main from WO 72-6600 with 2in Plastic to repair a third party damage on leak #13-133. Service was interrupted to five homes and there was loss of blowing gas. MOP=30# MAOP=30# SYSTEM=S-6 TEST=100#</v>
      </c>
    </row>
    <row r="235" spans="1:18" outlineLevel="1">
      <c r="A235" s="223"/>
      <c r="B235" s="250"/>
      <c r="C235" s="254" t="s">
        <v>1838</v>
      </c>
      <c r="D235" s="223"/>
      <c r="E235" s="250"/>
      <c r="F235" s="223"/>
      <c r="G235" s="250"/>
      <c r="H235" s="250"/>
      <c r="I235" s="250"/>
      <c r="J235" s="251">
        <f>SUBTOTAL(9,J234:J234)</f>
        <v>5.0199999999999996</v>
      </c>
      <c r="K235" s="252"/>
      <c r="L235" s="253"/>
      <c r="M235" s="251">
        <f>SUBTOTAL(9,M234:M234)</f>
        <v>7.0000000000000007E-2</v>
      </c>
      <c r="N235" s="251">
        <f>SUBTOTAL(9,N234:N234)</f>
        <v>0.09</v>
      </c>
      <c r="O235" s="223"/>
      <c r="P235" s="210"/>
      <c r="Q235" s="263" t="s">
        <v>2097</v>
      </c>
      <c r="R235" s="263" t="s">
        <v>2099</v>
      </c>
    </row>
    <row r="236" spans="1:18" ht="60" outlineLevel="2">
      <c r="A236" s="14" t="s">
        <v>17</v>
      </c>
      <c r="B236" s="15" t="s">
        <v>315</v>
      </c>
      <c r="C236" s="15" t="s">
        <v>316</v>
      </c>
      <c r="D236" s="14" t="s">
        <v>317</v>
      </c>
      <c r="E236" s="15" t="s">
        <v>141</v>
      </c>
      <c r="F236" s="14" t="s">
        <v>142</v>
      </c>
      <c r="G236" s="15" t="s">
        <v>23</v>
      </c>
      <c r="H236" s="15" t="s">
        <v>1525</v>
      </c>
      <c r="I236" s="15">
        <v>201409</v>
      </c>
      <c r="J236" s="16">
        <v>-417.76</v>
      </c>
      <c r="K236" s="171">
        <f>VLOOKUP(I236,$T$9:$U$23,2)</f>
        <v>9</v>
      </c>
      <c r="L236" s="17">
        <v>1.4833299999999999E-3</v>
      </c>
      <c r="M236" s="16">
        <f>ROUND(J236*K236*L236,2)</f>
        <v>-5.58</v>
      </c>
      <c r="N236" s="16">
        <f>ROUND(J236*L236*12,2)</f>
        <v>-7.44</v>
      </c>
      <c r="O236" s="14"/>
      <c r="P236" s="210" t="str">
        <f>VLOOKUP(C236,'WO Descriptions'!$A$5:$D$345,4)</f>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
    </row>
    <row r="237" spans="1:18" outlineLevel="1">
      <c r="A237" s="223"/>
      <c r="B237" s="250"/>
      <c r="C237" s="254" t="s">
        <v>1839</v>
      </c>
      <c r="D237" s="223"/>
      <c r="E237" s="250"/>
      <c r="F237" s="223"/>
      <c r="G237" s="250"/>
      <c r="H237" s="250"/>
      <c r="I237" s="250"/>
      <c r="J237" s="251">
        <f>SUBTOTAL(9,J236:J236)</f>
        <v>-417.76</v>
      </c>
      <c r="K237" s="252"/>
      <c r="L237" s="253"/>
      <c r="M237" s="251">
        <f>SUBTOTAL(9,M236:M236)</f>
        <v>-5.58</v>
      </c>
      <c r="N237" s="251">
        <f>SUBTOTAL(9,N236:N236)</f>
        <v>-7.44</v>
      </c>
      <c r="O237" s="223"/>
      <c r="P237" s="210"/>
      <c r="Q237" s="263" t="s">
        <v>2097</v>
      </c>
      <c r="R237" s="263" t="s">
        <v>2100</v>
      </c>
    </row>
    <row r="238" spans="1:18" ht="45" outlineLevel="2">
      <c r="A238" s="14" t="s">
        <v>17</v>
      </c>
      <c r="B238" s="15" t="s">
        <v>318</v>
      </c>
      <c r="C238" s="15" t="s">
        <v>319</v>
      </c>
      <c r="D238" s="14" t="s">
        <v>320</v>
      </c>
      <c r="E238" s="15" t="s">
        <v>141</v>
      </c>
      <c r="F238" s="14" t="s">
        <v>142</v>
      </c>
      <c r="G238" s="15" t="s">
        <v>23</v>
      </c>
      <c r="H238" s="15" t="s">
        <v>1525</v>
      </c>
      <c r="I238" s="15">
        <v>201409</v>
      </c>
      <c r="J238" s="16">
        <v>-427.59</v>
      </c>
      <c r="K238" s="171">
        <f>VLOOKUP(I238,$T$9:$U$23,2)</f>
        <v>9</v>
      </c>
      <c r="L238" s="17">
        <v>1.4833299999999999E-3</v>
      </c>
      <c r="M238" s="16">
        <f>ROUND(J238*K238*L238,2)</f>
        <v>-5.71</v>
      </c>
      <c r="N238" s="16">
        <f>ROUND(J238*L238*12,2)</f>
        <v>-7.61</v>
      </c>
      <c r="O238" s="14"/>
      <c r="P238" s="210" t="str">
        <f>VLOOKUP(C238,'WO Descriptions'!$A$5:$D$345,4)</f>
        <v>Approved by: Kevin Driskell on 10/15/2013,  AOR.  This job must be completed by Dec 19, 2013.  Replace 6" CI with 30' of 6in PE due to parallel excavation.  Retire 30'-6in CI, WO A1585, year 1926.</v>
      </c>
    </row>
    <row r="239" spans="1:18" outlineLevel="1">
      <c r="A239" s="223"/>
      <c r="B239" s="250"/>
      <c r="C239" s="254" t="s">
        <v>1840</v>
      </c>
      <c r="D239" s="223"/>
      <c r="E239" s="250"/>
      <c r="F239" s="223"/>
      <c r="G239" s="250"/>
      <c r="H239" s="250"/>
      <c r="I239" s="250"/>
      <c r="J239" s="251">
        <f>SUBTOTAL(9,J238:J238)</f>
        <v>-427.59</v>
      </c>
      <c r="K239" s="252"/>
      <c r="L239" s="253"/>
      <c r="M239" s="251">
        <f>SUBTOTAL(9,M238:M238)</f>
        <v>-5.71</v>
      </c>
      <c r="N239" s="251">
        <f>SUBTOTAL(9,N238:N238)</f>
        <v>-7.61</v>
      </c>
      <c r="O239" s="223"/>
      <c r="P239" s="210"/>
      <c r="Q239" s="263" t="s">
        <v>2097</v>
      </c>
      <c r="R239" s="263" t="s">
        <v>2100</v>
      </c>
    </row>
    <row r="240" spans="1:18" ht="105" outlineLevel="2">
      <c r="A240" s="14" t="s">
        <v>17</v>
      </c>
      <c r="B240" s="15" t="s">
        <v>321</v>
      </c>
      <c r="C240" s="15" t="s">
        <v>322</v>
      </c>
      <c r="D240" s="14" t="s">
        <v>323</v>
      </c>
      <c r="E240" s="15" t="s">
        <v>324</v>
      </c>
      <c r="F240" s="14" t="s">
        <v>325</v>
      </c>
      <c r="G240" s="15" t="s">
        <v>23</v>
      </c>
      <c r="H240" s="15" t="s">
        <v>1525</v>
      </c>
      <c r="I240" s="15">
        <v>201409</v>
      </c>
      <c r="J240" s="16">
        <v>-370.12</v>
      </c>
      <c r="K240" s="171">
        <f>VLOOKUP(I240,$T$9:$U$23,2)</f>
        <v>9</v>
      </c>
      <c r="L240" s="17">
        <v>1.4833299999999999E-3</v>
      </c>
      <c r="M240" s="16">
        <f>ROUND(J240*K240*L240,2)</f>
        <v>-4.9400000000000004</v>
      </c>
      <c r="N240" s="16">
        <f>ROUND(J240*L240*12,2)</f>
        <v>-6.59</v>
      </c>
      <c r="O240" s="14"/>
      <c r="P240" s="210" t="str">
        <f>VLOOKUP(C240,'WO Descriptions'!$A$5:$D$345,4)</f>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
    </row>
    <row r="241" spans="1:18" outlineLevel="1">
      <c r="A241" s="223"/>
      <c r="B241" s="250"/>
      <c r="C241" s="254" t="s">
        <v>1841</v>
      </c>
      <c r="D241" s="223"/>
      <c r="E241" s="250"/>
      <c r="F241" s="223"/>
      <c r="G241" s="250"/>
      <c r="H241" s="250"/>
      <c r="I241" s="250"/>
      <c r="J241" s="251">
        <f>SUBTOTAL(9,J240:J240)</f>
        <v>-370.12</v>
      </c>
      <c r="K241" s="252"/>
      <c r="L241" s="253"/>
      <c r="M241" s="251">
        <f>SUBTOTAL(9,M240:M240)</f>
        <v>-4.9400000000000004</v>
      </c>
      <c r="N241" s="251">
        <f>SUBTOTAL(9,N240:N240)</f>
        <v>-6.59</v>
      </c>
      <c r="O241" s="223"/>
      <c r="P241" s="210"/>
      <c r="Q241" s="263" t="s">
        <v>2094</v>
      </c>
      <c r="R241" s="263" t="s">
        <v>2095</v>
      </c>
    </row>
    <row r="242" spans="1:18" ht="60" outlineLevel="2">
      <c r="A242" s="14" t="s">
        <v>54</v>
      </c>
      <c r="B242" s="15" t="s">
        <v>326</v>
      </c>
      <c r="C242" s="15" t="s">
        <v>327</v>
      </c>
      <c r="D242" s="14" t="s">
        <v>328</v>
      </c>
      <c r="E242" s="15" t="s">
        <v>32</v>
      </c>
      <c r="F242" s="14" t="s">
        <v>22</v>
      </c>
      <c r="G242" s="15" t="s">
        <v>23</v>
      </c>
      <c r="H242" s="15" t="s">
        <v>1525</v>
      </c>
      <c r="I242" s="15">
        <v>201409</v>
      </c>
      <c r="J242" s="16">
        <v>-118.82</v>
      </c>
      <c r="K242" s="171">
        <f>VLOOKUP(I242,$T$9:$U$23,2)</f>
        <v>9</v>
      </c>
      <c r="L242" s="17">
        <v>1.4833299999999999E-3</v>
      </c>
      <c r="M242" s="16">
        <f>ROUND(J242*K242*L242,2)</f>
        <v>-1.59</v>
      </c>
      <c r="N242" s="16">
        <f>ROUND(J242*L242*12,2)</f>
        <v>-2.11</v>
      </c>
      <c r="O242" s="14"/>
      <c r="P242" s="210" t="str">
        <f>VLOOKUP(C242,'WO Descriptions'!$A$5:$D$345,4)</f>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
    </row>
    <row r="243" spans="1:18" outlineLevel="1">
      <c r="A243" s="223"/>
      <c r="B243" s="250"/>
      <c r="C243" s="254" t="s">
        <v>1842</v>
      </c>
      <c r="D243" s="223"/>
      <c r="E243" s="250"/>
      <c r="F243" s="223"/>
      <c r="G243" s="250"/>
      <c r="H243" s="250"/>
      <c r="I243" s="250"/>
      <c r="J243" s="251">
        <f>SUBTOTAL(9,J242:J242)</f>
        <v>-118.82</v>
      </c>
      <c r="K243" s="252"/>
      <c r="L243" s="253"/>
      <c r="M243" s="251">
        <f>SUBTOTAL(9,M242:M242)</f>
        <v>-1.59</v>
      </c>
      <c r="N243" s="251">
        <f>SUBTOTAL(9,N242:N242)</f>
        <v>-2.11</v>
      </c>
      <c r="O243" s="223"/>
      <c r="P243" s="210"/>
      <c r="Q243" s="263" t="s">
        <v>2097</v>
      </c>
      <c r="R243" s="263" t="s">
        <v>2098</v>
      </c>
    </row>
    <row r="244" spans="1:18" ht="30" outlineLevel="2">
      <c r="A244" s="14" t="s">
        <v>17</v>
      </c>
      <c r="B244" s="15" t="s">
        <v>329</v>
      </c>
      <c r="C244" s="15" t="s">
        <v>330</v>
      </c>
      <c r="D244" s="14" t="s">
        <v>331</v>
      </c>
      <c r="E244" s="15" t="s">
        <v>108</v>
      </c>
      <c r="F244" s="14" t="s">
        <v>28</v>
      </c>
      <c r="G244" s="15" t="s">
        <v>23</v>
      </c>
      <c r="H244" s="15" t="s">
        <v>1525</v>
      </c>
      <c r="I244" s="15">
        <v>201409</v>
      </c>
      <c r="J244" s="16">
        <v>5.61</v>
      </c>
      <c r="K244" s="171">
        <f>VLOOKUP(I244,$T$9:$U$23,2)</f>
        <v>9</v>
      </c>
      <c r="L244" s="17">
        <v>1.4833299999999999E-3</v>
      </c>
      <c r="M244" s="16">
        <f>ROUND(J244*K244*L244,2)</f>
        <v>7.0000000000000007E-2</v>
      </c>
      <c r="N244" s="16">
        <f>ROUND(J244*L244*12,2)</f>
        <v>0.1</v>
      </c>
      <c r="O244" s="14"/>
      <c r="P244" s="210" t="str">
        <f>VLOOKUP(C244,'WO Descriptions'!$A$5:$D$345,4)</f>
        <v>Approved by: Kevin Driskell on 02/28/2014,  Replacement due to to exposed 2" main caused by erosion. Lay 200'-2in PE and retire 307'-2in PE Retire 1973, 73-3024.</v>
      </c>
    </row>
    <row r="245" spans="1:18" outlineLevel="1">
      <c r="A245" s="223"/>
      <c r="B245" s="250"/>
      <c r="C245" s="254" t="s">
        <v>1843</v>
      </c>
      <c r="D245" s="223"/>
      <c r="E245" s="250"/>
      <c r="F245" s="223"/>
      <c r="G245" s="250"/>
      <c r="H245" s="250"/>
      <c r="I245" s="250"/>
      <c r="J245" s="251">
        <f>SUBTOTAL(9,J244:J244)</f>
        <v>5.61</v>
      </c>
      <c r="K245" s="252"/>
      <c r="L245" s="253"/>
      <c r="M245" s="251">
        <f>SUBTOTAL(9,M244:M244)</f>
        <v>7.0000000000000007E-2</v>
      </c>
      <c r="N245" s="251">
        <f>SUBTOTAL(9,N244:N244)</f>
        <v>0.1</v>
      </c>
      <c r="O245" s="223"/>
      <c r="P245" s="210"/>
      <c r="Q245" s="263" t="s">
        <v>2097</v>
      </c>
      <c r="R245" s="263" t="s">
        <v>2099</v>
      </c>
    </row>
    <row r="246" spans="1:18" ht="45" outlineLevel="2">
      <c r="A246" s="14" t="s">
        <v>54</v>
      </c>
      <c r="B246" s="15" t="s">
        <v>332</v>
      </c>
      <c r="C246" s="15" t="s">
        <v>333</v>
      </c>
      <c r="D246" s="14" t="s">
        <v>334</v>
      </c>
      <c r="E246" s="15" t="s">
        <v>36</v>
      </c>
      <c r="F246" s="14" t="s">
        <v>22</v>
      </c>
      <c r="G246" s="15" t="s">
        <v>23</v>
      </c>
      <c r="H246" s="15" t="s">
        <v>1525</v>
      </c>
      <c r="I246" s="15">
        <v>201409</v>
      </c>
      <c r="J246" s="16">
        <v>-149.47999999999999</v>
      </c>
      <c r="K246" s="171">
        <f>VLOOKUP(I246,$T$9:$U$23,2)</f>
        <v>9</v>
      </c>
      <c r="L246" s="17">
        <v>1.4833299999999999E-3</v>
      </c>
      <c r="M246" s="16">
        <f>ROUND(J246*K246*L246,2)</f>
        <v>-2</v>
      </c>
      <c r="N246" s="16">
        <f>ROUND(J246*L246*12,2)</f>
        <v>-2.66</v>
      </c>
      <c r="O246" s="14"/>
      <c r="P246" s="210" t="str">
        <f>VLOOKUP(C246,'WO Descriptions'!$A$5:$D$345,4)</f>
        <v>Approved by: Gary Williams on 03/03/2014,  To lay 414ft-4pe main.to replace 414ft-bs main due to down project. Install 2" bypaas before completing tie in. Cost per foot:$49.16.ID:C-03 MOP:20oz MAOP:30oz Design MAOP:20oz Pressure Test:100 PSIG.</v>
      </c>
    </row>
    <row r="247" spans="1:18" outlineLevel="1">
      <c r="A247" s="223"/>
      <c r="B247" s="250"/>
      <c r="C247" s="254" t="s">
        <v>1844</v>
      </c>
      <c r="D247" s="223"/>
      <c r="E247" s="250"/>
      <c r="F247" s="223"/>
      <c r="G247" s="250"/>
      <c r="H247" s="250"/>
      <c r="I247" s="250"/>
      <c r="J247" s="251">
        <f>SUBTOTAL(9,J246:J246)</f>
        <v>-149.47999999999999</v>
      </c>
      <c r="K247" s="252"/>
      <c r="L247" s="253"/>
      <c r="M247" s="251">
        <f>SUBTOTAL(9,M246:M246)</f>
        <v>-2</v>
      </c>
      <c r="N247" s="251">
        <f>SUBTOTAL(9,N246:N246)</f>
        <v>-2.66</v>
      </c>
      <c r="O247" s="223"/>
      <c r="P247" s="210"/>
      <c r="Q247" s="263" t="s">
        <v>2097</v>
      </c>
      <c r="R247" s="263" t="s">
        <v>2098</v>
      </c>
    </row>
    <row r="248" spans="1:18" ht="60" outlineLevel="2">
      <c r="A248" s="14" t="s">
        <v>17</v>
      </c>
      <c r="B248" s="15" t="s">
        <v>335</v>
      </c>
      <c r="C248" s="15" t="s">
        <v>336</v>
      </c>
      <c r="D248" s="14" t="s">
        <v>337</v>
      </c>
      <c r="E248" s="15" t="s">
        <v>62</v>
      </c>
      <c r="F248" s="14" t="s">
        <v>22</v>
      </c>
      <c r="G248" s="15" t="s">
        <v>23</v>
      </c>
      <c r="H248" s="15" t="s">
        <v>1525</v>
      </c>
      <c r="I248" s="15">
        <v>201409</v>
      </c>
      <c r="J248" s="16">
        <v>-2164.7800000000002</v>
      </c>
      <c r="K248" s="171">
        <f>VLOOKUP(I248,$T$9:$U$23,2)</f>
        <v>9</v>
      </c>
      <c r="L248" s="17">
        <v>1.4833299999999999E-3</v>
      </c>
      <c r="M248" s="16">
        <f>ROUND(J248*K248*L248,2)</f>
        <v>-28.9</v>
      </c>
      <c r="N248" s="16">
        <f>ROUND(J248*L248*12,2)</f>
        <v>-38.53</v>
      </c>
      <c r="O248" s="14"/>
      <c r="P248" s="210" t="str">
        <f>VLOOKUP(C248,'WO Descriptions'!$A$5:$D$345,4)</f>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
    </row>
    <row r="249" spans="1:18" outlineLevel="1">
      <c r="A249" s="223"/>
      <c r="B249" s="250"/>
      <c r="C249" s="254" t="s">
        <v>1845</v>
      </c>
      <c r="D249" s="223"/>
      <c r="E249" s="250"/>
      <c r="F249" s="223"/>
      <c r="G249" s="250"/>
      <c r="H249" s="250"/>
      <c r="I249" s="250"/>
      <c r="J249" s="251">
        <f>SUBTOTAL(9,J248:J248)</f>
        <v>-2164.7800000000002</v>
      </c>
      <c r="K249" s="252"/>
      <c r="L249" s="253"/>
      <c r="M249" s="251">
        <f>SUBTOTAL(9,M248:M248)</f>
        <v>-28.9</v>
      </c>
      <c r="N249" s="251">
        <f>SUBTOTAL(9,N248:N248)</f>
        <v>-38.53</v>
      </c>
      <c r="O249" s="223"/>
      <c r="P249" s="210"/>
      <c r="Q249" s="263" t="s">
        <v>2097</v>
      </c>
      <c r="R249" s="263" t="s">
        <v>2098</v>
      </c>
    </row>
    <row r="250" spans="1:18" ht="195" outlineLevel="2">
      <c r="A250" s="14" t="s">
        <v>17</v>
      </c>
      <c r="B250" s="15" t="s">
        <v>338</v>
      </c>
      <c r="C250" s="15" t="s">
        <v>339</v>
      </c>
      <c r="D250" s="14" t="s">
        <v>340</v>
      </c>
      <c r="E250" s="15" t="s">
        <v>62</v>
      </c>
      <c r="F250" s="14" t="s">
        <v>22</v>
      </c>
      <c r="G250" s="15" t="s">
        <v>23</v>
      </c>
      <c r="H250" s="15" t="s">
        <v>1525</v>
      </c>
      <c r="I250" s="15">
        <v>201409</v>
      </c>
      <c r="J250" s="16">
        <v>-1152.29</v>
      </c>
      <c r="K250" s="171">
        <f>VLOOKUP(I250,$T$9:$U$23,2)</f>
        <v>9</v>
      </c>
      <c r="L250" s="17">
        <v>1.4833299999999999E-3</v>
      </c>
      <c r="M250" s="16">
        <f>ROUND(J250*K250*L250,2)</f>
        <v>-15.38</v>
      </c>
      <c r="N250" s="16">
        <f>ROUND(J250*L250*12,2)</f>
        <v>-20.51</v>
      </c>
      <c r="O250" s="14"/>
      <c r="P250" s="210" t="str">
        <f>VLOOKUP(C250,'WO Descriptions'!$A$5:$D$345,4)</f>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
    </row>
    <row r="251" spans="1:18" outlineLevel="1">
      <c r="A251" s="223"/>
      <c r="B251" s="250"/>
      <c r="C251" s="254" t="s">
        <v>1846</v>
      </c>
      <c r="D251" s="223"/>
      <c r="E251" s="250"/>
      <c r="F251" s="223"/>
      <c r="G251" s="250"/>
      <c r="H251" s="250"/>
      <c r="I251" s="250"/>
      <c r="J251" s="251">
        <f>SUBTOTAL(9,J250:J250)</f>
        <v>-1152.29</v>
      </c>
      <c r="K251" s="252"/>
      <c r="L251" s="253"/>
      <c r="M251" s="251">
        <f>SUBTOTAL(9,M250:M250)</f>
        <v>-15.38</v>
      </c>
      <c r="N251" s="251">
        <f>SUBTOTAL(9,N250:N250)</f>
        <v>-20.51</v>
      </c>
      <c r="O251" s="223"/>
      <c r="P251" s="210"/>
      <c r="Q251" s="263" t="s">
        <v>2097</v>
      </c>
      <c r="R251" s="263" t="s">
        <v>2098</v>
      </c>
    </row>
    <row r="252" spans="1:18" ht="45" outlineLevel="2">
      <c r="A252" s="14" t="s">
        <v>164</v>
      </c>
      <c r="B252" s="15" t="s">
        <v>341</v>
      </c>
      <c r="C252" s="15" t="s">
        <v>342</v>
      </c>
      <c r="D252" s="14" t="s">
        <v>343</v>
      </c>
      <c r="E252" s="15" t="s">
        <v>168</v>
      </c>
      <c r="F252" s="14" t="s">
        <v>169</v>
      </c>
      <c r="G252" s="15" t="s">
        <v>23</v>
      </c>
      <c r="H252" s="15" t="s">
        <v>1528</v>
      </c>
      <c r="I252" s="15">
        <v>201409</v>
      </c>
      <c r="J252" s="16">
        <v>-787.04</v>
      </c>
      <c r="K252" s="171">
        <f>VLOOKUP(I252,$T$9:$U$23,2)</f>
        <v>9</v>
      </c>
      <c r="L252" s="17">
        <v>2.1916700000000002E-3</v>
      </c>
      <c r="M252" s="16">
        <f>ROUND(J252*K252*L252,2)</f>
        <v>-15.52</v>
      </c>
      <c r="N252" s="16">
        <f>ROUND(J252*L252*12,2)</f>
        <v>-20.7</v>
      </c>
      <c r="O252" s="14"/>
      <c r="P252" s="210" t="str">
        <f>VLOOKUP(C252,'WO Descriptions'!$A$5:$D$345,4)</f>
        <v>Approved by: Rob Kitterman on 08/14/2013,  Purchase Bulk Odorant storage tank for REX site.  This tank is to store additional odorant for use in various divisions as needs arise.  The unit is self contained for spill emergencies.  Tank provided by Milton Roy,YZ Systems, Total Systems.</v>
      </c>
    </row>
    <row r="253" spans="1:18" outlineLevel="1">
      <c r="A253" s="223"/>
      <c r="B253" s="250"/>
      <c r="C253" s="254" t="s">
        <v>1847</v>
      </c>
      <c r="D253" s="223"/>
      <c r="E253" s="250"/>
      <c r="F253" s="223"/>
      <c r="G253" s="250"/>
      <c r="H253" s="250"/>
      <c r="I253" s="250"/>
      <c r="J253" s="251">
        <f>SUBTOTAL(9,J252:J252)</f>
        <v>-787.04</v>
      </c>
      <c r="K253" s="252"/>
      <c r="L253" s="253"/>
      <c r="M253" s="251">
        <f>SUBTOTAL(9,M252:M252)</f>
        <v>-15.52</v>
      </c>
      <c r="N253" s="251">
        <f>SUBTOTAL(9,N252:N252)</f>
        <v>-20.7</v>
      </c>
      <c r="O253" s="223"/>
      <c r="P253" s="210"/>
      <c r="Q253" s="263" t="s">
        <v>2097</v>
      </c>
      <c r="R253" s="263" t="s">
        <v>2099</v>
      </c>
    </row>
    <row r="254" spans="1:18" ht="60" outlineLevel="2">
      <c r="A254" s="14" t="s">
        <v>17</v>
      </c>
      <c r="B254" s="15" t="s">
        <v>344</v>
      </c>
      <c r="C254" s="15" t="s">
        <v>345</v>
      </c>
      <c r="D254" s="14" t="s">
        <v>346</v>
      </c>
      <c r="E254" s="15" t="s">
        <v>53</v>
      </c>
      <c r="F254" s="14" t="s">
        <v>41</v>
      </c>
      <c r="G254" s="15" t="s">
        <v>23</v>
      </c>
      <c r="H254" s="15" t="s">
        <v>1526</v>
      </c>
      <c r="I254" s="15">
        <v>201409</v>
      </c>
      <c r="J254" s="16">
        <v>-1802.78</v>
      </c>
      <c r="K254" s="171">
        <f>VLOOKUP(I254,$T$9:$U$23,2)</f>
        <v>9</v>
      </c>
      <c r="L254" s="17">
        <v>1.4833299999999999E-3</v>
      </c>
      <c r="M254" s="16">
        <f>ROUND(J254*K254*L254,2)</f>
        <v>-24.07</v>
      </c>
      <c r="N254" s="16">
        <f>ROUND(J254*L254*12,2)</f>
        <v>-32.090000000000003</v>
      </c>
      <c r="O254" s="14"/>
      <c r="P254" s="210" t="str">
        <f>VLOOKUP(C254,'WO Descriptions'!$A$5:$D$345,4)</f>
        <v>Approved by: Ken Thomas on 09/17/2013,  Replace 510' - 6in PBS (WO#: A8634A) with 510' - 6in PE due to roadway improvements and shallow existing main. Project Location: 11th and Highview; Pressure System: C-1; MOP: 58 psig; MAOP: 58 psig; Design: 58 psig; Test: 100 psig; ISRS $67.22/ft</v>
      </c>
    </row>
    <row r="255" spans="1:18" outlineLevel="1">
      <c r="A255" s="223"/>
      <c r="B255" s="250"/>
      <c r="C255" s="254" t="s">
        <v>1848</v>
      </c>
      <c r="D255" s="223"/>
      <c r="E255" s="250"/>
      <c r="F255" s="223"/>
      <c r="G255" s="250"/>
      <c r="H255" s="250"/>
      <c r="I255" s="250"/>
      <c r="J255" s="251">
        <f>SUBTOTAL(9,J254:J254)</f>
        <v>-1802.78</v>
      </c>
      <c r="K255" s="252"/>
      <c r="L255" s="253"/>
      <c r="M255" s="251">
        <f>SUBTOTAL(9,M254:M254)</f>
        <v>-24.07</v>
      </c>
      <c r="N255" s="251">
        <f>SUBTOTAL(9,N254:N254)</f>
        <v>-32.090000000000003</v>
      </c>
      <c r="O255" s="223"/>
      <c r="P255" s="210"/>
      <c r="Q255" s="263" t="s">
        <v>2096</v>
      </c>
    </row>
    <row r="256" spans="1:18" ht="105" outlineLevel="2">
      <c r="A256" s="14" t="s">
        <v>17</v>
      </c>
      <c r="B256" s="15" t="s">
        <v>347</v>
      </c>
      <c r="C256" s="15" t="s">
        <v>348</v>
      </c>
      <c r="D256" s="14" t="s">
        <v>349</v>
      </c>
      <c r="E256" s="15" t="s">
        <v>324</v>
      </c>
      <c r="F256" s="14" t="s">
        <v>325</v>
      </c>
      <c r="G256" s="15" t="s">
        <v>23</v>
      </c>
      <c r="H256" s="15" t="s">
        <v>1525</v>
      </c>
      <c r="I256" s="15">
        <v>201409</v>
      </c>
      <c r="J256" s="16">
        <v>478.42</v>
      </c>
      <c r="K256" s="171">
        <f>VLOOKUP(I256,$T$9:$U$23,2)</f>
        <v>9</v>
      </c>
      <c r="L256" s="17">
        <v>1.4833299999999999E-3</v>
      </c>
      <c r="M256" s="16">
        <f>ROUND(J256*K256*L256,2)</f>
        <v>6.39</v>
      </c>
      <c r="N256" s="16">
        <f>ROUND(J256*L256*12,2)</f>
        <v>8.52</v>
      </c>
      <c r="O256" s="14"/>
      <c r="P256" s="210" t="str">
        <f>VLOOKUP(C256,'WO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256" s="263"/>
      <c r="R256" s="263"/>
    </row>
    <row r="257" spans="1:18" ht="105" outlineLevel="2">
      <c r="A257" s="14" t="s">
        <v>17</v>
      </c>
      <c r="B257" s="15" t="s">
        <v>347</v>
      </c>
      <c r="C257" s="15" t="s">
        <v>348</v>
      </c>
      <c r="D257" s="14" t="s">
        <v>349</v>
      </c>
      <c r="E257" s="15" t="s">
        <v>324</v>
      </c>
      <c r="F257" s="14" t="s">
        <v>325</v>
      </c>
      <c r="G257" s="15" t="s">
        <v>23</v>
      </c>
      <c r="H257" s="15" t="s">
        <v>1525</v>
      </c>
      <c r="I257" s="15">
        <v>201410</v>
      </c>
      <c r="J257" s="16">
        <v>940.85</v>
      </c>
      <c r="K257" s="171">
        <f>VLOOKUP(I257,$T$9:$U$23,2)</f>
        <v>8</v>
      </c>
      <c r="L257" s="17">
        <v>1.4833299999999999E-3</v>
      </c>
      <c r="M257" s="16">
        <f>ROUND(J257*K257*L257,2)</f>
        <v>11.16</v>
      </c>
      <c r="N257" s="16">
        <f>ROUND(J257*L257*12,2)</f>
        <v>16.75</v>
      </c>
      <c r="O257" s="14"/>
      <c r="P257" s="210" t="str">
        <f>VLOOKUP(C257,'WO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58" spans="1:18" ht="105" outlineLevel="2">
      <c r="A258" s="14" t="s">
        <v>17</v>
      </c>
      <c r="B258" s="15" t="s">
        <v>347</v>
      </c>
      <c r="C258" s="15" t="s">
        <v>348</v>
      </c>
      <c r="D258" s="14" t="s">
        <v>349</v>
      </c>
      <c r="E258" s="15" t="s">
        <v>324</v>
      </c>
      <c r="F258" s="14" t="s">
        <v>325</v>
      </c>
      <c r="G258" s="15" t="s">
        <v>23</v>
      </c>
      <c r="H258" s="15" t="s">
        <v>1525</v>
      </c>
      <c r="I258" s="15">
        <v>201411</v>
      </c>
      <c r="J258" s="16">
        <v>1085.29</v>
      </c>
      <c r="K258" s="171">
        <f>VLOOKUP(I258,$T$9:$U$23,2)</f>
        <v>7</v>
      </c>
      <c r="L258" s="17">
        <v>1.4833299999999999E-3</v>
      </c>
      <c r="M258" s="16">
        <f>ROUND(J258*K258*L258,2)</f>
        <v>11.27</v>
      </c>
      <c r="N258" s="16">
        <f>ROUND(J258*L258*12,2)</f>
        <v>19.32</v>
      </c>
      <c r="O258" s="14"/>
      <c r="P258" s="210" t="str">
        <f>VLOOKUP(C258,'WO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59" spans="1:18" ht="105" outlineLevel="2">
      <c r="A259" s="14" t="s">
        <v>17</v>
      </c>
      <c r="B259" s="15" t="s">
        <v>347</v>
      </c>
      <c r="C259" s="15" t="s">
        <v>348</v>
      </c>
      <c r="D259" s="14" t="s">
        <v>349</v>
      </c>
      <c r="E259" s="15" t="s">
        <v>324</v>
      </c>
      <c r="F259" s="14" t="s">
        <v>325</v>
      </c>
      <c r="G259" s="15" t="s">
        <v>23</v>
      </c>
      <c r="H259" s="15" t="s">
        <v>1525</v>
      </c>
      <c r="I259" s="15">
        <v>201412</v>
      </c>
      <c r="J259" s="16">
        <v>5.46</v>
      </c>
      <c r="K259" s="171">
        <f>VLOOKUP(I259,$T$9:$U$23,2)</f>
        <v>6</v>
      </c>
      <c r="L259" s="17">
        <v>1.4833299999999999E-3</v>
      </c>
      <c r="M259" s="16">
        <f>ROUND(J259*K259*L259,2)</f>
        <v>0.05</v>
      </c>
      <c r="N259" s="16">
        <f>ROUND(J259*L259*12,2)</f>
        <v>0.1</v>
      </c>
      <c r="O259" s="14"/>
      <c r="P259" s="210" t="str">
        <f>VLOOKUP(C259,'WO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60" spans="1:18" outlineLevel="1">
      <c r="A260" s="223"/>
      <c r="B260" s="250"/>
      <c r="C260" s="254" t="s">
        <v>1849</v>
      </c>
      <c r="D260" s="223"/>
      <c r="E260" s="250"/>
      <c r="F260" s="223"/>
      <c r="G260" s="250"/>
      <c r="H260" s="250"/>
      <c r="I260" s="250"/>
      <c r="J260" s="251">
        <f>SUBTOTAL(9,J256:J259)</f>
        <v>2510.02</v>
      </c>
      <c r="K260" s="252"/>
      <c r="L260" s="253"/>
      <c r="M260" s="251">
        <f>SUBTOTAL(9,M256:M259)</f>
        <v>28.87</v>
      </c>
      <c r="N260" s="251">
        <f>SUBTOTAL(9,N256:N259)</f>
        <v>44.690000000000005</v>
      </c>
      <c r="O260" s="223"/>
      <c r="P260" s="210"/>
      <c r="Q260" s="263" t="s">
        <v>2094</v>
      </c>
      <c r="R260" s="263" t="s">
        <v>2095</v>
      </c>
    </row>
    <row r="261" spans="1:18" ht="30" outlineLevel="2">
      <c r="A261" s="14" t="s">
        <v>17</v>
      </c>
      <c r="B261" s="15" t="s">
        <v>350</v>
      </c>
      <c r="C261" s="15" t="s">
        <v>351</v>
      </c>
      <c r="D261" s="14" t="s">
        <v>352</v>
      </c>
      <c r="E261" s="15" t="s">
        <v>108</v>
      </c>
      <c r="F261" s="14" t="s">
        <v>28</v>
      </c>
      <c r="G261" s="15" t="s">
        <v>23</v>
      </c>
      <c r="H261" s="15" t="s">
        <v>1525</v>
      </c>
      <c r="I261" s="15">
        <v>201409</v>
      </c>
      <c r="J261" s="16">
        <v>8.58</v>
      </c>
      <c r="K261" s="171">
        <f>VLOOKUP(I261,$T$9:$U$23,2)</f>
        <v>9</v>
      </c>
      <c r="L261" s="17">
        <v>1.4833299999999999E-3</v>
      </c>
      <c r="M261" s="16">
        <f>ROUND(J261*K261*L261,2)</f>
        <v>0.11</v>
      </c>
      <c r="N261" s="16">
        <f>ROUND(J261*L261*12,2)</f>
        <v>0.15</v>
      </c>
      <c r="O261" s="14"/>
      <c r="P261" s="210" t="str">
        <f>VLOOKUP(C261,'WO Descriptions'!$A$5:$D$345,4)</f>
        <v>Approved by: Kevin Driskell on 09/18/2013,  Installed welded yoke around leaking dresser and valve. 12' of 2in PCS was installed and 6' of 2in PCS was abandoned.</v>
      </c>
    </row>
    <row r="262" spans="1:18" outlineLevel="1">
      <c r="A262" s="223"/>
      <c r="B262" s="250"/>
      <c r="C262" s="254" t="s">
        <v>1850</v>
      </c>
      <c r="D262" s="223"/>
      <c r="E262" s="250"/>
      <c r="F262" s="223"/>
      <c r="G262" s="250"/>
      <c r="H262" s="250"/>
      <c r="I262" s="250"/>
      <c r="J262" s="251">
        <f>SUBTOTAL(9,J261:J261)</f>
        <v>8.58</v>
      </c>
      <c r="K262" s="252"/>
      <c r="L262" s="253"/>
      <c r="M262" s="251">
        <f>SUBTOTAL(9,M261:M261)</f>
        <v>0.11</v>
      </c>
      <c r="N262" s="251">
        <f>SUBTOTAL(9,N261:N261)</f>
        <v>0.15</v>
      </c>
      <c r="O262" s="223"/>
      <c r="P262" s="210"/>
      <c r="Q262" s="263" t="s">
        <v>2097</v>
      </c>
      <c r="R262" s="263" t="s">
        <v>2099</v>
      </c>
    </row>
    <row r="263" spans="1:18" ht="180" outlineLevel="2">
      <c r="A263" s="14" t="s">
        <v>17</v>
      </c>
      <c r="B263" s="15" t="s">
        <v>353</v>
      </c>
      <c r="C263" s="15" t="s">
        <v>354</v>
      </c>
      <c r="D263" s="14" t="s">
        <v>355</v>
      </c>
      <c r="E263" s="15" t="s">
        <v>62</v>
      </c>
      <c r="F263" s="14" t="s">
        <v>22</v>
      </c>
      <c r="G263" s="15" t="s">
        <v>23</v>
      </c>
      <c r="H263" s="15" t="s">
        <v>1525</v>
      </c>
      <c r="I263" s="15">
        <v>201409</v>
      </c>
      <c r="J263" s="16">
        <v>-1349</v>
      </c>
      <c r="K263" s="171">
        <f>VLOOKUP(I263,$T$9:$U$23,2)</f>
        <v>9</v>
      </c>
      <c r="L263" s="17">
        <v>1.4833299999999999E-3</v>
      </c>
      <c r="M263" s="16">
        <f>ROUND(J263*K263*L263,2)</f>
        <v>-18.010000000000002</v>
      </c>
      <c r="N263" s="16">
        <f>ROUND(J263*L263*12,2)</f>
        <v>-24.01</v>
      </c>
      <c r="O263" s="14"/>
      <c r="P263" s="210" t="str">
        <f>VLOOKUP(C263,'WO Descriptions'!$A$5:$D$345,4)</f>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
    </row>
    <row r="264" spans="1:18" outlineLevel="1">
      <c r="A264" s="223"/>
      <c r="B264" s="250"/>
      <c r="C264" s="254" t="s">
        <v>1851</v>
      </c>
      <c r="D264" s="223"/>
      <c r="E264" s="250"/>
      <c r="F264" s="223"/>
      <c r="G264" s="250"/>
      <c r="H264" s="250"/>
      <c r="I264" s="250"/>
      <c r="J264" s="251">
        <f>SUBTOTAL(9,J263:J263)</f>
        <v>-1349</v>
      </c>
      <c r="K264" s="252"/>
      <c r="L264" s="253"/>
      <c r="M264" s="251">
        <f>SUBTOTAL(9,M263:M263)</f>
        <v>-18.010000000000002</v>
      </c>
      <c r="N264" s="251">
        <f>SUBTOTAL(9,N263:N263)</f>
        <v>-24.01</v>
      </c>
      <c r="O264" s="223"/>
      <c r="P264" s="210"/>
      <c r="Q264" s="263" t="s">
        <v>2097</v>
      </c>
      <c r="R264" s="263" t="s">
        <v>2098</v>
      </c>
    </row>
    <row r="265" spans="1:18" ht="30" outlineLevel="2">
      <c r="A265" s="14" t="s">
        <v>238</v>
      </c>
      <c r="B265" s="15" t="s">
        <v>356</v>
      </c>
      <c r="C265" s="15" t="s">
        <v>357</v>
      </c>
      <c r="D265" s="14" t="s">
        <v>358</v>
      </c>
      <c r="E265" s="15" t="s">
        <v>168</v>
      </c>
      <c r="F265" s="14" t="s">
        <v>169</v>
      </c>
      <c r="G265" s="15" t="s">
        <v>23</v>
      </c>
      <c r="H265" s="15" t="s">
        <v>1528</v>
      </c>
      <c r="I265" s="15">
        <v>201409</v>
      </c>
      <c r="J265" s="16">
        <v>-2239.5500000000002</v>
      </c>
      <c r="K265" s="171">
        <f>VLOOKUP(I265,$T$9:$U$23,2)</f>
        <v>9</v>
      </c>
      <c r="L265" s="17">
        <v>2.3833299999999999E-3</v>
      </c>
      <c r="M265" s="16">
        <f>ROUND(J265*K265*L265,2)</f>
        <v>-48.04</v>
      </c>
      <c r="N265" s="16">
        <f>ROUND(J265*L265*12,2)</f>
        <v>-64.05</v>
      </c>
      <c r="O265" s="14"/>
      <c r="P265" s="210" t="str">
        <f>VLOOKUP(C265,'WO Descriptions'!$A$5:$D$345,4)</f>
        <v>Approved by: Steve Holcomb on 10/07/2013,  Rebuild DRS 356 due to complications arising during Hydro Test. Construct 1- 10" run utilizing existing regulators, and 1- 6" run for bypass.</v>
      </c>
    </row>
    <row r="266" spans="1:18" outlineLevel="1">
      <c r="A266" s="223"/>
      <c r="B266" s="250"/>
      <c r="C266" s="254" t="s">
        <v>1852</v>
      </c>
      <c r="D266" s="223"/>
      <c r="E266" s="250"/>
      <c r="F266" s="223"/>
      <c r="G266" s="250"/>
      <c r="H266" s="250"/>
      <c r="I266" s="250"/>
      <c r="J266" s="251">
        <f>SUBTOTAL(9,J265:J265)</f>
        <v>-2239.5500000000002</v>
      </c>
      <c r="K266" s="252"/>
      <c r="L266" s="253"/>
      <c r="M266" s="251">
        <f>SUBTOTAL(9,M265:M265)</f>
        <v>-48.04</v>
      </c>
      <c r="N266" s="251">
        <f>SUBTOTAL(9,N265:N265)</f>
        <v>-64.05</v>
      </c>
      <c r="O266" s="223"/>
      <c r="P266" s="210"/>
      <c r="Q266" s="263" t="s">
        <v>2097</v>
      </c>
      <c r="R266" s="263" t="s">
        <v>2099</v>
      </c>
    </row>
    <row r="267" spans="1:18" ht="90" outlineLevel="2">
      <c r="A267" s="14" t="s">
        <v>54</v>
      </c>
      <c r="B267" s="15" t="s">
        <v>359</v>
      </c>
      <c r="C267" s="15" t="s">
        <v>360</v>
      </c>
      <c r="D267" s="14" t="s">
        <v>361</v>
      </c>
      <c r="E267" s="15" t="s">
        <v>362</v>
      </c>
      <c r="F267" s="14" t="s">
        <v>41</v>
      </c>
      <c r="G267" s="15" t="s">
        <v>23</v>
      </c>
      <c r="H267" s="15" t="s">
        <v>1526</v>
      </c>
      <c r="I267" s="15">
        <v>201409</v>
      </c>
      <c r="J267" s="16">
        <v>-2592.5700000000002</v>
      </c>
      <c r="K267" s="171">
        <f>VLOOKUP(I267,$T$9:$U$23,2)</f>
        <v>9</v>
      </c>
      <c r="L267" s="17">
        <v>1.4833299999999999E-3</v>
      </c>
      <c r="M267" s="16">
        <f>ROUND(J267*K267*L267,2)</f>
        <v>-34.61</v>
      </c>
      <c r="N267" s="16">
        <f>ROUND(J267*L267*12,2)</f>
        <v>-46.15</v>
      </c>
      <c r="O267" s="14"/>
      <c r="P267" s="210" t="str">
        <f>VLOOKUP(C267,'WO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68" spans="1:18" ht="90" outlineLevel="2">
      <c r="A268" s="14" t="s">
        <v>54</v>
      </c>
      <c r="B268" s="15" t="s">
        <v>359</v>
      </c>
      <c r="C268" s="15" t="s">
        <v>360</v>
      </c>
      <c r="D268" s="14" t="s">
        <v>361</v>
      </c>
      <c r="E268" s="15" t="s">
        <v>362</v>
      </c>
      <c r="F268" s="14" t="s">
        <v>41</v>
      </c>
      <c r="G268" s="15" t="s">
        <v>23</v>
      </c>
      <c r="H268" s="15" t="s">
        <v>1526</v>
      </c>
      <c r="I268" s="15">
        <v>201410</v>
      </c>
      <c r="J268" s="16">
        <v>2800.39</v>
      </c>
      <c r="K268" s="171">
        <f>VLOOKUP(I268,$T$9:$U$23,2)</f>
        <v>8</v>
      </c>
      <c r="L268" s="17">
        <v>1.4833299999999999E-3</v>
      </c>
      <c r="M268" s="16">
        <f>ROUND(J268*K268*L268,2)</f>
        <v>33.229999999999997</v>
      </c>
      <c r="N268" s="16">
        <f>ROUND(J268*L268*12,2)</f>
        <v>49.85</v>
      </c>
      <c r="O268" s="14"/>
      <c r="P268" s="210" t="str">
        <f>VLOOKUP(C268,'WO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69" spans="1:18" ht="90" outlineLevel="2">
      <c r="A269" s="14" t="s">
        <v>54</v>
      </c>
      <c r="B269" s="15" t="s">
        <v>359</v>
      </c>
      <c r="C269" s="15" t="s">
        <v>360</v>
      </c>
      <c r="D269" s="14" t="s">
        <v>361</v>
      </c>
      <c r="E269" s="15" t="s">
        <v>362</v>
      </c>
      <c r="F269" s="14" t="s">
        <v>41</v>
      </c>
      <c r="G269" s="15" t="s">
        <v>23</v>
      </c>
      <c r="H269" s="15" t="s">
        <v>1526</v>
      </c>
      <c r="I269" s="15">
        <v>201411</v>
      </c>
      <c r="J269" s="16">
        <v>-76.47</v>
      </c>
      <c r="K269" s="171">
        <f>VLOOKUP(I269,$T$9:$U$23,2)</f>
        <v>7</v>
      </c>
      <c r="L269" s="17">
        <v>1.4833299999999999E-3</v>
      </c>
      <c r="M269" s="16">
        <f>ROUND(J269*K269*L269,2)</f>
        <v>-0.79</v>
      </c>
      <c r="N269" s="16">
        <f>ROUND(J269*L269*12,2)</f>
        <v>-1.36</v>
      </c>
      <c r="O269" s="14"/>
      <c r="P269" s="210" t="str">
        <f>VLOOKUP(C269,'WO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70" spans="1:18" ht="90" outlineLevel="2">
      <c r="A270" s="14" t="s">
        <v>54</v>
      </c>
      <c r="B270" s="15" t="s">
        <v>359</v>
      </c>
      <c r="C270" s="15" t="s">
        <v>360</v>
      </c>
      <c r="D270" s="14" t="s">
        <v>361</v>
      </c>
      <c r="E270" s="15" t="s">
        <v>362</v>
      </c>
      <c r="F270" s="14" t="s">
        <v>41</v>
      </c>
      <c r="G270" s="15" t="s">
        <v>23</v>
      </c>
      <c r="H270" s="15" t="s">
        <v>1526</v>
      </c>
      <c r="I270" s="15">
        <v>201412</v>
      </c>
      <c r="J270" s="16">
        <v>-242.08</v>
      </c>
      <c r="K270" s="171">
        <f>VLOOKUP(I270,$T$9:$U$23,2)</f>
        <v>6</v>
      </c>
      <c r="L270" s="17">
        <v>1.4833299999999999E-3</v>
      </c>
      <c r="M270" s="16">
        <f>ROUND(J270*K270*L270,2)</f>
        <v>-2.15</v>
      </c>
      <c r="N270" s="16">
        <f>ROUND(J270*L270*12,2)</f>
        <v>-4.3099999999999996</v>
      </c>
      <c r="O270" s="14"/>
      <c r="P270" s="210" t="str">
        <f>VLOOKUP(C270,'WO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71" spans="1:18" outlineLevel="1">
      <c r="A271" s="223"/>
      <c r="B271" s="250"/>
      <c r="C271" s="254" t="s">
        <v>1853</v>
      </c>
      <c r="D271" s="223"/>
      <c r="E271" s="250"/>
      <c r="F271" s="223"/>
      <c r="G271" s="250"/>
      <c r="H271" s="250"/>
      <c r="I271" s="250"/>
      <c r="J271" s="251">
        <f>SUBTOTAL(9,J267:J270)</f>
        <v>-110.7300000000003</v>
      </c>
      <c r="K271" s="252"/>
      <c r="L271" s="253"/>
      <c r="M271" s="251">
        <f>SUBTOTAL(9,M267:M270)</f>
        <v>-4.3200000000000021</v>
      </c>
      <c r="N271" s="251">
        <f>SUBTOTAL(9,N267:N270)</f>
        <v>-1.9699999999999971</v>
      </c>
      <c r="O271" s="223"/>
      <c r="P271" s="210"/>
      <c r="Q271" s="263" t="s">
        <v>2096</v>
      </c>
    </row>
    <row r="272" spans="1:18" ht="30" outlineLevel="2">
      <c r="A272" s="14" t="s">
        <v>17</v>
      </c>
      <c r="B272" s="15" t="s">
        <v>363</v>
      </c>
      <c r="C272" s="15" t="s">
        <v>364</v>
      </c>
      <c r="D272" s="14" t="s">
        <v>365</v>
      </c>
      <c r="E272" s="15" t="s">
        <v>21</v>
      </c>
      <c r="F272" s="14" t="s">
        <v>22</v>
      </c>
      <c r="G272" s="15" t="s">
        <v>23</v>
      </c>
      <c r="H272" s="15" t="s">
        <v>1525</v>
      </c>
      <c r="I272" s="15">
        <v>201409</v>
      </c>
      <c r="J272" s="16">
        <v>25.47</v>
      </c>
      <c r="K272" s="171">
        <f>VLOOKUP(I272,$T$9:$U$23,2)</f>
        <v>9</v>
      </c>
      <c r="L272" s="17">
        <v>1.4833299999999999E-3</v>
      </c>
      <c r="M272" s="16">
        <f>ROUND(J272*K272*L272,2)</f>
        <v>0.34</v>
      </c>
      <c r="N272" s="16">
        <f>ROUND(J272*L272*12,2)</f>
        <v>0.45</v>
      </c>
      <c r="O272" s="14"/>
      <c r="P272" s="210" t="str">
        <f>VLOOKUP(C272,'WO Descriptions'!$A$5:$D$345,4)</f>
        <v>Approved by: Kevin Driskell on 08/23/2013,  Replace 10' of 2in PBS, original JO A6962C, year 1956 with 10'-2in PCS due to #3 leak at 113th Ter and Jackson.  Gate valve was removed.</v>
      </c>
    </row>
    <row r="273" spans="1:18" outlineLevel="1">
      <c r="A273" s="223"/>
      <c r="B273" s="250"/>
      <c r="C273" s="254" t="s">
        <v>1854</v>
      </c>
      <c r="D273" s="223"/>
      <c r="E273" s="250"/>
      <c r="F273" s="223"/>
      <c r="G273" s="250"/>
      <c r="H273" s="250"/>
      <c r="I273" s="250"/>
      <c r="J273" s="251">
        <f>SUBTOTAL(9,J272:J272)</f>
        <v>25.47</v>
      </c>
      <c r="K273" s="252"/>
      <c r="L273" s="253"/>
      <c r="M273" s="251">
        <f>SUBTOTAL(9,M272:M272)</f>
        <v>0.34</v>
      </c>
      <c r="N273" s="251">
        <f>SUBTOTAL(9,N272:N272)</f>
        <v>0.45</v>
      </c>
      <c r="O273" s="223"/>
      <c r="P273" s="210"/>
      <c r="Q273" s="263" t="s">
        <v>2097</v>
      </c>
      <c r="R273" s="263" t="s">
        <v>2098</v>
      </c>
    </row>
    <row r="274" spans="1:18" ht="180" outlineLevel="2">
      <c r="A274" s="14" t="s">
        <v>17</v>
      </c>
      <c r="B274" s="15" t="s">
        <v>366</v>
      </c>
      <c r="C274" s="15" t="s">
        <v>367</v>
      </c>
      <c r="D274" s="14" t="s">
        <v>368</v>
      </c>
      <c r="E274" s="15" t="s">
        <v>369</v>
      </c>
      <c r="F274" s="14" t="s">
        <v>41</v>
      </c>
      <c r="G274" s="15" t="s">
        <v>23</v>
      </c>
      <c r="H274" s="15" t="s">
        <v>1526</v>
      </c>
      <c r="I274" s="15">
        <v>201411</v>
      </c>
      <c r="J274" s="16">
        <v>3575265.61</v>
      </c>
      <c r="K274" s="171">
        <f>VLOOKUP(I274,$T$9:$U$23,2)</f>
        <v>7</v>
      </c>
      <c r="L274" s="17">
        <v>1.4833299999999999E-3</v>
      </c>
      <c r="M274" s="16">
        <f>ROUND(J274*K274*L274,2)</f>
        <v>37123.089999999997</v>
      </c>
      <c r="N274" s="16">
        <f>ROUND(J274*L274*12,2)</f>
        <v>63639.58</v>
      </c>
      <c r="O274" s="14"/>
      <c r="P274" s="210" t="str">
        <f>VLOOKUP(C274,'WO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5" spans="1:18" ht="180" outlineLevel="2">
      <c r="A275" s="14" t="s">
        <v>17</v>
      </c>
      <c r="B275" s="15" t="s">
        <v>366</v>
      </c>
      <c r="C275" s="15" t="s">
        <v>367</v>
      </c>
      <c r="D275" s="14" t="s">
        <v>370</v>
      </c>
      <c r="E275" s="15" t="s">
        <v>369</v>
      </c>
      <c r="F275" s="14" t="s">
        <v>41</v>
      </c>
      <c r="G275" s="15" t="s">
        <v>23</v>
      </c>
      <c r="H275" s="15" t="s">
        <v>1526</v>
      </c>
      <c r="I275" s="15">
        <v>201411</v>
      </c>
      <c r="J275" s="16">
        <v>-1179275</v>
      </c>
      <c r="K275" s="171">
        <f>VLOOKUP(I275,$T$9:$U$23,2)</f>
        <v>7</v>
      </c>
      <c r="L275" s="17">
        <v>1.4833299999999999E-3</v>
      </c>
      <c r="M275" s="16">
        <f>ROUND(J275*K275*L275,2)</f>
        <v>-12244.78</v>
      </c>
      <c r="N275" s="16">
        <f>ROUND(J275*L275*12,2)</f>
        <v>-20991.05</v>
      </c>
      <c r="O275" s="14"/>
      <c r="P275" s="210" t="str">
        <f>VLOOKUP(C275,'WO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6" spans="1:18" ht="180" outlineLevel="2">
      <c r="A276" s="14" t="s">
        <v>17</v>
      </c>
      <c r="B276" s="15" t="s">
        <v>366</v>
      </c>
      <c r="C276" s="15" t="s">
        <v>367</v>
      </c>
      <c r="D276" s="14" t="s">
        <v>368</v>
      </c>
      <c r="E276" s="15" t="s">
        <v>369</v>
      </c>
      <c r="F276" s="14" t="s">
        <v>41</v>
      </c>
      <c r="G276" s="15" t="s">
        <v>23</v>
      </c>
      <c r="H276" s="15" t="s">
        <v>1526</v>
      </c>
      <c r="I276" s="15">
        <v>201412</v>
      </c>
      <c r="J276" s="16">
        <v>11025.12</v>
      </c>
      <c r="K276" s="171">
        <f>VLOOKUP(I276,$T$9:$U$23,2)</f>
        <v>6</v>
      </c>
      <c r="L276" s="17">
        <v>1.4833299999999999E-3</v>
      </c>
      <c r="M276" s="16">
        <f>ROUND(J276*K276*L276,2)</f>
        <v>98.12</v>
      </c>
      <c r="N276" s="16">
        <f>ROUND(J276*L276*12,2)</f>
        <v>196.25</v>
      </c>
      <c r="O276" s="14"/>
      <c r="P276" s="210" t="str">
        <f>VLOOKUP(C276,'WO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7" spans="1:18" outlineLevel="1">
      <c r="A277" s="223"/>
      <c r="B277" s="250"/>
      <c r="C277" s="254" t="s">
        <v>1855</v>
      </c>
      <c r="D277" s="223"/>
      <c r="E277" s="250"/>
      <c r="F277" s="223"/>
      <c r="G277" s="250"/>
      <c r="H277" s="250"/>
      <c r="I277" s="250"/>
      <c r="J277" s="251">
        <f>SUBTOTAL(9,J274:J276)</f>
        <v>2407015.73</v>
      </c>
      <c r="K277" s="252"/>
      <c r="L277" s="253"/>
      <c r="M277" s="251">
        <f>SUBTOTAL(9,M274:M276)</f>
        <v>24976.429999999997</v>
      </c>
      <c r="N277" s="251">
        <f>SUBTOTAL(9,N274:N276)</f>
        <v>42844.78</v>
      </c>
      <c r="O277" s="223"/>
      <c r="P277" s="210"/>
      <c r="Q277" s="263" t="s">
        <v>2096</v>
      </c>
    </row>
    <row r="278" spans="1:18" ht="30" outlineLevel="2">
      <c r="A278" s="211" t="s">
        <v>66</v>
      </c>
      <c r="B278" s="212" t="s">
        <v>371</v>
      </c>
      <c r="C278" s="212" t="s">
        <v>372</v>
      </c>
      <c r="D278" s="211" t="s">
        <v>88</v>
      </c>
      <c r="E278" s="212" t="s">
        <v>373</v>
      </c>
      <c r="F278" s="211" t="s">
        <v>85</v>
      </c>
      <c r="G278" s="212" t="s">
        <v>23</v>
      </c>
      <c r="H278" s="212" t="s">
        <v>1530</v>
      </c>
      <c r="I278" s="212">
        <v>201409</v>
      </c>
      <c r="J278" s="213">
        <v>47214.32</v>
      </c>
      <c r="K278" s="171">
        <f>VLOOKUP(I278,$T$9:$U$23,2)</f>
        <v>9</v>
      </c>
      <c r="L278" s="214">
        <v>2.23333E-3</v>
      </c>
      <c r="M278" s="213">
        <f>ROUND(J278*K278*L278,2)</f>
        <v>949.01</v>
      </c>
      <c r="N278" s="213">
        <f>ROUND(J278*L278*12,2)</f>
        <v>1265.3399999999999</v>
      </c>
      <c r="O278" s="14"/>
      <c r="P278" s="210" t="str">
        <f>VLOOKUP(C278,'WO Descriptions'!$A$5:$D$345,4)</f>
        <v>Service/Yard Line Replacement (SLRP): Contract Crew.  Block by Block - Planned replacement of all unprotected steel or copper in a single block.  (Lee's Summit - East Region)</v>
      </c>
    </row>
    <row r="279" spans="1:18" ht="30" outlineLevel="2">
      <c r="A279" s="211" t="s">
        <v>66</v>
      </c>
      <c r="B279" s="212" t="s">
        <v>371</v>
      </c>
      <c r="C279" s="212" t="s">
        <v>372</v>
      </c>
      <c r="D279" s="211" t="s">
        <v>88</v>
      </c>
      <c r="E279" s="212" t="s">
        <v>373</v>
      </c>
      <c r="F279" s="211" t="s">
        <v>85</v>
      </c>
      <c r="G279" s="212" t="s">
        <v>23</v>
      </c>
      <c r="H279" s="212" t="s">
        <v>1530</v>
      </c>
      <c r="I279" s="212">
        <v>201410</v>
      </c>
      <c r="J279" s="213">
        <v>13638.55</v>
      </c>
      <c r="K279" s="171">
        <f>VLOOKUP(I279,$T$9:$U$23,2)</f>
        <v>8</v>
      </c>
      <c r="L279" s="214">
        <v>2.23333E-3</v>
      </c>
      <c r="M279" s="213">
        <f>ROUND(J279*K279*L279,2)</f>
        <v>243.68</v>
      </c>
      <c r="N279" s="213">
        <f>ROUND(J279*L279*12,2)</f>
        <v>365.51</v>
      </c>
      <c r="O279" s="14"/>
      <c r="P279" s="210" t="str">
        <f>VLOOKUP(C279,'WO Descriptions'!$A$5:$D$345,4)</f>
        <v>Service/Yard Line Replacement (SLRP): Contract Crew.  Block by Block - Planned replacement of all unprotected steel or copper in a single block.  (Lee's Summit - East Region)</v>
      </c>
    </row>
    <row r="280" spans="1:18" ht="30" outlineLevel="2">
      <c r="A280" s="211" t="s">
        <v>66</v>
      </c>
      <c r="B280" s="212" t="s">
        <v>371</v>
      </c>
      <c r="C280" s="212" t="s">
        <v>372</v>
      </c>
      <c r="D280" s="211" t="s">
        <v>88</v>
      </c>
      <c r="E280" s="212" t="s">
        <v>373</v>
      </c>
      <c r="F280" s="211" t="s">
        <v>85</v>
      </c>
      <c r="G280" s="212" t="s">
        <v>23</v>
      </c>
      <c r="H280" s="212" t="s">
        <v>1530</v>
      </c>
      <c r="I280" s="212">
        <v>201411</v>
      </c>
      <c r="J280" s="213">
        <v>-288.35000000000002</v>
      </c>
      <c r="K280" s="171">
        <f>VLOOKUP(I280,$T$9:$U$23,2)</f>
        <v>7</v>
      </c>
      <c r="L280" s="214">
        <v>2.23333E-3</v>
      </c>
      <c r="M280" s="213">
        <f>ROUND(J280*K280*L280,2)</f>
        <v>-4.51</v>
      </c>
      <c r="N280" s="213">
        <f>ROUND(J280*L280*12,2)</f>
        <v>-7.73</v>
      </c>
      <c r="O280" s="14"/>
      <c r="P280" s="210" t="str">
        <f>VLOOKUP(C280,'WO Descriptions'!$A$5:$D$345,4)</f>
        <v>Service/Yard Line Replacement (SLRP): Contract Crew.  Block by Block - Planned replacement of all unprotected steel or copper in a single block.  (Lee's Summit - East Region)</v>
      </c>
    </row>
    <row r="281" spans="1:18" ht="30" outlineLevel="2">
      <c r="A281" s="211" t="s">
        <v>66</v>
      </c>
      <c r="B281" s="212" t="s">
        <v>371</v>
      </c>
      <c r="C281" s="212" t="s">
        <v>372</v>
      </c>
      <c r="D281" s="211" t="s">
        <v>88</v>
      </c>
      <c r="E281" s="212" t="s">
        <v>373</v>
      </c>
      <c r="F281" s="211" t="s">
        <v>85</v>
      </c>
      <c r="G281" s="212" t="s">
        <v>23</v>
      </c>
      <c r="H281" s="212" t="s">
        <v>1530</v>
      </c>
      <c r="I281" s="212">
        <v>201412</v>
      </c>
      <c r="J281" s="213">
        <v>2148.71</v>
      </c>
      <c r="K281" s="171">
        <f>VLOOKUP(I281,$T$9:$U$23,2)</f>
        <v>6</v>
      </c>
      <c r="L281" s="214">
        <v>2.23333E-3</v>
      </c>
      <c r="M281" s="213">
        <f>ROUND(J281*K281*L281,2)</f>
        <v>28.79</v>
      </c>
      <c r="N281" s="213">
        <f>ROUND(J281*L281*12,2)</f>
        <v>57.59</v>
      </c>
      <c r="O281" s="14"/>
      <c r="P281" s="210" t="str">
        <f>VLOOKUP(C281,'WO Descriptions'!$A$5:$D$345,4)</f>
        <v>Service/Yard Line Replacement (SLRP): Contract Crew.  Block by Block - Planned replacement of all unprotected steel or copper in a single block.  (Lee's Summit - East Region)</v>
      </c>
    </row>
    <row r="282" spans="1:18" outlineLevel="1">
      <c r="A282" s="256"/>
      <c r="B282" s="257"/>
      <c r="C282" s="260" t="s">
        <v>1856</v>
      </c>
      <c r="D282" s="256"/>
      <c r="E282" s="257"/>
      <c r="F282" s="256"/>
      <c r="G282" s="257"/>
      <c r="H282" s="257"/>
      <c r="I282" s="257"/>
      <c r="J282" s="258">
        <f>SUBTOTAL(9,J278:J281)</f>
        <v>62713.229999999996</v>
      </c>
      <c r="K282" s="252"/>
      <c r="L282" s="259"/>
      <c r="M282" s="258">
        <f>SUBTOTAL(9,M278:M281)</f>
        <v>1216.97</v>
      </c>
      <c r="N282" s="258">
        <f>SUBTOTAL(9,N278:N281)</f>
        <v>1680.7099999999998</v>
      </c>
      <c r="O282" s="223"/>
      <c r="P282" s="210"/>
      <c r="Q282" s="263" t="s">
        <v>2097</v>
      </c>
      <c r="R282" s="263" t="s">
        <v>2102</v>
      </c>
    </row>
    <row r="283" spans="1:18" ht="30" outlineLevel="2">
      <c r="A283" s="211" t="s">
        <v>66</v>
      </c>
      <c r="B283" s="212" t="s">
        <v>374</v>
      </c>
      <c r="C283" s="212" t="s">
        <v>375</v>
      </c>
      <c r="D283" s="211" t="s">
        <v>376</v>
      </c>
      <c r="E283" s="212" t="s">
        <v>377</v>
      </c>
      <c r="F283" s="211" t="s">
        <v>378</v>
      </c>
      <c r="G283" s="212" t="s">
        <v>23</v>
      </c>
      <c r="H283" s="212" t="s">
        <v>1530</v>
      </c>
      <c r="I283" s="212">
        <v>201409</v>
      </c>
      <c r="J283" s="213">
        <v>23482.38</v>
      </c>
      <c r="K283" s="171">
        <f>VLOOKUP(I283,$T$9:$U$23,2)</f>
        <v>9</v>
      </c>
      <c r="L283" s="214">
        <v>2.23333E-3</v>
      </c>
      <c r="M283" s="213">
        <f>ROUND(J283*K283*L283,2)</f>
        <v>472</v>
      </c>
      <c r="N283" s="213">
        <f>ROUND(J283*L283*12,2)</f>
        <v>629.33000000000004</v>
      </c>
      <c r="O283" s="14"/>
      <c r="P283" s="210" t="str">
        <f>VLOOKUP(C283,'WO Descriptions'!$A$5:$D$345,4)</f>
        <v>Service/Yard Line Replacement (SLRP): Contract Crew.  Service/yard line replacement - Material Charges Only  (Joplin - South Region)</v>
      </c>
    </row>
    <row r="284" spans="1:18" ht="30" outlineLevel="2">
      <c r="A284" s="211" t="s">
        <v>66</v>
      </c>
      <c r="B284" s="212" t="s">
        <v>374</v>
      </c>
      <c r="C284" s="212" t="s">
        <v>375</v>
      </c>
      <c r="D284" s="211" t="s">
        <v>376</v>
      </c>
      <c r="E284" s="212" t="s">
        <v>377</v>
      </c>
      <c r="F284" s="211" t="s">
        <v>378</v>
      </c>
      <c r="G284" s="212" t="s">
        <v>23</v>
      </c>
      <c r="H284" s="212" t="s">
        <v>1530</v>
      </c>
      <c r="I284" s="212">
        <v>201410</v>
      </c>
      <c r="J284" s="213">
        <v>18639.88</v>
      </c>
      <c r="K284" s="171">
        <f>VLOOKUP(I284,$T$9:$U$23,2)</f>
        <v>8</v>
      </c>
      <c r="L284" s="214">
        <v>2.23333E-3</v>
      </c>
      <c r="M284" s="213">
        <f>ROUND(J284*K284*L284,2)</f>
        <v>333.03</v>
      </c>
      <c r="N284" s="213">
        <f>ROUND(J284*L284*12,2)</f>
        <v>499.55</v>
      </c>
      <c r="O284" s="14"/>
      <c r="P284" s="210" t="str">
        <f>VLOOKUP(C284,'WO Descriptions'!$A$5:$D$345,4)</f>
        <v>Service/Yard Line Replacement (SLRP): Contract Crew.  Service/yard line replacement - Material Charges Only  (Joplin - South Region)</v>
      </c>
    </row>
    <row r="285" spans="1:18" ht="30" outlineLevel="2">
      <c r="A285" s="211" t="s">
        <v>66</v>
      </c>
      <c r="B285" s="212" t="s">
        <v>374</v>
      </c>
      <c r="C285" s="212" t="s">
        <v>375</v>
      </c>
      <c r="D285" s="211" t="s">
        <v>376</v>
      </c>
      <c r="E285" s="212" t="s">
        <v>377</v>
      </c>
      <c r="F285" s="211" t="s">
        <v>378</v>
      </c>
      <c r="G285" s="212" t="s">
        <v>23</v>
      </c>
      <c r="H285" s="212" t="s">
        <v>1530</v>
      </c>
      <c r="I285" s="212">
        <v>201411</v>
      </c>
      <c r="J285" s="213">
        <v>-119.93</v>
      </c>
      <c r="K285" s="171">
        <f>VLOOKUP(I285,$T$9:$U$23,2)</f>
        <v>7</v>
      </c>
      <c r="L285" s="214">
        <v>2.23333E-3</v>
      </c>
      <c r="M285" s="213">
        <f>ROUND(J285*K285*L285,2)</f>
        <v>-1.87</v>
      </c>
      <c r="N285" s="213">
        <f>ROUND(J285*L285*12,2)</f>
        <v>-3.21</v>
      </c>
      <c r="O285" s="14"/>
      <c r="P285" s="210" t="str">
        <f>VLOOKUP(C285,'WO Descriptions'!$A$5:$D$345,4)</f>
        <v>Service/Yard Line Replacement (SLRP): Contract Crew.  Service/yard line replacement - Material Charges Only  (Joplin - South Region)</v>
      </c>
    </row>
    <row r="286" spans="1:18" ht="30" outlineLevel="2">
      <c r="A286" s="211" t="s">
        <v>66</v>
      </c>
      <c r="B286" s="212" t="s">
        <v>374</v>
      </c>
      <c r="C286" s="212" t="s">
        <v>375</v>
      </c>
      <c r="D286" s="211" t="s">
        <v>376</v>
      </c>
      <c r="E286" s="212" t="s">
        <v>377</v>
      </c>
      <c r="F286" s="211" t="s">
        <v>378</v>
      </c>
      <c r="G286" s="212" t="s">
        <v>23</v>
      </c>
      <c r="H286" s="212" t="s">
        <v>1530</v>
      </c>
      <c r="I286" s="212">
        <v>201412</v>
      </c>
      <c r="J286" s="213">
        <v>1572.18</v>
      </c>
      <c r="K286" s="171">
        <f>VLOOKUP(I286,$T$9:$U$23,2)</f>
        <v>6</v>
      </c>
      <c r="L286" s="214">
        <v>2.23333E-3</v>
      </c>
      <c r="M286" s="213">
        <f>ROUND(J286*K286*L286,2)</f>
        <v>21.07</v>
      </c>
      <c r="N286" s="213">
        <f>ROUND(J286*L286*12,2)</f>
        <v>42.13</v>
      </c>
      <c r="O286" s="14"/>
      <c r="P286" s="210" t="str">
        <f>VLOOKUP(C286,'WO Descriptions'!$A$5:$D$345,4)</f>
        <v>Service/Yard Line Replacement (SLRP): Contract Crew.  Service/yard line replacement - Material Charges Only  (Joplin - South Region)</v>
      </c>
    </row>
    <row r="287" spans="1:18" outlineLevel="1">
      <c r="A287" s="256"/>
      <c r="B287" s="257"/>
      <c r="C287" s="260" t="s">
        <v>1857</v>
      </c>
      <c r="D287" s="256"/>
      <c r="E287" s="257"/>
      <c r="F287" s="256"/>
      <c r="G287" s="257"/>
      <c r="H287" s="257"/>
      <c r="I287" s="257"/>
      <c r="J287" s="258">
        <f>SUBTOTAL(9,J283:J286)</f>
        <v>43574.51</v>
      </c>
      <c r="K287" s="252"/>
      <c r="L287" s="259"/>
      <c r="M287" s="258">
        <f>SUBTOTAL(9,M283:M286)</f>
        <v>824.23</v>
      </c>
      <c r="N287" s="258">
        <f>SUBTOTAL(9,N283:N286)</f>
        <v>1167.8000000000002</v>
      </c>
      <c r="O287" s="223"/>
      <c r="P287" s="210"/>
      <c r="Q287" s="263" t="s">
        <v>2097</v>
      </c>
      <c r="R287" s="263" t="s">
        <v>2102</v>
      </c>
    </row>
    <row r="288" spans="1:18" ht="30" outlineLevel="2">
      <c r="A288" s="211" t="s">
        <v>66</v>
      </c>
      <c r="B288" s="212" t="s">
        <v>379</v>
      </c>
      <c r="C288" s="212" t="s">
        <v>380</v>
      </c>
      <c r="D288" s="211" t="s">
        <v>381</v>
      </c>
      <c r="E288" s="212" t="s">
        <v>382</v>
      </c>
      <c r="F288" s="211" t="s">
        <v>212</v>
      </c>
      <c r="G288" s="212" t="s">
        <v>23</v>
      </c>
      <c r="H288" s="212" t="s">
        <v>1530</v>
      </c>
      <c r="I288" s="212">
        <v>201409</v>
      </c>
      <c r="J288" s="213">
        <v>51541.52</v>
      </c>
      <c r="K288" s="171">
        <f>VLOOKUP(I288,$T$9:$U$23,2)</f>
        <v>9</v>
      </c>
      <c r="L288" s="214">
        <v>2.23333E-3</v>
      </c>
      <c r="M288" s="213">
        <f>ROUND(J288*K288*L288,2)</f>
        <v>1035.98</v>
      </c>
      <c r="N288" s="213">
        <f>ROUND(J288*L288*12,2)</f>
        <v>1381.31</v>
      </c>
      <c r="O288" s="14"/>
      <c r="P288" s="210" t="str">
        <f>VLOOKUP(C288,'WO Descriptions'!$A$5:$D$345,4)</f>
        <v>Service/Yard Line Replacement (SLRP): Contract Crew.  Immediate response - replacement single unprotected steel or copper  (Kansas City - Central Region)</v>
      </c>
    </row>
    <row r="289" spans="1:18" ht="30" outlineLevel="2">
      <c r="A289" s="211" t="s">
        <v>66</v>
      </c>
      <c r="B289" s="212" t="s">
        <v>379</v>
      </c>
      <c r="C289" s="212" t="s">
        <v>380</v>
      </c>
      <c r="D289" s="211" t="s">
        <v>381</v>
      </c>
      <c r="E289" s="212" t="s">
        <v>382</v>
      </c>
      <c r="F289" s="211" t="s">
        <v>212</v>
      </c>
      <c r="G289" s="212" t="s">
        <v>23</v>
      </c>
      <c r="H289" s="212" t="s">
        <v>1530</v>
      </c>
      <c r="I289" s="212">
        <v>201410</v>
      </c>
      <c r="J289" s="213">
        <v>44071.92</v>
      </c>
      <c r="K289" s="171">
        <f>VLOOKUP(I289,$T$9:$U$23,2)</f>
        <v>8</v>
      </c>
      <c r="L289" s="214">
        <v>2.23333E-3</v>
      </c>
      <c r="M289" s="213">
        <f>ROUND(J289*K289*L289,2)</f>
        <v>787.42</v>
      </c>
      <c r="N289" s="213">
        <f>ROUND(J289*L289*12,2)</f>
        <v>1181.1300000000001</v>
      </c>
      <c r="O289" s="14"/>
      <c r="P289" s="210" t="str">
        <f>VLOOKUP(C289,'WO Descriptions'!$A$5:$D$345,4)</f>
        <v>Service/Yard Line Replacement (SLRP): Contract Crew.  Immediate response - replacement single unprotected steel or copper  (Kansas City - Central Region)</v>
      </c>
    </row>
    <row r="290" spans="1:18" ht="30" outlineLevel="2">
      <c r="A290" s="211" t="s">
        <v>66</v>
      </c>
      <c r="B290" s="212" t="s">
        <v>379</v>
      </c>
      <c r="C290" s="212" t="s">
        <v>380</v>
      </c>
      <c r="D290" s="211" t="s">
        <v>381</v>
      </c>
      <c r="E290" s="212" t="s">
        <v>382</v>
      </c>
      <c r="F290" s="211" t="s">
        <v>212</v>
      </c>
      <c r="G290" s="212" t="s">
        <v>23</v>
      </c>
      <c r="H290" s="212" t="s">
        <v>1530</v>
      </c>
      <c r="I290" s="212">
        <v>201411</v>
      </c>
      <c r="J290" s="213">
        <v>8632.84</v>
      </c>
      <c r="K290" s="171">
        <f>VLOOKUP(I290,$T$9:$U$23,2)</f>
        <v>7</v>
      </c>
      <c r="L290" s="214">
        <v>2.23333E-3</v>
      </c>
      <c r="M290" s="213">
        <f>ROUND(J290*K290*L290,2)</f>
        <v>134.96</v>
      </c>
      <c r="N290" s="213">
        <f>ROUND(J290*L290*12,2)</f>
        <v>231.36</v>
      </c>
      <c r="O290" s="14"/>
      <c r="P290" s="210" t="str">
        <f>VLOOKUP(C290,'WO Descriptions'!$A$5:$D$345,4)</f>
        <v>Service/Yard Line Replacement (SLRP): Contract Crew.  Immediate response - replacement single unprotected steel or copper  (Kansas City - Central Region)</v>
      </c>
    </row>
    <row r="291" spans="1:18" ht="30" outlineLevel="2">
      <c r="A291" s="211" t="s">
        <v>66</v>
      </c>
      <c r="B291" s="212" t="s">
        <v>379</v>
      </c>
      <c r="C291" s="212" t="s">
        <v>380</v>
      </c>
      <c r="D291" s="211" t="s">
        <v>381</v>
      </c>
      <c r="E291" s="212" t="s">
        <v>382</v>
      </c>
      <c r="F291" s="211" t="s">
        <v>212</v>
      </c>
      <c r="G291" s="212" t="s">
        <v>23</v>
      </c>
      <c r="H291" s="212" t="s">
        <v>1530</v>
      </c>
      <c r="I291" s="212">
        <v>201412</v>
      </c>
      <c r="J291" s="213">
        <v>-3419.01</v>
      </c>
      <c r="K291" s="171">
        <f>VLOOKUP(I291,$T$9:$U$23,2)</f>
        <v>6</v>
      </c>
      <c r="L291" s="214">
        <v>2.23333E-3</v>
      </c>
      <c r="M291" s="213">
        <f>ROUND(J291*K291*L291,2)</f>
        <v>-45.81</v>
      </c>
      <c r="N291" s="213">
        <f>ROUND(J291*L291*12,2)</f>
        <v>-91.63</v>
      </c>
      <c r="O291" s="14"/>
      <c r="P291" s="210" t="str">
        <f>VLOOKUP(C291,'WO Descriptions'!$A$5:$D$345,4)</f>
        <v>Service/Yard Line Replacement (SLRP): Contract Crew.  Immediate response - replacement single unprotected steel or copper  (Kansas City - Central Region)</v>
      </c>
    </row>
    <row r="292" spans="1:18" outlineLevel="1">
      <c r="A292" s="256"/>
      <c r="B292" s="257"/>
      <c r="C292" s="260" t="s">
        <v>1858</v>
      </c>
      <c r="D292" s="256"/>
      <c r="E292" s="257"/>
      <c r="F292" s="256"/>
      <c r="G292" s="257"/>
      <c r="H292" s="257"/>
      <c r="I292" s="257"/>
      <c r="J292" s="258">
        <f>SUBTOTAL(9,J288:J291)</f>
        <v>100827.27</v>
      </c>
      <c r="K292" s="252"/>
      <c r="L292" s="259"/>
      <c r="M292" s="258">
        <f>SUBTOTAL(9,M288:M291)</f>
        <v>1912.5500000000002</v>
      </c>
      <c r="N292" s="258">
        <f>SUBTOTAL(9,N288:N291)</f>
        <v>2702.17</v>
      </c>
      <c r="O292" s="223"/>
      <c r="P292" s="210"/>
      <c r="Q292" s="263" t="s">
        <v>2097</v>
      </c>
      <c r="R292" s="263" t="s">
        <v>2102</v>
      </c>
    </row>
    <row r="293" spans="1:18" ht="30" outlineLevel="2">
      <c r="A293" s="211" t="s">
        <v>66</v>
      </c>
      <c r="B293" s="212" t="s">
        <v>383</v>
      </c>
      <c r="C293" s="212" t="s">
        <v>384</v>
      </c>
      <c r="D293" s="211" t="s">
        <v>385</v>
      </c>
      <c r="E293" s="212" t="s">
        <v>386</v>
      </c>
      <c r="F293" s="211" t="s">
        <v>387</v>
      </c>
      <c r="G293" s="212" t="s">
        <v>23</v>
      </c>
      <c r="H293" s="212" t="s">
        <v>1530</v>
      </c>
      <c r="I293" s="212">
        <v>201409</v>
      </c>
      <c r="J293" s="213">
        <v>103600.86</v>
      </c>
      <c r="K293" s="171">
        <f>VLOOKUP(I293,$T$9:$U$23,2)</f>
        <v>9</v>
      </c>
      <c r="L293" s="214">
        <v>2.23333E-3</v>
      </c>
      <c r="M293" s="213">
        <f>ROUND(J293*K293*L293,2)</f>
        <v>2082.37</v>
      </c>
      <c r="N293" s="213">
        <f>ROUND(J293*L293*12,2)</f>
        <v>2776.5</v>
      </c>
      <c r="O293" s="14"/>
      <c r="P293" s="210" t="str">
        <f>VLOOKUP(C293,'WO Descriptions'!$A$5:$D$345,4)</f>
        <v>Replacement and/or removal of existing protected steel or plastic (Kansas City - Central Region)</v>
      </c>
    </row>
    <row r="294" spans="1:18" ht="30" outlineLevel="2">
      <c r="A294" s="211" t="s">
        <v>66</v>
      </c>
      <c r="B294" s="212" t="s">
        <v>383</v>
      </c>
      <c r="C294" s="212" t="s">
        <v>384</v>
      </c>
      <c r="D294" s="211" t="s">
        <v>385</v>
      </c>
      <c r="E294" s="212" t="s">
        <v>386</v>
      </c>
      <c r="F294" s="211" t="s">
        <v>387</v>
      </c>
      <c r="G294" s="212" t="s">
        <v>23</v>
      </c>
      <c r="H294" s="212" t="s">
        <v>1530</v>
      </c>
      <c r="I294" s="212">
        <v>201410</v>
      </c>
      <c r="J294" s="213">
        <v>183813.51</v>
      </c>
      <c r="K294" s="171">
        <f>VLOOKUP(I294,$T$9:$U$23,2)</f>
        <v>8</v>
      </c>
      <c r="L294" s="214">
        <v>2.23333E-3</v>
      </c>
      <c r="M294" s="213">
        <f>ROUND(J294*K294*L294,2)</f>
        <v>3284.13</v>
      </c>
      <c r="N294" s="213">
        <f>ROUND(J294*L294*12,2)</f>
        <v>4926.1899999999996</v>
      </c>
      <c r="O294" s="14"/>
      <c r="P294" s="210" t="str">
        <f>VLOOKUP(C294,'WO Descriptions'!$A$5:$D$345,4)</f>
        <v>Replacement and/or removal of existing protected steel or plastic (Kansas City - Central Region)</v>
      </c>
    </row>
    <row r="295" spans="1:18" ht="30" outlineLevel="2">
      <c r="A295" s="211" t="s">
        <v>66</v>
      </c>
      <c r="B295" s="212" t="s">
        <v>383</v>
      </c>
      <c r="C295" s="212" t="s">
        <v>384</v>
      </c>
      <c r="D295" s="211" t="s">
        <v>385</v>
      </c>
      <c r="E295" s="212" t="s">
        <v>386</v>
      </c>
      <c r="F295" s="211" t="s">
        <v>387</v>
      </c>
      <c r="G295" s="212" t="s">
        <v>23</v>
      </c>
      <c r="H295" s="212" t="s">
        <v>1530</v>
      </c>
      <c r="I295" s="212">
        <v>201411</v>
      </c>
      <c r="J295" s="213">
        <v>112142.79</v>
      </c>
      <c r="K295" s="171">
        <f>VLOOKUP(I295,$T$9:$U$23,2)</f>
        <v>7</v>
      </c>
      <c r="L295" s="214">
        <v>2.23333E-3</v>
      </c>
      <c r="M295" s="213">
        <f>ROUND(J295*K295*L295,2)</f>
        <v>1753.16</v>
      </c>
      <c r="N295" s="213">
        <f>ROUND(J295*L295*12,2)</f>
        <v>3005.42</v>
      </c>
      <c r="O295" s="14"/>
      <c r="P295" s="210" t="str">
        <f>VLOOKUP(C295,'WO Descriptions'!$A$5:$D$345,4)</f>
        <v>Replacement and/or removal of existing protected steel or plastic (Kansas City - Central Region)</v>
      </c>
    </row>
    <row r="296" spans="1:18" ht="30" outlineLevel="2">
      <c r="A296" s="211" t="s">
        <v>66</v>
      </c>
      <c r="B296" s="212" t="s">
        <v>383</v>
      </c>
      <c r="C296" s="212" t="s">
        <v>384</v>
      </c>
      <c r="D296" s="211" t="s">
        <v>385</v>
      </c>
      <c r="E296" s="212" t="s">
        <v>386</v>
      </c>
      <c r="F296" s="211" t="s">
        <v>387</v>
      </c>
      <c r="G296" s="212" t="s">
        <v>23</v>
      </c>
      <c r="H296" s="212" t="s">
        <v>1530</v>
      </c>
      <c r="I296" s="212">
        <v>201412</v>
      </c>
      <c r="J296" s="213">
        <v>155294.04</v>
      </c>
      <c r="K296" s="171">
        <f>VLOOKUP(I296,$T$9:$U$23,2)</f>
        <v>6</v>
      </c>
      <c r="L296" s="214">
        <v>2.23333E-3</v>
      </c>
      <c r="M296" s="213">
        <f>ROUND(J296*K296*L296,2)</f>
        <v>2080.94</v>
      </c>
      <c r="N296" s="213">
        <f>ROUND(J296*L296*12,2)</f>
        <v>4161.87</v>
      </c>
      <c r="O296" s="14"/>
      <c r="P296" s="210" t="str">
        <f>VLOOKUP(C296,'WO Descriptions'!$A$5:$D$345,4)</f>
        <v>Replacement and/or removal of existing protected steel or plastic (Kansas City - Central Region)</v>
      </c>
    </row>
    <row r="297" spans="1:18" outlineLevel="1">
      <c r="A297" s="256"/>
      <c r="B297" s="257"/>
      <c r="C297" s="260" t="s">
        <v>1859</v>
      </c>
      <c r="D297" s="256"/>
      <c r="E297" s="257"/>
      <c r="F297" s="256"/>
      <c r="G297" s="257"/>
      <c r="H297" s="257"/>
      <c r="I297" s="257"/>
      <c r="J297" s="258">
        <f>SUBTOTAL(9,J293:J296)</f>
        <v>554851.19999999995</v>
      </c>
      <c r="K297" s="252"/>
      <c r="L297" s="259"/>
      <c r="M297" s="258">
        <f>SUBTOTAL(9,M293:M296)</f>
        <v>9200.6</v>
      </c>
      <c r="N297" s="258">
        <f>SUBTOTAL(9,N293:N296)</f>
        <v>14869.98</v>
      </c>
      <c r="O297" s="223"/>
      <c r="P297" s="210"/>
      <c r="Q297" s="263" t="s">
        <v>2097</v>
      </c>
      <c r="R297" s="263" t="s">
        <v>2102</v>
      </c>
    </row>
    <row r="298" spans="1:18" outlineLevel="2">
      <c r="A298" s="211" t="s">
        <v>66</v>
      </c>
      <c r="B298" s="212" t="s">
        <v>388</v>
      </c>
      <c r="C298" s="212" t="s">
        <v>389</v>
      </c>
      <c r="D298" s="211" t="s">
        <v>385</v>
      </c>
      <c r="E298" s="212" t="s">
        <v>390</v>
      </c>
      <c r="F298" s="211" t="s">
        <v>387</v>
      </c>
      <c r="G298" s="212" t="s">
        <v>23</v>
      </c>
      <c r="H298" s="212" t="s">
        <v>1530</v>
      </c>
      <c r="I298" s="212">
        <v>201409</v>
      </c>
      <c r="J298" s="213">
        <v>42682.33</v>
      </c>
      <c r="K298" s="171">
        <f>VLOOKUP(I298,$T$9:$U$23,2)</f>
        <v>9</v>
      </c>
      <c r="L298" s="214">
        <v>2.23333E-3</v>
      </c>
      <c r="M298" s="213">
        <f>ROUND(J298*K298*L298,2)</f>
        <v>857.91</v>
      </c>
      <c r="N298" s="213">
        <f>ROUND(J298*L298*12,2)</f>
        <v>1143.8800000000001</v>
      </c>
      <c r="O298" s="14"/>
      <c r="P298" s="210" t="str">
        <f>VLOOKUP(C298,'WO Descriptions'!$A$5:$D$345,4)</f>
        <v>Replacement and/or removal of existing protected steel or plastic (Lee's Summit - East Region)</v>
      </c>
    </row>
    <row r="299" spans="1:18" outlineLevel="2">
      <c r="A299" s="211" t="s">
        <v>66</v>
      </c>
      <c r="B299" s="212" t="s">
        <v>388</v>
      </c>
      <c r="C299" s="212" t="s">
        <v>389</v>
      </c>
      <c r="D299" s="211" t="s">
        <v>385</v>
      </c>
      <c r="E299" s="212" t="s">
        <v>390</v>
      </c>
      <c r="F299" s="211" t="s">
        <v>387</v>
      </c>
      <c r="G299" s="212" t="s">
        <v>23</v>
      </c>
      <c r="H299" s="212" t="s">
        <v>1530</v>
      </c>
      <c r="I299" s="212">
        <v>201410</v>
      </c>
      <c r="J299" s="213">
        <v>30625.17</v>
      </c>
      <c r="K299" s="171">
        <f>VLOOKUP(I299,$T$9:$U$23,2)</f>
        <v>8</v>
      </c>
      <c r="L299" s="214">
        <v>2.23333E-3</v>
      </c>
      <c r="M299" s="213">
        <f>ROUND(J299*K299*L299,2)</f>
        <v>547.16999999999996</v>
      </c>
      <c r="N299" s="213">
        <f>ROUND(J299*L299*12,2)</f>
        <v>820.75</v>
      </c>
      <c r="O299" s="14"/>
      <c r="P299" s="210" t="str">
        <f>VLOOKUP(C299,'WO Descriptions'!$A$5:$D$345,4)</f>
        <v>Replacement and/or removal of existing protected steel or plastic (Lee's Summit - East Region)</v>
      </c>
    </row>
    <row r="300" spans="1:18" outlineLevel="2">
      <c r="A300" s="211" t="s">
        <v>66</v>
      </c>
      <c r="B300" s="212" t="s">
        <v>388</v>
      </c>
      <c r="C300" s="212" t="s">
        <v>389</v>
      </c>
      <c r="D300" s="211" t="s">
        <v>385</v>
      </c>
      <c r="E300" s="212" t="s">
        <v>390</v>
      </c>
      <c r="F300" s="211" t="s">
        <v>387</v>
      </c>
      <c r="G300" s="212" t="s">
        <v>23</v>
      </c>
      <c r="H300" s="212" t="s">
        <v>1530</v>
      </c>
      <c r="I300" s="212">
        <v>201411</v>
      </c>
      <c r="J300" s="213">
        <v>8594.43</v>
      </c>
      <c r="K300" s="171">
        <f>VLOOKUP(I300,$T$9:$U$23,2)</f>
        <v>7</v>
      </c>
      <c r="L300" s="214">
        <v>2.23333E-3</v>
      </c>
      <c r="M300" s="213">
        <f>ROUND(J300*K300*L300,2)</f>
        <v>134.36000000000001</v>
      </c>
      <c r="N300" s="213">
        <f>ROUND(J300*L300*12,2)</f>
        <v>230.33</v>
      </c>
      <c r="O300" s="14"/>
      <c r="P300" s="210" t="str">
        <f>VLOOKUP(C300,'WO Descriptions'!$A$5:$D$345,4)</f>
        <v>Replacement and/or removal of existing protected steel or plastic (Lee's Summit - East Region)</v>
      </c>
    </row>
    <row r="301" spans="1:18" outlineLevel="2">
      <c r="A301" s="211" t="s">
        <v>66</v>
      </c>
      <c r="B301" s="212" t="s">
        <v>388</v>
      </c>
      <c r="C301" s="212" t="s">
        <v>389</v>
      </c>
      <c r="D301" s="211" t="s">
        <v>385</v>
      </c>
      <c r="E301" s="212" t="s">
        <v>390</v>
      </c>
      <c r="F301" s="211" t="s">
        <v>387</v>
      </c>
      <c r="G301" s="212" t="s">
        <v>23</v>
      </c>
      <c r="H301" s="212" t="s">
        <v>1530</v>
      </c>
      <c r="I301" s="212">
        <v>201412</v>
      </c>
      <c r="J301" s="213">
        <v>24453.55</v>
      </c>
      <c r="K301" s="171">
        <f>VLOOKUP(I301,$T$9:$U$23,2)</f>
        <v>6</v>
      </c>
      <c r="L301" s="214">
        <v>2.23333E-3</v>
      </c>
      <c r="M301" s="213">
        <f>ROUND(J301*K301*L301,2)</f>
        <v>327.68</v>
      </c>
      <c r="N301" s="213">
        <f>ROUND(J301*L301*12,2)</f>
        <v>655.35</v>
      </c>
      <c r="O301" s="14"/>
      <c r="P301" s="210" t="str">
        <f>VLOOKUP(C301,'WO Descriptions'!$A$5:$D$345,4)</f>
        <v>Replacement and/or removal of existing protected steel or plastic (Lee's Summit - East Region)</v>
      </c>
    </row>
    <row r="302" spans="1:18" outlineLevel="1">
      <c r="A302" s="256"/>
      <c r="B302" s="257"/>
      <c r="C302" s="260" t="s">
        <v>1860</v>
      </c>
      <c r="D302" s="256"/>
      <c r="E302" s="257"/>
      <c r="F302" s="256"/>
      <c r="G302" s="257"/>
      <c r="H302" s="257"/>
      <c r="I302" s="257"/>
      <c r="J302" s="258">
        <f>SUBTOTAL(9,J298:J301)</f>
        <v>106355.48</v>
      </c>
      <c r="K302" s="252"/>
      <c r="L302" s="259"/>
      <c r="M302" s="258">
        <f>SUBTOTAL(9,M298:M301)</f>
        <v>1867.1200000000001</v>
      </c>
      <c r="N302" s="258">
        <f>SUBTOTAL(9,N298:N301)</f>
        <v>2850.31</v>
      </c>
      <c r="O302" s="223"/>
      <c r="P302" s="210"/>
      <c r="Q302" s="263" t="s">
        <v>2097</v>
      </c>
      <c r="R302" s="263" t="s">
        <v>2102</v>
      </c>
    </row>
    <row r="303" spans="1:18" ht="165" outlineLevel="2">
      <c r="A303" s="14" t="s">
        <v>17</v>
      </c>
      <c r="B303" s="15" t="s">
        <v>391</v>
      </c>
      <c r="C303" s="15" t="s">
        <v>392</v>
      </c>
      <c r="D303" s="14" t="s">
        <v>393</v>
      </c>
      <c r="E303" s="15" t="s">
        <v>394</v>
      </c>
      <c r="F303" s="14" t="s">
        <v>137</v>
      </c>
      <c r="G303" s="15" t="s">
        <v>23</v>
      </c>
      <c r="H303" s="15" t="s">
        <v>1526</v>
      </c>
      <c r="I303" s="15">
        <v>201409</v>
      </c>
      <c r="J303" s="16">
        <v>-762.66</v>
      </c>
      <c r="K303" s="171">
        <f>VLOOKUP(I303,$T$9:$U$23,2)</f>
        <v>9</v>
      </c>
      <c r="L303" s="17">
        <v>1.4833299999999999E-3</v>
      </c>
      <c r="M303" s="16">
        <f>ROUND(J303*K303*L303,2)</f>
        <v>-10.18</v>
      </c>
      <c r="N303" s="16">
        <f>ROUND(J303*L303*12,2)</f>
        <v>-13.58</v>
      </c>
      <c r="O303" s="14"/>
      <c r="P303" s="210" t="str">
        <f>VLOOKUP(C303,'WO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4" spans="1:18" ht="165" outlineLevel="2">
      <c r="A304" s="14" t="s">
        <v>17</v>
      </c>
      <c r="B304" s="15" t="s">
        <v>391</v>
      </c>
      <c r="C304" s="15" t="s">
        <v>392</v>
      </c>
      <c r="D304" s="14" t="s">
        <v>393</v>
      </c>
      <c r="E304" s="15" t="s">
        <v>394</v>
      </c>
      <c r="F304" s="14" t="s">
        <v>137</v>
      </c>
      <c r="G304" s="15" t="s">
        <v>23</v>
      </c>
      <c r="H304" s="15" t="s">
        <v>1526</v>
      </c>
      <c r="I304" s="15">
        <v>201410</v>
      </c>
      <c r="J304" s="16">
        <v>3963.65</v>
      </c>
      <c r="K304" s="171">
        <f>VLOOKUP(I304,$T$9:$U$23,2)</f>
        <v>8</v>
      </c>
      <c r="L304" s="17">
        <v>1.4833299999999999E-3</v>
      </c>
      <c r="M304" s="16">
        <f>ROUND(J304*K304*L304,2)</f>
        <v>47.04</v>
      </c>
      <c r="N304" s="16">
        <f>ROUND(J304*L304*12,2)</f>
        <v>70.55</v>
      </c>
      <c r="O304" s="14"/>
      <c r="P304" s="210" t="str">
        <f>VLOOKUP(C304,'WO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5" spans="1:18" ht="165" outlineLevel="2">
      <c r="A305" s="14" t="s">
        <v>17</v>
      </c>
      <c r="B305" s="15" t="s">
        <v>391</v>
      </c>
      <c r="C305" s="15" t="s">
        <v>392</v>
      </c>
      <c r="D305" s="14" t="s">
        <v>393</v>
      </c>
      <c r="E305" s="15" t="s">
        <v>394</v>
      </c>
      <c r="F305" s="14" t="s">
        <v>137</v>
      </c>
      <c r="G305" s="15" t="s">
        <v>23</v>
      </c>
      <c r="H305" s="15" t="s">
        <v>1526</v>
      </c>
      <c r="I305" s="15">
        <v>201411</v>
      </c>
      <c r="J305" s="16">
        <v>5763.59</v>
      </c>
      <c r="K305" s="171">
        <f>VLOOKUP(I305,$T$9:$U$23,2)</f>
        <v>7</v>
      </c>
      <c r="L305" s="17">
        <v>1.4833299999999999E-3</v>
      </c>
      <c r="M305" s="16">
        <f>ROUND(J305*K305*L305,2)</f>
        <v>59.85</v>
      </c>
      <c r="N305" s="16">
        <f>ROUND(J305*L305*12,2)</f>
        <v>102.59</v>
      </c>
      <c r="O305" s="14"/>
      <c r="P305" s="210" t="str">
        <f>VLOOKUP(C305,'WO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6" spans="1:18" ht="165" outlineLevel="2">
      <c r="A306" s="14" t="s">
        <v>17</v>
      </c>
      <c r="B306" s="15" t="s">
        <v>391</v>
      </c>
      <c r="C306" s="15" t="s">
        <v>392</v>
      </c>
      <c r="D306" s="14" t="s">
        <v>393</v>
      </c>
      <c r="E306" s="15" t="s">
        <v>394</v>
      </c>
      <c r="F306" s="14" t="s">
        <v>137</v>
      </c>
      <c r="G306" s="15" t="s">
        <v>23</v>
      </c>
      <c r="H306" s="15" t="s">
        <v>1526</v>
      </c>
      <c r="I306" s="15">
        <v>201412</v>
      </c>
      <c r="J306" s="16">
        <v>-583.21</v>
      </c>
      <c r="K306" s="171">
        <f>VLOOKUP(I306,$T$9:$U$23,2)</f>
        <v>6</v>
      </c>
      <c r="L306" s="17">
        <v>1.4833299999999999E-3</v>
      </c>
      <c r="M306" s="16">
        <f>ROUND(J306*K306*L306,2)</f>
        <v>-5.19</v>
      </c>
      <c r="N306" s="16">
        <f>ROUND(J306*L306*12,2)</f>
        <v>-10.38</v>
      </c>
      <c r="O306" s="14"/>
      <c r="P306" s="210" t="str">
        <f>VLOOKUP(C306,'WO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7" spans="1:18" outlineLevel="1">
      <c r="A307" s="223"/>
      <c r="B307" s="250"/>
      <c r="C307" s="254" t="s">
        <v>1861</v>
      </c>
      <c r="D307" s="223"/>
      <c r="E307" s="250"/>
      <c r="F307" s="223"/>
      <c r="G307" s="250"/>
      <c r="H307" s="250"/>
      <c r="I307" s="250"/>
      <c r="J307" s="251">
        <f>SUBTOTAL(9,J303:J306)</f>
        <v>8381.369999999999</v>
      </c>
      <c r="K307" s="252"/>
      <c r="L307" s="253"/>
      <c r="M307" s="251">
        <f>SUBTOTAL(9,M303:M306)</f>
        <v>91.52000000000001</v>
      </c>
      <c r="N307" s="251">
        <f>SUBTOTAL(9,N303:N306)</f>
        <v>149.18</v>
      </c>
      <c r="O307" s="223"/>
      <c r="P307" s="210"/>
      <c r="Q307" s="263" t="s">
        <v>2096</v>
      </c>
    </row>
    <row r="308" spans="1:18" ht="60" outlineLevel="2">
      <c r="A308" s="14" t="s">
        <v>17</v>
      </c>
      <c r="B308" s="15" t="s">
        <v>395</v>
      </c>
      <c r="C308" s="15" t="s">
        <v>396</v>
      </c>
      <c r="D308" s="14" t="s">
        <v>397</v>
      </c>
      <c r="E308" s="15" t="s">
        <v>49</v>
      </c>
      <c r="F308" s="14" t="s">
        <v>22</v>
      </c>
      <c r="G308" s="15" t="s">
        <v>23</v>
      </c>
      <c r="H308" s="15" t="s">
        <v>1525</v>
      </c>
      <c r="I308" s="15">
        <v>201409</v>
      </c>
      <c r="J308" s="16">
        <v>-5.66</v>
      </c>
      <c r="K308" s="171">
        <f>VLOOKUP(I308,$T$9:$U$23,2)</f>
        <v>9</v>
      </c>
      <c r="L308" s="17">
        <v>1.4833299999999999E-3</v>
      </c>
      <c r="M308" s="16">
        <f>ROUND(J308*K308*L308,2)</f>
        <v>-0.08</v>
      </c>
      <c r="N308" s="16">
        <f>ROUND(J308*L308*12,2)</f>
        <v>-0.1</v>
      </c>
      <c r="O308" s="14"/>
      <c r="P308" s="210" t="str">
        <f>VLOOKUP(C308,'WO Descriptions'!$A$5:$D$345,4)</f>
        <v>Approved by: Galen Shoemaker on 01/14/2013,  Abandon 148' - 2&amp;quot; PBS (WO#: 29003) and replace with 165' - 2&amp;quot; PE to clear one (1) - #3 leak. Project Location: Mill and Cliborne; Pressure System: C-1; MOP: 39.5 psig; MAOP: 39.5 psig; Design: 58 psig; Test: 100 psig; ISRS $50.24/ft</v>
      </c>
    </row>
    <row r="309" spans="1:18" outlineLevel="1">
      <c r="A309" s="223"/>
      <c r="B309" s="250"/>
      <c r="C309" s="254" t="s">
        <v>1862</v>
      </c>
      <c r="D309" s="223"/>
      <c r="E309" s="250"/>
      <c r="F309" s="223"/>
      <c r="G309" s="250"/>
      <c r="H309" s="250"/>
      <c r="I309" s="250"/>
      <c r="J309" s="251">
        <f>SUBTOTAL(9,J308:J308)</f>
        <v>-5.66</v>
      </c>
      <c r="K309" s="252"/>
      <c r="L309" s="253"/>
      <c r="M309" s="251">
        <f>SUBTOTAL(9,M308:M308)</f>
        <v>-0.08</v>
      </c>
      <c r="N309" s="251">
        <f>SUBTOTAL(9,N308:N308)</f>
        <v>-0.1</v>
      </c>
      <c r="O309" s="223"/>
      <c r="P309" s="210"/>
      <c r="Q309" s="263" t="s">
        <v>2097</v>
      </c>
      <c r="R309" s="263" t="s">
        <v>2098</v>
      </c>
    </row>
    <row r="310" spans="1:18" ht="60" outlineLevel="2">
      <c r="A310" s="14" t="s">
        <v>17</v>
      </c>
      <c r="B310" s="15" t="s">
        <v>398</v>
      </c>
      <c r="C310" s="15" t="s">
        <v>399</v>
      </c>
      <c r="D310" s="14" t="s">
        <v>400</v>
      </c>
      <c r="E310" s="15" t="s">
        <v>104</v>
      </c>
      <c r="F310" s="14" t="s">
        <v>41</v>
      </c>
      <c r="G310" s="15" t="s">
        <v>23</v>
      </c>
      <c r="H310" s="15" t="s">
        <v>1526</v>
      </c>
      <c r="I310" s="15">
        <v>201409</v>
      </c>
      <c r="J310" s="16">
        <v>-13.72</v>
      </c>
      <c r="K310" s="171">
        <f>VLOOKUP(I310,$T$9:$U$23,2)</f>
        <v>9</v>
      </c>
      <c r="L310" s="17">
        <v>1.4833299999999999E-3</v>
      </c>
      <c r="M310" s="16">
        <f>ROUND(J310*K310*L310,2)</f>
        <v>-0.18</v>
      </c>
      <c r="N310" s="16">
        <f>ROUND(J310*L310*12,2)</f>
        <v>-0.24</v>
      </c>
      <c r="O310" s="14"/>
      <c r="P310" s="210" t="str">
        <f>VLOOKUP(C310,'WO Descriptions'!$A$5:$D$345,4)</f>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
    </row>
    <row r="311" spans="1:18" outlineLevel="1">
      <c r="A311" s="223"/>
      <c r="B311" s="250"/>
      <c r="C311" s="254" t="s">
        <v>1863</v>
      </c>
      <c r="D311" s="223"/>
      <c r="E311" s="250"/>
      <c r="F311" s="223"/>
      <c r="G311" s="250"/>
      <c r="H311" s="250"/>
      <c r="I311" s="250"/>
      <c r="J311" s="251">
        <f>SUBTOTAL(9,J310:J310)</f>
        <v>-13.72</v>
      </c>
      <c r="K311" s="252"/>
      <c r="L311" s="253"/>
      <c r="M311" s="251">
        <f>SUBTOTAL(9,M310:M310)</f>
        <v>-0.18</v>
      </c>
      <c r="N311" s="251">
        <f>SUBTOTAL(9,N310:N310)</f>
        <v>-0.24</v>
      </c>
      <c r="O311" s="223"/>
      <c r="P311" s="210"/>
      <c r="Q311" s="263" t="s">
        <v>2096</v>
      </c>
    </row>
    <row r="312" spans="1:18" ht="105" outlineLevel="2">
      <c r="A312" s="14" t="s">
        <v>238</v>
      </c>
      <c r="B312" s="15" t="s">
        <v>401</v>
      </c>
      <c r="C312" s="15" t="s">
        <v>402</v>
      </c>
      <c r="D312" s="14" t="s">
        <v>403</v>
      </c>
      <c r="E312" s="15" t="s">
        <v>168</v>
      </c>
      <c r="F312" s="14" t="s">
        <v>169</v>
      </c>
      <c r="G312" s="15" t="s">
        <v>23</v>
      </c>
      <c r="H312" s="15" t="s">
        <v>1528</v>
      </c>
      <c r="I312" s="15">
        <v>201409</v>
      </c>
      <c r="J312" s="16">
        <v>-304.64</v>
      </c>
      <c r="K312" s="171">
        <f>VLOOKUP(I312,$T$9:$U$23,2)</f>
        <v>9</v>
      </c>
      <c r="L312" s="17">
        <v>2.3833299999999999E-3</v>
      </c>
      <c r="M312" s="16">
        <f>ROUND(J312*K312*L312,2)</f>
        <v>-6.53</v>
      </c>
      <c r="N312" s="16">
        <f>ROUND(J312*L312*12,2)</f>
        <v>-8.7100000000000009</v>
      </c>
      <c r="O312" s="14"/>
      <c r="P312" s="210" t="str">
        <f>VLOOKUP(C312,'WO Descriptions'!$A$5:$D$345,4)</f>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
    </row>
    <row r="313" spans="1:18" outlineLevel="1">
      <c r="A313" s="223"/>
      <c r="B313" s="250"/>
      <c r="C313" s="254" t="s">
        <v>1864</v>
      </c>
      <c r="D313" s="223"/>
      <c r="E313" s="250"/>
      <c r="F313" s="223"/>
      <c r="G313" s="250"/>
      <c r="H313" s="250"/>
      <c r="I313" s="250"/>
      <c r="J313" s="251">
        <f>SUBTOTAL(9,J312:J312)</f>
        <v>-304.64</v>
      </c>
      <c r="K313" s="252"/>
      <c r="L313" s="253"/>
      <c r="M313" s="251">
        <f>SUBTOTAL(9,M312:M312)</f>
        <v>-6.53</v>
      </c>
      <c r="N313" s="251">
        <f>SUBTOTAL(9,N312:N312)</f>
        <v>-8.7100000000000009</v>
      </c>
      <c r="O313" s="223"/>
      <c r="P313" s="210"/>
      <c r="Q313" s="263" t="s">
        <v>2097</v>
      </c>
      <c r="R313" s="263" t="s">
        <v>2099</v>
      </c>
    </row>
    <row r="314" spans="1:18" ht="60" outlineLevel="2">
      <c r="A314" s="14" t="s">
        <v>17</v>
      </c>
      <c r="B314" s="15" t="s">
        <v>404</v>
      </c>
      <c r="C314" s="15" t="s">
        <v>405</v>
      </c>
      <c r="D314" s="14" t="s">
        <v>406</v>
      </c>
      <c r="E314" s="15" t="s">
        <v>58</v>
      </c>
      <c r="F314" s="14" t="s">
        <v>22</v>
      </c>
      <c r="G314" s="15" t="s">
        <v>23</v>
      </c>
      <c r="H314" s="15" t="s">
        <v>1525</v>
      </c>
      <c r="I314" s="15">
        <v>201409</v>
      </c>
      <c r="J314" s="16">
        <v>-346.31</v>
      </c>
      <c r="K314" s="171">
        <f>VLOOKUP(I314,$T$9:$U$23,2)</f>
        <v>9</v>
      </c>
      <c r="L314" s="17">
        <v>1.4833299999999999E-3</v>
      </c>
      <c r="M314" s="16">
        <f>ROUND(J314*K314*L314,2)</f>
        <v>-4.62</v>
      </c>
      <c r="N314" s="16">
        <f>ROUND(J314*L314*12,2)</f>
        <v>-6.16</v>
      </c>
      <c r="O314" s="14"/>
      <c r="P314" s="210" t="str">
        <f>VLOOKUP(C314,'WO Descriptions'!$A$5:$D$345,4)</f>
        <v>Approved by: Galen Shoemaker on 02/18/2013,  Abandon 583' - 2in PBS (WO#: NONE) and replace with 585' - 2in PE to clear 3 - #3 Leaks (Leak No's: 09-0089, 12-0056, 13-0014). Project Location: Poplar and Tennessee; Pressure System: C-1; MOP: 1.50 psig; MAOP: 1.69 psig; Design: 58 psig; Test: 100 psig; ISRS $33.30/ft</v>
      </c>
    </row>
    <row r="315" spans="1:18" outlineLevel="1">
      <c r="A315" s="223"/>
      <c r="B315" s="250"/>
      <c r="C315" s="254" t="s">
        <v>1865</v>
      </c>
      <c r="D315" s="223"/>
      <c r="E315" s="250"/>
      <c r="F315" s="223"/>
      <c r="G315" s="250"/>
      <c r="H315" s="250"/>
      <c r="I315" s="250"/>
      <c r="J315" s="251">
        <f>SUBTOTAL(9,J314:J314)</f>
        <v>-346.31</v>
      </c>
      <c r="K315" s="252"/>
      <c r="L315" s="253"/>
      <c r="M315" s="251">
        <f>SUBTOTAL(9,M314:M314)</f>
        <v>-4.62</v>
      </c>
      <c r="N315" s="251">
        <f>SUBTOTAL(9,N314:N314)</f>
        <v>-6.16</v>
      </c>
      <c r="O315" s="223"/>
      <c r="P315" s="210"/>
      <c r="Q315" s="263" t="s">
        <v>2097</v>
      </c>
      <c r="R315" s="263" t="s">
        <v>2098</v>
      </c>
    </row>
    <row r="316" spans="1:18" ht="90" outlineLevel="2">
      <c r="A316" s="14" t="s">
        <v>17</v>
      </c>
      <c r="B316" s="15" t="s">
        <v>407</v>
      </c>
      <c r="C316" s="15" t="s">
        <v>408</v>
      </c>
      <c r="D316" s="14" t="s">
        <v>409</v>
      </c>
      <c r="E316" s="15" t="s">
        <v>53</v>
      </c>
      <c r="F316" s="14" t="s">
        <v>41</v>
      </c>
      <c r="G316" s="15" t="s">
        <v>23</v>
      </c>
      <c r="H316" s="15" t="s">
        <v>1526</v>
      </c>
      <c r="I316" s="15">
        <v>201409</v>
      </c>
      <c r="J316" s="16">
        <v>-191.38</v>
      </c>
      <c r="K316" s="171">
        <f>VLOOKUP(I316,$T$9:$U$23,2)</f>
        <v>9</v>
      </c>
      <c r="L316" s="17">
        <v>1.4833299999999999E-3</v>
      </c>
      <c r="M316" s="16">
        <f>ROUND(J316*K316*L316,2)</f>
        <v>-2.5499999999999998</v>
      </c>
      <c r="N316" s="16">
        <f>ROUND(J316*L316*12,2)</f>
        <v>-3.41</v>
      </c>
      <c r="O316" s="14"/>
      <c r="P316" s="210" t="str">
        <f>VLOOKUP(C316,'WO Descriptions'!$A$5:$D$345,4)</f>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
    </row>
    <row r="317" spans="1:18" outlineLevel="1">
      <c r="A317" s="223"/>
      <c r="B317" s="250"/>
      <c r="C317" s="254" t="s">
        <v>1866</v>
      </c>
      <c r="D317" s="223"/>
      <c r="E317" s="250"/>
      <c r="F317" s="223"/>
      <c r="G317" s="250"/>
      <c r="H317" s="250"/>
      <c r="I317" s="250"/>
      <c r="J317" s="251">
        <f>SUBTOTAL(9,J316:J316)</f>
        <v>-191.38</v>
      </c>
      <c r="K317" s="252"/>
      <c r="L317" s="253"/>
      <c r="M317" s="251">
        <f>SUBTOTAL(9,M316:M316)</f>
        <v>-2.5499999999999998</v>
      </c>
      <c r="N317" s="251">
        <f>SUBTOTAL(9,N316:N316)</f>
        <v>-3.41</v>
      </c>
      <c r="O317" s="223"/>
      <c r="P317" s="210"/>
      <c r="Q317" s="263" t="s">
        <v>2096</v>
      </c>
    </row>
    <row r="318" spans="1:18" ht="45" outlineLevel="2">
      <c r="A318" s="14" t="s">
        <v>54</v>
      </c>
      <c r="B318" s="15" t="s">
        <v>410</v>
      </c>
      <c r="C318" s="15" t="s">
        <v>411</v>
      </c>
      <c r="D318" s="14" t="s">
        <v>412</v>
      </c>
      <c r="E318" s="15" t="s">
        <v>62</v>
      </c>
      <c r="F318" s="14" t="s">
        <v>22</v>
      </c>
      <c r="G318" s="15" t="s">
        <v>23</v>
      </c>
      <c r="H318" s="15" t="s">
        <v>1525</v>
      </c>
      <c r="I318" s="15">
        <v>201409</v>
      </c>
      <c r="J318" s="16">
        <v>-363.84</v>
      </c>
      <c r="K318" s="171">
        <f>VLOOKUP(I318,$T$9:$U$23,2)</f>
        <v>9</v>
      </c>
      <c r="L318" s="17">
        <v>1.4833299999999999E-3</v>
      </c>
      <c r="M318" s="16">
        <f>ROUND(J318*K318*L318,2)</f>
        <v>-4.8600000000000003</v>
      </c>
      <c r="N318" s="16">
        <f>ROUND(J318*L318*12,2)</f>
        <v>-6.48</v>
      </c>
      <c r="O318" s="14"/>
      <c r="P318" s="210" t="str">
        <f>VLOOKUP(C318,'WO Descriptions'!$A$5:$D$345,4)</f>
        <v>Approved by: Ralph Janes on 10/30/2012,  Replace and abandon 340' - 3in PBS (unknown WO), 23' - 2in PE (WO# 10-6676), and 154' - 2in PCS (WO# 63-2399) with 500' - 2in PE main. The existing main has a history of leakage. Price per ft = $49.44  (ISRS)</v>
      </c>
    </row>
    <row r="319" spans="1:18" outlineLevel="1">
      <c r="A319" s="223"/>
      <c r="B319" s="250"/>
      <c r="C319" s="254" t="s">
        <v>1867</v>
      </c>
      <c r="D319" s="223"/>
      <c r="E319" s="250"/>
      <c r="F319" s="223"/>
      <c r="G319" s="250"/>
      <c r="H319" s="250"/>
      <c r="I319" s="250"/>
      <c r="J319" s="251">
        <f>SUBTOTAL(9,J318:J318)</f>
        <v>-363.84</v>
      </c>
      <c r="K319" s="252"/>
      <c r="L319" s="253"/>
      <c r="M319" s="251">
        <f>SUBTOTAL(9,M318:M318)</f>
        <v>-4.8600000000000003</v>
      </c>
      <c r="N319" s="251">
        <f>SUBTOTAL(9,N318:N318)</f>
        <v>-6.48</v>
      </c>
      <c r="O319" s="223"/>
      <c r="P319" s="210"/>
      <c r="Q319" s="263" t="s">
        <v>2097</v>
      </c>
      <c r="R319" s="263" t="s">
        <v>2098</v>
      </c>
    </row>
    <row r="320" spans="1:18" ht="45" outlineLevel="2">
      <c r="A320" s="14" t="s">
        <v>17</v>
      </c>
      <c r="B320" s="15" t="s">
        <v>413</v>
      </c>
      <c r="C320" s="15" t="s">
        <v>414</v>
      </c>
      <c r="D320" s="14" t="s">
        <v>415</v>
      </c>
      <c r="E320" s="15" t="s">
        <v>104</v>
      </c>
      <c r="F320" s="14" t="s">
        <v>41</v>
      </c>
      <c r="G320" s="15" t="s">
        <v>23</v>
      </c>
      <c r="H320" s="15" t="s">
        <v>1526</v>
      </c>
      <c r="I320" s="15">
        <v>201409</v>
      </c>
      <c r="J320" s="16">
        <v>-174.39</v>
      </c>
      <c r="K320" s="171">
        <f>VLOOKUP(I320,$T$9:$U$23,2)</f>
        <v>9</v>
      </c>
      <c r="L320" s="17">
        <v>1.4833299999999999E-3</v>
      </c>
      <c r="M320" s="16">
        <f>ROUND(J320*K320*L320,2)</f>
        <v>-2.33</v>
      </c>
      <c r="N320" s="16">
        <f>ROUND(J320*L320*12,2)</f>
        <v>-3.1</v>
      </c>
      <c r="O320" s="14"/>
      <c r="P320" s="210" t="str">
        <f>VLOOKUP(C320,'WO Descriptions'!$A$5:$D$345,4)</f>
        <v>Approved by: Ralph Janes on 09/23/2013,  Main to abandon: 90' of 6" PCS from wo# 62-1425 and 108' of 2" PE from wo# 89-1285. Also, remove EV 704. Install 114' of 6" PCS on WO# 13-2741. Main relocation is due to "Main Street Drainage Improvements Phase 1" in Concordia, MO.</v>
      </c>
    </row>
    <row r="321" spans="1:18" outlineLevel="1">
      <c r="A321" s="223"/>
      <c r="B321" s="250"/>
      <c r="C321" s="254" t="s">
        <v>1868</v>
      </c>
      <c r="D321" s="223"/>
      <c r="E321" s="250"/>
      <c r="F321" s="223"/>
      <c r="G321" s="250"/>
      <c r="H321" s="250"/>
      <c r="I321" s="250"/>
      <c r="J321" s="251">
        <f>SUBTOTAL(9,J320:J320)</f>
        <v>-174.39</v>
      </c>
      <c r="K321" s="252"/>
      <c r="L321" s="253"/>
      <c r="M321" s="251">
        <f>SUBTOTAL(9,M320:M320)</f>
        <v>-2.33</v>
      </c>
      <c r="N321" s="251">
        <f>SUBTOTAL(9,N320:N320)</f>
        <v>-3.1</v>
      </c>
      <c r="O321" s="223"/>
      <c r="P321" s="210"/>
      <c r="Q321" s="263" t="s">
        <v>2096</v>
      </c>
    </row>
    <row r="322" spans="1:18" ht="60" outlineLevel="2">
      <c r="A322" s="14" t="s">
        <v>54</v>
      </c>
      <c r="B322" s="15" t="s">
        <v>416</v>
      </c>
      <c r="C322" s="15" t="s">
        <v>417</v>
      </c>
      <c r="D322" s="14" t="s">
        <v>418</v>
      </c>
      <c r="E322" s="15" t="s">
        <v>141</v>
      </c>
      <c r="F322" s="14" t="s">
        <v>142</v>
      </c>
      <c r="G322" s="15" t="s">
        <v>23</v>
      </c>
      <c r="H322" s="15" t="s">
        <v>1525</v>
      </c>
      <c r="I322" s="15">
        <v>201409</v>
      </c>
      <c r="J322" s="16">
        <v>679.2</v>
      </c>
      <c r="K322" s="171">
        <f>VLOOKUP(I322,$T$9:$U$23,2)</f>
        <v>9</v>
      </c>
      <c r="L322" s="17">
        <v>1.4833299999999999E-3</v>
      </c>
      <c r="M322" s="16">
        <f>ROUND(J322*K322*L322,2)</f>
        <v>9.07</v>
      </c>
      <c r="N322" s="16">
        <f>ROUND(J322*L322*12,2)</f>
        <v>12.09</v>
      </c>
      <c r="O322" s="14"/>
      <c r="P322" s="210" t="str">
        <f>VLOOKUP(C322,'WO Descriptions'!$A$5:$D$345,4)</f>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
    </row>
    <row r="323" spans="1:18" outlineLevel="1">
      <c r="A323" s="223"/>
      <c r="B323" s="250"/>
      <c r="C323" s="254" t="s">
        <v>1869</v>
      </c>
      <c r="D323" s="223"/>
      <c r="E323" s="250"/>
      <c r="F323" s="223"/>
      <c r="G323" s="250"/>
      <c r="H323" s="250"/>
      <c r="I323" s="250"/>
      <c r="J323" s="251">
        <f>SUBTOTAL(9,J322:J322)</f>
        <v>679.2</v>
      </c>
      <c r="K323" s="252"/>
      <c r="L323" s="253"/>
      <c r="M323" s="251">
        <f>SUBTOTAL(9,M322:M322)</f>
        <v>9.07</v>
      </c>
      <c r="N323" s="251">
        <f>SUBTOTAL(9,N322:N322)</f>
        <v>12.09</v>
      </c>
      <c r="O323" s="223"/>
      <c r="P323" s="210"/>
      <c r="Q323" s="263" t="s">
        <v>2097</v>
      </c>
      <c r="R323" s="263" t="s">
        <v>2100</v>
      </c>
    </row>
    <row r="324" spans="1:18" ht="75" outlineLevel="2">
      <c r="A324" s="14" t="s">
        <v>54</v>
      </c>
      <c r="B324" s="15" t="s">
        <v>419</v>
      </c>
      <c r="C324" s="15" t="s">
        <v>420</v>
      </c>
      <c r="D324" s="14" t="s">
        <v>421</v>
      </c>
      <c r="E324" s="15" t="s">
        <v>32</v>
      </c>
      <c r="F324" s="14" t="s">
        <v>22</v>
      </c>
      <c r="G324" s="15" t="s">
        <v>23</v>
      </c>
      <c r="H324" s="15" t="s">
        <v>1525</v>
      </c>
      <c r="I324" s="15">
        <v>201409</v>
      </c>
      <c r="J324" s="16">
        <v>-1167.31</v>
      </c>
      <c r="K324" s="171">
        <f>VLOOKUP(I324,$T$9:$U$23,2)</f>
        <v>9</v>
      </c>
      <c r="L324" s="17">
        <v>1.4833299999999999E-3</v>
      </c>
      <c r="M324" s="16">
        <f>ROUND(J324*K324*L324,2)</f>
        <v>-15.58</v>
      </c>
      <c r="N324" s="16">
        <f>ROUND(J324*L324*12,2)</f>
        <v>-20.78</v>
      </c>
      <c r="O324" s="14"/>
      <c r="P324" s="210" t="str">
        <f>VLOOKUP(C324,'WO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5" spans="1:18" ht="75" outlineLevel="2">
      <c r="A325" s="14" t="s">
        <v>54</v>
      </c>
      <c r="B325" s="15" t="s">
        <v>419</v>
      </c>
      <c r="C325" s="15" t="s">
        <v>420</v>
      </c>
      <c r="D325" s="14" t="s">
        <v>421</v>
      </c>
      <c r="E325" s="15" t="s">
        <v>32</v>
      </c>
      <c r="F325" s="14" t="s">
        <v>22</v>
      </c>
      <c r="G325" s="15" t="s">
        <v>23</v>
      </c>
      <c r="H325" s="15" t="s">
        <v>1525</v>
      </c>
      <c r="I325" s="15">
        <v>201410</v>
      </c>
      <c r="J325" s="16">
        <v>129.69</v>
      </c>
      <c r="K325" s="171">
        <f>VLOOKUP(I325,$T$9:$U$23,2)</f>
        <v>8</v>
      </c>
      <c r="L325" s="17">
        <v>1.4833299999999999E-3</v>
      </c>
      <c r="M325" s="16">
        <f>ROUND(J325*K325*L325,2)</f>
        <v>1.54</v>
      </c>
      <c r="N325" s="16">
        <f>ROUND(J325*L325*12,2)</f>
        <v>2.31</v>
      </c>
      <c r="O325" s="14"/>
      <c r="P325" s="210" t="str">
        <f>VLOOKUP(C325,'WO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6" spans="1:18" ht="75" outlineLevel="2">
      <c r="A326" s="14" t="s">
        <v>54</v>
      </c>
      <c r="B326" s="15" t="s">
        <v>419</v>
      </c>
      <c r="C326" s="15" t="s">
        <v>420</v>
      </c>
      <c r="D326" s="14" t="s">
        <v>421</v>
      </c>
      <c r="E326" s="15" t="s">
        <v>32</v>
      </c>
      <c r="F326" s="14" t="s">
        <v>22</v>
      </c>
      <c r="G326" s="15" t="s">
        <v>23</v>
      </c>
      <c r="H326" s="15" t="s">
        <v>1525</v>
      </c>
      <c r="I326" s="15">
        <v>201411</v>
      </c>
      <c r="J326" s="16">
        <v>-3.53</v>
      </c>
      <c r="K326" s="171">
        <f>VLOOKUP(I326,$T$9:$U$23,2)</f>
        <v>7</v>
      </c>
      <c r="L326" s="17">
        <v>1.4833299999999999E-3</v>
      </c>
      <c r="M326" s="16">
        <f>ROUND(J326*K326*L326,2)</f>
        <v>-0.04</v>
      </c>
      <c r="N326" s="16">
        <f>ROUND(J326*L326*12,2)</f>
        <v>-0.06</v>
      </c>
      <c r="O326" s="14"/>
      <c r="P326" s="210" t="str">
        <f>VLOOKUP(C326,'WO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7" spans="1:18" ht="75" outlineLevel="2">
      <c r="A327" s="14" t="s">
        <v>54</v>
      </c>
      <c r="B327" s="15" t="s">
        <v>419</v>
      </c>
      <c r="C327" s="15" t="s">
        <v>420</v>
      </c>
      <c r="D327" s="14" t="s">
        <v>421</v>
      </c>
      <c r="E327" s="15" t="s">
        <v>32</v>
      </c>
      <c r="F327" s="14" t="s">
        <v>22</v>
      </c>
      <c r="G327" s="15" t="s">
        <v>23</v>
      </c>
      <c r="H327" s="15" t="s">
        <v>1525</v>
      </c>
      <c r="I327" s="15">
        <v>201412</v>
      </c>
      <c r="J327" s="16">
        <v>-11.23</v>
      </c>
      <c r="K327" s="171">
        <f>VLOOKUP(I327,$T$9:$U$23,2)</f>
        <v>6</v>
      </c>
      <c r="L327" s="17">
        <v>1.4833299999999999E-3</v>
      </c>
      <c r="M327" s="16">
        <f>ROUND(J327*K327*L327,2)</f>
        <v>-0.1</v>
      </c>
      <c r="N327" s="16">
        <f>ROUND(J327*L327*12,2)</f>
        <v>-0.2</v>
      </c>
      <c r="O327" s="14"/>
      <c r="P327" s="210" t="str">
        <f>VLOOKUP(C327,'WO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8" spans="1:18" outlineLevel="1">
      <c r="A328" s="223"/>
      <c r="B328" s="250"/>
      <c r="C328" s="254" t="s">
        <v>1870</v>
      </c>
      <c r="D328" s="223"/>
      <c r="E328" s="250"/>
      <c r="F328" s="223"/>
      <c r="G328" s="250"/>
      <c r="H328" s="250"/>
      <c r="I328" s="250"/>
      <c r="J328" s="251">
        <f>SUBTOTAL(9,J324:J327)</f>
        <v>-1052.3799999999999</v>
      </c>
      <c r="K328" s="252"/>
      <c r="L328" s="253"/>
      <c r="M328" s="251">
        <f>SUBTOTAL(9,M324:M327)</f>
        <v>-14.179999999999998</v>
      </c>
      <c r="N328" s="251">
        <f>SUBTOTAL(9,N324:N327)</f>
        <v>-18.73</v>
      </c>
      <c r="O328" s="223"/>
      <c r="P328" s="210"/>
      <c r="Q328" s="263" t="s">
        <v>2097</v>
      </c>
      <c r="R328" s="263" t="s">
        <v>2098</v>
      </c>
    </row>
    <row r="329" spans="1:18" ht="135" outlineLevel="2">
      <c r="A329" s="14" t="s">
        <v>17</v>
      </c>
      <c r="B329" s="15" t="s">
        <v>422</v>
      </c>
      <c r="C329" s="15" t="s">
        <v>423</v>
      </c>
      <c r="D329" s="14" t="s">
        <v>424</v>
      </c>
      <c r="E329" s="15" t="s">
        <v>246</v>
      </c>
      <c r="F329" s="14" t="s">
        <v>247</v>
      </c>
      <c r="G329" s="15" t="s">
        <v>23</v>
      </c>
      <c r="H329" s="15" t="s">
        <v>1525</v>
      </c>
      <c r="I329" s="15">
        <v>201409</v>
      </c>
      <c r="J329" s="16">
        <v>-418.81</v>
      </c>
      <c r="K329" s="171">
        <f>VLOOKUP(I329,$T$9:$U$23,2)</f>
        <v>9</v>
      </c>
      <c r="L329" s="17">
        <v>1.4833299999999999E-3</v>
      </c>
      <c r="M329" s="16">
        <f>ROUND(J329*K329*L329,2)</f>
        <v>-5.59</v>
      </c>
      <c r="N329" s="16">
        <f>ROUND(J329*L329*12,2)</f>
        <v>-7.45</v>
      </c>
      <c r="O329" s="14"/>
      <c r="P329" s="210" t="str">
        <f>VLOOKUP(C329,'WO Descriptions'!$A$5:$D$345,4)</f>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
    </row>
    <row r="330" spans="1:18" outlineLevel="1">
      <c r="A330" s="223"/>
      <c r="B330" s="250"/>
      <c r="C330" s="254" t="s">
        <v>1871</v>
      </c>
      <c r="D330" s="223"/>
      <c r="E330" s="250"/>
      <c r="F330" s="223"/>
      <c r="G330" s="250"/>
      <c r="H330" s="250"/>
      <c r="I330" s="250"/>
      <c r="J330" s="251">
        <f>SUBTOTAL(9,J329:J329)</f>
        <v>-418.81</v>
      </c>
      <c r="K330" s="252"/>
      <c r="L330" s="253"/>
      <c r="M330" s="251">
        <f>SUBTOTAL(9,M329:M329)</f>
        <v>-5.59</v>
      </c>
      <c r="N330" s="251">
        <f>SUBTOTAL(9,N329:N329)</f>
        <v>-7.45</v>
      </c>
      <c r="O330" s="223"/>
      <c r="P330" s="210"/>
      <c r="Q330" s="263" t="s">
        <v>2097</v>
      </c>
      <c r="R330" s="263" t="s">
        <v>2101</v>
      </c>
    </row>
    <row r="331" spans="1:18" ht="30" outlineLevel="2">
      <c r="A331" s="14" t="s">
        <v>17</v>
      </c>
      <c r="B331" s="15" t="s">
        <v>425</v>
      </c>
      <c r="C331" s="15" t="s">
        <v>426</v>
      </c>
      <c r="D331" s="14" t="s">
        <v>427</v>
      </c>
      <c r="E331" s="15" t="s">
        <v>104</v>
      </c>
      <c r="F331" s="14" t="s">
        <v>41</v>
      </c>
      <c r="G331" s="15" t="s">
        <v>23</v>
      </c>
      <c r="H331" s="15" t="s">
        <v>1526</v>
      </c>
      <c r="I331" s="15">
        <v>201409</v>
      </c>
      <c r="J331" s="16">
        <v>1.99</v>
      </c>
      <c r="K331" s="171">
        <f>VLOOKUP(I331,$T$9:$U$23,2)</f>
        <v>9</v>
      </c>
      <c r="L331" s="17">
        <v>1.4833299999999999E-3</v>
      </c>
      <c r="M331" s="16">
        <f>ROUND(J331*K331*L331,2)</f>
        <v>0.03</v>
      </c>
      <c r="N331" s="16">
        <f>ROUND(J331*L331*12,2)</f>
        <v>0.04</v>
      </c>
      <c r="O331" s="14"/>
      <c r="P331" s="210" t="str">
        <f>VLOOKUP(C331,'WO Descriptions'!$A$5:$D$345,4)</f>
        <v>Approved by: Ralph Janes on 10/09/2013,  Public Improvement Project: Country Lane Storm. Relocate 10' of 2in PE for a storm sewer installation. Main to retire: 8' - 2in PE (WO# 78-3732).</v>
      </c>
    </row>
    <row r="332" spans="1:18" outlineLevel="1">
      <c r="A332" s="223"/>
      <c r="B332" s="250"/>
      <c r="C332" s="254" t="s">
        <v>1872</v>
      </c>
      <c r="D332" s="223"/>
      <c r="E332" s="250"/>
      <c r="F332" s="223"/>
      <c r="G332" s="250"/>
      <c r="H332" s="250"/>
      <c r="I332" s="250"/>
      <c r="J332" s="251">
        <f>SUBTOTAL(9,J331:J331)</f>
        <v>1.99</v>
      </c>
      <c r="K332" s="252"/>
      <c r="L332" s="253"/>
      <c r="M332" s="251">
        <f>SUBTOTAL(9,M331:M331)</f>
        <v>0.03</v>
      </c>
      <c r="N332" s="251">
        <f>SUBTOTAL(9,N331:N331)</f>
        <v>0.04</v>
      </c>
      <c r="O332" s="223"/>
      <c r="P332" s="210"/>
      <c r="Q332" s="263" t="s">
        <v>2096</v>
      </c>
    </row>
    <row r="333" spans="1:18" ht="60" outlineLevel="2">
      <c r="A333" s="14" t="s">
        <v>17</v>
      </c>
      <c r="B333" s="15" t="s">
        <v>428</v>
      </c>
      <c r="C333" s="15" t="s">
        <v>429</v>
      </c>
      <c r="D333" s="14" t="s">
        <v>430</v>
      </c>
      <c r="E333" s="15" t="s">
        <v>32</v>
      </c>
      <c r="F333" s="14" t="s">
        <v>22</v>
      </c>
      <c r="G333" s="15" t="s">
        <v>23</v>
      </c>
      <c r="H333" s="15" t="s">
        <v>1525</v>
      </c>
      <c r="I333" s="15">
        <v>201409</v>
      </c>
      <c r="J333" s="16">
        <v>-61.26</v>
      </c>
      <c r="K333" s="171">
        <f>VLOOKUP(I333,$T$9:$U$23,2)</f>
        <v>9</v>
      </c>
      <c r="L333" s="17">
        <v>1.4833299999999999E-3</v>
      </c>
      <c r="M333" s="16">
        <f>ROUND(J333*K333*L333,2)</f>
        <v>-0.82</v>
      </c>
      <c r="N333" s="16">
        <f>ROUND(J333*L333*12,2)</f>
        <v>-1.0900000000000001</v>
      </c>
      <c r="O333" s="14"/>
      <c r="P333" s="210" t="str">
        <f>VLOOKUP(C333,'WO Descriptions'!$A$5:$D$345,4)</f>
        <v>Approved by: Ken Thomas on 11/15/2013,  Abandon 314' - 2" PBS (WO#'s: 43781, 44486) and replace with 315' - 2" PE due to history of leakage and isolated bare steel. Project Location: Purdy West of Pine; Pressure System: S-1; MOP: 20 psig; MAOP: 20 psig; Design: 58 psig; Test: 100 psig; ISRS $35.77/ft</v>
      </c>
    </row>
    <row r="334" spans="1:18" outlineLevel="1">
      <c r="A334" s="223"/>
      <c r="B334" s="250"/>
      <c r="C334" s="254" t="s">
        <v>1873</v>
      </c>
      <c r="D334" s="223"/>
      <c r="E334" s="250"/>
      <c r="F334" s="223"/>
      <c r="G334" s="250"/>
      <c r="H334" s="250"/>
      <c r="I334" s="250"/>
      <c r="J334" s="251">
        <f>SUBTOTAL(9,J333:J333)</f>
        <v>-61.26</v>
      </c>
      <c r="K334" s="252"/>
      <c r="L334" s="253"/>
      <c r="M334" s="251">
        <f>SUBTOTAL(9,M333:M333)</f>
        <v>-0.82</v>
      </c>
      <c r="N334" s="251">
        <f>SUBTOTAL(9,N333:N333)</f>
        <v>-1.0900000000000001</v>
      </c>
      <c r="O334" s="223"/>
      <c r="P334" s="210"/>
      <c r="Q334" s="263" t="s">
        <v>2097</v>
      </c>
      <c r="R334" s="263" t="s">
        <v>2098</v>
      </c>
    </row>
    <row r="335" spans="1:18" ht="60" outlineLevel="2">
      <c r="A335" s="14" t="s">
        <v>17</v>
      </c>
      <c r="B335" s="15" t="s">
        <v>431</v>
      </c>
      <c r="C335" s="15" t="s">
        <v>432</v>
      </c>
      <c r="D335" s="14" t="s">
        <v>433</v>
      </c>
      <c r="E335" s="15" t="s">
        <v>258</v>
      </c>
      <c r="F335" s="14" t="s">
        <v>259</v>
      </c>
      <c r="G335" s="15" t="s">
        <v>23</v>
      </c>
      <c r="H335" s="15" t="s">
        <v>1525</v>
      </c>
      <c r="I335" s="15">
        <v>201409</v>
      </c>
      <c r="J335" s="16">
        <v>-175.94</v>
      </c>
      <c r="K335" s="171">
        <f>VLOOKUP(I335,$T$9:$U$23,2)</f>
        <v>9</v>
      </c>
      <c r="L335" s="17">
        <v>1.4833299999999999E-3</v>
      </c>
      <c r="M335" s="16">
        <f>ROUND(J335*K335*L335,2)</f>
        <v>-2.35</v>
      </c>
      <c r="N335" s="16">
        <f>ROUND(J335*L335*12,2)</f>
        <v>-3.13</v>
      </c>
      <c r="O335" s="14"/>
      <c r="P335" s="210" t="str">
        <f>VLOOKUP(C335,'WO Descriptions'!$A$5:$D$345,4)</f>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
    </row>
    <row r="336" spans="1:18" outlineLevel="1">
      <c r="A336" s="223"/>
      <c r="B336" s="250"/>
      <c r="C336" s="254" t="s">
        <v>1874</v>
      </c>
      <c r="D336" s="223"/>
      <c r="E336" s="250"/>
      <c r="F336" s="223"/>
      <c r="G336" s="250"/>
      <c r="H336" s="250"/>
      <c r="I336" s="250"/>
      <c r="J336" s="251">
        <f>SUBTOTAL(9,J335:J335)</f>
        <v>-175.94</v>
      </c>
      <c r="K336" s="252"/>
      <c r="L336" s="253"/>
      <c r="M336" s="251">
        <f>SUBTOTAL(9,M335:M335)</f>
        <v>-2.35</v>
      </c>
      <c r="N336" s="251">
        <f>SUBTOTAL(9,N335:N335)</f>
        <v>-3.13</v>
      </c>
      <c r="O336" s="223"/>
      <c r="P336" s="210"/>
      <c r="Q336" s="263" t="s">
        <v>2097</v>
      </c>
      <c r="R336" s="263" t="s">
        <v>2101</v>
      </c>
    </row>
    <row r="337" spans="1:18" ht="60" outlineLevel="2">
      <c r="A337" s="14" t="s">
        <v>54</v>
      </c>
      <c r="B337" s="15" t="s">
        <v>434</v>
      </c>
      <c r="C337" s="15" t="s">
        <v>435</v>
      </c>
      <c r="D337" s="14" t="s">
        <v>436</v>
      </c>
      <c r="E337" s="15" t="s">
        <v>58</v>
      </c>
      <c r="F337" s="14" t="s">
        <v>22</v>
      </c>
      <c r="G337" s="15" t="s">
        <v>23</v>
      </c>
      <c r="H337" s="15" t="s">
        <v>1525</v>
      </c>
      <c r="I337" s="15">
        <v>201409</v>
      </c>
      <c r="J337" s="16">
        <v>-94.86</v>
      </c>
      <c r="K337" s="171">
        <f>VLOOKUP(I337,$T$9:$U$23,2)</f>
        <v>9</v>
      </c>
      <c r="L337" s="17">
        <v>1.4833299999999999E-3</v>
      </c>
      <c r="M337" s="16">
        <f>ROUND(J337*K337*L337,2)</f>
        <v>-1.27</v>
      </c>
      <c r="N337" s="16">
        <f>ROUND(J337*L337*12,2)</f>
        <v>-1.69</v>
      </c>
      <c r="O337" s="14"/>
      <c r="P337" s="210" t="str">
        <f>VLOOKUP(C337,'WO Descriptions'!$A$5:$D$345,4)</f>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
    </row>
    <row r="338" spans="1:18" outlineLevel="1">
      <c r="A338" s="223"/>
      <c r="B338" s="250"/>
      <c r="C338" s="254" t="s">
        <v>1875</v>
      </c>
      <c r="D338" s="223"/>
      <c r="E338" s="250"/>
      <c r="F338" s="223"/>
      <c r="G338" s="250"/>
      <c r="H338" s="250"/>
      <c r="I338" s="250"/>
      <c r="J338" s="251">
        <f>SUBTOTAL(9,J337:J337)</f>
        <v>-94.86</v>
      </c>
      <c r="K338" s="252"/>
      <c r="L338" s="253"/>
      <c r="M338" s="251">
        <f>SUBTOTAL(9,M337:M337)</f>
        <v>-1.27</v>
      </c>
      <c r="N338" s="251">
        <f>SUBTOTAL(9,N337:N337)</f>
        <v>-1.69</v>
      </c>
      <c r="O338" s="223"/>
      <c r="P338" s="210"/>
      <c r="Q338" s="263" t="s">
        <v>2097</v>
      </c>
      <c r="R338" s="263" t="s">
        <v>2098</v>
      </c>
    </row>
    <row r="339" spans="1:18" ht="30" outlineLevel="2">
      <c r="A339" s="14" t="s">
        <v>17</v>
      </c>
      <c r="B339" s="15" t="s">
        <v>437</v>
      </c>
      <c r="C339" s="15" t="s">
        <v>438</v>
      </c>
      <c r="D339" s="14" t="s">
        <v>439</v>
      </c>
      <c r="E339" s="15" t="s">
        <v>440</v>
      </c>
      <c r="F339" s="14" t="s">
        <v>28</v>
      </c>
      <c r="G339" s="15" t="s">
        <v>23</v>
      </c>
      <c r="H339" s="15" t="s">
        <v>1525</v>
      </c>
      <c r="I339" s="15">
        <v>201409</v>
      </c>
      <c r="J339" s="16">
        <v>8.2100000000000009</v>
      </c>
      <c r="K339" s="171">
        <f>VLOOKUP(I339,$T$9:$U$23,2)</f>
        <v>9</v>
      </c>
      <c r="L339" s="17">
        <v>1.4833299999999999E-3</v>
      </c>
      <c r="M339" s="16">
        <f>ROUND(J339*K339*L339,2)</f>
        <v>0.11</v>
      </c>
      <c r="N339" s="16">
        <f>ROUND(J339*L339*12,2)</f>
        <v>0.15</v>
      </c>
      <c r="O339" s="14"/>
      <c r="P339" s="210" t="str">
        <f>VLOOKUP(C339,'WO Descriptions'!$A$5:$D$345,4)</f>
        <v>Approved by: Kevin Driskell on 09/05/2013,  Replaced 62' of 2in PCS year 1981(WO# 81-0254) with 62'-2in PE due to leak.</v>
      </c>
    </row>
    <row r="340" spans="1:18" outlineLevel="1">
      <c r="A340" s="223"/>
      <c r="B340" s="250"/>
      <c r="C340" s="254" t="s">
        <v>1876</v>
      </c>
      <c r="D340" s="223"/>
      <c r="E340" s="250"/>
      <c r="F340" s="223"/>
      <c r="G340" s="250"/>
      <c r="H340" s="250"/>
      <c r="I340" s="250"/>
      <c r="J340" s="251">
        <f>SUBTOTAL(9,J339:J339)</f>
        <v>8.2100000000000009</v>
      </c>
      <c r="K340" s="252"/>
      <c r="L340" s="253"/>
      <c r="M340" s="251">
        <f>SUBTOTAL(9,M339:M339)</f>
        <v>0.11</v>
      </c>
      <c r="N340" s="251">
        <f>SUBTOTAL(9,N339:N339)</f>
        <v>0.15</v>
      </c>
      <c r="O340" s="223"/>
      <c r="P340" s="210"/>
      <c r="Q340" s="263" t="s">
        <v>2097</v>
      </c>
      <c r="R340" s="263" t="s">
        <v>2099</v>
      </c>
    </row>
    <row r="341" spans="1:18" ht="150" outlineLevel="2">
      <c r="A341" s="14" t="s">
        <v>54</v>
      </c>
      <c r="B341" s="15" t="s">
        <v>441</v>
      </c>
      <c r="C341" s="15" t="s">
        <v>442</v>
      </c>
      <c r="D341" s="14" t="s">
        <v>443</v>
      </c>
      <c r="E341" s="15" t="s">
        <v>141</v>
      </c>
      <c r="F341" s="14" t="s">
        <v>142</v>
      </c>
      <c r="G341" s="15" t="s">
        <v>23</v>
      </c>
      <c r="H341" s="15" t="s">
        <v>1525</v>
      </c>
      <c r="I341" s="15">
        <v>201409</v>
      </c>
      <c r="J341" s="16">
        <v>-15549.44</v>
      </c>
      <c r="K341" s="171">
        <f>VLOOKUP(I341,$T$9:$U$23,2)</f>
        <v>9</v>
      </c>
      <c r="L341" s="17">
        <v>1.4833299999999999E-3</v>
      </c>
      <c r="M341" s="16">
        <f>ROUND(J341*K341*L341,2)</f>
        <v>-207.58</v>
      </c>
      <c r="N341" s="16">
        <f>ROUND(J341*L341*12,2)</f>
        <v>-276.77999999999997</v>
      </c>
      <c r="O341" s="14"/>
      <c r="P341" s="210" t="str">
        <f>VLOOKUP(C341,'WO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342" spans="1:18" ht="150" outlineLevel="2">
      <c r="A342" s="14" t="s">
        <v>54</v>
      </c>
      <c r="B342" s="15" t="s">
        <v>441</v>
      </c>
      <c r="C342" s="15" t="s">
        <v>442</v>
      </c>
      <c r="D342" s="14" t="s">
        <v>443</v>
      </c>
      <c r="E342" s="15" t="s">
        <v>141</v>
      </c>
      <c r="F342" s="14" t="s">
        <v>142</v>
      </c>
      <c r="G342" s="15" t="s">
        <v>23</v>
      </c>
      <c r="H342" s="15" t="s">
        <v>1525</v>
      </c>
      <c r="I342" s="15">
        <v>201410</v>
      </c>
      <c r="J342" s="16">
        <v>0</v>
      </c>
      <c r="K342" s="171">
        <f>VLOOKUP(I342,$T$9:$U$23,2)</f>
        <v>8</v>
      </c>
      <c r="L342" s="17">
        <v>1.4833299999999999E-3</v>
      </c>
      <c r="M342" s="16">
        <f>ROUND(J342*K342*L342,2)</f>
        <v>0</v>
      </c>
      <c r="N342" s="16">
        <f>ROUND(J342*L342*12,2)</f>
        <v>0</v>
      </c>
      <c r="O342" s="14"/>
      <c r="P342" s="210" t="str">
        <f>VLOOKUP(C342,'WO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343" spans="1:18" outlineLevel="1">
      <c r="A343" s="223"/>
      <c r="B343" s="250"/>
      <c r="C343" s="254" t="s">
        <v>1877</v>
      </c>
      <c r="D343" s="223"/>
      <c r="E343" s="250"/>
      <c r="F343" s="223"/>
      <c r="G343" s="250"/>
      <c r="H343" s="250"/>
      <c r="I343" s="250"/>
      <c r="J343" s="251">
        <f>SUBTOTAL(9,J341:J342)</f>
        <v>-15549.44</v>
      </c>
      <c r="K343" s="252"/>
      <c r="L343" s="253"/>
      <c r="M343" s="251">
        <f>SUBTOTAL(9,M341:M342)</f>
        <v>-207.58</v>
      </c>
      <c r="N343" s="251">
        <f>SUBTOTAL(9,N341:N342)</f>
        <v>-276.77999999999997</v>
      </c>
      <c r="O343" s="223"/>
      <c r="P343" s="210"/>
      <c r="Q343" s="263" t="s">
        <v>2097</v>
      </c>
      <c r="R343" s="263" t="s">
        <v>2100</v>
      </c>
    </row>
    <row r="344" spans="1:18" ht="30" outlineLevel="2">
      <c r="A344" s="14" t="s">
        <v>54</v>
      </c>
      <c r="B344" s="15" t="s">
        <v>444</v>
      </c>
      <c r="C344" s="15" t="s">
        <v>445</v>
      </c>
      <c r="D344" s="14" t="s">
        <v>446</v>
      </c>
      <c r="E344" s="15" t="s">
        <v>62</v>
      </c>
      <c r="F344" s="14" t="s">
        <v>22</v>
      </c>
      <c r="G344" s="15" t="s">
        <v>23</v>
      </c>
      <c r="H344" s="15" t="s">
        <v>1525</v>
      </c>
      <c r="I344" s="15">
        <v>201409</v>
      </c>
      <c r="J344" s="16">
        <v>-148.77000000000001</v>
      </c>
      <c r="K344" s="171">
        <f>VLOOKUP(I344,$T$9:$U$23,2)</f>
        <v>9</v>
      </c>
      <c r="L344" s="17">
        <v>1.4833299999999999E-3</v>
      </c>
      <c r="M344" s="16">
        <f>ROUND(J344*K344*L344,2)</f>
        <v>-1.99</v>
      </c>
      <c r="N344" s="16">
        <f>ROUND(J344*L344*12,2)</f>
        <v>-2.65</v>
      </c>
      <c r="O344" s="14"/>
      <c r="P344" s="210" t="str">
        <f>VLOOKUP(C344,'WO Descriptions'!$A$5:$D$345,4)</f>
        <v>Approved by: Ralph Janes on 01/30/2014,  Replace and retire 333' - 2" pbs main (Unknown wo) and 265' - 2" pcs main (wo 671296) by installing 600' - 2" pe main due to leakage.  (ISRS)</v>
      </c>
    </row>
    <row r="345" spans="1:18" outlineLevel="1">
      <c r="A345" s="223"/>
      <c r="B345" s="250"/>
      <c r="C345" s="254" t="s">
        <v>1878</v>
      </c>
      <c r="D345" s="223"/>
      <c r="E345" s="250"/>
      <c r="F345" s="223"/>
      <c r="G345" s="250"/>
      <c r="H345" s="250"/>
      <c r="I345" s="250"/>
      <c r="J345" s="251">
        <f>SUBTOTAL(9,J344:J344)</f>
        <v>-148.77000000000001</v>
      </c>
      <c r="K345" s="252"/>
      <c r="L345" s="253"/>
      <c r="M345" s="251">
        <f>SUBTOTAL(9,M344:M344)</f>
        <v>-1.99</v>
      </c>
      <c r="N345" s="251">
        <f>SUBTOTAL(9,N344:N344)</f>
        <v>-2.65</v>
      </c>
      <c r="O345" s="223"/>
      <c r="P345" s="210"/>
      <c r="Q345" s="263" t="s">
        <v>2097</v>
      </c>
      <c r="R345" s="263" t="s">
        <v>2098</v>
      </c>
    </row>
    <row r="346" spans="1:18" ht="90" outlineLevel="2">
      <c r="A346" s="14" t="s">
        <v>17</v>
      </c>
      <c r="B346" s="15" t="s">
        <v>447</v>
      </c>
      <c r="C346" s="15" t="s">
        <v>448</v>
      </c>
      <c r="D346" s="14" t="s">
        <v>449</v>
      </c>
      <c r="E346" s="15" t="s">
        <v>296</v>
      </c>
      <c r="F346" s="14" t="s">
        <v>28</v>
      </c>
      <c r="G346" s="15" t="s">
        <v>23</v>
      </c>
      <c r="H346" s="15" t="s">
        <v>1525</v>
      </c>
      <c r="I346" s="15">
        <v>201409</v>
      </c>
      <c r="J346" s="16">
        <v>-625.21</v>
      </c>
      <c r="K346" s="171">
        <f>VLOOKUP(I346,$T$9:$U$23,2)</f>
        <v>9</v>
      </c>
      <c r="L346" s="17">
        <v>1.4833299999999999E-3</v>
      </c>
      <c r="M346" s="16">
        <f>ROUND(J346*K346*L346,2)</f>
        <v>-8.35</v>
      </c>
      <c r="N346" s="16">
        <f>ROUND(J346*L346*12,2)</f>
        <v>-11.13</v>
      </c>
      <c r="O346" s="14"/>
      <c r="P346" s="210" t="str">
        <f>VLOOKUP(C346,'WO Descriptions'!$A$5:$D$345,4)</f>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
    </row>
    <row r="347" spans="1:18" outlineLevel="1">
      <c r="A347" s="223"/>
      <c r="B347" s="250"/>
      <c r="C347" s="254" t="s">
        <v>1879</v>
      </c>
      <c r="D347" s="223"/>
      <c r="E347" s="250"/>
      <c r="F347" s="223"/>
      <c r="G347" s="250"/>
      <c r="H347" s="250"/>
      <c r="I347" s="250"/>
      <c r="J347" s="251">
        <f>SUBTOTAL(9,J346:J346)</f>
        <v>-625.21</v>
      </c>
      <c r="K347" s="252"/>
      <c r="L347" s="253"/>
      <c r="M347" s="251">
        <f>SUBTOTAL(9,M346:M346)</f>
        <v>-8.35</v>
      </c>
      <c r="N347" s="251">
        <f>SUBTOTAL(9,N346:N346)</f>
        <v>-11.13</v>
      </c>
      <c r="O347" s="223"/>
      <c r="P347" s="210"/>
      <c r="Q347" s="263" t="s">
        <v>2097</v>
      </c>
      <c r="R347" s="263" t="s">
        <v>2099</v>
      </c>
    </row>
    <row r="348" spans="1:18" ht="30" outlineLevel="2">
      <c r="A348" s="14" t="s">
        <v>17</v>
      </c>
      <c r="B348" s="15" t="s">
        <v>450</v>
      </c>
      <c r="C348" s="15" t="s">
        <v>451</v>
      </c>
      <c r="D348" s="14" t="s">
        <v>452</v>
      </c>
      <c r="E348" s="15" t="s">
        <v>45</v>
      </c>
      <c r="F348" s="14" t="s">
        <v>22</v>
      </c>
      <c r="G348" s="15" t="s">
        <v>23</v>
      </c>
      <c r="H348" s="15" t="s">
        <v>1525</v>
      </c>
      <c r="I348" s="15">
        <v>201409</v>
      </c>
      <c r="J348" s="16">
        <v>-5.2</v>
      </c>
      <c r="K348" s="171">
        <f>VLOOKUP(I348,$T$9:$U$23,2)</f>
        <v>9</v>
      </c>
      <c r="L348" s="17">
        <v>1.4833299999999999E-3</v>
      </c>
      <c r="M348" s="16">
        <f>ROUND(J348*K348*L348,2)</f>
        <v>-7.0000000000000007E-2</v>
      </c>
      <c r="N348" s="16">
        <f>ROUND(J348*L348*12,2)</f>
        <v>-0.09</v>
      </c>
      <c r="O348" s="14"/>
      <c r="P348" s="210" t="str">
        <f>VLOOKUP(C348,'WO Descriptions'!$A$5:$D$345,4)</f>
        <v>Approved by: Gary Williams on 12/16/2013,  LAY 12'-2" PCS ALONG E 92ND ST-EAST OF TENNESSEE AVE.; IN ORDER TO REPAIR LEAK. INSTALL 2" PCS STEEL YOKE.</v>
      </c>
    </row>
    <row r="349" spans="1:18" outlineLevel="1">
      <c r="A349" s="223"/>
      <c r="B349" s="250"/>
      <c r="C349" s="254" t="s">
        <v>1880</v>
      </c>
      <c r="D349" s="223"/>
      <c r="E349" s="250"/>
      <c r="F349" s="223"/>
      <c r="G349" s="250"/>
      <c r="H349" s="250"/>
      <c r="I349" s="250"/>
      <c r="J349" s="251">
        <f>SUBTOTAL(9,J348:J348)</f>
        <v>-5.2</v>
      </c>
      <c r="K349" s="252"/>
      <c r="L349" s="253"/>
      <c r="M349" s="251">
        <f>SUBTOTAL(9,M348:M348)</f>
        <v>-7.0000000000000007E-2</v>
      </c>
      <c r="N349" s="251">
        <f>SUBTOTAL(9,N348:N348)</f>
        <v>-0.09</v>
      </c>
      <c r="O349" s="223"/>
      <c r="P349" s="210"/>
      <c r="Q349" s="263" t="s">
        <v>2097</v>
      </c>
      <c r="R349" s="263" t="s">
        <v>2098</v>
      </c>
    </row>
    <row r="350" spans="1:18" ht="75" outlineLevel="2">
      <c r="A350" s="14" t="s">
        <v>54</v>
      </c>
      <c r="B350" s="15" t="s">
        <v>453</v>
      </c>
      <c r="C350" s="15" t="s">
        <v>454</v>
      </c>
      <c r="D350" s="14" t="s">
        <v>455</v>
      </c>
      <c r="E350" s="15" t="s">
        <v>62</v>
      </c>
      <c r="F350" s="14" t="s">
        <v>22</v>
      </c>
      <c r="G350" s="15" t="s">
        <v>23</v>
      </c>
      <c r="H350" s="15" t="s">
        <v>1525</v>
      </c>
      <c r="I350" s="15">
        <v>201409</v>
      </c>
      <c r="J350" s="16">
        <v>-184.89</v>
      </c>
      <c r="K350" s="171">
        <f>VLOOKUP(I350,$T$9:$U$23,2)</f>
        <v>9</v>
      </c>
      <c r="L350" s="17">
        <v>1.4833299999999999E-3</v>
      </c>
      <c r="M350" s="16">
        <f>ROUND(J350*K350*L350,2)</f>
        <v>-2.4700000000000002</v>
      </c>
      <c r="N350" s="16">
        <f>ROUND(J350*L350*12,2)</f>
        <v>-3.29</v>
      </c>
      <c r="O350" s="14"/>
      <c r="P350" s="210" t="str">
        <f>VLOOKUP(C350,'WO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1" spans="1:18" ht="75" outlineLevel="2">
      <c r="A351" s="14" t="s">
        <v>54</v>
      </c>
      <c r="B351" s="15" t="s">
        <v>453</v>
      </c>
      <c r="C351" s="15" t="s">
        <v>454</v>
      </c>
      <c r="D351" s="14" t="s">
        <v>455</v>
      </c>
      <c r="E351" s="15" t="s">
        <v>62</v>
      </c>
      <c r="F351" s="14" t="s">
        <v>22</v>
      </c>
      <c r="G351" s="15" t="s">
        <v>23</v>
      </c>
      <c r="H351" s="15" t="s">
        <v>1525</v>
      </c>
      <c r="I351" s="15">
        <v>201410</v>
      </c>
      <c r="J351" s="16">
        <v>1085.5999999999999</v>
      </c>
      <c r="K351" s="171">
        <f>VLOOKUP(I351,$T$9:$U$23,2)</f>
        <v>8</v>
      </c>
      <c r="L351" s="17">
        <v>1.4833299999999999E-3</v>
      </c>
      <c r="M351" s="16">
        <f>ROUND(J351*K351*L351,2)</f>
        <v>12.88</v>
      </c>
      <c r="N351" s="16">
        <f>ROUND(J351*L351*12,2)</f>
        <v>19.32</v>
      </c>
      <c r="O351" s="14"/>
      <c r="P351" s="210" t="str">
        <f>VLOOKUP(C351,'WO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2" spans="1:18" ht="75" outlineLevel="2">
      <c r="A352" s="14" t="s">
        <v>54</v>
      </c>
      <c r="B352" s="15" t="s">
        <v>453</v>
      </c>
      <c r="C352" s="15" t="s">
        <v>454</v>
      </c>
      <c r="D352" s="14" t="s">
        <v>455</v>
      </c>
      <c r="E352" s="15" t="s">
        <v>62</v>
      </c>
      <c r="F352" s="14" t="s">
        <v>22</v>
      </c>
      <c r="G352" s="15" t="s">
        <v>23</v>
      </c>
      <c r="H352" s="15" t="s">
        <v>1525</v>
      </c>
      <c r="I352" s="15">
        <v>201411</v>
      </c>
      <c r="J352" s="16">
        <v>-29.65</v>
      </c>
      <c r="K352" s="171">
        <f>VLOOKUP(I352,$T$9:$U$23,2)</f>
        <v>7</v>
      </c>
      <c r="L352" s="17">
        <v>1.4833299999999999E-3</v>
      </c>
      <c r="M352" s="16">
        <f>ROUND(J352*K352*L352,2)</f>
        <v>-0.31</v>
      </c>
      <c r="N352" s="16">
        <f>ROUND(J352*L352*12,2)</f>
        <v>-0.53</v>
      </c>
      <c r="O352" s="14"/>
      <c r="P352" s="210" t="str">
        <f>VLOOKUP(C352,'WO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3" spans="1:18" ht="75" outlineLevel="2">
      <c r="A353" s="14" t="s">
        <v>54</v>
      </c>
      <c r="B353" s="15" t="s">
        <v>453</v>
      </c>
      <c r="C353" s="15" t="s">
        <v>454</v>
      </c>
      <c r="D353" s="14" t="s">
        <v>455</v>
      </c>
      <c r="E353" s="15" t="s">
        <v>62</v>
      </c>
      <c r="F353" s="14" t="s">
        <v>22</v>
      </c>
      <c r="G353" s="15" t="s">
        <v>23</v>
      </c>
      <c r="H353" s="15" t="s">
        <v>1525</v>
      </c>
      <c r="I353" s="15">
        <v>201412</v>
      </c>
      <c r="J353" s="16">
        <v>-93.8</v>
      </c>
      <c r="K353" s="171">
        <f>VLOOKUP(I353,$T$9:$U$23,2)</f>
        <v>6</v>
      </c>
      <c r="L353" s="17">
        <v>1.4833299999999999E-3</v>
      </c>
      <c r="M353" s="16">
        <f>ROUND(J353*K353*L353,2)</f>
        <v>-0.83</v>
      </c>
      <c r="N353" s="16">
        <f>ROUND(J353*L353*12,2)</f>
        <v>-1.67</v>
      </c>
      <c r="O353" s="14"/>
      <c r="P353" s="210" t="str">
        <f>VLOOKUP(C353,'WO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4" spans="1:18" outlineLevel="1">
      <c r="A354" s="223"/>
      <c r="B354" s="250"/>
      <c r="C354" s="254" t="s">
        <v>1881</v>
      </c>
      <c r="D354" s="223"/>
      <c r="E354" s="250"/>
      <c r="F354" s="223"/>
      <c r="G354" s="250"/>
      <c r="H354" s="250"/>
      <c r="I354" s="250"/>
      <c r="J354" s="251">
        <f>SUBTOTAL(9,J350:J353)</f>
        <v>777.26</v>
      </c>
      <c r="K354" s="252"/>
      <c r="L354" s="253"/>
      <c r="M354" s="251">
        <f>SUBTOTAL(9,M350:M353)</f>
        <v>9.27</v>
      </c>
      <c r="N354" s="251">
        <f>SUBTOTAL(9,N350:N353)</f>
        <v>13.830000000000002</v>
      </c>
      <c r="O354" s="223"/>
      <c r="P354" s="210"/>
      <c r="Q354" s="263" t="s">
        <v>2097</v>
      </c>
      <c r="R354" s="263" t="s">
        <v>2098</v>
      </c>
    </row>
    <row r="355" spans="1:18" ht="45" outlineLevel="2">
      <c r="A355" s="14" t="s">
        <v>17</v>
      </c>
      <c r="B355" s="15" t="s">
        <v>456</v>
      </c>
      <c r="C355" s="15" t="s">
        <v>457</v>
      </c>
      <c r="D355" s="14" t="s">
        <v>458</v>
      </c>
      <c r="E355" s="15" t="s">
        <v>21</v>
      </c>
      <c r="F355" s="14" t="s">
        <v>22</v>
      </c>
      <c r="G355" s="15" t="s">
        <v>23</v>
      </c>
      <c r="H355" s="15" t="s">
        <v>1525</v>
      </c>
      <c r="I355" s="15">
        <v>201409</v>
      </c>
      <c r="J355" s="16">
        <v>-591.12</v>
      </c>
      <c r="K355" s="171">
        <f>VLOOKUP(I355,$T$9:$U$23,2)</f>
        <v>9</v>
      </c>
      <c r="L355" s="17">
        <v>1.4833299999999999E-3</v>
      </c>
      <c r="M355" s="16">
        <f>ROUND(J355*K355*L355,2)</f>
        <v>-7.89</v>
      </c>
      <c r="N355" s="16">
        <f>ROUND(J355*L355*12,2)</f>
        <v>-10.52</v>
      </c>
      <c r="O355" s="14"/>
      <c r="P355" s="210" t="str">
        <f>VLOOKUP(C355,'WO Descriptions'!$A$5:$D$345,4)</f>
        <v>Approved by: Kevin Driskell on 12/31/2013,  ISRS. To abandon 60' of 1.5" CU main and replace with 70' of 2" TF main. Main is on the C-3 pressure system with a MOP=25psig and MAOP=25psig. See attached sheet for size, length, type, and work orders of main to be retired.</v>
      </c>
    </row>
    <row r="356" spans="1:18" outlineLevel="1">
      <c r="A356" s="223"/>
      <c r="B356" s="250"/>
      <c r="C356" s="254" t="s">
        <v>1882</v>
      </c>
      <c r="D356" s="223"/>
      <c r="E356" s="250"/>
      <c r="F356" s="223"/>
      <c r="G356" s="250"/>
      <c r="H356" s="250"/>
      <c r="I356" s="250"/>
      <c r="J356" s="251">
        <f>SUBTOTAL(9,J355:J355)</f>
        <v>-591.12</v>
      </c>
      <c r="K356" s="252"/>
      <c r="L356" s="253"/>
      <c r="M356" s="251">
        <f>SUBTOTAL(9,M355:M355)</f>
        <v>-7.89</v>
      </c>
      <c r="N356" s="251">
        <f>SUBTOTAL(9,N355:N355)</f>
        <v>-10.52</v>
      </c>
      <c r="O356" s="223"/>
      <c r="P356" s="210"/>
      <c r="Q356" s="263" t="s">
        <v>2097</v>
      </c>
      <c r="R356" s="263" t="s">
        <v>2098</v>
      </c>
    </row>
    <row r="357" spans="1:18" ht="45" outlineLevel="2">
      <c r="A357" s="14" t="s">
        <v>54</v>
      </c>
      <c r="B357" s="15" t="s">
        <v>459</v>
      </c>
      <c r="C357" s="15" t="s">
        <v>460</v>
      </c>
      <c r="D357" s="14" t="s">
        <v>461</v>
      </c>
      <c r="E357" s="15" t="s">
        <v>462</v>
      </c>
      <c r="F357" s="14" t="s">
        <v>142</v>
      </c>
      <c r="G357" s="15" t="s">
        <v>23</v>
      </c>
      <c r="H357" s="15" t="s">
        <v>1525</v>
      </c>
      <c r="I357" s="15">
        <v>201409</v>
      </c>
      <c r="J357" s="16">
        <v>-771.19</v>
      </c>
      <c r="K357" s="171">
        <f>VLOOKUP(I357,$T$9:$U$23,2)</f>
        <v>9</v>
      </c>
      <c r="L357" s="17">
        <v>1.4833299999999999E-3</v>
      </c>
      <c r="M357" s="16">
        <f>ROUND(J357*K357*L357,2)</f>
        <v>-10.3</v>
      </c>
      <c r="N357" s="16">
        <f>ROUND(J357*L357*12,2)</f>
        <v>-13.73</v>
      </c>
      <c r="O357" s="14"/>
      <c r="P357" s="210" t="str">
        <f>VLOOKUP(C357,'WO Descriptions'!$A$5:$D$345,4)</f>
        <v>Approved by: Gary Williams on 11/07/2013,  Replace 4in CI with 4in PE 620' due to leaks and condition of gas main. Original work order #B1P38. Pressure system C-001. Retire 600'-4in CI, year 1922.</v>
      </c>
    </row>
    <row r="358" spans="1:18" outlineLevel="1">
      <c r="A358" s="223"/>
      <c r="B358" s="250"/>
      <c r="C358" s="254" t="s">
        <v>1883</v>
      </c>
      <c r="D358" s="223"/>
      <c r="E358" s="250"/>
      <c r="F358" s="223"/>
      <c r="G358" s="250"/>
      <c r="H358" s="250"/>
      <c r="I358" s="250"/>
      <c r="J358" s="251">
        <f>SUBTOTAL(9,J357:J357)</f>
        <v>-771.19</v>
      </c>
      <c r="K358" s="252"/>
      <c r="L358" s="253"/>
      <c r="M358" s="251">
        <f>SUBTOTAL(9,M357:M357)</f>
        <v>-10.3</v>
      </c>
      <c r="N358" s="251">
        <f>SUBTOTAL(9,N357:N357)</f>
        <v>-13.73</v>
      </c>
      <c r="O358" s="223"/>
      <c r="P358" s="210"/>
      <c r="Q358" s="263" t="s">
        <v>2097</v>
      </c>
      <c r="R358" s="263" t="s">
        <v>2100</v>
      </c>
    </row>
    <row r="359" spans="1:18" ht="45" outlineLevel="2">
      <c r="A359" s="14" t="s">
        <v>66</v>
      </c>
      <c r="B359" s="15" t="s">
        <v>463</v>
      </c>
      <c r="C359" s="15" t="s">
        <v>464</v>
      </c>
      <c r="D359" s="14" t="s">
        <v>465</v>
      </c>
      <c r="E359" s="15" t="s">
        <v>466</v>
      </c>
      <c r="F359" s="14" t="s">
        <v>467</v>
      </c>
      <c r="G359" s="15" t="s">
        <v>23</v>
      </c>
      <c r="H359" s="15" t="s">
        <v>1527</v>
      </c>
      <c r="I359" s="15">
        <v>201409</v>
      </c>
      <c r="J359" s="16">
        <v>-442.33</v>
      </c>
      <c r="K359" s="171">
        <f>VLOOKUP(I359,$T$9:$U$23,2)</f>
        <v>9</v>
      </c>
      <c r="L359" s="17">
        <v>2.23333E-3</v>
      </c>
      <c r="M359" s="16">
        <f>ROUND(J359*K359*L359,2)</f>
        <v>-8.89</v>
      </c>
      <c r="N359" s="16">
        <f>ROUND(J359*L359*12,2)</f>
        <v>-11.85</v>
      </c>
      <c r="O359" s="14"/>
      <c r="P359" s="210" t="str">
        <f>VLOOKUP(C359,'WO Descriptions'!$A$5:$D$345,4)</f>
        <v>Approved by: Kevin Driskell on 09/18/2013,  REPLACING - 14ft-1in cs and 482ft-1-1/4 pe service with 100ft - 4in th film to first cut, 430ft- 4in pe service line  due to commercial account adding addtional load (20,000 cfh). ECONOMIC EVALUATION WILL COVER COST OF PROJECT.</v>
      </c>
    </row>
    <row r="360" spans="1:18" outlineLevel="1">
      <c r="A360" s="223"/>
      <c r="B360" s="250"/>
      <c r="C360" s="254" t="s">
        <v>1884</v>
      </c>
      <c r="D360" s="223"/>
      <c r="E360" s="250"/>
      <c r="F360" s="223"/>
      <c r="G360" s="250"/>
      <c r="H360" s="250"/>
      <c r="I360" s="250"/>
      <c r="J360" s="251">
        <f>SUBTOTAL(9,J359:J359)</f>
        <v>-442.33</v>
      </c>
      <c r="K360" s="252"/>
      <c r="L360" s="253"/>
      <c r="M360" s="251">
        <f>SUBTOTAL(9,M359:M359)</f>
        <v>-8.89</v>
      </c>
      <c r="N360" s="251">
        <f>SUBTOTAL(9,N359:N359)</f>
        <v>-11.85</v>
      </c>
      <c r="O360" s="223"/>
      <c r="P360" s="210"/>
      <c r="Q360" s="263" t="s">
        <v>2097</v>
      </c>
      <c r="R360" s="263" t="s">
        <v>2104</v>
      </c>
    </row>
    <row r="361" spans="1:18" ht="60" outlineLevel="2">
      <c r="A361" s="14" t="s">
        <v>54</v>
      </c>
      <c r="B361" s="15" t="s">
        <v>468</v>
      </c>
      <c r="C361" s="15" t="s">
        <v>469</v>
      </c>
      <c r="D361" s="14" t="s">
        <v>470</v>
      </c>
      <c r="E361" s="15" t="s">
        <v>136</v>
      </c>
      <c r="F361" s="14" t="s">
        <v>137</v>
      </c>
      <c r="G361" s="15" t="s">
        <v>23</v>
      </c>
      <c r="H361" s="15" t="s">
        <v>1526</v>
      </c>
      <c r="I361" s="15">
        <v>201409</v>
      </c>
      <c r="J361" s="16">
        <v>-992.83</v>
      </c>
      <c r="K361" s="171">
        <f>VLOOKUP(I361,$T$9:$U$23,2)</f>
        <v>9</v>
      </c>
      <c r="L361" s="17">
        <v>1.4833299999999999E-3</v>
      </c>
      <c r="M361" s="16">
        <f>ROUND(J361*K361*L361,2)</f>
        <v>-13.25</v>
      </c>
      <c r="N361" s="16">
        <f>ROUND(J361*L361*12,2)</f>
        <v>-17.670000000000002</v>
      </c>
      <c r="O361" s="14"/>
      <c r="P361" s="210" t="str">
        <f>VLOOKUP(C361,'WO Descriptions'!$A$5:$D$345,4)</f>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
    </row>
    <row r="362" spans="1:18" outlineLevel="1">
      <c r="A362" s="223"/>
      <c r="B362" s="250"/>
      <c r="C362" s="254" t="s">
        <v>1885</v>
      </c>
      <c r="D362" s="223"/>
      <c r="E362" s="250"/>
      <c r="F362" s="223"/>
      <c r="G362" s="250"/>
      <c r="H362" s="250"/>
      <c r="I362" s="250"/>
      <c r="J362" s="251">
        <f>SUBTOTAL(9,J361:J361)</f>
        <v>-992.83</v>
      </c>
      <c r="K362" s="252"/>
      <c r="L362" s="253"/>
      <c r="M362" s="251">
        <f>SUBTOTAL(9,M361:M361)</f>
        <v>-13.25</v>
      </c>
      <c r="N362" s="251">
        <f>SUBTOTAL(9,N361:N361)</f>
        <v>-17.670000000000002</v>
      </c>
      <c r="O362" s="223"/>
      <c r="P362" s="210"/>
      <c r="Q362" s="263" t="s">
        <v>2096</v>
      </c>
    </row>
    <row r="363" spans="1:18" ht="30" outlineLevel="2">
      <c r="A363" s="14" t="s">
        <v>17</v>
      </c>
      <c r="B363" s="15" t="s">
        <v>471</v>
      </c>
      <c r="C363" s="15" t="s">
        <v>472</v>
      </c>
      <c r="D363" s="14" t="s">
        <v>473</v>
      </c>
      <c r="E363" s="15" t="s">
        <v>27</v>
      </c>
      <c r="F363" s="14" t="s">
        <v>28</v>
      </c>
      <c r="G363" s="15" t="s">
        <v>23</v>
      </c>
      <c r="H363" s="15" t="s">
        <v>1525</v>
      </c>
      <c r="I363" s="15">
        <v>201409</v>
      </c>
      <c r="J363" s="16">
        <v>-48.87</v>
      </c>
      <c r="K363" s="171">
        <f>VLOOKUP(I363,$T$9:$U$23,2)</f>
        <v>9</v>
      </c>
      <c r="L363" s="17">
        <v>1.4833299999999999E-3</v>
      </c>
      <c r="M363" s="16">
        <f>ROUND(J363*K363*L363,2)</f>
        <v>-0.65</v>
      </c>
      <c r="N363" s="16">
        <f>ROUND(J363*L363*12,2)</f>
        <v>-0.87</v>
      </c>
      <c r="O363" s="14"/>
      <c r="P363" s="210" t="str">
        <f>VLOOKUP(C363,'WO Descriptions'!$A$5:$D$345,4)</f>
        <v>Approved by: Ralph Janes on 09/19/2013,  Move drip for odorant tank and tie 8in PCS to 4in PCS down stream with 4' of 4in thin film. Main to abandon: 2' of 4in PCS from wo# A7311A.</v>
      </c>
    </row>
    <row r="364" spans="1:18" outlineLevel="1">
      <c r="A364" s="223"/>
      <c r="B364" s="250"/>
      <c r="C364" s="254" t="s">
        <v>1886</v>
      </c>
      <c r="D364" s="223"/>
      <c r="E364" s="250"/>
      <c r="F364" s="223"/>
      <c r="G364" s="250"/>
      <c r="H364" s="250"/>
      <c r="I364" s="250"/>
      <c r="J364" s="251">
        <f>SUBTOTAL(9,J363:J363)</f>
        <v>-48.87</v>
      </c>
      <c r="K364" s="252"/>
      <c r="L364" s="253"/>
      <c r="M364" s="251">
        <f>SUBTOTAL(9,M363:M363)</f>
        <v>-0.65</v>
      </c>
      <c r="N364" s="251">
        <f>SUBTOTAL(9,N363:N363)</f>
        <v>-0.87</v>
      </c>
      <c r="O364" s="223"/>
      <c r="P364" s="210"/>
      <c r="Q364" s="263" t="s">
        <v>2097</v>
      </c>
      <c r="R364" s="263" t="s">
        <v>2099</v>
      </c>
    </row>
    <row r="365" spans="1:18" ht="90" outlineLevel="2">
      <c r="A365" s="14" t="s">
        <v>17</v>
      </c>
      <c r="B365" s="15" t="s">
        <v>474</v>
      </c>
      <c r="C365" s="15" t="s">
        <v>475</v>
      </c>
      <c r="D365" s="14" t="s">
        <v>476</v>
      </c>
      <c r="E365" s="15" t="s">
        <v>40</v>
      </c>
      <c r="F365" s="14" t="s">
        <v>41</v>
      </c>
      <c r="G365" s="15" t="s">
        <v>23</v>
      </c>
      <c r="H365" s="15" t="s">
        <v>1526</v>
      </c>
      <c r="I365" s="15">
        <v>201409</v>
      </c>
      <c r="J365" s="16">
        <v>-659.04</v>
      </c>
      <c r="K365" s="171">
        <f>VLOOKUP(I365,$T$9:$U$23,2)</f>
        <v>9</v>
      </c>
      <c r="L365" s="17">
        <v>1.4833299999999999E-3</v>
      </c>
      <c r="M365" s="16">
        <f>ROUND(J365*K365*L365,2)</f>
        <v>-8.8000000000000007</v>
      </c>
      <c r="N365" s="16">
        <f>ROUND(J365*L365*12,2)</f>
        <v>-11.73</v>
      </c>
      <c r="O365" s="14"/>
      <c r="P365" s="210" t="str">
        <f>VLOOKUP(C365,'WO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366" spans="1:18" ht="90" outlineLevel="2">
      <c r="A366" s="14" t="s">
        <v>17</v>
      </c>
      <c r="B366" s="15" t="s">
        <v>474</v>
      </c>
      <c r="C366" s="15" t="s">
        <v>475</v>
      </c>
      <c r="D366" s="14" t="s">
        <v>476</v>
      </c>
      <c r="E366" s="15" t="s">
        <v>40</v>
      </c>
      <c r="F366" s="14" t="s">
        <v>41</v>
      </c>
      <c r="G366" s="15" t="s">
        <v>23</v>
      </c>
      <c r="H366" s="15" t="s">
        <v>1526</v>
      </c>
      <c r="I366" s="15">
        <v>201410</v>
      </c>
      <c r="J366" s="16">
        <v>0</v>
      </c>
      <c r="K366" s="171">
        <f>VLOOKUP(I366,$T$9:$U$23,2)</f>
        <v>8</v>
      </c>
      <c r="L366" s="17">
        <v>1.4833299999999999E-3</v>
      </c>
      <c r="M366" s="16">
        <f>ROUND(J366*K366*L366,2)</f>
        <v>0</v>
      </c>
      <c r="N366" s="16">
        <f>ROUND(J366*L366*12,2)</f>
        <v>0</v>
      </c>
      <c r="O366" s="14"/>
      <c r="P366" s="210" t="str">
        <f>VLOOKUP(C366,'WO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367" spans="1:18" outlineLevel="1">
      <c r="A367" s="223"/>
      <c r="B367" s="250"/>
      <c r="C367" s="254" t="s">
        <v>1887</v>
      </c>
      <c r="D367" s="223"/>
      <c r="E367" s="250"/>
      <c r="F367" s="223"/>
      <c r="G367" s="250"/>
      <c r="H367" s="250"/>
      <c r="I367" s="250"/>
      <c r="J367" s="251">
        <f>SUBTOTAL(9,J365:J366)</f>
        <v>-659.04</v>
      </c>
      <c r="K367" s="252"/>
      <c r="L367" s="253"/>
      <c r="M367" s="251">
        <f>SUBTOTAL(9,M365:M366)</f>
        <v>-8.8000000000000007</v>
      </c>
      <c r="N367" s="251">
        <f>SUBTOTAL(9,N365:N366)</f>
        <v>-11.73</v>
      </c>
      <c r="O367" s="223"/>
      <c r="P367" s="210"/>
      <c r="Q367" s="263" t="s">
        <v>2096</v>
      </c>
    </row>
    <row r="368" spans="1:18" ht="60" outlineLevel="2">
      <c r="A368" s="14" t="s">
        <v>17</v>
      </c>
      <c r="B368" s="15" t="s">
        <v>477</v>
      </c>
      <c r="C368" s="15" t="s">
        <v>478</v>
      </c>
      <c r="D368" s="14" t="s">
        <v>479</v>
      </c>
      <c r="E368" s="15" t="s">
        <v>440</v>
      </c>
      <c r="F368" s="14" t="s">
        <v>28</v>
      </c>
      <c r="G368" s="15" t="s">
        <v>23</v>
      </c>
      <c r="H368" s="15" t="s">
        <v>1525</v>
      </c>
      <c r="I368" s="15">
        <v>201409</v>
      </c>
      <c r="J368" s="16">
        <v>-15.86</v>
      </c>
      <c r="K368" s="171">
        <f>VLOOKUP(I368,$T$9:$U$23,2)</f>
        <v>9</v>
      </c>
      <c r="L368" s="17">
        <v>1.4833299999999999E-3</v>
      </c>
      <c r="M368" s="16">
        <f>ROUND(J368*K368*L368,2)</f>
        <v>-0.21</v>
      </c>
      <c r="N368" s="16">
        <f>ROUND(J368*L368*12,2)</f>
        <v>-0.28000000000000003</v>
      </c>
      <c r="O368" s="14"/>
      <c r="P368" s="210" t="str">
        <f>VLOOKUP(C368,'WO Descriptions'!$A$5:$D$345,4)</f>
        <v>Approved by: Kevin Driskell on 02/20/2014,  RELOCATE 4'-2" PLEXCO DUE TO WATER DEPARTMENT SHUTTING OFF BALL VALVE IN ERROR.  MGE DIDN'T WANT WATER DEPARTMENT TO ACCIDENTALLY DO THIS AGAIN; SO REMOVED 3-WAY TEE &amp; BALL VALVE.  ABANDONED 3'-2" PE (98-8159).</v>
      </c>
    </row>
    <row r="369" spans="1:18" outlineLevel="1">
      <c r="A369" s="223"/>
      <c r="B369" s="250"/>
      <c r="C369" s="254" t="s">
        <v>1888</v>
      </c>
      <c r="D369" s="223"/>
      <c r="E369" s="250"/>
      <c r="F369" s="223"/>
      <c r="G369" s="250"/>
      <c r="H369" s="250"/>
      <c r="I369" s="250"/>
      <c r="J369" s="251">
        <f>SUBTOTAL(9,J368:J368)</f>
        <v>-15.86</v>
      </c>
      <c r="K369" s="252"/>
      <c r="L369" s="253"/>
      <c r="M369" s="251">
        <f>SUBTOTAL(9,M368:M368)</f>
        <v>-0.21</v>
      </c>
      <c r="N369" s="251">
        <f>SUBTOTAL(9,N368:N368)</f>
        <v>-0.28000000000000003</v>
      </c>
      <c r="O369" s="223"/>
      <c r="P369" s="210"/>
      <c r="Q369" s="263" t="s">
        <v>2097</v>
      </c>
      <c r="R369" s="263" t="s">
        <v>2099</v>
      </c>
    </row>
    <row r="370" spans="1:18" ht="45" outlineLevel="2">
      <c r="A370" s="14" t="s">
        <v>17</v>
      </c>
      <c r="B370" s="15" t="s">
        <v>480</v>
      </c>
      <c r="C370" s="15" t="s">
        <v>481</v>
      </c>
      <c r="D370" s="14" t="s">
        <v>482</v>
      </c>
      <c r="E370" s="15" t="s">
        <v>141</v>
      </c>
      <c r="F370" s="14" t="s">
        <v>142</v>
      </c>
      <c r="G370" s="15" t="s">
        <v>23</v>
      </c>
      <c r="H370" s="15" t="s">
        <v>1525</v>
      </c>
      <c r="I370" s="15">
        <v>201409</v>
      </c>
      <c r="J370" s="16">
        <v>-482.88</v>
      </c>
      <c r="K370" s="171">
        <f>VLOOKUP(I370,$T$9:$U$23,2)</f>
        <v>9</v>
      </c>
      <c r="L370" s="17">
        <v>1.4833299999999999E-3</v>
      </c>
      <c r="M370" s="16">
        <f>ROUND(J370*K370*L370,2)</f>
        <v>-6.45</v>
      </c>
      <c r="N370" s="16">
        <f>ROUND(J370*L370*12,2)</f>
        <v>-8.6</v>
      </c>
      <c r="O370" s="14"/>
      <c r="P370" s="210" t="str">
        <f>VLOOKUP(C370,'WO Descriptions'!$A$5:$D$345,4)</f>
        <v>Approved by: Gary Williams on 12/02/2013,  AOR.  Replace 40'-6in CI with 6in PE.  13' of CI was exposed at 2551 Chelsea.  Tie-over two services and replace one service (2553 Chelsea).Retire 35'-6in CI, B30P88; 5'-6in CI, B18P103.</v>
      </c>
    </row>
    <row r="371" spans="1:18" ht="45" outlineLevel="2">
      <c r="A371" s="14" t="s">
        <v>17</v>
      </c>
      <c r="B371" s="15" t="s">
        <v>480</v>
      </c>
      <c r="C371" s="15" t="s">
        <v>481</v>
      </c>
      <c r="D371" s="14" t="s">
        <v>482</v>
      </c>
      <c r="E371" s="15" t="s">
        <v>141</v>
      </c>
      <c r="F371" s="14" t="s">
        <v>142</v>
      </c>
      <c r="G371" s="15" t="s">
        <v>23</v>
      </c>
      <c r="H371" s="15" t="s">
        <v>1525</v>
      </c>
      <c r="I371" s="15">
        <v>201410</v>
      </c>
      <c r="J371" s="16">
        <v>307.39</v>
      </c>
      <c r="K371" s="171">
        <f>VLOOKUP(I371,$T$9:$U$23,2)</f>
        <v>8</v>
      </c>
      <c r="L371" s="17">
        <v>1.4833299999999999E-3</v>
      </c>
      <c r="M371" s="16">
        <f>ROUND(J371*K371*L371,2)</f>
        <v>3.65</v>
      </c>
      <c r="N371" s="16">
        <f>ROUND(J371*L371*12,2)</f>
        <v>5.47</v>
      </c>
      <c r="O371" s="14"/>
      <c r="P371" s="210" t="str">
        <f>VLOOKUP(C371,'WO Descriptions'!$A$5:$D$345,4)</f>
        <v>Approved by: Gary Williams on 12/02/2013,  AOR.  Replace 40'-6in CI with 6in PE.  13' of CI was exposed at 2551 Chelsea.  Tie-over two services and replace one service (2553 Chelsea).Retire 35'-6in CI, B30P88; 5'-6in CI, B18P103.</v>
      </c>
    </row>
    <row r="372" spans="1:18" ht="45" outlineLevel="2">
      <c r="A372" s="14" t="s">
        <v>17</v>
      </c>
      <c r="B372" s="15" t="s">
        <v>480</v>
      </c>
      <c r="C372" s="15" t="s">
        <v>481</v>
      </c>
      <c r="D372" s="14" t="s">
        <v>482</v>
      </c>
      <c r="E372" s="15" t="s">
        <v>141</v>
      </c>
      <c r="F372" s="14" t="s">
        <v>142</v>
      </c>
      <c r="G372" s="15" t="s">
        <v>23</v>
      </c>
      <c r="H372" s="15" t="s">
        <v>1525</v>
      </c>
      <c r="I372" s="15">
        <v>201411</v>
      </c>
      <c r="J372" s="16">
        <v>-143.49</v>
      </c>
      <c r="K372" s="171">
        <f>VLOOKUP(I372,$T$9:$U$23,2)</f>
        <v>7</v>
      </c>
      <c r="L372" s="17">
        <v>1.4833299999999999E-3</v>
      </c>
      <c r="M372" s="16">
        <f>ROUND(J372*K372*L372,2)</f>
        <v>-1.49</v>
      </c>
      <c r="N372" s="16">
        <f>ROUND(J372*L372*12,2)</f>
        <v>-2.5499999999999998</v>
      </c>
      <c r="O372" s="14"/>
      <c r="P372" s="210" t="str">
        <f>VLOOKUP(C372,'WO Descriptions'!$A$5:$D$345,4)</f>
        <v>Approved by: Gary Williams on 12/02/2013,  AOR.  Replace 40'-6in CI with 6in PE.  13' of CI was exposed at 2551 Chelsea.  Tie-over two services and replace one service (2553 Chelsea).Retire 35'-6in CI, B30P88; 5'-6in CI, B18P103.</v>
      </c>
    </row>
    <row r="373" spans="1:18" ht="45" outlineLevel="2">
      <c r="A373" s="14" t="s">
        <v>17</v>
      </c>
      <c r="B373" s="15" t="s">
        <v>480</v>
      </c>
      <c r="C373" s="15" t="s">
        <v>481</v>
      </c>
      <c r="D373" s="14" t="s">
        <v>482</v>
      </c>
      <c r="E373" s="15" t="s">
        <v>141</v>
      </c>
      <c r="F373" s="14" t="s">
        <v>142</v>
      </c>
      <c r="G373" s="15" t="s">
        <v>23</v>
      </c>
      <c r="H373" s="15" t="s">
        <v>1525</v>
      </c>
      <c r="I373" s="15">
        <v>201412</v>
      </c>
      <c r="J373" s="16">
        <v>-12.75</v>
      </c>
      <c r="K373" s="171">
        <f>VLOOKUP(I373,$T$9:$U$23,2)</f>
        <v>6</v>
      </c>
      <c r="L373" s="17">
        <v>1.4833299999999999E-3</v>
      </c>
      <c r="M373" s="16">
        <f>ROUND(J373*K373*L373,2)</f>
        <v>-0.11</v>
      </c>
      <c r="N373" s="16">
        <f>ROUND(J373*L373*12,2)</f>
        <v>-0.23</v>
      </c>
      <c r="O373" s="14"/>
      <c r="P373" s="210" t="str">
        <f>VLOOKUP(C373,'WO Descriptions'!$A$5:$D$345,4)</f>
        <v>Approved by: Gary Williams on 12/02/2013,  AOR.  Replace 40'-6in CI with 6in PE.  13' of CI was exposed at 2551 Chelsea.  Tie-over two services and replace one service (2553 Chelsea).Retire 35'-6in CI, B30P88; 5'-6in CI, B18P103.</v>
      </c>
    </row>
    <row r="374" spans="1:18" outlineLevel="1">
      <c r="A374" s="223"/>
      <c r="B374" s="250"/>
      <c r="C374" s="254" t="s">
        <v>1889</v>
      </c>
      <c r="D374" s="223"/>
      <c r="E374" s="250"/>
      <c r="F374" s="223"/>
      <c r="G374" s="250"/>
      <c r="H374" s="250"/>
      <c r="I374" s="250"/>
      <c r="J374" s="251">
        <f>SUBTOTAL(9,J370:J373)</f>
        <v>-331.73</v>
      </c>
      <c r="K374" s="252"/>
      <c r="L374" s="253"/>
      <c r="M374" s="251">
        <f>SUBTOTAL(9,M370:M373)</f>
        <v>-4.4000000000000004</v>
      </c>
      <c r="N374" s="251">
        <f>SUBTOTAL(9,N370:N373)</f>
        <v>-5.91</v>
      </c>
      <c r="O374" s="223"/>
      <c r="P374" s="210"/>
      <c r="Q374" s="263" t="s">
        <v>2097</v>
      </c>
      <c r="R374" s="263" t="s">
        <v>2100</v>
      </c>
    </row>
    <row r="375" spans="1:18" ht="120" outlineLevel="2">
      <c r="A375" s="14" t="s">
        <v>17</v>
      </c>
      <c r="B375" s="15" t="s">
        <v>483</v>
      </c>
      <c r="C375" s="15" t="s">
        <v>484</v>
      </c>
      <c r="D375" s="14" t="s">
        <v>485</v>
      </c>
      <c r="E375" s="15" t="s">
        <v>324</v>
      </c>
      <c r="F375" s="14" t="s">
        <v>325</v>
      </c>
      <c r="G375" s="15" t="s">
        <v>23</v>
      </c>
      <c r="H375" s="15" t="s">
        <v>1525</v>
      </c>
      <c r="I375" s="15">
        <v>201409</v>
      </c>
      <c r="J375" s="16">
        <v>-297.13</v>
      </c>
      <c r="K375" s="171">
        <f>VLOOKUP(I375,$T$9:$U$23,2)</f>
        <v>9</v>
      </c>
      <c r="L375" s="17">
        <v>1.4833299999999999E-3</v>
      </c>
      <c r="M375" s="16">
        <f>ROUND(J375*K375*L375,2)</f>
        <v>-3.97</v>
      </c>
      <c r="N375" s="16">
        <f>ROUND(J375*L375*12,2)</f>
        <v>-5.29</v>
      </c>
      <c r="O375" s="14"/>
      <c r="P375" s="210" t="str">
        <f>VLOOKUP(C375,'WO Descriptions'!$A$5:$D$345,4)</f>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
    </row>
    <row r="376" spans="1:18" outlineLevel="1">
      <c r="A376" s="223"/>
      <c r="B376" s="250"/>
      <c r="C376" s="254" t="s">
        <v>1890</v>
      </c>
      <c r="D376" s="223"/>
      <c r="E376" s="250"/>
      <c r="F376" s="223"/>
      <c r="G376" s="250"/>
      <c r="H376" s="250"/>
      <c r="I376" s="250"/>
      <c r="J376" s="251">
        <f>SUBTOTAL(9,J375:J375)</f>
        <v>-297.13</v>
      </c>
      <c r="K376" s="252"/>
      <c r="L376" s="253"/>
      <c r="M376" s="251">
        <f>SUBTOTAL(9,M375:M375)</f>
        <v>-3.97</v>
      </c>
      <c r="N376" s="251">
        <f>SUBTOTAL(9,N375:N375)</f>
        <v>-5.29</v>
      </c>
      <c r="O376" s="223"/>
      <c r="P376" s="210"/>
      <c r="Q376" s="263" t="s">
        <v>2094</v>
      </c>
      <c r="R376" s="263" t="s">
        <v>2095</v>
      </c>
    </row>
    <row r="377" spans="1:18" ht="45" outlineLevel="2">
      <c r="A377" s="14" t="s">
        <v>17</v>
      </c>
      <c r="B377" s="15" t="s">
        <v>486</v>
      </c>
      <c r="C377" s="15" t="s">
        <v>487</v>
      </c>
      <c r="D377" s="14" t="s">
        <v>488</v>
      </c>
      <c r="E377" s="15" t="s">
        <v>141</v>
      </c>
      <c r="F377" s="14" t="s">
        <v>142</v>
      </c>
      <c r="G377" s="15" t="s">
        <v>23</v>
      </c>
      <c r="H377" s="15" t="s">
        <v>1525</v>
      </c>
      <c r="I377" s="15">
        <v>201409</v>
      </c>
      <c r="J377" s="16">
        <v>-374.06</v>
      </c>
      <c r="K377" s="171">
        <f>VLOOKUP(I377,$T$9:$U$23,2)</f>
        <v>9</v>
      </c>
      <c r="L377" s="17">
        <v>1.4833299999999999E-3</v>
      </c>
      <c r="M377" s="16">
        <f>ROUND(J377*K377*L377,2)</f>
        <v>-4.99</v>
      </c>
      <c r="N377" s="16">
        <f>ROUND(J377*L377*12,2)</f>
        <v>-6.66</v>
      </c>
      <c r="O377" s="14"/>
      <c r="P377" s="210" t="str">
        <f>VLOOKUP(C377,'WO Descriptions'!$A$5:$D$345,4)</f>
        <v>Approved by: Gary Williams on 01/10/2014,  AOR.  This work order must be completed by March 16, 2014.  Replace 40'-6in CI due to parallel excavation.  AOR location: 12' SNC of E 52nd Street.  No services to tie-over.  Retire 44'-6in CI, WO A2610, year 1930.</v>
      </c>
    </row>
    <row r="378" spans="1:18" outlineLevel="1">
      <c r="A378" s="223"/>
      <c r="B378" s="250"/>
      <c r="C378" s="254" t="s">
        <v>1891</v>
      </c>
      <c r="D378" s="223"/>
      <c r="E378" s="250"/>
      <c r="F378" s="223"/>
      <c r="G378" s="250"/>
      <c r="H378" s="250"/>
      <c r="I378" s="250"/>
      <c r="J378" s="251">
        <f>SUBTOTAL(9,J377:J377)</f>
        <v>-374.06</v>
      </c>
      <c r="K378" s="252"/>
      <c r="L378" s="253"/>
      <c r="M378" s="251">
        <f>SUBTOTAL(9,M377:M377)</f>
        <v>-4.99</v>
      </c>
      <c r="N378" s="251">
        <f>SUBTOTAL(9,N377:N377)</f>
        <v>-6.66</v>
      </c>
      <c r="O378" s="223"/>
      <c r="P378" s="210"/>
      <c r="Q378" s="263" t="s">
        <v>2097</v>
      </c>
      <c r="R378" s="263" t="s">
        <v>2100</v>
      </c>
    </row>
    <row r="379" spans="1:18" ht="30" outlineLevel="2">
      <c r="A379" s="211" t="s">
        <v>66</v>
      </c>
      <c r="B379" s="212" t="s">
        <v>489</v>
      </c>
      <c r="C379" s="212" t="s">
        <v>490</v>
      </c>
      <c r="D379" s="211" t="s">
        <v>491</v>
      </c>
      <c r="E379" s="212" t="s">
        <v>492</v>
      </c>
      <c r="F379" s="211" t="s">
        <v>378</v>
      </c>
      <c r="G379" s="212" t="s">
        <v>23</v>
      </c>
      <c r="H379" s="212" t="s">
        <v>1530</v>
      </c>
      <c r="I379" s="212">
        <v>201409</v>
      </c>
      <c r="J379" s="213">
        <v>-2416.5500000000002</v>
      </c>
      <c r="K379" s="171">
        <f>VLOOKUP(I379,$T$9:$U$23,2)</f>
        <v>9</v>
      </c>
      <c r="L379" s="214">
        <v>2.23333E-3</v>
      </c>
      <c r="M379" s="213">
        <f>ROUND(J379*K379*L379,2)</f>
        <v>-48.57</v>
      </c>
      <c r="N379" s="213">
        <f>ROUND(J379*L379*12,2)</f>
        <v>-64.760000000000005</v>
      </c>
      <c r="O379" s="14"/>
      <c r="P379" s="210" t="str">
        <f>VLOOKUP(C379,'WO Descriptions'!$A$5:$D$345,4)</f>
        <v>Service/Yard Line Replacement (SLRP): Contract Crew.  Service/yard line replacement - Material Charges Only  (Kansas City - Central Region)</v>
      </c>
    </row>
    <row r="380" spans="1:18" ht="30" outlineLevel="2">
      <c r="A380" s="211" t="s">
        <v>66</v>
      </c>
      <c r="B380" s="212" t="s">
        <v>489</v>
      </c>
      <c r="C380" s="212" t="s">
        <v>490</v>
      </c>
      <c r="D380" s="211" t="s">
        <v>491</v>
      </c>
      <c r="E380" s="212" t="s">
        <v>492</v>
      </c>
      <c r="F380" s="211" t="s">
        <v>378</v>
      </c>
      <c r="G380" s="212" t="s">
        <v>23</v>
      </c>
      <c r="H380" s="212" t="s">
        <v>1530</v>
      </c>
      <c r="I380" s="212">
        <v>201411</v>
      </c>
      <c r="J380" s="213">
        <v>2182.83</v>
      </c>
      <c r="K380" s="171">
        <f>VLOOKUP(I380,$T$9:$U$23,2)</f>
        <v>7</v>
      </c>
      <c r="L380" s="214">
        <v>2.23333E-3</v>
      </c>
      <c r="M380" s="213">
        <f>ROUND(J380*K380*L380,2)</f>
        <v>34.119999999999997</v>
      </c>
      <c r="N380" s="213">
        <f>ROUND(J380*L380*12,2)</f>
        <v>58.5</v>
      </c>
      <c r="O380" s="14"/>
      <c r="P380" s="210" t="str">
        <f>VLOOKUP(C380,'WO Descriptions'!$A$5:$D$345,4)</f>
        <v>Service/Yard Line Replacement (SLRP): Contract Crew.  Service/yard line replacement - Material Charges Only  (Kansas City - Central Region)</v>
      </c>
    </row>
    <row r="381" spans="1:18" ht="30" outlineLevel="2">
      <c r="A381" s="211" t="s">
        <v>66</v>
      </c>
      <c r="B381" s="212" t="s">
        <v>489</v>
      </c>
      <c r="C381" s="212" t="s">
        <v>490</v>
      </c>
      <c r="D381" s="211" t="s">
        <v>491</v>
      </c>
      <c r="E381" s="212" t="s">
        <v>492</v>
      </c>
      <c r="F381" s="211" t="s">
        <v>378</v>
      </c>
      <c r="G381" s="212" t="s">
        <v>23</v>
      </c>
      <c r="H381" s="212" t="s">
        <v>1530</v>
      </c>
      <c r="I381" s="212">
        <v>201412</v>
      </c>
      <c r="J381" s="213">
        <v>-341.38</v>
      </c>
      <c r="K381" s="171">
        <f>VLOOKUP(I381,$T$9:$U$23,2)</f>
        <v>6</v>
      </c>
      <c r="L381" s="214">
        <v>2.23333E-3</v>
      </c>
      <c r="M381" s="213">
        <f>ROUND(J381*K381*L381,2)</f>
        <v>-4.57</v>
      </c>
      <c r="N381" s="213">
        <f>ROUND(J381*L381*12,2)</f>
        <v>-9.15</v>
      </c>
      <c r="O381" s="14"/>
      <c r="P381" s="210" t="str">
        <f>VLOOKUP(C381,'WO Descriptions'!$A$5:$D$345,4)</f>
        <v>Service/Yard Line Replacement (SLRP): Contract Crew.  Service/yard line replacement - Material Charges Only  (Kansas City - Central Region)</v>
      </c>
    </row>
    <row r="382" spans="1:18" outlineLevel="1">
      <c r="A382" s="256"/>
      <c r="B382" s="257"/>
      <c r="C382" s="260" t="s">
        <v>1892</v>
      </c>
      <c r="D382" s="256"/>
      <c r="E382" s="257"/>
      <c r="F382" s="256"/>
      <c r="G382" s="257"/>
      <c r="H382" s="257"/>
      <c r="I382" s="257"/>
      <c r="J382" s="258">
        <f>SUBTOTAL(9,J379:J381)</f>
        <v>-575.10000000000025</v>
      </c>
      <c r="K382" s="252"/>
      <c r="L382" s="259"/>
      <c r="M382" s="258">
        <f>SUBTOTAL(9,M379:M381)</f>
        <v>-19.020000000000003</v>
      </c>
      <c r="N382" s="258">
        <f>SUBTOTAL(9,N379:N381)</f>
        <v>-15.410000000000005</v>
      </c>
      <c r="O382" s="223"/>
      <c r="P382" s="210"/>
      <c r="Q382" s="263" t="s">
        <v>2097</v>
      </c>
      <c r="R382" s="263" t="s">
        <v>2102</v>
      </c>
    </row>
    <row r="383" spans="1:18" ht="30" outlineLevel="2">
      <c r="A383" s="211" t="s">
        <v>1584</v>
      </c>
      <c r="B383" s="212" t="s">
        <v>1605</v>
      </c>
      <c r="C383" s="212" t="s">
        <v>1606</v>
      </c>
      <c r="D383" s="211" t="s">
        <v>1607</v>
      </c>
      <c r="E383" s="212" t="s">
        <v>1608</v>
      </c>
      <c r="F383" s="211" t="s">
        <v>1590</v>
      </c>
      <c r="G383" s="212" t="s">
        <v>23</v>
      </c>
      <c r="H383" s="212" t="s">
        <v>1530</v>
      </c>
      <c r="I383" s="212">
        <v>201409</v>
      </c>
      <c r="J383" s="213">
        <v>14022.68</v>
      </c>
      <c r="K383" s="171">
        <f>VLOOKUP(I383,$T$9:$U$23,2)</f>
        <v>9</v>
      </c>
      <c r="L383" s="214">
        <v>2.0333333000000001E-3</v>
      </c>
      <c r="M383" s="213">
        <f>ROUND(J383*K383*L383,2)</f>
        <v>256.62</v>
      </c>
      <c r="N383" s="213">
        <f>ROUND(J383*L383*12,2)</f>
        <v>342.15</v>
      </c>
      <c r="O383" s="14"/>
      <c r="P383" s="210" t="str">
        <f>VLOOKUP(C383,'WO Descriptions'!$A$5:$D$345,4)</f>
        <v>Service/Yard Line Replacement (SLRP): Contract Crew.  Service/yard line replacement - Material Charges Only  (Kansas City - Central Region)</v>
      </c>
    </row>
    <row r="384" spans="1:18" ht="30" outlineLevel="2">
      <c r="A384" s="211" t="s">
        <v>1584</v>
      </c>
      <c r="B384" s="212" t="s">
        <v>1605</v>
      </c>
      <c r="C384" s="212" t="s">
        <v>1606</v>
      </c>
      <c r="D384" s="211" t="s">
        <v>1607</v>
      </c>
      <c r="E384" s="212" t="s">
        <v>1608</v>
      </c>
      <c r="F384" s="211" t="s">
        <v>1590</v>
      </c>
      <c r="G384" s="212" t="s">
        <v>23</v>
      </c>
      <c r="H384" s="212" t="s">
        <v>1530</v>
      </c>
      <c r="I384" s="212">
        <v>201410</v>
      </c>
      <c r="J384" s="213">
        <v>18008.71</v>
      </c>
      <c r="K384" s="171">
        <f>VLOOKUP(I384,$T$9:$U$23,2)</f>
        <v>8</v>
      </c>
      <c r="L384" s="214">
        <v>2.0333333000000001E-3</v>
      </c>
      <c r="M384" s="213">
        <f>ROUND(J384*K384*L384,2)</f>
        <v>292.94</v>
      </c>
      <c r="N384" s="213">
        <f>ROUND(J384*L384*12,2)</f>
        <v>439.41</v>
      </c>
      <c r="O384" s="14"/>
      <c r="P384" s="210" t="str">
        <f>VLOOKUP(C384,'WO Descriptions'!$A$5:$D$345,4)</f>
        <v>Service/Yard Line Replacement (SLRP): Contract Crew.  Service/yard line replacement - Material Charges Only  (Kansas City - Central Region)</v>
      </c>
    </row>
    <row r="385" spans="1:18" ht="30" outlineLevel="2">
      <c r="A385" s="211" t="s">
        <v>1584</v>
      </c>
      <c r="B385" s="212" t="s">
        <v>1605</v>
      </c>
      <c r="C385" s="212" t="s">
        <v>1606</v>
      </c>
      <c r="D385" s="211" t="s">
        <v>1607</v>
      </c>
      <c r="E385" s="212" t="s">
        <v>1608</v>
      </c>
      <c r="F385" s="211" t="s">
        <v>1590</v>
      </c>
      <c r="G385" s="212" t="s">
        <v>23</v>
      </c>
      <c r="H385" s="212" t="s">
        <v>1530</v>
      </c>
      <c r="I385" s="212">
        <v>201411</v>
      </c>
      <c r="J385" s="213">
        <v>13521.65</v>
      </c>
      <c r="K385" s="171">
        <f>VLOOKUP(I385,$T$9:$U$23,2)</f>
        <v>7</v>
      </c>
      <c r="L385" s="214">
        <v>2.0333333000000001E-3</v>
      </c>
      <c r="M385" s="213">
        <f>ROUND(J385*K385*L385,2)</f>
        <v>192.46</v>
      </c>
      <c r="N385" s="213">
        <f>ROUND(J385*L385*12,2)</f>
        <v>329.93</v>
      </c>
      <c r="O385" s="14"/>
      <c r="P385" s="210" t="str">
        <f>VLOOKUP(C385,'WO Descriptions'!$A$5:$D$345,4)</f>
        <v>Service/Yard Line Replacement (SLRP): Contract Crew.  Service/yard line replacement - Material Charges Only  (Kansas City - Central Region)</v>
      </c>
    </row>
    <row r="386" spans="1:18" ht="30" outlineLevel="2">
      <c r="A386" s="211" t="s">
        <v>1584</v>
      </c>
      <c r="B386" s="212" t="s">
        <v>1605</v>
      </c>
      <c r="C386" s="212" t="s">
        <v>1606</v>
      </c>
      <c r="D386" s="211" t="s">
        <v>1607</v>
      </c>
      <c r="E386" s="212" t="s">
        <v>1608</v>
      </c>
      <c r="F386" s="211" t="s">
        <v>1590</v>
      </c>
      <c r="G386" s="212" t="s">
        <v>23</v>
      </c>
      <c r="H386" s="212" t="s">
        <v>1530</v>
      </c>
      <c r="I386" s="212">
        <v>201412</v>
      </c>
      <c r="J386" s="213">
        <v>11008.76</v>
      </c>
      <c r="K386" s="171">
        <f>VLOOKUP(I386,$T$9:$U$23,2)</f>
        <v>6</v>
      </c>
      <c r="L386" s="214">
        <v>2.0333333000000001E-3</v>
      </c>
      <c r="M386" s="213">
        <f>ROUND(J386*K386*L386,2)</f>
        <v>134.31</v>
      </c>
      <c r="N386" s="213">
        <f>ROUND(J386*L386*12,2)</f>
        <v>268.61</v>
      </c>
      <c r="O386" s="14"/>
      <c r="P386" s="210" t="str">
        <f>VLOOKUP(C386,'WO Descriptions'!$A$5:$D$345,4)</f>
        <v>Service/Yard Line Replacement (SLRP): Contract Crew.  Service/yard line replacement - Material Charges Only  (Kansas City - Central Region)</v>
      </c>
    </row>
    <row r="387" spans="1:18" outlineLevel="1">
      <c r="A387" s="256"/>
      <c r="B387" s="257"/>
      <c r="C387" s="260" t="s">
        <v>1893</v>
      </c>
      <c r="D387" s="256"/>
      <c r="E387" s="257"/>
      <c r="F387" s="256"/>
      <c r="G387" s="257"/>
      <c r="H387" s="257"/>
      <c r="I387" s="257"/>
      <c r="J387" s="258">
        <f>SUBTOTAL(9,J383:J386)</f>
        <v>56561.8</v>
      </c>
      <c r="K387" s="252"/>
      <c r="L387" s="259"/>
      <c r="M387" s="258">
        <f>SUBTOTAL(9,M383:M386)</f>
        <v>876.32999999999993</v>
      </c>
      <c r="N387" s="258">
        <f>SUBTOTAL(9,N383:N386)</f>
        <v>1380.1</v>
      </c>
      <c r="O387" s="223"/>
      <c r="P387" s="210"/>
      <c r="Q387" s="263" t="s">
        <v>2097</v>
      </c>
      <c r="R387" s="263" t="s">
        <v>2102</v>
      </c>
    </row>
    <row r="388" spans="1:18" ht="45" outlineLevel="2">
      <c r="A388" s="14" t="s">
        <v>17</v>
      </c>
      <c r="B388" s="15" t="s">
        <v>493</v>
      </c>
      <c r="C388" s="15" t="s">
        <v>494</v>
      </c>
      <c r="D388" s="14" t="s">
        <v>495</v>
      </c>
      <c r="E388" s="15" t="s">
        <v>62</v>
      </c>
      <c r="F388" s="14" t="s">
        <v>22</v>
      </c>
      <c r="G388" s="15" t="s">
        <v>23</v>
      </c>
      <c r="H388" s="15" t="s">
        <v>1525</v>
      </c>
      <c r="I388" s="15">
        <v>201409</v>
      </c>
      <c r="J388" s="16">
        <v>-24.13</v>
      </c>
      <c r="K388" s="171">
        <f>VLOOKUP(I388,$T$9:$U$23,2)</f>
        <v>9</v>
      </c>
      <c r="L388" s="17">
        <v>1.4833299999999999E-3</v>
      </c>
      <c r="M388" s="16">
        <f>ROUND(J388*K388*L388,2)</f>
        <v>-0.32</v>
      </c>
      <c r="N388" s="16">
        <f>ROUND(J388*L388*12,2)</f>
        <v>-0.43</v>
      </c>
      <c r="O388" s="14"/>
      <c r="P388" s="210" t="str">
        <f>VLOOKUP(C388,'WO Descriptions'!$A$5:$D$345,4)</f>
        <v>Approved by: Ralph Janes on 05/01/2013,  Replace and abandon 75' of 2&amp;quot; PBS (NONE WO) with 75' of 2&amp;quot; PE on WO# 13-2654. The existing main was leaking under 2nd Street (MO Hwy 58). ISRS</v>
      </c>
    </row>
    <row r="389" spans="1:18" outlineLevel="1">
      <c r="A389" s="223"/>
      <c r="B389" s="250"/>
      <c r="C389" s="254" t="s">
        <v>1894</v>
      </c>
      <c r="D389" s="223"/>
      <c r="E389" s="250"/>
      <c r="F389" s="223"/>
      <c r="G389" s="250"/>
      <c r="H389" s="250"/>
      <c r="I389" s="250"/>
      <c r="J389" s="251">
        <f>SUBTOTAL(9,J388:J388)</f>
        <v>-24.13</v>
      </c>
      <c r="K389" s="252"/>
      <c r="L389" s="253"/>
      <c r="M389" s="251">
        <f>SUBTOTAL(9,M388:M388)</f>
        <v>-0.32</v>
      </c>
      <c r="N389" s="251">
        <f>SUBTOTAL(9,N388:N388)</f>
        <v>-0.43</v>
      </c>
      <c r="O389" s="223"/>
      <c r="P389" s="210"/>
      <c r="Q389" s="263" t="s">
        <v>2097</v>
      </c>
      <c r="R389" s="263" t="s">
        <v>2098</v>
      </c>
    </row>
    <row r="390" spans="1:18" ht="30" outlineLevel="2">
      <c r="A390" s="211" t="s">
        <v>66</v>
      </c>
      <c r="B390" s="212" t="s">
        <v>496</v>
      </c>
      <c r="C390" s="212" t="s">
        <v>497</v>
      </c>
      <c r="D390" s="211" t="s">
        <v>376</v>
      </c>
      <c r="E390" s="212" t="s">
        <v>498</v>
      </c>
      <c r="F390" s="211" t="s">
        <v>378</v>
      </c>
      <c r="G390" s="212" t="s">
        <v>23</v>
      </c>
      <c r="H390" s="212" t="s">
        <v>1530</v>
      </c>
      <c r="I390" s="212">
        <v>201409</v>
      </c>
      <c r="J390" s="213">
        <v>55968.13</v>
      </c>
      <c r="K390" s="171">
        <f>VLOOKUP(I390,$T$9:$U$23,2)</f>
        <v>9</v>
      </c>
      <c r="L390" s="214">
        <v>2.23333E-3</v>
      </c>
      <c r="M390" s="213">
        <f>ROUND(J390*K390*L390,2)</f>
        <v>1124.96</v>
      </c>
      <c r="N390" s="213">
        <f>ROUND(J390*L390*12,2)</f>
        <v>1499.94</v>
      </c>
      <c r="O390" s="14"/>
      <c r="P390" s="210" t="str">
        <f>VLOOKUP(C390,'WO Descriptions'!$A$5:$D$345,4)</f>
        <v>Service/Yard Line Replacement (SLRP): Contract Crew.  Service/yard line replacement - Material Charges Only  (Lee's Summit - East Region)</v>
      </c>
    </row>
    <row r="391" spans="1:18" ht="30" outlineLevel="2">
      <c r="A391" s="211" t="s">
        <v>66</v>
      </c>
      <c r="B391" s="212" t="s">
        <v>496</v>
      </c>
      <c r="C391" s="212" t="s">
        <v>497</v>
      </c>
      <c r="D391" s="211" t="s">
        <v>376</v>
      </c>
      <c r="E391" s="212" t="s">
        <v>498</v>
      </c>
      <c r="F391" s="211" t="s">
        <v>378</v>
      </c>
      <c r="G391" s="212" t="s">
        <v>23</v>
      </c>
      <c r="H391" s="212" t="s">
        <v>1530</v>
      </c>
      <c r="I391" s="212">
        <v>201410</v>
      </c>
      <c r="J391" s="213">
        <v>86678.53</v>
      </c>
      <c r="K391" s="171">
        <f>VLOOKUP(I391,$T$9:$U$23,2)</f>
        <v>8</v>
      </c>
      <c r="L391" s="214">
        <v>2.23333E-3</v>
      </c>
      <c r="M391" s="213">
        <f>ROUND(J391*K391*L391,2)</f>
        <v>1548.65</v>
      </c>
      <c r="N391" s="213">
        <f>ROUND(J391*L391*12,2)</f>
        <v>2322.98</v>
      </c>
      <c r="O391" s="14"/>
      <c r="P391" s="210" t="str">
        <f>VLOOKUP(C391,'WO Descriptions'!$A$5:$D$345,4)</f>
        <v>Service/Yard Line Replacement (SLRP): Contract Crew.  Service/yard line replacement - Material Charges Only  (Lee's Summit - East Region)</v>
      </c>
    </row>
    <row r="392" spans="1:18" ht="30" outlineLevel="2">
      <c r="A392" s="211" t="s">
        <v>66</v>
      </c>
      <c r="B392" s="212" t="s">
        <v>496</v>
      </c>
      <c r="C392" s="212" t="s">
        <v>497</v>
      </c>
      <c r="D392" s="211" t="s">
        <v>376</v>
      </c>
      <c r="E392" s="212" t="s">
        <v>498</v>
      </c>
      <c r="F392" s="211" t="s">
        <v>378</v>
      </c>
      <c r="G392" s="212" t="s">
        <v>23</v>
      </c>
      <c r="H392" s="212" t="s">
        <v>1530</v>
      </c>
      <c r="I392" s="212">
        <v>201411</v>
      </c>
      <c r="J392" s="213">
        <v>467</v>
      </c>
      <c r="K392" s="171">
        <f>VLOOKUP(I392,$T$9:$U$23,2)</f>
        <v>7</v>
      </c>
      <c r="L392" s="214">
        <v>2.23333E-3</v>
      </c>
      <c r="M392" s="213">
        <f>ROUND(J392*K392*L392,2)</f>
        <v>7.3</v>
      </c>
      <c r="N392" s="213">
        <f>ROUND(J392*L392*12,2)</f>
        <v>12.52</v>
      </c>
      <c r="O392" s="14"/>
      <c r="P392" s="210" t="str">
        <f>VLOOKUP(C392,'WO Descriptions'!$A$5:$D$345,4)</f>
        <v>Service/Yard Line Replacement (SLRP): Contract Crew.  Service/yard line replacement - Material Charges Only  (Lee's Summit - East Region)</v>
      </c>
    </row>
    <row r="393" spans="1:18" ht="30" outlineLevel="2">
      <c r="A393" s="211" t="s">
        <v>66</v>
      </c>
      <c r="B393" s="212" t="s">
        <v>496</v>
      </c>
      <c r="C393" s="212" t="s">
        <v>497</v>
      </c>
      <c r="D393" s="211" t="s">
        <v>376</v>
      </c>
      <c r="E393" s="212" t="s">
        <v>498</v>
      </c>
      <c r="F393" s="211" t="s">
        <v>378</v>
      </c>
      <c r="G393" s="212" t="s">
        <v>23</v>
      </c>
      <c r="H393" s="212" t="s">
        <v>1530</v>
      </c>
      <c r="I393" s="212">
        <v>201412</v>
      </c>
      <c r="J393" s="213">
        <v>44688.62</v>
      </c>
      <c r="K393" s="171">
        <f>VLOOKUP(I393,$T$9:$U$23,2)</f>
        <v>6</v>
      </c>
      <c r="L393" s="214">
        <v>2.23333E-3</v>
      </c>
      <c r="M393" s="213">
        <f>ROUND(J393*K393*L393,2)</f>
        <v>598.83000000000004</v>
      </c>
      <c r="N393" s="213">
        <f>ROUND(J393*L393*12,2)</f>
        <v>1197.6500000000001</v>
      </c>
      <c r="O393" s="14"/>
      <c r="P393" s="210" t="str">
        <f>VLOOKUP(C393,'WO Descriptions'!$A$5:$D$345,4)</f>
        <v>Service/Yard Line Replacement (SLRP): Contract Crew.  Service/yard line replacement - Material Charges Only  (Lee's Summit - East Region)</v>
      </c>
    </row>
    <row r="394" spans="1:18" outlineLevel="1">
      <c r="A394" s="256"/>
      <c r="B394" s="257"/>
      <c r="C394" s="260" t="s">
        <v>1895</v>
      </c>
      <c r="D394" s="256"/>
      <c r="E394" s="257"/>
      <c r="F394" s="256"/>
      <c r="G394" s="257"/>
      <c r="H394" s="257"/>
      <c r="I394" s="257"/>
      <c r="J394" s="258">
        <f>SUBTOTAL(9,J390:J393)</f>
        <v>187802.28</v>
      </c>
      <c r="K394" s="252"/>
      <c r="L394" s="259"/>
      <c r="M394" s="258">
        <f>SUBTOTAL(9,M390:M393)</f>
        <v>3279.7400000000002</v>
      </c>
      <c r="N394" s="258">
        <f>SUBTOTAL(9,N390:N393)</f>
        <v>5033.09</v>
      </c>
      <c r="O394" s="223"/>
      <c r="P394" s="210"/>
      <c r="Q394" s="263" t="s">
        <v>2097</v>
      </c>
      <c r="R394" s="263" t="s">
        <v>2102</v>
      </c>
    </row>
    <row r="395" spans="1:18" outlineLevel="2">
      <c r="A395" s="211" t="s">
        <v>66</v>
      </c>
      <c r="B395" s="212" t="s">
        <v>499</v>
      </c>
      <c r="C395" s="212" t="s">
        <v>500</v>
      </c>
      <c r="D395" s="211" t="s">
        <v>385</v>
      </c>
      <c r="E395" s="212" t="s">
        <v>501</v>
      </c>
      <c r="F395" s="211" t="s">
        <v>387</v>
      </c>
      <c r="G395" s="212" t="s">
        <v>23</v>
      </c>
      <c r="H395" s="212" t="s">
        <v>1530</v>
      </c>
      <c r="I395" s="212">
        <v>201409</v>
      </c>
      <c r="J395" s="213">
        <v>26046.38</v>
      </c>
      <c r="K395" s="171">
        <f>VLOOKUP(I395,$T$9:$U$23,2)</f>
        <v>9</v>
      </c>
      <c r="L395" s="214">
        <v>2.23333E-3</v>
      </c>
      <c r="M395" s="213">
        <f>ROUND(J395*K395*L395,2)</f>
        <v>523.53</v>
      </c>
      <c r="N395" s="213">
        <f>ROUND(J395*L395*12,2)</f>
        <v>698.04</v>
      </c>
      <c r="O395" s="14"/>
      <c r="P395" s="210" t="str">
        <f>VLOOKUP(C395,'WO Descriptions'!$A$5:$D$345,4)</f>
        <v>Replacement and/or removal of existing protected steel or plastic (Joplin - South Region)</v>
      </c>
    </row>
    <row r="396" spans="1:18" outlineLevel="2">
      <c r="A396" s="211" t="s">
        <v>66</v>
      </c>
      <c r="B396" s="212" t="s">
        <v>499</v>
      </c>
      <c r="C396" s="212" t="s">
        <v>500</v>
      </c>
      <c r="D396" s="211" t="s">
        <v>385</v>
      </c>
      <c r="E396" s="212" t="s">
        <v>501</v>
      </c>
      <c r="F396" s="211" t="s">
        <v>387</v>
      </c>
      <c r="G396" s="212" t="s">
        <v>23</v>
      </c>
      <c r="H396" s="212" t="s">
        <v>1530</v>
      </c>
      <c r="I396" s="212">
        <v>201410</v>
      </c>
      <c r="J396" s="213">
        <v>41073.32</v>
      </c>
      <c r="K396" s="171">
        <f>VLOOKUP(I396,$T$9:$U$23,2)</f>
        <v>8</v>
      </c>
      <c r="L396" s="214">
        <v>2.23333E-3</v>
      </c>
      <c r="M396" s="213">
        <f>ROUND(J396*K396*L396,2)</f>
        <v>733.84</v>
      </c>
      <c r="N396" s="213">
        <f>ROUND(J396*L396*12,2)</f>
        <v>1100.76</v>
      </c>
      <c r="O396" s="14"/>
      <c r="P396" s="210" t="str">
        <f>VLOOKUP(C396,'WO Descriptions'!$A$5:$D$345,4)</f>
        <v>Replacement and/or removal of existing protected steel or plastic (Joplin - South Region)</v>
      </c>
    </row>
    <row r="397" spans="1:18" outlineLevel="2">
      <c r="A397" s="211" t="s">
        <v>66</v>
      </c>
      <c r="B397" s="212" t="s">
        <v>499</v>
      </c>
      <c r="C397" s="212" t="s">
        <v>500</v>
      </c>
      <c r="D397" s="211" t="s">
        <v>385</v>
      </c>
      <c r="E397" s="212" t="s">
        <v>501</v>
      </c>
      <c r="F397" s="211" t="s">
        <v>387</v>
      </c>
      <c r="G397" s="212" t="s">
        <v>23</v>
      </c>
      <c r="H397" s="212" t="s">
        <v>1530</v>
      </c>
      <c r="I397" s="212">
        <v>201411</v>
      </c>
      <c r="J397" s="213">
        <v>14235.91</v>
      </c>
      <c r="K397" s="171">
        <f>VLOOKUP(I397,$T$9:$U$23,2)</f>
        <v>7</v>
      </c>
      <c r="L397" s="214">
        <v>2.23333E-3</v>
      </c>
      <c r="M397" s="213">
        <f>ROUND(J397*K397*L397,2)</f>
        <v>222.55</v>
      </c>
      <c r="N397" s="213">
        <f>ROUND(J397*L397*12,2)</f>
        <v>381.52</v>
      </c>
      <c r="O397" s="14"/>
      <c r="P397" s="210" t="str">
        <f>VLOOKUP(C397,'WO Descriptions'!$A$5:$D$345,4)</f>
        <v>Replacement and/or removal of existing protected steel or plastic (Joplin - South Region)</v>
      </c>
    </row>
    <row r="398" spans="1:18" outlineLevel="2">
      <c r="A398" s="211" t="s">
        <v>66</v>
      </c>
      <c r="B398" s="212" t="s">
        <v>499</v>
      </c>
      <c r="C398" s="212" t="s">
        <v>500</v>
      </c>
      <c r="D398" s="211" t="s">
        <v>385</v>
      </c>
      <c r="E398" s="212" t="s">
        <v>501</v>
      </c>
      <c r="F398" s="211" t="s">
        <v>387</v>
      </c>
      <c r="G398" s="212" t="s">
        <v>23</v>
      </c>
      <c r="H398" s="212" t="s">
        <v>1530</v>
      </c>
      <c r="I398" s="212">
        <v>201412</v>
      </c>
      <c r="J398" s="213">
        <v>-1460.39</v>
      </c>
      <c r="K398" s="171">
        <f>VLOOKUP(I398,$T$9:$U$23,2)</f>
        <v>6</v>
      </c>
      <c r="L398" s="214">
        <v>2.23333E-3</v>
      </c>
      <c r="M398" s="213">
        <f>ROUND(J398*K398*L398,2)</f>
        <v>-19.57</v>
      </c>
      <c r="N398" s="213">
        <f>ROUND(J398*L398*12,2)</f>
        <v>-39.14</v>
      </c>
      <c r="O398" s="14"/>
      <c r="P398" s="210" t="str">
        <f>VLOOKUP(C398,'WO Descriptions'!$A$5:$D$345,4)</f>
        <v>Replacement and/or removal of existing protected steel or plastic (Joplin - South Region)</v>
      </c>
    </row>
    <row r="399" spans="1:18" outlineLevel="1">
      <c r="A399" s="256"/>
      <c r="B399" s="257"/>
      <c r="C399" s="260" t="s">
        <v>1896</v>
      </c>
      <c r="D399" s="256"/>
      <c r="E399" s="257"/>
      <c r="F399" s="256"/>
      <c r="G399" s="257"/>
      <c r="H399" s="257"/>
      <c r="I399" s="257"/>
      <c r="J399" s="258">
        <f>SUBTOTAL(9,J395:J398)</f>
        <v>79895.22</v>
      </c>
      <c r="K399" s="252"/>
      <c r="L399" s="259"/>
      <c r="M399" s="258">
        <f>SUBTOTAL(9,M395:M398)</f>
        <v>1460.35</v>
      </c>
      <c r="N399" s="258">
        <f>SUBTOTAL(9,N395:N398)</f>
        <v>2141.1799999999998</v>
      </c>
      <c r="O399" s="223"/>
      <c r="P399" s="210"/>
      <c r="Q399" s="263" t="s">
        <v>2097</v>
      </c>
      <c r="R399" s="263" t="s">
        <v>2102</v>
      </c>
    </row>
    <row r="400" spans="1:18" ht="60" outlineLevel="2">
      <c r="A400" s="14" t="s">
        <v>17</v>
      </c>
      <c r="B400" s="15" t="s">
        <v>502</v>
      </c>
      <c r="C400" s="15" t="s">
        <v>503</v>
      </c>
      <c r="D400" s="14" t="s">
        <v>504</v>
      </c>
      <c r="E400" s="15" t="s">
        <v>40</v>
      </c>
      <c r="F400" s="14" t="s">
        <v>41</v>
      </c>
      <c r="G400" s="15" t="s">
        <v>23</v>
      </c>
      <c r="H400" s="15" t="s">
        <v>1526</v>
      </c>
      <c r="I400" s="15">
        <v>201409</v>
      </c>
      <c r="J400" s="16">
        <v>-28.62</v>
      </c>
      <c r="K400" s="171">
        <f>VLOOKUP(I400,$T$9:$U$23,2)</f>
        <v>9</v>
      </c>
      <c r="L400" s="17">
        <v>1.4833299999999999E-3</v>
      </c>
      <c r="M400" s="16">
        <f>ROUND(J400*K400*L400,2)</f>
        <v>-0.38</v>
      </c>
      <c r="N400" s="16">
        <f>ROUND(J400*L400*12,2)</f>
        <v>-0.51</v>
      </c>
      <c r="O400" s="14"/>
      <c r="P400" s="210" t="str">
        <f>VLOOKUP(C400,'WO Descriptions'!$A$5:$D$345,4)</f>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
    </row>
    <row r="401" spans="1:18" outlineLevel="1">
      <c r="A401" s="223"/>
      <c r="B401" s="250"/>
      <c r="C401" s="254" t="s">
        <v>1897</v>
      </c>
      <c r="D401" s="223"/>
      <c r="E401" s="250"/>
      <c r="F401" s="223"/>
      <c r="G401" s="250"/>
      <c r="H401" s="250"/>
      <c r="I401" s="250"/>
      <c r="J401" s="251">
        <f>SUBTOTAL(9,J400:J400)</f>
        <v>-28.62</v>
      </c>
      <c r="K401" s="252"/>
      <c r="L401" s="253"/>
      <c r="M401" s="251">
        <f>SUBTOTAL(9,M400:M400)</f>
        <v>-0.38</v>
      </c>
      <c r="N401" s="251">
        <f>SUBTOTAL(9,N400:N400)</f>
        <v>-0.51</v>
      </c>
      <c r="O401" s="223"/>
      <c r="P401" s="210"/>
      <c r="Q401" s="263" t="s">
        <v>2096</v>
      </c>
    </row>
    <row r="402" spans="1:18" ht="90" outlineLevel="2">
      <c r="A402" s="14" t="s">
        <v>17</v>
      </c>
      <c r="B402" s="15" t="s">
        <v>505</v>
      </c>
      <c r="C402" s="15" t="s">
        <v>506</v>
      </c>
      <c r="D402" s="14" t="s">
        <v>507</v>
      </c>
      <c r="E402" s="15" t="s">
        <v>104</v>
      </c>
      <c r="F402" s="14" t="s">
        <v>41</v>
      </c>
      <c r="G402" s="15" t="s">
        <v>23</v>
      </c>
      <c r="H402" s="15" t="s">
        <v>1526</v>
      </c>
      <c r="I402" s="15">
        <v>201409</v>
      </c>
      <c r="J402" s="16">
        <v>-27.17</v>
      </c>
      <c r="K402" s="171">
        <f>VLOOKUP(I402,$T$9:$U$23,2)</f>
        <v>9</v>
      </c>
      <c r="L402" s="17">
        <v>1.4833299999999999E-3</v>
      </c>
      <c r="M402" s="16">
        <f>ROUND(J402*K402*L402,2)</f>
        <v>-0.36</v>
      </c>
      <c r="N402" s="16">
        <f>ROUND(J402*L402*12,2)</f>
        <v>-0.48</v>
      </c>
      <c r="O402" s="14"/>
      <c r="P402" s="210" t="str">
        <f>VLOOKUP(C402,'WO Descriptions'!$A$5:$D$345,4)</f>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
    </row>
    <row r="403" spans="1:18" outlineLevel="1">
      <c r="A403" s="223"/>
      <c r="B403" s="250"/>
      <c r="C403" s="254" t="s">
        <v>1898</v>
      </c>
      <c r="D403" s="223"/>
      <c r="E403" s="250"/>
      <c r="F403" s="223"/>
      <c r="G403" s="250"/>
      <c r="H403" s="250"/>
      <c r="I403" s="250"/>
      <c r="J403" s="251">
        <f>SUBTOTAL(9,J402:J402)</f>
        <v>-27.17</v>
      </c>
      <c r="K403" s="252"/>
      <c r="L403" s="253"/>
      <c r="M403" s="251">
        <f>SUBTOTAL(9,M402:M402)</f>
        <v>-0.36</v>
      </c>
      <c r="N403" s="251">
        <f>SUBTOTAL(9,N402:N402)</f>
        <v>-0.48</v>
      </c>
      <c r="O403" s="223"/>
      <c r="P403" s="210"/>
      <c r="Q403" s="263" t="s">
        <v>2096</v>
      </c>
    </row>
    <row r="404" spans="1:18" ht="90" outlineLevel="2">
      <c r="A404" s="14" t="s">
        <v>17</v>
      </c>
      <c r="B404" s="15" t="s">
        <v>508</v>
      </c>
      <c r="C404" s="15" t="s">
        <v>509</v>
      </c>
      <c r="D404" s="14" t="s">
        <v>510</v>
      </c>
      <c r="E404" s="15" t="s">
        <v>27</v>
      </c>
      <c r="F404" s="14" t="s">
        <v>28</v>
      </c>
      <c r="G404" s="15" t="s">
        <v>23</v>
      </c>
      <c r="H404" s="15" t="s">
        <v>1525</v>
      </c>
      <c r="I404" s="15">
        <v>201409</v>
      </c>
      <c r="J404" s="16">
        <v>-147.01</v>
      </c>
      <c r="K404" s="171">
        <f>VLOOKUP(I404,$T$9:$U$23,2)</f>
        <v>9</v>
      </c>
      <c r="L404" s="17">
        <v>1.4833299999999999E-3</v>
      </c>
      <c r="M404" s="16">
        <f>ROUND(J404*K404*L404,2)</f>
        <v>-1.96</v>
      </c>
      <c r="N404" s="16">
        <f>ROUND(J404*L404*12,2)</f>
        <v>-2.62</v>
      </c>
      <c r="O404" s="14"/>
      <c r="P404" s="210" t="str">
        <f>VLOOKUP(C404,'WO Descriptions'!$A$5:$D$345,4)</f>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
    </row>
    <row r="405" spans="1:18" outlineLevel="1">
      <c r="A405" s="223"/>
      <c r="B405" s="250"/>
      <c r="C405" s="254" t="s">
        <v>1899</v>
      </c>
      <c r="D405" s="223"/>
      <c r="E405" s="250"/>
      <c r="F405" s="223"/>
      <c r="G405" s="250"/>
      <c r="H405" s="250"/>
      <c r="I405" s="250"/>
      <c r="J405" s="251">
        <f>SUBTOTAL(9,J404:J404)</f>
        <v>-147.01</v>
      </c>
      <c r="K405" s="252"/>
      <c r="L405" s="253"/>
      <c r="M405" s="251">
        <f>SUBTOTAL(9,M404:M404)</f>
        <v>-1.96</v>
      </c>
      <c r="N405" s="251">
        <f>SUBTOTAL(9,N404:N404)</f>
        <v>-2.62</v>
      </c>
      <c r="O405" s="223"/>
      <c r="P405" s="210"/>
      <c r="Q405" s="263" t="s">
        <v>2097</v>
      </c>
      <c r="R405" s="263" t="s">
        <v>2099</v>
      </c>
    </row>
    <row r="406" spans="1:18" ht="105" outlineLevel="2">
      <c r="A406" s="14" t="s">
        <v>17</v>
      </c>
      <c r="B406" s="15" t="s">
        <v>511</v>
      </c>
      <c r="C406" s="15" t="s">
        <v>512</v>
      </c>
      <c r="D406" s="14" t="s">
        <v>513</v>
      </c>
      <c r="E406" s="15" t="s">
        <v>324</v>
      </c>
      <c r="F406" s="14" t="s">
        <v>325</v>
      </c>
      <c r="G406" s="15" t="s">
        <v>23</v>
      </c>
      <c r="H406" s="15" t="s">
        <v>1525</v>
      </c>
      <c r="I406" s="15">
        <v>201409</v>
      </c>
      <c r="J406" s="16">
        <v>-818.02</v>
      </c>
      <c r="K406" s="171">
        <f>VLOOKUP(I406,$T$9:$U$23,2)</f>
        <v>9</v>
      </c>
      <c r="L406" s="17">
        <v>1.4833299999999999E-3</v>
      </c>
      <c r="M406" s="16">
        <f>ROUND(J406*K406*L406,2)</f>
        <v>-10.92</v>
      </c>
      <c r="N406" s="16">
        <f>ROUND(J406*L406*12,2)</f>
        <v>-14.56</v>
      </c>
      <c r="O406" s="14"/>
      <c r="P406" s="210" t="str">
        <f>VLOOKUP(C406,'WO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407" spans="1:18" ht="105" outlineLevel="2">
      <c r="A407" s="14" t="s">
        <v>17</v>
      </c>
      <c r="B407" s="15" t="s">
        <v>511</v>
      </c>
      <c r="C407" s="15" t="s">
        <v>512</v>
      </c>
      <c r="D407" s="14" t="s">
        <v>513</v>
      </c>
      <c r="E407" s="15" t="s">
        <v>324</v>
      </c>
      <c r="F407" s="14" t="s">
        <v>325</v>
      </c>
      <c r="G407" s="15" t="s">
        <v>23</v>
      </c>
      <c r="H407" s="15" t="s">
        <v>1525</v>
      </c>
      <c r="I407" s="15">
        <v>201410</v>
      </c>
      <c r="J407" s="16">
        <v>-2800</v>
      </c>
      <c r="K407" s="171">
        <f>VLOOKUP(I407,$T$9:$U$23,2)</f>
        <v>8</v>
      </c>
      <c r="L407" s="17">
        <v>1.4833299999999999E-3</v>
      </c>
      <c r="M407" s="16">
        <f>ROUND(J407*K407*L407,2)</f>
        <v>-33.229999999999997</v>
      </c>
      <c r="N407" s="16">
        <f>ROUND(J407*L407*12,2)</f>
        <v>-49.84</v>
      </c>
      <c r="O407" s="14"/>
      <c r="P407" s="210" t="str">
        <f>VLOOKUP(C407,'WO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408" spans="1:18" outlineLevel="1">
      <c r="A408" s="223"/>
      <c r="B408" s="250"/>
      <c r="C408" s="254" t="s">
        <v>1900</v>
      </c>
      <c r="D408" s="223"/>
      <c r="E408" s="250"/>
      <c r="F408" s="223"/>
      <c r="G408" s="250"/>
      <c r="H408" s="250"/>
      <c r="I408" s="250"/>
      <c r="J408" s="251">
        <f>SUBTOTAL(9,J406:J407)</f>
        <v>-3618.02</v>
      </c>
      <c r="K408" s="252"/>
      <c r="L408" s="253"/>
      <c r="M408" s="251">
        <f>SUBTOTAL(9,M406:M407)</f>
        <v>-44.15</v>
      </c>
      <c r="N408" s="251">
        <f>SUBTOTAL(9,N406:N407)</f>
        <v>-64.400000000000006</v>
      </c>
      <c r="O408" s="223"/>
      <c r="P408" s="210"/>
      <c r="Q408" s="263" t="s">
        <v>2094</v>
      </c>
      <c r="R408" s="263" t="s">
        <v>2095</v>
      </c>
    </row>
    <row r="409" spans="1:18" ht="75" outlineLevel="2">
      <c r="A409" s="14" t="s">
        <v>17</v>
      </c>
      <c r="B409" s="15" t="s">
        <v>514</v>
      </c>
      <c r="C409" s="15" t="s">
        <v>515</v>
      </c>
      <c r="D409" s="14" t="s">
        <v>516</v>
      </c>
      <c r="E409" s="15" t="s">
        <v>49</v>
      </c>
      <c r="F409" s="14" t="s">
        <v>22</v>
      </c>
      <c r="G409" s="15" t="s">
        <v>23</v>
      </c>
      <c r="H409" s="15" t="s">
        <v>1525</v>
      </c>
      <c r="I409" s="15">
        <v>201409</v>
      </c>
      <c r="J409" s="16">
        <v>-46.01</v>
      </c>
      <c r="K409" s="171">
        <f>VLOOKUP(I409,$T$9:$U$23,2)</f>
        <v>9</v>
      </c>
      <c r="L409" s="17">
        <v>1.4833299999999999E-3</v>
      </c>
      <c r="M409" s="16">
        <f>ROUND(J409*K409*L409,2)</f>
        <v>-0.61</v>
      </c>
      <c r="N409" s="16">
        <f>ROUND(J409*L409*12,2)</f>
        <v>-0.82</v>
      </c>
      <c r="O409" s="14"/>
      <c r="P409" s="210" t="str">
        <f>VLOOKUP(C409,'WO Descriptions'!$A$5:$D$345,4)</f>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
    </row>
    <row r="410" spans="1:18" outlineLevel="1">
      <c r="A410" s="223"/>
      <c r="B410" s="250"/>
      <c r="C410" s="254" t="s">
        <v>1901</v>
      </c>
      <c r="D410" s="223"/>
      <c r="E410" s="250"/>
      <c r="F410" s="223"/>
      <c r="G410" s="250"/>
      <c r="H410" s="250"/>
      <c r="I410" s="250"/>
      <c r="J410" s="251">
        <f>SUBTOTAL(9,J409:J409)</f>
        <v>-46.01</v>
      </c>
      <c r="K410" s="252"/>
      <c r="L410" s="253"/>
      <c r="M410" s="251">
        <f>SUBTOTAL(9,M409:M409)</f>
        <v>-0.61</v>
      </c>
      <c r="N410" s="251">
        <f>SUBTOTAL(9,N409:N409)</f>
        <v>-0.82</v>
      </c>
      <c r="O410" s="223"/>
      <c r="P410" s="210"/>
      <c r="Q410" s="263" t="s">
        <v>2097</v>
      </c>
      <c r="R410" s="263" t="s">
        <v>2098</v>
      </c>
    </row>
    <row r="411" spans="1:18" ht="105" outlineLevel="2">
      <c r="A411" s="14" t="s">
        <v>17</v>
      </c>
      <c r="B411" s="15" t="s">
        <v>517</v>
      </c>
      <c r="C411" s="15" t="s">
        <v>518</v>
      </c>
      <c r="D411" s="14" t="s">
        <v>519</v>
      </c>
      <c r="E411" s="15" t="s">
        <v>125</v>
      </c>
      <c r="F411" s="14" t="s">
        <v>126</v>
      </c>
      <c r="G411" s="15" t="s">
        <v>23</v>
      </c>
      <c r="H411" s="15" t="s">
        <v>1525</v>
      </c>
      <c r="I411" s="15">
        <v>201409</v>
      </c>
      <c r="J411" s="16">
        <v>-94.11</v>
      </c>
      <c r="K411" s="171">
        <f>VLOOKUP(I411,$T$9:$U$23,2)</f>
        <v>9</v>
      </c>
      <c r="L411" s="17">
        <v>1.4833299999999999E-3</v>
      </c>
      <c r="M411" s="16">
        <f>ROUND(J411*K411*L411,2)</f>
        <v>-1.26</v>
      </c>
      <c r="N411" s="16">
        <f>ROUND(J411*L411*12,2)</f>
        <v>-1.68</v>
      </c>
      <c r="O411" s="14"/>
      <c r="P411" s="210" t="str">
        <f>VLOOKUP(C411,'WO Descriptions'!$A$5:$D$345,4)</f>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
    </row>
    <row r="412" spans="1:18" outlineLevel="1">
      <c r="A412" s="223"/>
      <c r="B412" s="250"/>
      <c r="C412" s="254" t="s">
        <v>1902</v>
      </c>
      <c r="D412" s="223"/>
      <c r="E412" s="250"/>
      <c r="F412" s="223"/>
      <c r="G412" s="250"/>
      <c r="H412" s="250"/>
      <c r="I412" s="250"/>
      <c r="J412" s="251">
        <f>SUBTOTAL(9,J411:J411)</f>
        <v>-94.11</v>
      </c>
      <c r="K412" s="252"/>
      <c r="L412" s="253"/>
      <c r="M412" s="251">
        <f>SUBTOTAL(9,M411:M411)</f>
        <v>-1.26</v>
      </c>
      <c r="N412" s="251">
        <f>SUBTOTAL(9,N411:N411)</f>
        <v>-1.68</v>
      </c>
      <c r="O412" s="223"/>
      <c r="P412" s="210"/>
      <c r="Q412" s="263" t="s">
        <v>2094</v>
      </c>
      <c r="R412" s="263" t="s">
        <v>2095</v>
      </c>
    </row>
    <row r="413" spans="1:18" ht="105" outlineLevel="2">
      <c r="A413" s="14" t="s">
        <v>17</v>
      </c>
      <c r="B413" s="15" t="s">
        <v>520</v>
      </c>
      <c r="C413" s="15" t="s">
        <v>521</v>
      </c>
      <c r="D413" s="14" t="s">
        <v>522</v>
      </c>
      <c r="E413" s="15" t="s">
        <v>125</v>
      </c>
      <c r="F413" s="14" t="s">
        <v>126</v>
      </c>
      <c r="G413" s="15" t="s">
        <v>23</v>
      </c>
      <c r="H413" s="15" t="s">
        <v>1525</v>
      </c>
      <c r="I413" s="15">
        <v>201409</v>
      </c>
      <c r="J413" s="16">
        <v>-89.47</v>
      </c>
      <c r="K413" s="171">
        <f>VLOOKUP(I413,$T$9:$U$23,2)</f>
        <v>9</v>
      </c>
      <c r="L413" s="17">
        <v>1.4833299999999999E-3</v>
      </c>
      <c r="M413" s="16">
        <f>ROUND(J413*K413*L413,2)</f>
        <v>-1.19</v>
      </c>
      <c r="N413" s="16">
        <f>ROUND(J413*L413*12,2)</f>
        <v>-1.59</v>
      </c>
      <c r="O413" s="14"/>
      <c r="P413" s="210" t="str">
        <f>VLOOKUP(C413,'WO Descriptions'!$A$5:$D$345,4)</f>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
    </row>
    <row r="414" spans="1:18" outlineLevel="1">
      <c r="A414" s="223"/>
      <c r="B414" s="250"/>
      <c r="C414" s="254" t="s">
        <v>1903</v>
      </c>
      <c r="D414" s="223"/>
      <c r="E414" s="250"/>
      <c r="F414" s="223"/>
      <c r="G414" s="250"/>
      <c r="H414" s="250"/>
      <c r="I414" s="250"/>
      <c r="J414" s="251">
        <f>SUBTOTAL(9,J413:J413)</f>
        <v>-89.47</v>
      </c>
      <c r="K414" s="252"/>
      <c r="L414" s="253"/>
      <c r="M414" s="251">
        <f>SUBTOTAL(9,M413:M413)</f>
        <v>-1.19</v>
      </c>
      <c r="N414" s="251">
        <f>SUBTOTAL(9,N413:N413)</f>
        <v>-1.59</v>
      </c>
      <c r="O414" s="223"/>
      <c r="P414" s="210"/>
      <c r="Q414" s="263" t="s">
        <v>2094</v>
      </c>
      <c r="R414" s="263" t="s">
        <v>2095</v>
      </c>
    </row>
    <row r="415" spans="1:18" ht="45" outlineLevel="2">
      <c r="A415" s="14" t="s">
        <v>17</v>
      </c>
      <c r="B415" s="15" t="s">
        <v>523</v>
      </c>
      <c r="C415" s="15" t="s">
        <v>524</v>
      </c>
      <c r="D415" s="14" t="s">
        <v>525</v>
      </c>
      <c r="E415" s="15" t="s">
        <v>141</v>
      </c>
      <c r="F415" s="14" t="s">
        <v>142</v>
      </c>
      <c r="G415" s="15" t="s">
        <v>23</v>
      </c>
      <c r="H415" s="15" t="s">
        <v>1525</v>
      </c>
      <c r="I415" s="15">
        <v>201409</v>
      </c>
      <c r="J415" s="16">
        <v>-54.19</v>
      </c>
      <c r="K415" s="171">
        <f>VLOOKUP(I415,$T$9:$U$23,2)</f>
        <v>9</v>
      </c>
      <c r="L415" s="17">
        <v>1.4833299999999999E-3</v>
      </c>
      <c r="M415" s="16">
        <f>ROUND(J415*K415*L415,2)</f>
        <v>-0.72</v>
      </c>
      <c r="N415" s="16">
        <f>ROUND(J415*L415*12,2)</f>
        <v>-0.96</v>
      </c>
      <c r="O415" s="14"/>
      <c r="P415" s="210" t="str">
        <f>VLOOKUP(C415,'WO Descriptions'!$A$5:$D$345,4)</f>
        <v>Approved by: Kevin Driskell on 07/26/2013,  AOR.  Replace 30' of 6in CI with 6in PE due to angle of repose.  Six feet of pipe was exposed at 7027 Agnes. Digtrack ticket TL130990228.  This job must be completed by Oct. 9, 2013.  COST PER FOOT $784.60</v>
      </c>
    </row>
    <row r="416" spans="1:18" outlineLevel="1">
      <c r="A416" s="223"/>
      <c r="B416" s="250"/>
      <c r="C416" s="254" t="s">
        <v>1904</v>
      </c>
      <c r="D416" s="223"/>
      <c r="E416" s="250"/>
      <c r="F416" s="223"/>
      <c r="G416" s="250"/>
      <c r="H416" s="250"/>
      <c r="I416" s="250"/>
      <c r="J416" s="251">
        <f>SUBTOTAL(9,J415:J415)</f>
        <v>-54.19</v>
      </c>
      <c r="K416" s="252"/>
      <c r="L416" s="253"/>
      <c r="M416" s="251">
        <f>SUBTOTAL(9,M415:M415)</f>
        <v>-0.72</v>
      </c>
      <c r="N416" s="251">
        <f>SUBTOTAL(9,N415:N415)</f>
        <v>-0.96</v>
      </c>
      <c r="O416" s="223"/>
      <c r="P416" s="210"/>
      <c r="Q416" s="263" t="s">
        <v>2097</v>
      </c>
      <c r="R416" s="263" t="s">
        <v>2100</v>
      </c>
    </row>
    <row r="417" spans="1:18" ht="105" outlineLevel="2">
      <c r="A417" s="14" t="s">
        <v>17</v>
      </c>
      <c r="B417" s="15" t="s">
        <v>526</v>
      </c>
      <c r="C417" s="15" t="s">
        <v>527</v>
      </c>
      <c r="D417" s="14" t="s">
        <v>528</v>
      </c>
      <c r="E417" s="15" t="s">
        <v>53</v>
      </c>
      <c r="F417" s="14" t="s">
        <v>41</v>
      </c>
      <c r="G417" s="15" t="s">
        <v>23</v>
      </c>
      <c r="H417" s="15" t="s">
        <v>1526</v>
      </c>
      <c r="I417" s="15">
        <v>201409</v>
      </c>
      <c r="J417" s="16">
        <v>-4837.0200000000004</v>
      </c>
      <c r="K417" s="171">
        <f>VLOOKUP(I417,$T$9:$U$23,2)</f>
        <v>9</v>
      </c>
      <c r="L417" s="17">
        <v>1.4833299999999999E-3</v>
      </c>
      <c r="M417" s="16">
        <f>ROUND(J417*K417*L417,2)</f>
        <v>-64.569999999999993</v>
      </c>
      <c r="N417" s="16">
        <f>ROUND(J417*L417*12,2)</f>
        <v>-86.1</v>
      </c>
      <c r="O417" s="14"/>
      <c r="P417" s="210" t="str">
        <f>VLOOKUP(C417,'WO Descriptions'!$A$5:$D$345,4)</f>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
    </row>
    <row r="418" spans="1:18" outlineLevel="1">
      <c r="A418" s="223"/>
      <c r="B418" s="250"/>
      <c r="C418" s="254" t="s">
        <v>1905</v>
      </c>
      <c r="D418" s="223"/>
      <c r="E418" s="250"/>
      <c r="F418" s="223"/>
      <c r="G418" s="250"/>
      <c r="H418" s="250"/>
      <c r="I418" s="250"/>
      <c r="J418" s="251">
        <f>SUBTOTAL(9,J417:J417)</f>
        <v>-4837.0200000000004</v>
      </c>
      <c r="K418" s="252"/>
      <c r="L418" s="253"/>
      <c r="M418" s="251">
        <f>SUBTOTAL(9,M417:M417)</f>
        <v>-64.569999999999993</v>
      </c>
      <c r="N418" s="251">
        <f>SUBTOTAL(9,N417:N417)</f>
        <v>-86.1</v>
      </c>
      <c r="O418" s="223"/>
      <c r="P418" s="210"/>
      <c r="Q418" s="263" t="s">
        <v>2096</v>
      </c>
    </row>
    <row r="419" spans="1:18" ht="60" outlineLevel="2">
      <c r="A419" s="14" t="s">
        <v>17</v>
      </c>
      <c r="B419" s="15" t="s">
        <v>529</v>
      </c>
      <c r="C419" s="15" t="s">
        <v>530</v>
      </c>
      <c r="D419" s="14" t="s">
        <v>531</v>
      </c>
      <c r="E419" s="15" t="s">
        <v>141</v>
      </c>
      <c r="F419" s="14" t="s">
        <v>142</v>
      </c>
      <c r="G419" s="15" t="s">
        <v>23</v>
      </c>
      <c r="H419" s="15" t="s">
        <v>1525</v>
      </c>
      <c r="I419" s="15">
        <v>201409</v>
      </c>
      <c r="J419" s="16">
        <v>-450.77</v>
      </c>
      <c r="K419" s="171">
        <f>VLOOKUP(I419,$T$9:$U$23,2)</f>
        <v>9</v>
      </c>
      <c r="L419" s="17">
        <v>1.4833299999999999E-3</v>
      </c>
      <c r="M419" s="16">
        <f>ROUND(J419*K419*L419,2)</f>
        <v>-6.02</v>
      </c>
      <c r="N419" s="16">
        <f>ROUND(J419*L419*12,2)</f>
        <v>-8.02</v>
      </c>
      <c r="O419" s="14"/>
      <c r="P419" s="210" t="str">
        <f>VLOOKUP(C419,'WO Descriptions'!$A$5:$D$345,4)</f>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
    </row>
    <row r="420" spans="1:18" outlineLevel="1">
      <c r="A420" s="223"/>
      <c r="B420" s="250"/>
      <c r="C420" s="254" t="s">
        <v>1906</v>
      </c>
      <c r="D420" s="223"/>
      <c r="E420" s="250"/>
      <c r="F420" s="223"/>
      <c r="G420" s="250"/>
      <c r="H420" s="250"/>
      <c r="I420" s="250"/>
      <c r="J420" s="251">
        <f>SUBTOTAL(9,J419:J419)</f>
        <v>-450.77</v>
      </c>
      <c r="K420" s="252"/>
      <c r="L420" s="253"/>
      <c r="M420" s="251">
        <f>SUBTOTAL(9,M419:M419)</f>
        <v>-6.02</v>
      </c>
      <c r="N420" s="251">
        <f>SUBTOTAL(9,N419:N419)</f>
        <v>-8.02</v>
      </c>
      <c r="O420" s="223"/>
      <c r="P420" s="210"/>
      <c r="Q420" s="263" t="s">
        <v>2097</v>
      </c>
      <c r="R420" s="263" t="s">
        <v>2100</v>
      </c>
    </row>
    <row r="421" spans="1:18" ht="135" outlineLevel="2">
      <c r="A421" s="14" t="s">
        <v>17</v>
      </c>
      <c r="B421" s="15" t="s">
        <v>532</v>
      </c>
      <c r="C421" s="15" t="s">
        <v>533</v>
      </c>
      <c r="D421" s="14" t="s">
        <v>534</v>
      </c>
      <c r="E421" s="15" t="s">
        <v>535</v>
      </c>
      <c r="F421" s="14" t="s">
        <v>536</v>
      </c>
      <c r="G421" s="15" t="s">
        <v>23</v>
      </c>
      <c r="H421" s="15" t="s">
        <v>1525</v>
      </c>
      <c r="I421" s="15">
        <v>201409</v>
      </c>
      <c r="J421" s="16">
        <v>-650.67999999999995</v>
      </c>
      <c r="K421" s="171">
        <f>VLOOKUP(I421,$T$9:$U$23,2)</f>
        <v>9</v>
      </c>
      <c r="L421" s="17">
        <v>1.4833299999999999E-3</v>
      </c>
      <c r="M421" s="16">
        <f>ROUND(J421*K421*L421,2)</f>
        <v>-8.69</v>
      </c>
      <c r="N421" s="16">
        <f>ROUND(J421*L421*12,2)</f>
        <v>-11.58</v>
      </c>
      <c r="O421" s="14"/>
      <c r="P421" s="210" t="str">
        <f>VLOOKUP(C421,'WO Descriptions'!$A$5:$D$345,4)</f>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
    </row>
    <row r="422" spans="1:18" outlineLevel="1">
      <c r="A422" s="223"/>
      <c r="B422" s="250"/>
      <c r="C422" s="254" t="s">
        <v>1907</v>
      </c>
      <c r="D422" s="223"/>
      <c r="E422" s="250"/>
      <c r="F422" s="223"/>
      <c r="G422" s="250"/>
      <c r="H422" s="250"/>
      <c r="I422" s="250"/>
      <c r="J422" s="251">
        <f>SUBTOTAL(9,J421:J421)</f>
        <v>-650.67999999999995</v>
      </c>
      <c r="K422" s="252"/>
      <c r="L422" s="253"/>
      <c r="M422" s="251">
        <f>SUBTOTAL(9,M421:M421)</f>
        <v>-8.69</v>
      </c>
      <c r="N422" s="251">
        <f>SUBTOTAL(9,N421:N421)</f>
        <v>-11.58</v>
      </c>
      <c r="O422" s="223"/>
      <c r="P422" s="210"/>
      <c r="Q422" s="263" t="s">
        <v>2094</v>
      </c>
      <c r="R422" s="263" t="s">
        <v>2095</v>
      </c>
    </row>
    <row r="423" spans="1:18" ht="60" outlineLevel="2">
      <c r="A423" s="14" t="s">
        <v>17</v>
      </c>
      <c r="B423" s="15" t="s">
        <v>537</v>
      </c>
      <c r="C423" s="15" t="s">
        <v>538</v>
      </c>
      <c r="D423" s="14" t="s">
        <v>539</v>
      </c>
      <c r="E423" s="15" t="s">
        <v>53</v>
      </c>
      <c r="F423" s="14" t="s">
        <v>41</v>
      </c>
      <c r="G423" s="15" t="s">
        <v>23</v>
      </c>
      <c r="H423" s="15" t="s">
        <v>1526</v>
      </c>
      <c r="I423" s="15">
        <v>201409</v>
      </c>
      <c r="J423" s="16">
        <v>-295.94</v>
      </c>
      <c r="K423" s="171">
        <f>VLOOKUP(I423,$T$9:$U$23,2)</f>
        <v>9</v>
      </c>
      <c r="L423" s="17">
        <v>1.4833299999999999E-3</v>
      </c>
      <c r="M423" s="16">
        <f>ROUND(J423*K423*L423,2)</f>
        <v>-3.95</v>
      </c>
      <c r="N423" s="16">
        <f>ROUND(J423*L423*12,2)</f>
        <v>-5.27</v>
      </c>
      <c r="O423" s="14"/>
      <c r="P423" s="210" t="str">
        <f>VLOOKUP(C423,'WO Descriptions'!$A$5:$D$345,4)</f>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
    </row>
    <row r="424" spans="1:18" outlineLevel="1">
      <c r="A424" s="223"/>
      <c r="B424" s="250"/>
      <c r="C424" s="254" t="s">
        <v>1908</v>
      </c>
      <c r="D424" s="223"/>
      <c r="E424" s="250"/>
      <c r="F424" s="223"/>
      <c r="G424" s="250"/>
      <c r="H424" s="250"/>
      <c r="I424" s="250"/>
      <c r="J424" s="251">
        <f>SUBTOTAL(9,J423:J423)</f>
        <v>-295.94</v>
      </c>
      <c r="K424" s="252"/>
      <c r="L424" s="253"/>
      <c r="M424" s="251">
        <f>SUBTOTAL(9,M423:M423)</f>
        <v>-3.95</v>
      </c>
      <c r="N424" s="251">
        <f>SUBTOTAL(9,N423:N423)</f>
        <v>-5.27</v>
      </c>
      <c r="O424" s="223"/>
      <c r="P424" s="210"/>
      <c r="Q424" s="263" t="s">
        <v>2096</v>
      </c>
    </row>
    <row r="425" spans="1:18" ht="60" outlineLevel="2">
      <c r="A425" s="14" t="s">
        <v>17</v>
      </c>
      <c r="B425" s="15" t="s">
        <v>540</v>
      </c>
      <c r="C425" s="15" t="s">
        <v>541</v>
      </c>
      <c r="D425" s="14" t="s">
        <v>542</v>
      </c>
      <c r="E425" s="15" t="s">
        <v>216</v>
      </c>
      <c r="F425" s="14" t="s">
        <v>22</v>
      </c>
      <c r="G425" s="15" t="s">
        <v>23</v>
      </c>
      <c r="H425" s="15" t="s">
        <v>1525</v>
      </c>
      <c r="I425" s="15">
        <v>201409</v>
      </c>
      <c r="J425" s="16">
        <v>-127.22</v>
      </c>
      <c r="K425" s="171">
        <f>VLOOKUP(I425,$T$9:$U$23,2)</f>
        <v>9</v>
      </c>
      <c r="L425" s="17">
        <v>1.4833299999999999E-3</v>
      </c>
      <c r="M425" s="16">
        <f>ROUND(J425*K425*L425,2)</f>
        <v>-1.7</v>
      </c>
      <c r="N425" s="16">
        <f>ROUND(J425*L425*12,2)</f>
        <v>-2.2599999999999998</v>
      </c>
      <c r="O425" s="14"/>
      <c r="P425" s="210" t="str">
        <f>VLOOKUP(C425,'WO Descriptions'!$A$5:$D$345,4)</f>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
    </row>
    <row r="426" spans="1:18" outlineLevel="1">
      <c r="A426" s="223"/>
      <c r="B426" s="250"/>
      <c r="C426" s="254" t="s">
        <v>1909</v>
      </c>
      <c r="D426" s="223"/>
      <c r="E426" s="250"/>
      <c r="F426" s="223"/>
      <c r="G426" s="250"/>
      <c r="H426" s="250"/>
      <c r="I426" s="250"/>
      <c r="J426" s="251">
        <f>SUBTOTAL(9,J425:J425)</f>
        <v>-127.22</v>
      </c>
      <c r="K426" s="252"/>
      <c r="L426" s="253"/>
      <c r="M426" s="251">
        <f>SUBTOTAL(9,M425:M425)</f>
        <v>-1.7</v>
      </c>
      <c r="N426" s="251">
        <f>SUBTOTAL(9,N425:N425)</f>
        <v>-2.2599999999999998</v>
      </c>
      <c r="O426" s="223"/>
      <c r="P426" s="210"/>
      <c r="Q426" s="263" t="s">
        <v>2097</v>
      </c>
      <c r="R426" s="263" t="s">
        <v>2098</v>
      </c>
    </row>
    <row r="427" spans="1:18" ht="30" outlineLevel="2">
      <c r="A427" s="14" t="s">
        <v>54</v>
      </c>
      <c r="B427" s="15" t="s">
        <v>543</v>
      </c>
      <c r="C427" s="15" t="s">
        <v>544</v>
      </c>
      <c r="D427" s="14" t="s">
        <v>545</v>
      </c>
      <c r="E427" s="15" t="s">
        <v>62</v>
      </c>
      <c r="F427" s="14" t="s">
        <v>22</v>
      </c>
      <c r="G427" s="15" t="s">
        <v>23</v>
      </c>
      <c r="H427" s="15" t="s">
        <v>1525</v>
      </c>
      <c r="I427" s="15">
        <v>201411</v>
      </c>
      <c r="J427" s="16">
        <v>26447.34</v>
      </c>
      <c r="K427" s="171">
        <f>VLOOKUP(I427,$T$9:$U$23,2)</f>
        <v>7</v>
      </c>
      <c r="L427" s="17">
        <v>1.4833299999999999E-3</v>
      </c>
      <c r="M427" s="16">
        <f>ROUND(J427*K427*L427,2)</f>
        <v>274.61</v>
      </c>
      <c r="N427" s="16">
        <f>ROUND(J427*L427*12,2)</f>
        <v>470.76</v>
      </c>
      <c r="O427" s="14"/>
      <c r="P427" s="210" t="str">
        <f>VLOOKUP(C427,'WO Descriptions'!$A$5:$D$345,4)</f>
        <v>Approved by: Ralph Janes on 03/11/2014,  Replace and abandon 732' - 2" pbs main (Unknown) by installing 730' - 2" pe main due to leakage under pavement. (ISRS)</v>
      </c>
    </row>
    <row r="428" spans="1:18" ht="30" outlineLevel="2">
      <c r="A428" s="14" t="s">
        <v>54</v>
      </c>
      <c r="B428" s="15" t="s">
        <v>543</v>
      </c>
      <c r="C428" s="15" t="s">
        <v>544</v>
      </c>
      <c r="D428" s="14" t="s">
        <v>545</v>
      </c>
      <c r="E428" s="15" t="s">
        <v>62</v>
      </c>
      <c r="F428" s="14" t="s">
        <v>22</v>
      </c>
      <c r="G428" s="15" t="s">
        <v>23</v>
      </c>
      <c r="H428" s="15" t="s">
        <v>1525</v>
      </c>
      <c r="I428" s="15">
        <v>201412</v>
      </c>
      <c r="J428" s="16">
        <v>-151.33000000000001</v>
      </c>
      <c r="K428" s="171">
        <f>VLOOKUP(I428,$T$9:$U$23,2)</f>
        <v>6</v>
      </c>
      <c r="L428" s="17">
        <v>1.4833299999999999E-3</v>
      </c>
      <c r="M428" s="16">
        <f>ROUND(J428*K428*L428,2)</f>
        <v>-1.35</v>
      </c>
      <c r="N428" s="16">
        <f>ROUND(J428*L428*12,2)</f>
        <v>-2.69</v>
      </c>
      <c r="O428" s="14"/>
      <c r="P428" s="210" t="str">
        <f>VLOOKUP(C428,'WO Descriptions'!$A$5:$D$345,4)</f>
        <v>Approved by: Ralph Janes on 03/11/2014,  Replace and abandon 732' - 2" pbs main (Unknown) by installing 730' - 2" pe main due to leakage under pavement. (ISRS)</v>
      </c>
    </row>
    <row r="429" spans="1:18" outlineLevel="1">
      <c r="A429" s="223"/>
      <c r="B429" s="250"/>
      <c r="C429" s="254" t="s">
        <v>1910</v>
      </c>
      <c r="D429" s="223"/>
      <c r="E429" s="250"/>
      <c r="F429" s="223"/>
      <c r="G429" s="250"/>
      <c r="H429" s="250"/>
      <c r="I429" s="250"/>
      <c r="J429" s="251">
        <f>SUBTOTAL(9,J427:J428)</f>
        <v>26296.01</v>
      </c>
      <c r="K429" s="252"/>
      <c r="L429" s="253"/>
      <c r="M429" s="251">
        <f>SUBTOTAL(9,M427:M428)</f>
        <v>273.26</v>
      </c>
      <c r="N429" s="251">
        <f>SUBTOTAL(9,N427:N428)</f>
        <v>468.07</v>
      </c>
      <c r="O429" s="223"/>
      <c r="P429" s="210"/>
      <c r="Q429" s="263" t="s">
        <v>2097</v>
      </c>
      <c r="R429" s="263" t="s">
        <v>2098</v>
      </c>
    </row>
    <row r="430" spans="1:18" ht="45" outlineLevel="2">
      <c r="A430" s="14" t="s">
        <v>54</v>
      </c>
      <c r="B430" s="15" t="s">
        <v>546</v>
      </c>
      <c r="C430" s="15" t="s">
        <v>547</v>
      </c>
      <c r="D430" s="14" t="s">
        <v>548</v>
      </c>
      <c r="E430" s="15" t="s">
        <v>141</v>
      </c>
      <c r="F430" s="14" t="s">
        <v>142</v>
      </c>
      <c r="G430" s="15" t="s">
        <v>23</v>
      </c>
      <c r="H430" s="15" t="s">
        <v>1525</v>
      </c>
      <c r="I430" s="15">
        <v>201409</v>
      </c>
      <c r="J430" s="16">
        <v>-1572.84</v>
      </c>
      <c r="K430" s="171">
        <f>VLOOKUP(I430,$T$9:$U$23,2)</f>
        <v>9</v>
      </c>
      <c r="L430" s="17">
        <v>1.4833299999999999E-3</v>
      </c>
      <c r="M430" s="16">
        <f>ROUND(J430*K430*L430,2)</f>
        <v>-21</v>
      </c>
      <c r="N430" s="16">
        <f>ROUND(J430*L430*12,2)</f>
        <v>-28</v>
      </c>
      <c r="O430" s="14"/>
      <c r="P430" s="210" t="str">
        <f>VLOOKUP(C430,'WO Descriptions'!$A$5:$D$345,4)</f>
        <v>Approved by: Gary Williams on 03/12/2014,  AOR.  Replace 555'-4in CI with 4in PE due to angle of repose.  Bell joint was exposed 12' NNCB of 13th and Askew.  Tie over 8 services.  Replace 3 services.  This job must be completed by June 9, 2014.  COST PER FOOT $64.36</v>
      </c>
    </row>
    <row r="431" spans="1:18" outlineLevel="1">
      <c r="A431" s="223"/>
      <c r="B431" s="250"/>
      <c r="C431" s="254" t="s">
        <v>1911</v>
      </c>
      <c r="D431" s="223"/>
      <c r="E431" s="250"/>
      <c r="F431" s="223"/>
      <c r="G431" s="250"/>
      <c r="H431" s="250"/>
      <c r="I431" s="250"/>
      <c r="J431" s="251">
        <f>SUBTOTAL(9,J430:J430)</f>
        <v>-1572.84</v>
      </c>
      <c r="K431" s="252"/>
      <c r="L431" s="253"/>
      <c r="M431" s="251">
        <f>SUBTOTAL(9,M430:M430)</f>
        <v>-21</v>
      </c>
      <c r="N431" s="251">
        <f>SUBTOTAL(9,N430:N430)</f>
        <v>-28</v>
      </c>
      <c r="O431" s="223"/>
      <c r="P431" s="210"/>
      <c r="Q431" s="263" t="s">
        <v>2097</v>
      </c>
      <c r="R431" s="263" t="s">
        <v>2100</v>
      </c>
    </row>
    <row r="432" spans="1:18" ht="195" outlineLevel="2">
      <c r="A432" s="14" t="s">
        <v>54</v>
      </c>
      <c r="B432" s="15" t="s">
        <v>549</v>
      </c>
      <c r="C432" s="15" t="s">
        <v>550</v>
      </c>
      <c r="D432" s="14" t="s">
        <v>551</v>
      </c>
      <c r="E432" s="15" t="s">
        <v>136</v>
      </c>
      <c r="F432" s="14" t="s">
        <v>137</v>
      </c>
      <c r="G432" s="15" t="s">
        <v>23</v>
      </c>
      <c r="H432" s="15" t="s">
        <v>1526</v>
      </c>
      <c r="I432" s="15">
        <v>201409</v>
      </c>
      <c r="J432" s="16">
        <v>-3150.43</v>
      </c>
      <c r="K432" s="171">
        <f>VLOOKUP(I432,$T$9:$U$23,2)</f>
        <v>9</v>
      </c>
      <c r="L432" s="17">
        <v>1.4833299999999999E-3</v>
      </c>
      <c r="M432" s="16">
        <f>ROUND(J432*K432*L432,2)</f>
        <v>-42.06</v>
      </c>
      <c r="N432" s="16">
        <f>ROUND(J432*L432*12,2)</f>
        <v>-56.08</v>
      </c>
      <c r="O432" s="14"/>
      <c r="P432" s="210" t="str">
        <f>VLOOKUP(C432,'WO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433" spans="1:18" ht="195" outlineLevel="2">
      <c r="A433" s="14" t="s">
        <v>54</v>
      </c>
      <c r="B433" s="15" t="s">
        <v>549</v>
      </c>
      <c r="C433" s="15" t="s">
        <v>550</v>
      </c>
      <c r="D433" s="14" t="s">
        <v>551</v>
      </c>
      <c r="E433" s="15" t="s">
        <v>136</v>
      </c>
      <c r="F433" s="14" t="s">
        <v>137</v>
      </c>
      <c r="G433" s="15" t="s">
        <v>23</v>
      </c>
      <c r="H433" s="15" t="s">
        <v>1526</v>
      </c>
      <c r="I433" s="15">
        <v>201410</v>
      </c>
      <c r="J433" s="16">
        <v>0</v>
      </c>
      <c r="K433" s="171">
        <f>VLOOKUP(I433,$T$9:$U$23,2)</f>
        <v>8</v>
      </c>
      <c r="L433" s="17">
        <v>1.4833299999999999E-3</v>
      </c>
      <c r="M433" s="16">
        <f>ROUND(J433*K433*L433,2)</f>
        <v>0</v>
      </c>
      <c r="N433" s="16">
        <f>ROUND(J433*L433*12,2)</f>
        <v>0</v>
      </c>
      <c r="O433" s="14"/>
      <c r="P433" s="210" t="str">
        <f>VLOOKUP(C433,'WO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434" spans="1:18" outlineLevel="1">
      <c r="A434" s="223"/>
      <c r="B434" s="250"/>
      <c r="C434" s="254" t="s">
        <v>1912</v>
      </c>
      <c r="D434" s="223"/>
      <c r="E434" s="250"/>
      <c r="F434" s="223"/>
      <c r="G434" s="250"/>
      <c r="H434" s="250"/>
      <c r="I434" s="250"/>
      <c r="J434" s="251">
        <f>SUBTOTAL(9,J432:J433)</f>
        <v>-3150.43</v>
      </c>
      <c r="K434" s="252"/>
      <c r="L434" s="253"/>
      <c r="M434" s="251">
        <f>SUBTOTAL(9,M432:M433)</f>
        <v>-42.06</v>
      </c>
      <c r="N434" s="251">
        <f>SUBTOTAL(9,N432:N433)</f>
        <v>-56.08</v>
      </c>
      <c r="O434" s="223"/>
      <c r="P434" s="210"/>
      <c r="Q434" s="263" t="s">
        <v>2096</v>
      </c>
    </row>
    <row r="435" spans="1:18" ht="90" outlineLevel="2">
      <c r="A435" s="14" t="s">
        <v>17</v>
      </c>
      <c r="B435" s="15" t="s">
        <v>552</v>
      </c>
      <c r="C435" s="15" t="s">
        <v>553</v>
      </c>
      <c r="D435" s="14" t="s">
        <v>554</v>
      </c>
      <c r="E435" s="15" t="s">
        <v>62</v>
      </c>
      <c r="F435" s="14" t="s">
        <v>22</v>
      </c>
      <c r="G435" s="15" t="s">
        <v>23</v>
      </c>
      <c r="H435" s="15" t="s">
        <v>1525</v>
      </c>
      <c r="I435" s="15">
        <v>201409</v>
      </c>
      <c r="J435" s="16">
        <v>-1309.6400000000001</v>
      </c>
      <c r="K435" s="171">
        <f>VLOOKUP(I435,$T$9:$U$23,2)</f>
        <v>9</v>
      </c>
      <c r="L435" s="17">
        <v>1.4833299999999999E-3</v>
      </c>
      <c r="M435" s="16">
        <f>ROUND(J435*K435*L435,2)</f>
        <v>-17.48</v>
      </c>
      <c r="N435" s="16">
        <f>ROUND(J435*L435*12,2)</f>
        <v>-23.31</v>
      </c>
      <c r="O435" s="14"/>
      <c r="P435" s="210" t="str">
        <f>VLOOKUP(C435,'WO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6" spans="1:18" ht="90" outlineLevel="2">
      <c r="A436" s="14" t="s">
        <v>17</v>
      </c>
      <c r="B436" s="15" t="s">
        <v>552</v>
      </c>
      <c r="C436" s="15" t="s">
        <v>553</v>
      </c>
      <c r="D436" s="14" t="s">
        <v>554</v>
      </c>
      <c r="E436" s="15" t="s">
        <v>62</v>
      </c>
      <c r="F436" s="14" t="s">
        <v>22</v>
      </c>
      <c r="G436" s="15" t="s">
        <v>23</v>
      </c>
      <c r="H436" s="15" t="s">
        <v>1525</v>
      </c>
      <c r="I436" s="15">
        <v>201410</v>
      </c>
      <c r="J436" s="16">
        <v>48053.65</v>
      </c>
      <c r="K436" s="171">
        <f>VLOOKUP(I436,$T$9:$U$23,2)</f>
        <v>8</v>
      </c>
      <c r="L436" s="17">
        <v>1.4833299999999999E-3</v>
      </c>
      <c r="M436" s="16">
        <f>ROUND(J436*K436*L436,2)</f>
        <v>570.24</v>
      </c>
      <c r="N436" s="16">
        <f>ROUND(J436*L436*12,2)</f>
        <v>855.35</v>
      </c>
      <c r="O436" s="14"/>
      <c r="P436" s="210" t="str">
        <f>VLOOKUP(C436,'WO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7" spans="1:18" ht="90" outlineLevel="2">
      <c r="A437" s="14" t="s">
        <v>17</v>
      </c>
      <c r="B437" s="15" t="s">
        <v>552</v>
      </c>
      <c r="C437" s="15" t="s">
        <v>553</v>
      </c>
      <c r="D437" s="14" t="s">
        <v>554</v>
      </c>
      <c r="E437" s="15" t="s">
        <v>62</v>
      </c>
      <c r="F437" s="14" t="s">
        <v>22</v>
      </c>
      <c r="G437" s="15" t="s">
        <v>23</v>
      </c>
      <c r="H437" s="15" t="s">
        <v>1525</v>
      </c>
      <c r="I437" s="15">
        <v>201411</v>
      </c>
      <c r="J437" s="16">
        <v>-5700.68</v>
      </c>
      <c r="K437" s="171">
        <f>VLOOKUP(I437,$T$9:$U$23,2)</f>
        <v>7</v>
      </c>
      <c r="L437" s="17">
        <v>1.4833299999999999E-3</v>
      </c>
      <c r="M437" s="16">
        <f>ROUND(J437*K437*L437,2)</f>
        <v>-59.19</v>
      </c>
      <c r="N437" s="16">
        <f>ROUND(J437*L437*12,2)</f>
        <v>-101.47</v>
      </c>
      <c r="O437" s="14"/>
      <c r="P437" s="210" t="str">
        <f>VLOOKUP(C437,'WO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8" spans="1:18" ht="90" outlineLevel="2">
      <c r="A438" s="14" t="s">
        <v>17</v>
      </c>
      <c r="B438" s="15" t="s">
        <v>552</v>
      </c>
      <c r="C438" s="15" t="s">
        <v>553</v>
      </c>
      <c r="D438" s="14" t="s">
        <v>554</v>
      </c>
      <c r="E438" s="15" t="s">
        <v>62</v>
      </c>
      <c r="F438" s="14" t="s">
        <v>22</v>
      </c>
      <c r="G438" s="15" t="s">
        <v>23</v>
      </c>
      <c r="H438" s="15" t="s">
        <v>1525</v>
      </c>
      <c r="I438" s="15">
        <v>201412</v>
      </c>
      <c r="J438" s="16">
        <v>2866.12</v>
      </c>
      <c r="K438" s="171">
        <f>VLOOKUP(I438,$T$9:$U$23,2)</f>
        <v>6</v>
      </c>
      <c r="L438" s="17">
        <v>1.4833299999999999E-3</v>
      </c>
      <c r="M438" s="16">
        <f>ROUND(J438*K438*L438,2)</f>
        <v>25.51</v>
      </c>
      <c r="N438" s="16">
        <f>ROUND(J438*L438*12,2)</f>
        <v>51.02</v>
      </c>
      <c r="O438" s="14"/>
      <c r="P438" s="210" t="str">
        <f>VLOOKUP(C438,'WO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9" spans="1:18" outlineLevel="1">
      <c r="A439" s="223"/>
      <c r="B439" s="250"/>
      <c r="C439" s="254" t="s">
        <v>1913</v>
      </c>
      <c r="D439" s="223"/>
      <c r="E439" s="250"/>
      <c r="F439" s="223"/>
      <c r="G439" s="250"/>
      <c r="H439" s="250"/>
      <c r="I439" s="250"/>
      <c r="J439" s="251">
        <f>SUBTOTAL(9,J435:J438)</f>
        <v>43909.450000000004</v>
      </c>
      <c r="K439" s="252"/>
      <c r="L439" s="253"/>
      <c r="M439" s="251">
        <f>SUBTOTAL(9,M435:M438)</f>
        <v>519.08000000000004</v>
      </c>
      <c r="N439" s="251">
        <f>SUBTOTAL(9,N435:N438)</f>
        <v>781.59</v>
      </c>
      <c r="O439" s="223"/>
      <c r="P439" s="210"/>
      <c r="Q439" s="263" t="s">
        <v>2097</v>
      </c>
      <c r="R439" s="263" t="s">
        <v>2098</v>
      </c>
    </row>
    <row r="440" spans="1:18" ht="60" outlineLevel="2">
      <c r="A440" s="14" t="s">
        <v>17</v>
      </c>
      <c r="B440" s="15" t="s">
        <v>555</v>
      </c>
      <c r="C440" s="15" t="s">
        <v>556</v>
      </c>
      <c r="D440" s="14" t="s">
        <v>557</v>
      </c>
      <c r="E440" s="15" t="s">
        <v>141</v>
      </c>
      <c r="F440" s="14" t="s">
        <v>142</v>
      </c>
      <c r="G440" s="15" t="s">
        <v>23</v>
      </c>
      <c r="H440" s="15" t="s">
        <v>1525</v>
      </c>
      <c r="I440" s="15">
        <v>201409</v>
      </c>
      <c r="J440" s="16">
        <v>-399.68</v>
      </c>
      <c r="K440" s="171">
        <f>VLOOKUP(I440,$T$9:$U$23,2)</f>
        <v>9</v>
      </c>
      <c r="L440" s="17">
        <v>1.4833299999999999E-3</v>
      </c>
      <c r="M440" s="16">
        <f>ROUND(J440*K440*L440,2)</f>
        <v>-5.34</v>
      </c>
      <c r="N440" s="16">
        <f>ROUND(J440*L440*12,2)</f>
        <v>-7.11</v>
      </c>
      <c r="O440" s="14"/>
      <c r="P440" s="210" t="str">
        <f>VLOOKUP(C440,'WO Descriptions'!$A$5:$D$345,4)</f>
        <v>Approved by: Gary Williams on 03/17/2014,  AOR.  Replace 8in CI with 50'-8in thin film.  Parallel excavation from 256' SSCB to 281' SSCB of 57th.  Bell joint was exposed 277' SSCB of 57th and 6' EECB of Troost.  This job must be completed by May 15, 2014.  Retire 50'-8in CI, N37P44, year 1921.</v>
      </c>
    </row>
    <row r="441" spans="1:18" outlineLevel="1">
      <c r="A441" s="223"/>
      <c r="B441" s="250"/>
      <c r="C441" s="254" t="s">
        <v>1914</v>
      </c>
      <c r="D441" s="223"/>
      <c r="E441" s="250"/>
      <c r="F441" s="223"/>
      <c r="G441" s="250"/>
      <c r="H441" s="250"/>
      <c r="I441" s="250"/>
      <c r="J441" s="251">
        <f>SUBTOTAL(9,J440:J440)</f>
        <v>-399.68</v>
      </c>
      <c r="K441" s="252"/>
      <c r="L441" s="253"/>
      <c r="M441" s="251">
        <f>SUBTOTAL(9,M440:M440)</f>
        <v>-5.34</v>
      </c>
      <c r="N441" s="251">
        <f>SUBTOTAL(9,N440:N440)</f>
        <v>-7.11</v>
      </c>
      <c r="O441" s="223"/>
      <c r="P441" s="210"/>
      <c r="Q441" s="263" t="s">
        <v>2097</v>
      </c>
      <c r="R441" s="263" t="s">
        <v>2100</v>
      </c>
    </row>
    <row r="442" spans="1:18" ht="45" outlineLevel="2">
      <c r="A442" s="14" t="s">
        <v>54</v>
      </c>
      <c r="B442" s="15" t="s">
        <v>558</v>
      </c>
      <c r="C442" s="15" t="s">
        <v>559</v>
      </c>
      <c r="D442" s="14" t="s">
        <v>560</v>
      </c>
      <c r="E442" s="15" t="s">
        <v>36</v>
      </c>
      <c r="F442" s="14" t="s">
        <v>22</v>
      </c>
      <c r="G442" s="15" t="s">
        <v>23</v>
      </c>
      <c r="H442" s="15" t="s">
        <v>1525</v>
      </c>
      <c r="I442" s="15">
        <v>201409</v>
      </c>
      <c r="J442" s="16">
        <v>-480.27</v>
      </c>
      <c r="K442" s="171">
        <f>VLOOKUP(I442,$T$9:$U$23,2)</f>
        <v>9</v>
      </c>
      <c r="L442" s="17">
        <v>1.4833299999999999E-3</v>
      </c>
      <c r="M442" s="16">
        <f>ROUND(J442*K442*L442,2)</f>
        <v>-6.41</v>
      </c>
      <c r="N442" s="16">
        <f>ROUND(J442*L442*12,2)</f>
        <v>-8.5500000000000007</v>
      </c>
      <c r="O442" s="14"/>
      <c r="P442" s="210" t="str">
        <f>VLOOKUP(C442,'WO Descriptions'!$A$5:$D$345,4)</f>
        <v>Approved by: Gary Williams on 03/17/2014,  To lay 558' of 4"PE main to replace 558' of 4" bare steel main due to down project. Also replace 180'of 2" cs with 2"PE. Cost per foot:$34.36. ID:C-O1: MOP :14oz MAOP:21oz Design MAOP:14oz Pressure Test: 100 PSIG.</v>
      </c>
    </row>
    <row r="443" spans="1:18" outlineLevel="1">
      <c r="A443" s="223"/>
      <c r="B443" s="250"/>
      <c r="C443" s="254" t="s">
        <v>1915</v>
      </c>
      <c r="D443" s="223"/>
      <c r="E443" s="250"/>
      <c r="F443" s="223"/>
      <c r="G443" s="250"/>
      <c r="H443" s="250"/>
      <c r="I443" s="250"/>
      <c r="J443" s="251">
        <f>SUBTOTAL(9,J442:J442)</f>
        <v>-480.27</v>
      </c>
      <c r="K443" s="252"/>
      <c r="L443" s="253"/>
      <c r="M443" s="251">
        <f>SUBTOTAL(9,M442:M442)</f>
        <v>-6.41</v>
      </c>
      <c r="N443" s="251">
        <f>SUBTOTAL(9,N442:N442)</f>
        <v>-8.5500000000000007</v>
      </c>
      <c r="O443" s="223"/>
      <c r="P443" s="210"/>
      <c r="Q443" s="263" t="s">
        <v>2097</v>
      </c>
      <c r="R443" s="263" t="s">
        <v>2098</v>
      </c>
    </row>
    <row r="444" spans="1:18" ht="75" outlineLevel="2">
      <c r="A444" s="14" t="s">
        <v>54</v>
      </c>
      <c r="B444" s="15" t="s">
        <v>561</v>
      </c>
      <c r="C444" s="15" t="s">
        <v>562</v>
      </c>
      <c r="D444" s="14" t="s">
        <v>563</v>
      </c>
      <c r="E444" s="15" t="s">
        <v>58</v>
      </c>
      <c r="F444" s="14" t="s">
        <v>22</v>
      </c>
      <c r="G444" s="15" t="s">
        <v>23</v>
      </c>
      <c r="H444" s="15" t="s">
        <v>1525</v>
      </c>
      <c r="I444" s="15">
        <v>201409</v>
      </c>
      <c r="J444" s="16">
        <v>-363.06</v>
      </c>
      <c r="K444" s="171">
        <f>VLOOKUP(I444,$T$9:$U$23,2)</f>
        <v>9</v>
      </c>
      <c r="L444" s="17">
        <v>1.4833299999999999E-3</v>
      </c>
      <c r="M444" s="16">
        <f>ROUND(J444*K444*L444,2)</f>
        <v>-4.8499999999999996</v>
      </c>
      <c r="N444" s="16">
        <f>ROUND(J444*L444*12,2)</f>
        <v>-6.46</v>
      </c>
      <c r="O444" s="14"/>
      <c r="P444" s="210" t="str">
        <f>VLOOKUP(C444,'WO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445" spans="1:18" ht="75" outlineLevel="2">
      <c r="A445" s="14" t="s">
        <v>54</v>
      </c>
      <c r="B445" s="15" t="s">
        <v>561</v>
      </c>
      <c r="C445" s="15" t="s">
        <v>562</v>
      </c>
      <c r="D445" s="14" t="s">
        <v>563</v>
      </c>
      <c r="E445" s="15" t="s">
        <v>58</v>
      </c>
      <c r="F445" s="14" t="s">
        <v>22</v>
      </c>
      <c r="G445" s="15" t="s">
        <v>23</v>
      </c>
      <c r="H445" s="15" t="s">
        <v>1525</v>
      </c>
      <c r="I445" s="15">
        <v>201410</v>
      </c>
      <c r="J445" s="16">
        <v>0</v>
      </c>
      <c r="K445" s="171">
        <f>VLOOKUP(I445,$T$9:$U$23,2)</f>
        <v>8</v>
      </c>
      <c r="L445" s="17">
        <v>1.4833299999999999E-3</v>
      </c>
      <c r="M445" s="16">
        <f>ROUND(J445*K445*L445,2)</f>
        <v>0</v>
      </c>
      <c r="N445" s="16">
        <f>ROUND(J445*L445*12,2)</f>
        <v>0</v>
      </c>
      <c r="O445" s="14"/>
      <c r="P445" s="210" t="str">
        <f>VLOOKUP(C445,'WO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446" spans="1:18" outlineLevel="1">
      <c r="A446" s="223"/>
      <c r="B446" s="250"/>
      <c r="C446" s="254" t="s">
        <v>1916</v>
      </c>
      <c r="D446" s="223"/>
      <c r="E446" s="250"/>
      <c r="F446" s="223"/>
      <c r="G446" s="250"/>
      <c r="H446" s="250"/>
      <c r="I446" s="250"/>
      <c r="J446" s="251">
        <f>SUBTOTAL(9,J444:J445)</f>
        <v>-363.06</v>
      </c>
      <c r="K446" s="252"/>
      <c r="L446" s="253"/>
      <c r="M446" s="251">
        <f>SUBTOTAL(9,M444:M445)</f>
        <v>-4.8499999999999996</v>
      </c>
      <c r="N446" s="251">
        <f>SUBTOTAL(9,N444:N445)</f>
        <v>-6.46</v>
      </c>
      <c r="O446" s="223"/>
      <c r="P446" s="210"/>
      <c r="Q446" s="263" t="s">
        <v>2097</v>
      </c>
      <c r="R446" s="263" t="s">
        <v>2098</v>
      </c>
    </row>
    <row r="447" spans="1:18" ht="105" outlineLevel="2">
      <c r="A447" s="211" t="s">
        <v>238</v>
      </c>
      <c r="B447" s="212" t="s">
        <v>1099</v>
      </c>
      <c r="C447" s="212" t="s">
        <v>1100</v>
      </c>
      <c r="D447" s="211" t="s">
        <v>1101</v>
      </c>
      <c r="E447" s="212" t="s">
        <v>104</v>
      </c>
      <c r="F447" s="211" t="s">
        <v>41</v>
      </c>
      <c r="G447" s="212" t="s">
        <v>23</v>
      </c>
      <c r="H447" s="212" t="s">
        <v>1526</v>
      </c>
      <c r="I447" s="212">
        <v>201410</v>
      </c>
      <c r="J447" s="213">
        <v>162833.78</v>
      </c>
      <c r="K447" s="171">
        <f>VLOOKUP(I447,$T$9:$U$23,2)</f>
        <v>8</v>
      </c>
      <c r="L447" s="214">
        <v>2.3833299999999999E-3</v>
      </c>
      <c r="M447" s="213">
        <f>ROUND(J447*K447*L447,2)</f>
        <v>3104.69</v>
      </c>
      <c r="N447" s="213">
        <f>ROUND(J447*L447*12,2)</f>
        <v>4657.04</v>
      </c>
      <c r="O447" s="211"/>
      <c r="P447" s="242" t="str">
        <f>VLOOKUP(C447,'WO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447" s="243"/>
      <c r="R447" s="243"/>
    </row>
    <row r="448" spans="1:18" ht="105" outlineLevel="2">
      <c r="A448" s="211" t="s">
        <v>238</v>
      </c>
      <c r="B448" s="212" t="s">
        <v>1099</v>
      </c>
      <c r="C448" s="212" t="s">
        <v>1100</v>
      </c>
      <c r="D448" s="211" t="s">
        <v>1101</v>
      </c>
      <c r="E448" s="212" t="s">
        <v>104</v>
      </c>
      <c r="F448" s="211" t="s">
        <v>41</v>
      </c>
      <c r="G448" s="212" t="s">
        <v>23</v>
      </c>
      <c r="H448" s="212" t="s">
        <v>1526</v>
      </c>
      <c r="I448" s="212">
        <v>201411</v>
      </c>
      <c r="J448" s="213">
        <v>-831.58</v>
      </c>
      <c r="K448" s="171">
        <f>VLOOKUP(I448,$T$9:$U$23,2)</f>
        <v>7</v>
      </c>
      <c r="L448" s="214">
        <v>2.3833299999999999E-3</v>
      </c>
      <c r="M448" s="213">
        <f>ROUND(J448*K448*L448,2)</f>
        <v>-13.87</v>
      </c>
      <c r="N448" s="213">
        <f>ROUND(J448*L448*12,2)</f>
        <v>-23.78</v>
      </c>
      <c r="O448" s="211"/>
      <c r="P448" s="242" t="str">
        <f>VLOOKUP(C448,'WO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448" s="243"/>
      <c r="R448" s="243"/>
    </row>
    <row r="449" spans="1:18" ht="105" outlineLevel="2">
      <c r="A449" s="211" t="s">
        <v>238</v>
      </c>
      <c r="B449" s="212" t="s">
        <v>1099</v>
      </c>
      <c r="C449" s="212" t="s">
        <v>1100</v>
      </c>
      <c r="D449" s="211" t="s">
        <v>1101</v>
      </c>
      <c r="E449" s="212" t="s">
        <v>104</v>
      </c>
      <c r="F449" s="211" t="s">
        <v>41</v>
      </c>
      <c r="G449" s="212" t="s">
        <v>23</v>
      </c>
      <c r="H449" s="212" t="s">
        <v>1526</v>
      </c>
      <c r="I449" s="212">
        <v>201412</v>
      </c>
      <c r="J449" s="213">
        <v>2739.95</v>
      </c>
      <c r="K449" s="171">
        <f>VLOOKUP(I449,$T$9:$U$23,2)</f>
        <v>6</v>
      </c>
      <c r="L449" s="214">
        <v>2.3833299999999999E-3</v>
      </c>
      <c r="M449" s="213">
        <f>ROUND(J449*K449*L449,2)</f>
        <v>39.18</v>
      </c>
      <c r="N449" s="213">
        <f>ROUND(J449*L449*12,2)</f>
        <v>78.36</v>
      </c>
      <c r="O449" s="211"/>
      <c r="P449" s="242" t="str">
        <f>VLOOKUP(C449,'WO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449" s="243"/>
      <c r="R449" s="243"/>
    </row>
    <row r="450" spans="1:18" outlineLevel="1">
      <c r="A450" s="256"/>
      <c r="B450" s="257"/>
      <c r="C450" s="260" t="s">
        <v>1917</v>
      </c>
      <c r="D450" s="256"/>
      <c r="E450" s="257"/>
      <c r="F450" s="256"/>
      <c r="G450" s="257"/>
      <c r="H450" s="257"/>
      <c r="I450" s="257"/>
      <c r="J450" s="258">
        <f>SUBTOTAL(9,J447:J449)</f>
        <v>164742.15000000002</v>
      </c>
      <c r="K450" s="252"/>
      <c r="L450" s="259"/>
      <c r="M450" s="258">
        <f>SUBTOTAL(9,M447:M449)</f>
        <v>3130</v>
      </c>
      <c r="N450" s="258">
        <f>SUBTOTAL(9,N447:N449)</f>
        <v>4711.62</v>
      </c>
      <c r="O450" s="256"/>
      <c r="P450" s="242"/>
      <c r="Q450" s="263" t="s">
        <v>2096</v>
      </c>
      <c r="R450" s="243"/>
    </row>
    <row r="451" spans="1:18" ht="30" outlineLevel="2">
      <c r="A451" s="14" t="s">
        <v>17</v>
      </c>
      <c r="B451" s="15" t="s">
        <v>564</v>
      </c>
      <c r="C451" s="15" t="s">
        <v>565</v>
      </c>
      <c r="D451" s="14" t="s">
        <v>566</v>
      </c>
      <c r="E451" s="15" t="s">
        <v>567</v>
      </c>
      <c r="F451" s="14" t="s">
        <v>137</v>
      </c>
      <c r="G451" s="15" t="s">
        <v>23</v>
      </c>
      <c r="H451" s="15" t="s">
        <v>1526</v>
      </c>
      <c r="I451" s="15">
        <v>201409</v>
      </c>
      <c r="J451" s="16">
        <v>13.59</v>
      </c>
      <c r="K451" s="171">
        <f>VLOOKUP(I451,$T$9:$U$23,2)</f>
        <v>9</v>
      </c>
      <c r="L451" s="17">
        <v>1.4833299999999999E-3</v>
      </c>
      <c r="M451" s="16">
        <f>ROUND(J451*K451*L451,2)</f>
        <v>0.18</v>
      </c>
      <c r="N451" s="16">
        <f>ROUND(J451*L451*12,2)</f>
        <v>0.24</v>
      </c>
      <c r="O451" s="14"/>
      <c r="P451" s="210" t="str">
        <f>VLOOKUP(C451,'WO Descriptions'!$A$5:$D$345,4)</f>
        <v>Approved by: Kevin Driskell on 12/31/2013,  ISRS LAY 15'-3" TF STEEL TO GO AROUND SEWER MAIN.  TWO WAY FEED.  ABANDON 8'-3" BS (B26P90)</v>
      </c>
    </row>
    <row r="452" spans="1:18" outlineLevel="1">
      <c r="A452" s="223"/>
      <c r="B452" s="250"/>
      <c r="C452" s="254" t="s">
        <v>1918</v>
      </c>
      <c r="D452" s="223"/>
      <c r="E452" s="250"/>
      <c r="F452" s="223"/>
      <c r="G452" s="250"/>
      <c r="H452" s="250"/>
      <c r="I452" s="250"/>
      <c r="J452" s="251">
        <f>SUBTOTAL(9,J451:J451)</f>
        <v>13.59</v>
      </c>
      <c r="K452" s="252"/>
      <c r="L452" s="253"/>
      <c r="M452" s="251">
        <f>SUBTOTAL(9,M451:M451)</f>
        <v>0.18</v>
      </c>
      <c r="N452" s="251">
        <f>SUBTOTAL(9,N451:N451)</f>
        <v>0.24</v>
      </c>
      <c r="O452" s="223"/>
      <c r="P452" s="210"/>
      <c r="Q452" s="263" t="s">
        <v>2096</v>
      </c>
    </row>
    <row r="453" spans="1:18" ht="105" outlineLevel="2">
      <c r="A453" s="14" t="s">
        <v>17</v>
      </c>
      <c r="B453" s="15" t="s">
        <v>568</v>
      </c>
      <c r="C453" s="15" t="s">
        <v>569</v>
      </c>
      <c r="D453" s="14" t="s">
        <v>570</v>
      </c>
      <c r="E453" s="15" t="s">
        <v>324</v>
      </c>
      <c r="F453" s="14" t="s">
        <v>325</v>
      </c>
      <c r="G453" s="15" t="s">
        <v>23</v>
      </c>
      <c r="H453" s="15" t="s">
        <v>1525</v>
      </c>
      <c r="I453" s="15">
        <v>201409</v>
      </c>
      <c r="J453" s="16">
        <v>-124.35</v>
      </c>
      <c r="K453" s="171">
        <f>VLOOKUP(I453,$T$9:$U$23,2)</f>
        <v>9</v>
      </c>
      <c r="L453" s="17">
        <v>1.4833299999999999E-3</v>
      </c>
      <c r="M453" s="16">
        <f>ROUND(J453*K453*L453,2)</f>
        <v>-1.66</v>
      </c>
      <c r="N453" s="16">
        <f>ROUND(J453*L453*12,2)</f>
        <v>-2.21</v>
      </c>
      <c r="O453" s="14"/>
      <c r="P453" s="210" t="str">
        <f>VLOOKUP(C453,'WO Descriptions'!$A$5:$D$345,4)</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row>
    <row r="454" spans="1:18" outlineLevel="1">
      <c r="A454" s="223"/>
      <c r="B454" s="250"/>
      <c r="C454" s="254" t="s">
        <v>1919</v>
      </c>
      <c r="D454" s="223"/>
      <c r="E454" s="250"/>
      <c r="F454" s="223"/>
      <c r="G454" s="250"/>
      <c r="H454" s="250"/>
      <c r="I454" s="250"/>
      <c r="J454" s="251">
        <f>SUBTOTAL(9,J453:J453)</f>
        <v>-124.35</v>
      </c>
      <c r="K454" s="252"/>
      <c r="L454" s="253"/>
      <c r="M454" s="251">
        <f>SUBTOTAL(9,M453:M453)</f>
        <v>-1.66</v>
      </c>
      <c r="N454" s="251">
        <f>SUBTOTAL(9,N453:N453)</f>
        <v>-2.21</v>
      </c>
      <c r="O454" s="223"/>
      <c r="P454" s="210"/>
      <c r="Q454" s="263" t="s">
        <v>2094</v>
      </c>
      <c r="R454" s="263" t="s">
        <v>2095</v>
      </c>
    </row>
    <row r="455" spans="1:18" ht="30" outlineLevel="2">
      <c r="A455" s="14" t="s">
        <v>17</v>
      </c>
      <c r="B455" s="15" t="s">
        <v>571</v>
      </c>
      <c r="C455" s="15" t="s">
        <v>572</v>
      </c>
      <c r="D455" s="14" t="s">
        <v>573</v>
      </c>
      <c r="E455" s="15" t="s">
        <v>574</v>
      </c>
      <c r="F455" s="14" t="s">
        <v>28</v>
      </c>
      <c r="G455" s="15" t="s">
        <v>23</v>
      </c>
      <c r="H455" s="15" t="s">
        <v>1525</v>
      </c>
      <c r="I455" s="15">
        <v>201409</v>
      </c>
      <c r="J455" s="16">
        <v>-89.13</v>
      </c>
      <c r="K455" s="171">
        <f>VLOOKUP(I455,$T$9:$U$23,2)</f>
        <v>9</v>
      </c>
      <c r="L455" s="17">
        <v>1.4833299999999999E-3</v>
      </c>
      <c r="M455" s="16">
        <f>ROUND(J455*K455*L455,2)</f>
        <v>-1.19</v>
      </c>
      <c r="N455" s="16">
        <f>ROUND(J455*L455*12,2)</f>
        <v>-1.59</v>
      </c>
      <c r="O455" s="14"/>
      <c r="P455" s="210" t="str">
        <f>VLOOKUP(C455,'WO Descriptions'!$A$5:$D$345,4)</f>
        <v>Approved by: Ralph Janes on 02/05/2014,  Replace and retire 50' - 2" pcs main (A9142B) which is leaking with 50' - 2" pe.</v>
      </c>
    </row>
    <row r="456" spans="1:18" outlineLevel="1">
      <c r="A456" s="223"/>
      <c r="B456" s="250"/>
      <c r="C456" s="254" t="s">
        <v>1920</v>
      </c>
      <c r="D456" s="223"/>
      <c r="E456" s="250"/>
      <c r="F456" s="223"/>
      <c r="G456" s="250"/>
      <c r="H456" s="250"/>
      <c r="I456" s="250"/>
      <c r="J456" s="251">
        <f>SUBTOTAL(9,J455:J455)</f>
        <v>-89.13</v>
      </c>
      <c r="K456" s="252"/>
      <c r="L456" s="253"/>
      <c r="M456" s="251">
        <f>SUBTOTAL(9,M455:M455)</f>
        <v>-1.19</v>
      </c>
      <c r="N456" s="251">
        <f>SUBTOTAL(9,N455:N455)</f>
        <v>-1.59</v>
      </c>
      <c r="O456" s="223"/>
      <c r="P456" s="210"/>
      <c r="Q456" s="263" t="s">
        <v>2097</v>
      </c>
      <c r="R456" s="263" t="s">
        <v>2099</v>
      </c>
    </row>
    <row r="457" spans="1:18" ht="60" outlineLevel="2">
      <c r="A457" s="14" t="s">
        <v>17</v>
      </c>
      <c r="B457" s="15" t="s">
        <v>575</v>
      </c>
      <c r="C457" s="15" t="s">
        <v>576</v>
      </c>
      <c r="D457" s="14" t="s">
        <v>577</v>
      </c>
      <c r="E457" s="15" t="s">
        <v>462</v>
      </c>
      <c r="F457" s="14" t="s">
        <v>142</v>
      </c>
      <c r="G457" s="15" t="s">
        <v>23</v>
      </c>
      <c r="H457" s="15" t="s">
        <v>1525</v>
      </c>
      <c r="I457" s="15">
        <v>201409</v>
      </c>
      <c r="J457" s="16">
        <v>-34.44</v>
      </c>
      <c r="K457" s="171">
        <f>VLOOKUP(I457,$T$9:$U$23,2)</f>
        <v>9</v>
      </c>
      <c r="L457" s="17">
        <v>1.4833299999999999E-3</v>
      </c>
      <c r="M457" s="16">
        <f>ROUND(J457*K457*L457,2)</f>
        <v>-0.46</v>
      </c>
      <c r="N457" s="16">
        <f>ROUND(J457*L457*12,2)</f>
        <v>-0.61</v>
      </c>
      <c r="O457" s="14"/>
      <c r="P457" s="210" t="str">
        <f>VLOOKUP(C457,'WO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58" spans="1:18" ht="60" outlineLevel="2">
      <c r="A458" s="14" t="s">
        <v>17</v>
      </c>
      <c r="B458" s="15" t="s">
        <v>575</v>
      </c>
      <c r="C458" s="15" t="s">
        <v>576</v>
      </c>
      <c r="D458" s="14" t="s">
        <v>577</v>
      </c>
      <c r="E458" s="15" t="s">
        <v>462</v>
      </c>
      <c r="F458" s="14" t="s">
        <v>142</v>
      </c>
      <c r="G458" s="15" t="s">
        <v>23</v>
      </c>
      <c r="H458" s="15" t="s">
        <v>1525</v>
      </c>
      <c r="I458" s="15">
        <v>201410</v>
      </c>
      <c r="J458" s="16">
        <v>-0.05</v>
      </c>
      <c r="K458" s="171">
        <f>VLOOKUP(I458,$T$9:$U$23,2)</f>
        <v>8</v>
      </c>
      <c r="L458" s="17">
        <v>1.4833299999999999E-3</v>
      </c>
      <c r="M458" s="16">
        <f>ROUND(J458*K458*L458,2)</f>
        <v>0</v>
      </c>
      <c r="N458" s="16">
        <f>ROUND(J458*L458*12,2)</f>
        <v>0</v>
      </c>
      <c r="O458" s="14"/>
      <c r="P458" s="210" t="str">
        <f>VLOOKUP(C458,'WO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59" spans="1:18" ht="60" outlineLevel="2">
      <c r="A459" s="14" t="s">
        <v>54</v>
      </c>
      <c r="B459" s="15" t="s">
        <v>575</v>
      </c>
      <c r="C459" s="15" t="s">
        <v>576</v>
      </c>
      <c r="D459" s="14" t="s">
        <v>577</v>
      </c>
      <c r="E459" s="15" t="s">
        <v>462</v>
      </c>
      <c r="F459" s="14" t="s">
        <v>142</v>
      </c>
      <c r="G459" s="15" t="s">
        <v>23</v>
      </c>
      <c r="H459" s="15" t="s">
        <v>1525</v>
      </c>
      <c r="I459" s="15">
        <v>201409</v>
      </c>
      <c r="J459" s="16">
        <v>-1935.85</v>
      </c>
      <c r="K459" s="171">
        <f>VLOOKUP(I459,$T$9:$U$23,2)</f>
        <v>9</v>
      </c>
      <c r="L459" s="17">
        <v>1.4833299999999999E-3</v>
      </c>
      <c r="M459" s="16">
        <f>ROUND(J459*K459*L459,2)</f>
        <v>-25.84</v>
      </c>
      <c r="N459" s="16">
        <f>ROUND(J459*L459*12,2)</f>
        <v>-34.46</v>
      </c>
      <c r="O459" s="14"/>
      <c r="P459" s="210" t="str">
        <f>VLOOKUP(C459,'WO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60" spans="1:18" ht="60" outlineLevel="2">
      <c r="A460" s="14" t="s">
        <v>54</v>
      </c>
      <c r="B460" s="15" t="s">
        <v>575</v>
      </c>
      <c r="C460" s="15" t="s">
        <v>576</v>
      </c>
      <c r="D460" s="14" t="s">
        <v>577</v>
      </c>
      <c r="E460" s="15" t="s">
        <v>462</v>
      </c>
      <c r="F460" s="14" t="s">
        <v>142</v>
      </c>
      <c r="G460" s="15" t="s">
        <v>23</v>
      </c>
      <c r="H460" s="15" t="s">
        <v>1525</v>
      </c>
      <c r="I460" s="15">
        <v>201410</v>
      </c>
      <c r="J460" s="16">
        <v>0.05</v>
      </c>
      <c r="K460" s="171">
        <f>VLOOKUP(I460,$T$9:$U$23,2)</f>
        <v>8</v>
      </c>
      <c r="L460" s="17">
        <v>1.4833299999999999E-3</v>
      </c>
      <c r="M460" s="16">
        <f>ROUND(J460*K460*L460,2)</f>
        <v>0</v>
      </c>
      <c r="N460" s="16">
        <f>ROUND(J460*L460*12,2)</f>
        <v>0</v>
      </c>
      <c r="O460" s="14"/>
      <c r="P460" s="210" t="str">
        <f>VLOOKUP(C460,'WO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61" spans="1:18" outlineLevel="1">
      <c r="A461" s="223"/>
      <c r="B461" s="250"/>
      <c r="C461" s="254" t="s">
        <v>1921</v>
      </c>
      <c r="D461" s="223"/>
      <c r="E461" s="250"/>
      <c r="F461" s="223"/>
      <c r="G461" s="250"/>
      <c r="H461" s="250"/>
      <c r="I461" s="250"/>
      <c r="J461" s="251">
        <f>SUBTOTAL(9,J457:J460)</f>
        <v>-1970.29</v>
      </c>
      <c r="K461" s="252"/>
      <c r="L461" s="253"/>
      <c r="M461" s="251">
        <f>SUBTOTAL(9,M457:M460)</f>
        <v>-26.3</v>
      </c>
      <c r="N461" s="251">
        <f>SUBTOTAL(9,N457:N460)</f>
        <v>-35.07</v>
      </c>
      <c r="O461" s="223"/>
      <c r="P461" s="210"/>
      <c r="Q461" s="263" t="s">
        <v>2097</v>
      </c>
      <c r="R461" s="263" t="s">
        <v>2100</v>
      </c>
    </row>
    <row r="462" spans="1:18" ht="60" outlineLevel="2">
      <c r="A462" s="14" t="s">
        <v>54</v>
      </c>
      <c r="B462" s="15" t="s">
        <v>578</v>
      </c>
      <c r="C462" s="15" t="s">
        <v>579</v>
      </c>
      <c r="D462" s="14" t="s">
        <v>580</v>
      </c>
      <c r="E462" s="15" t="s">
        <v>136</v>
      </c>
      <c r="F462" s="14" t="s">
        <v>137</v>
      </c>
      <c r="G462" s="15" t="s">
        <v>23</v>
      </c>
      <c r="H462" s="15" t="s">
        <v>1526</v>
      </c>
      <c r="I462" s="15">
        <v>201409</v>
      </c>
      <c r="J462" s="16">
        <v>-19.86</v>
      </c>
      <c r="K462" s="171">
        <f>VLOOKUP(I462,$T$9:$U$23,2)</f>
        <v>9</v>
      </c>
      <c r="L462" s="17">
        <v>1.4833299999999999E-3</v>
      </c>
      <c r="M462" s="16">
        <f>ROUND(J462*K462*L462,2)</f>
        <v>-0.27</v>
      </c>
      <c r="N462" s="16">
        <f>ROUND(J462*L462*12,2)</f>
        <v>-0.35</v>
      </c>
      <c r="O462" s="14"/>
      <c r="P462" s="210" t="str">
        <f>VLOOKUP(C462,'WO Descriptions'!$A$5:$D$345,4)</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row>
    <row r="463" spans="1:18" outlineLevel="1">
      <c r="A463" s="223"/>
      <c r="B463" s="250"/>
      <c r="C463" s="254" t="s">
        <v>1922</v>
      </c>
      <c r="D463" s="223"/>
      <c r="E463" s="250"/>
      <c r="F463" s="223"/>
      <c r="G463" s="250"/>
      <c r="H463" s="250"/>
      <c r="I463" s="250"/>
      <c r="J463" s="251">
        <f>SUBTOTAL(9,J462:J462)</f>
        <v>-19.86</v>
      </c>
      <c r="K463" s="252"/>
      <c r="L463" s="253"/>
      <c r="M463" s="251">
        <f>SUBTOTAL(9,M462:M462)</f>
        <v>-0.27</v>
      </c>
      <c r="N463" s="251">
        <f>SUBTOTAL(9,N462:N462)</f>
        <v>-0.35</v>
      </c>
      <c r="O463" s="223"/>
      <c r="P463" s="210"/>
      <c r="Q463" s="263" t="s">
        <v>2096</v>
      </c>
    </row>
    <row r="464" spans="1:18" ht="150" outlineLevel="2">
      <c r="A464" s="14" t="s">
        <v>17</v>
      </c>
      <c r="B464" s="15" t="s">
        <v>581</v>
      </c>
      <c r="C464" s="15" t="s">
        <v>582</v>
      </c>
      <c r="D464" s="14" t="s">
        <v>583</v>
      </c>
      <c r="E464" s="15" t="s">
        <v>104</v>
      </c>
      <c r="F464" s="14" t="s">
        <v>41</v>
      </c>
      <c r="G464" s="15" t="s">
        <v>23</v>
      </c>
      <c r="H464" s="15" t="s">
        <v>1526</v>
      </c>
      <c r="I464" s="15">
        <v>201412</v>
      </c>
      <c r="J464" s="16">
        <v>1337.3</v>
      </c>
      <c r="K464" s="171">
        <f>VLOOKUP(I464,$T$9:$U$23,2)</f>
        <v>6</v>
      </c>
      <c r="L464" s="17">
        <v>1.4833299999999999E-3</v>
      </c>
      <c r="M464" s="16">
        <f>ROUND(J464*K464*L464,2)</f>
        <v>11.9</v>
      </c>
      <c r="N464" s="16">
        <f>ROUND(J464*L464*12,2)</f>
        <v>23.8</v>
      </c>
      <c r="O464" s="14"/>
      <c r="P464" s="210" t="str">
        <f>VLOOKUP(C464,'WO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5" spans="1:18" ht="150" outlineLevel="2">
      <c r="A465" s="14" t="s">
        <v>54</v>
      </c>
      <c r="B465" s="15" t="s">
        <v>581</v>
      </c>
      <c r="C465" s="15" t="s">
        <v>582</v>
      </c>
      <c r="D465" s="14" t="s">
        <v>583</v>
      </c>
      <c r="E465" s="15" t="s">
        <v>104</v>
      </c>
      <c r="F465" s="14" t="s">
        <v>41</v>
      </c>
      <c r="G465" s="15" t="s">
        <v>23</v>
      </c>
      <c r="H465" s="15" t="s">
        <v>1526</v>
      </c>
      <c r="I465" s="15">
        <v>201409</v>
      </c>
      <c r="J465" s="16">
        <v>97223.13</v>
      </c>
      <c r="K465" s="171">
        <f>VLOOKUP(I465,$T$9:$U$23,2)</f>
        <v>9</v>
      </c>
      <c r="L465" s="17">
        <v>1.4833299999999999E-3</v>
      </c>
      <c r="M465" s="16">
        <f>ROUND(J465*K465*L465,2)</f>
        <v>1297.93</v>
      </c>
      <c r="N465" s="16">
        <f>ROUND(J465*L465*12,2)</f>
        <v>1730.57</v>
      </c>
      <c r="O465" s="14"/>
      <c r="P465" s="210" t="str">
        <f>VLOOKUP(C465,'WO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6" spans="1:18" ht="150" outlineLevel="2">
      <c r="A466" s="14" t="s">
        <v>54</v>
      </c>
      <c r="B466" s="15" t="s">
        <v>581</v>
      </c>
      <c r="C466" s="15" t="s">
        <v>582</v>
      </c>
      <c r="D466" s="14" t="s">
        <v>583</v>
      </c>
      <c r="E466" s="15" t="s">
        <v>104</v>
      </c>
      <c r="F466" s="14" t="s">
        <v>41</v>
      </c>
      <c r="G466" s="15" t="s">
        <v>23</v>
      </c>
      <c r="H466" s="15" t="s">
        <v>1526</v>
      </c>
      <c r="I466" s="15">
        <v>201410</v>
      </c>
      <c r="J466" s="16">
        <v>5658.63</v>
      </c>
      <c r="K466" s="171">
        <f>VLOOKUP(I466,$T$9:$U$23,2)</f>
        <v>8</v>
      </c>
      <c r="L466" s="17">
        <v>1.4833299999999999E-3</v>
      </c>
      <c r="M466" s="16">
        <f>ROUND(J466*K466*L466,2)</f>
        <v>67.150000000000006</v>
      </c>
      <c r="N466" s="16">
        <f>ROUND(J466*L466*12,2)</f>
        <v>100.72</v>
      </c>
      <c r="O466" s="14"/>
      <c r="P466" s="210" t="str">
        <f>VLOOKUP(C466,'WO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7" spans="1:18" ht="150" outlineLevel="2">
      <c r="A467" s="14" t="s">
        <v>54</v>
      </c>
      <c r="B467" s="15" t="s">
        <v>581</v>
      </c>
      <c r="C467" s="15" t="s">
        <v>582</v>
      </c>
      <c r="D467" s="14" t="s">
        <v>583</v>
      </c>
      <c r="E467" s="15" t="s">
        <v>104</v>
      </c>
      <c r="F467" s="14" t="s">
        <v>41</v>
      </c>
      <c r="G467" s="15" t="s">
        <v>23</v>
      </c>
      <c r="H467" s="15" t="s">
        <v>1526</v>
      </c>
      <c r="I467" s="15">
        <v>201411</v>
      </c>
      <c r="J467" s="16">
        <v>-154.51</v>
      </c>
      <c r="K467" s="171">
        <f>VLOOKUP(I467,$T$9:$U$23,2)</f>
        <v>7</v>
      </c>
      <c r="L467" s="17">
        <v>1.4833299999999999E-3</v>
      </c>
      <c r="M467" s="16">
        <f>ROUND(J467*K467*L467,2)</f>
        <v>-1.6</v>
      </c>
      <c r="N467" s="16">
        <f>ROUND(J467*L467*12,2)</f>
        <v>-2.75</v>
      </c>
      <c r="O467" s="14"/>
      <c r="P467" s="210" t="str">
        <f>VLOOKUP(C467,'WO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8" spans="1:18" ht="150" outlineLevel="2">
      <c r="A468" s="14" t="s">
        <v>54</v>
      </c>
      <c r="B468" s="15" t="s">
        <v>581</v>
      </c>
      <c r="C468" s="15" t="s">
        <v>582</v>
      </c>
      <c r="D468" s="14" t="s">
        <v>583</v>
      </c>
      <c r="E468" s="15" t="s">
        <v>104</v>
      </c>
      <c r="F468" s="14" t="s">
        <v>41</v>
      </c>
      <c r="G468" s="15" t="s">
        <v>23</v>
      </c>
      <c r="H468" s="15" t="s">
        <v>1526</v>
      </c>
      <c r="I468" s="15">
        <v>201412</v>
      </c>
      <c r="J468" s="16">
        <v>-1826.47</v>
      </c>
      <c r="K468" s="171">
        <f>VLOOKUP(I468,$T$9:$U$23,2)</f>
        <v>6</v>
      </c>
      <c r="L468" s="17">
        <v>1.4833299999999999E-3</v>
      </c>
      <c r="M468" s="16">
        <f>ROUND(J468*K468*L468,2)</f>
        <v>-16.260000000000002</v>
      </c>
      <c r="N468" s="16">
        <f>ROUND(J468*L468*12,2)</f>
        <v>-32.51</v>
      </c>
      <c r="O468" s="14"/>
      <c r="P468" s="210" t="str">
        <f>VLOOKUP(C468,'WO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9" spans="1:18" outlineLevel="1">
      <c r="A469" s="223"/>
      <c r="B469" s="250"/>
      <c r="C469" s="254" t="s">
        <v>1923</v>
      </c>
      <c r="D469" s="223"/>
      <c r="E469" s="250"/>
      <c r="F469" s="223"/>
      <c r="G469" s="250"/>
      <c r="H469" s="250"/>
      <c r="I469" s="250"/>
      <c r="J469" s="251">
        <f>SUBTOTAL(9,J464:J468)</f>
        <v>102238.08000000002</v>
      </c>
      <c r="K469" s="252"/>
      <c r="L469" s="253"/>
      <c r="M469" s="251">
        <f>SUBTOTAL(9,M464:M468)</f>
        <v>1359.1200000000003</v>
      </c>
      <c r="N469" s="251">
        <f>SUBTOTAL(9,N464:N468)</f>
        <v>1819.83</v>
      </c>
      <c r="O469" s="223"/>
      <c r="P469" s="210"/>
      <c r="Q469" s="263" t="s">
        <v>2096</v>
      </c>
    </row>
    <row r="470" spans="1:18" ht="180" outlineLevel="2">
      <c r="A470" s="14" t="s">
        <v>17</v>
      </c>
      <c r="B470" s="15" t="s">
        <v>584</v>
      </c>
      <c r="C470" s="15" t="s">
        <v>585</v>
      </c>
      <c r="D470" s="14" t="s">
        <v>586</v>
      </c>
      <c r="E470" s="15" t="s">
        <v>62</v>
      </c>
      <c r="F470" s="14" t="s">
        <v>22</v>
      </c>
      <c r="G470" s="15" t="s">
        <v>23</v>
      </c>
      <c r="H470" s="15" t="s">
        <v>1525</v>
      </c>
      <c r="I470" s="15">
        <v>201409</v>
      </c>
      <c r="J470" s="16">
        <v>-7974.11</v>
      </c>
      <c r="K470" s="171">
        <f>VLOOKUP(I470,$T$9:$U$23,2)</f>
        <v>9</v>
      </c>
      <c r="L470" s="17">
        <v>1.4833299999999999E-3</v>
      </c>
      <c r="M470" s="16">
        <f>ROUND(J470*K470*L470,2)</f>
        <v>-106.45</v>
      </c>
      <c r="N470" s="16">
        <f>ROUND(J470*L470*12,2)</f>
        <v>-141.94</v>
      </c>
      <c r="O470" s="14"/>
      <c r="P470" s="210" t="str">
        <f>VLOOKUP(C470,'WO Descriptions'!$A$5:$D$345,4)</f>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
    </row>
    <row r="471" spans="1:18" outlineLevel="1">
      <c r="A471" s="223"/>
      <c r="B471" s="250"/>
      <c r="C471" s="254" t="s">
        <v>1924</v>
      </c>
      <c r="D471" s="223"/>
      <c r="E471" s="250"/>
      <c r="F471" s="223"/>
      <c r="G471" s="250"/>
      <c r="H471" s="250"/>
      <c r="I471" s="250"/>
      <c r="J471" s="251">
        <f>SUBTOTAL(9,J470:J470)</f>
        <v>-7974.11</v>
      </c>
      <c r="K471" s="252"/>
      <c r="L471" s="253"/>
      <c r="M471" s="251">
        <f>SUBTOTAL(9,M470:M470)</f>
        <v>-106.45</v>
      </c>
      <c r="N471" s="251">
        <f>SUBTOTAL(9,N470:N470)</f>
        <v>-141.94</v>
      </c>
      <c r="O471" s="223"/>
      <c r="P471" s="210"/>
      <c r="Q471" s="263" t="s">
        <v>2097</v>
      </c>
      <c r="R471" s="263" t="s">
        <v>2098</v>
      </c>
    </row>
    <row r="472" spans="1:18" outlineLevel="2">
      <c r="A472" s="211" t="s">
        <v>66</v>
      </c>
      <c r="B472" s="212" t="s">
        <v>1027</v>
      </c>
      <c r="C472" s="212" t="s">
        <v>1028</v>
      </c>
      <c r="D472" s="211" t="s">
        <v>194</v>
      </c>
      <c r="E472" s="212" t="s">
        <v>1029</v>
      </c>
      <c r="F472" s="211" t="s">
        <v>196</v>
      </c>
      <c r="G472" s="212" t="s">
        <v>23</v>
      </c>
      <c r="H472" s="212" t="s">
        <v>1530</v>
      </c>
      <c r="I472" s="212">
        <v>201412</v>
      </c>
      <c r="J472" s="213">
        <v>463.42</v>
      </c>
      <c r="K472" s="171">
        <f>VLOOKUP(I472,$T$9:$U$23,2)</f>
        <v>6</v>
      </c>
      <c r="L472" s="214">
        <v>2.23333E-3</v>
      </c>
      <c r="M472" s="213">
        <f>ROUND(J472*K472*L472,2)</f>
        <v>6.21</v>
      </c>
      <c r="N472" s="213">
        <f>ROUND(J472*L472*12,2)</f>
        <v>12.42</v>
      </c>
      <c r="O472" s="14"/>
      <c r="P472" s="210" t="str">
        <f>VLOOKUP(C472,'WO Descriptions'!$A$5:$D$345,4)</f>
        <v>Line Locates - Service Line Replacements Only (Lee's Summit - South Region)</v>
      </c>
    </row>
    <row r="473" spans="1:18" outlineLevel="1">
      <c r="A473" s="256"/>
      <c r="B473" s="257"/>
      <c r="C473" s="260" t="s">
        <v>1925</v>
      </c>
      <c r="D473" s="256"/>
      <c r="E473" s="257"/>
      <c r="F473" s="256"/>
      <c r="G473" s="257"/>
      <c r="H473" s="257"/>
      <c r="I473" s="257"/>
      <c r="J473" s="258">
        <f>SUBTOTAL(9,J472:J472)</f>
        <v>463.42</v>
      </c>
      <c r="K473" s="252"/>
      <c r="L473" s="259"/>
      <c r="M473" s="258">
        <f>SUBTOTAL(9,M472:M472)</f>
        <v>6.21</v>
      </c>
      <c r="N473" s="258">
        <f>SUBTOTAL(9,N472:N472)</f>
        <v>12.42</v>
      </c>
      <c r="O473" s="223"/>
      <c r="P473" s="210"/>
      <c r="Q473" s="263" t="s">
        <v>2097</v>
      </c>
      <c r="R473" s="263" t="s">
        <v>2102</v>
      </c>
    </row>
    <row r="474" spans="1:18" ht="30" outlineLevel="2">
      <c r="A474" s="211" t="s">
        <v>66</v>
      </c>
      <c r="B474" s="212" t="s">
        <v>587</v>
      </c>
      <c r="C474" s="212" t="s">
        <v>588</v>
      </c>
      <c r="D474" s="211" t="s">
        <v>589</v>
      </c>
      <c r="E474" s="212" t="s">
        <v>590</v>
      </c>
      <c r="F474" s="211" t="s">
        <v>591</v>
      </c>
      <c r="G474" s="212" t="s">
        <v>23</v>
      </c>
      <c r="H474" s="212" t="s">
        <v>1530</v>
      </c>
      <c r="I474" s="212">
        <v>201409</v>
      </c>
      <c r="J474" s="213">
        <v>-3.04</v>
      </c>
      <c r="K474" s="171">
        <f>VLOOKUP(I474,$T$9:$U$23,2)</f>
        <v>9</v>
      </c>
      <c r="L474" s="214">
        <v>2.23333E-3</v>
      </c>
      <c r="M474" s="213">
        <f>ROUND(J474*K474*L474,2)</f>
        <v>-0.06</v>
      </c>
      <c r="N474" s="213">
        <f>ROUND(J474*L474*12,2)</f>
        <v>-0.08</v>
      </c>
      <c r="O474" s="14"/>
      <c r="P474" s="210" t="str">
        <f>VLOOKUP(C474,'WO Descriptions'!$A$5:$D$345,4)</f>
        <v>Service/Yard Line Replacement (SLRP): Company Crew.  Block by Block - Planned replacement of all unprotected steel or copper in a single block.  (Monett - South Region)</v>
      </c>
    </row>
    <row r="475" spans="1:18" outlineLevel="1">
      <c r="A475" s="256"/>
      <c r="B475" s="257"/>
      <c r="C475" s="260" t="s">
        <v>1926</v>
      </c>
      <c r="D475" s="256"/>
      <c r="E475" s="257"/>
      <c r="F475" s="256"/>
      <c r="G475" s="257"/>
      <c r="H475" s="257"/>
      <c r="I475" s="257"/>
      <c r="J475" s="258">
        <f>SUBTOTAL(9,J474:J474)</f>
        <v>-3.04</v>
      </c>
      <c r="K475" s="252"/>
      <c r="L475" s="259"/>
      <c r="M475" s="258">
        <f>SUBTOTAL(9,M474:M474)</f>
        <v>-0.06</v>
      </c>
      <c r="N475" s="258">
        <f>SUBTOTAL(9,N474:N474)</f>
        <v>-0.08</v>
      </c>
      <c r="O475" s="223"/>
      <c r="P475" s="210"/>
      <c r="Q475" s="263" t="s">
        <v>2097</v>
      </c>
      <c r="R475" s="263" t="s">
        <v>2102</v>
      </c>
    </row>
    <row r="476" spans="1:18" ht="30" outlineLevel="2">
      <c r="A476" s="211" t="s">
        <v>1584</v>
      </c>
      <c r="B476" s="212" t="s">
        <v>1609</v>
      </c>
      <c r="C476" s="212" t="s">
        <v>1610</v>
      </c>
      <c r="D476" s="211" t="s">
        <v>1588</v>
      </c>
      <c r="E476" s="212" t="s">
        <v>1611</v>
      </c>
      <c r="F476" s="211" t="s">
        <v>1590</v>
      </c>
      <c r="G476" s="212" t="s">
        <v>23</v>
      </c>
      <c r="H476" s="212" t="s">
        <v>1530</v>
      </c>
      <c r="I476" s="212">
        <v>201409</v>
      </c>
      <c r="J476" s="213">
        <v>-5.08</v>
      </c>
      <c r="K476" s="171">
        <f>VLOOKUP(I476,$T$9:$U$23,2)</f>
        <v>9</v>
      </c>
      <c r="L476" s="214">
        <v>2.0333333000000001E-3</v>
      </c>
      <c r="M476" s="213">
        <f>ROUND(J476*K476*L476,2)</f>
        <v>-0.09</v>
      </c>
      <c r="N476" s="213">
        <f>ROUND(J476*L476*12,2)</f>
        <v>-0.12</v>
      </c>
      <c r="O476" s="14"/>
      <c r="P476" s="210" t="str">
        <f>VLOOKUP(C476,'WO Descriptions'!$A$5:$D$345,4)</f>
        <v>Service/Yard Line Replacement (SLRP): Company Crew.  Block by Block - Planned replacement of all unprotected steel or copper in a single block.  (Monett - South Region)</v>
      </c>
    </row>
    <row r="477" spans="1:18" outlineLevel="1">
      <c r="A477" s="256"/>
      <c r="B477" s="257"/>
      <c r="C477" s="260" t="s">
        <v>1927</v>
      </c>
      <c r="D477" s="256"/>
      <c r="E477" s="257"/>
      <c r="F477" s="256"/>
      <c r="G477" s="257"/>
      <c r="H477" s="257"/>
      <c r="I477" s="257"/>
      <c r="J477" s="258">
        <f>SUBTOTAL(9,J476:J476)</f>
        <v>-5.08</v>
      </c>
      <c r="K477" s="252"/>
      <c r="L477" s="259"/>
      <c r="M477" s="258">
        <f>SUBTOTAL(9,M476:M476)</f>
        <v>-0.09</v>
      </c>
      <c r="N477" s="258">
        <f>SUBTOTAL(9,N476:N476)</f>
        <v>-0.12</v>
      </c>
      <c r="O477" s="223"/>
      <c r="P477" s="210"/>
      <c r="Q477" s="263" t="s">
        <v>2097</v>
      </c>
      <c r="R477" s="263" t="s">
        <v>2102</v>
      </c>
    </row>
    <row r="478" spans="1:18" ht="30" outlineLevel="2">
      <c r="A478" s="211" t="s">
        <v>66</v>
      </c>
      <c r="B478" s="212" t="s">
        <v>592</v>
      </c>
      <c r="C478" s="212" t="s">
        <v>593</v>
      </c>
      <c r="D478" s="211" t="s">
        <v>381</v>
      </c>
      <c r="E478" s="212" t="s">
        <v>594</v>
      </c>
      <c r="F478" s="211" t="s">
        <v>212</v>
      </c>
      <c r="G478" s="212" t="s">
        <v>23</v>
      </c>
      <c r="H478" s="212" t="s">
        <v>1530</v>
      </c>
      <c r="I478" s="212">
        <v>201409</v>
      </c>
      <c r="J478" s="213">
        <v>-383.88</v>
      </c>
      <c r="K478" s="171">
        <f>VLOOKUP(I478,$T$9:$U$23,2)</f>
        <v>9</v>
      </c>
      <c r="L478" s="214">
        <v>2.23333E-3</v>
      </c>
      <c r="M478" s="213">
        <f>ROUND(J478*K478*L478,2)</f>
        <v>-7.72</v>
      </c>
      <c r="N478" s="213">
        <f>ROUND(J478*L478*12,2)</f>
        <v>-10.29</v>
      </c>
      <c r="O478" s="14"/>
      <c r="P478" s="210" t="str">
        <f>VLOOKUP(C478,'WO Descriptions'!$A$5:$D$345,4)</f>
        <v>Service/Yard Line Replacement (SLRP): Contract Crew.  Immediate response - replacement single unprotected steel or copper  (Monett - South Region)</v>
      </c>
    </row>
    <row r="479" spans="1:18" outlineLevel="1">
      <c r="A479" s="256"/>
      <c r="B479" s="257"/>
      <c r="C479" s="260" t="s">
        <v>1928</v>
      </c>
      <c r="D479" s="256"/>
      <c r="E479" s="257"/>
      <c r="F479" s="256"/>
      <c r="G479" s="257"/>
      <c r="H479" s="257"/>
      <c r="I479" s="257"/>
      <c r="J479" s="258">
        <f>SUBTOTAL(9,J478:J478)</f>
        <v>-383.88</v>
      </c>
      <c r="K479" s="252"/>
      <c r="L479" s="259"/>
      <c r="M479" s="258">
        <f>SUBTOTAL(9,M478:M478)</f>
        <v>-7.72</v>
      </c>
      <c r="N479" s="258">
        <f>SUBTOTAL(9,N478:N478)</f>
        <v>-10.29</v>
      </c>
      <c r="O479" s="223"/>
      <c r="P479" s="210"/>
      <c r="Q479" s="263" t="s">
        <v>2097</v>
      </c>
      <c r="R479" s="263" t="s">
        <v>2102</v>
      </c>
    </row>
    <row r="480" spans="1:18" ht="30" outlineLevel="2">
      <c r="A480" s="211" t="s">
        <v>66</v>
      </c>
      <c r="B480" s="212" t="s">
        <v>595</v>
      </c>
      <c r="C480" s="212" t="s">
        <v>596</v>
      </c>
      <c r="D480" s="211" t="s">
        <v>597</v>
      </c>
      <c r="E480" s="212" t="s">
        <v>598</v>
      </c>
      <c r="F480" s="211" t="s">
        <v>212</v>
      </c>
      <c r="G480" s="212" t="s">
        <v>23</v>
      </c>
      <c r="H480" s="212" t="s">
        <v>1530</v>
      </c>
      <c r="I480" s="212">
        <v>201409</v>
      </c>
      <c r="J480" s="213">
        <v>260099.33</v>
      </c>
      <c r="K480" s="171">
        <f>VLOOKUP(I480,$T$9:$U$23,2)</f>
        <v>9</v>
      </c>
      <c r="L480" s="214">
        <v>2.23333E-3</v>
      </c>
      <c r="M480" s="213">
        <f>ROUND(J480*K480*L480,2)</f>
        <v>5227.99</v>
      </c>
      <c r="N480" s="213">
        <f>ROUND(J480*L480*12,2)</f>
        <v>6970.65</v>
      </c>
      <c r="O480" s="14"/>
      <c r="P480" s="210" t="str">
        <f>VLOOKUP(C480,'WO Descriptions'!$A$5:$D$345,4)</f>
        <v>Service/Yard Line Replacement (SLRP): Contract Crew.  Immediate response - replacement single unprotected steel or copper  (Lee's Summit - East Region)</v>
      </c>
    </row>
    <row r="481" spans="1:18" ht="30" outlineLevel="2">
      <c r="A481" s="211" t="s">
        <v>66</v>
      </c>
      <c r="B481" s="212" t="s">
        <v>595</v>
      </c>
      <c r="C481" s="212" t="s">
        <v>596</v>
      </c>
      <c r="D481" s="211" t="s">
        <v>597</v>
      </c>
      <c r="E481" s="212" t="s">
        <v>598</v>
      </c>
      <c r="F481" s="211" t="s">
        <v>212</v>
      </c>
      <c r="G481" s="212" t="s">
        <v>23</v>
      </c>
      <c r="H481" s="212" t="s">
        <v>1530</v>
      </c>
      <c r="I481" s="212">
        <v>201410</v>
      </c>
      <c r="J481" s="213">
        <v>100421.51</v>
      </c>
      <c r="K481" s="171">
        <f>VLOOKUP(I481,$T$9:$U$23,2)</f>
        <v>8</v>
      </c>
      <c r="L481" s="214">
        <v>2.23333E-3</v>
      </c>
      <c r="M481" s="213">
        <f>ROUND(J481*K481*L481,2)</f>
        <v>1794.19</v>
      </c>
      <c r="N481" s="213">
        <f>ROUND(J481*L481*12,2)</f>
        <v>2691.29</v>
      </c>
      <c r="O481" s="14"/>
      <c r="P481" s="210" t="str">
        <f>VLOOKUP(C481,'WO Descriptions'!$A$5:$D$345,4)</f>
        <v>Service/Yard Line Replacement (SLRP): Contract Crew.  Immediate response - replacement single unprotected steel or copper  (Lee's Summit - East Region)</v>
      </c>
    </row>
    <row r="482" spans="1:18" ht="30" outlineLevel="2">
      <c r="A482" s="211" t="s">
        <v>66</v>
      </c>
      <c r="B482" s="212" t="s">
        <v>595</v>
      </c>
      <c r="C482" s="212" t="s">
        <v>596</v>
      </c>
      <c r="D482" s="211" t="s">
        <v>597</v>
      </c>
      <c r="E482" s="212" t="s">
        <v>598</v>
      </c>
      <c r="F482" s="211" t="s">
        <v>212</v>
      </c>
      <c r="G482" s="212" t="s">
        <v>23</v>
      </c>
      <c r="H482" s="212" t="s">
        <v>1530</v>
      </c>
      <c r="I482" s="212">
        <v>201411</v>
      </c>
      <c r="J482" s="213">
        <v>46466.6</v>
      </c>
      <c r="K482" s="171">
        <f>VLOOKUP(I482,$T$9:$U$23,2)</f>
        <v>7</v>
      </c>
      <c r="L482" s="214">
        <v>2.23333E-3</v>
      </c>
      <c r="M482" s="213">
        <f>ROUND(J482*K482*L482,2)</f>
        <v>726.43</v>
      </c>
      <c r="N482" s="213">
        <f>ROUND(J482*L482*12,2)</f>
        <v>1245.3</v>
      </c>
      <c r="O482" s="14"/>
      <c r="P482" s="210" t="str">
        <f>VLOOKUP(C482,'WO Descriptions'!$A$5:$D$345,4)</f>
        <v>Service/Yard Line Replacement (SLRP): Contract Crew.  Immediate response - replacement single unprotected steel or copper  (Lee's Summit - East Region)</v>
      </c>
    </row>
    <row r="483" spans="1:18" ht="30" outlineLevel="2">
      <c r="A483" s="211" t="s">
        <v>66</v>
      </c>
      <c r="B483" s="212" t="s">
        <v>595</v>
      </c>
      <c r="C483" s="212" t="s">
        <v>596</v>
      </c>
      <c r="D483" s="211" t="s">
        <v>597</v>
      </c>
      <c r="E483" s="212" t="s">
        <v>598</v>
      </c>
      <c r="F483" s="211" t="s">
        <v>212</v>
      </c>
      <c r="G483" s="212" t="s">
        <v>23</v>
      </c>
      <c r="H483" s="212" t="s">
        <v>1530</v>
      </c>
      <c r="I483" s="212">
        <v>201412</v>
      </c>
      <c r="J483" s="213">
        <v>24356.41</v>
      </c>
      <c r="K483" s="171">
        <f>VLOOKUP(I483,$T$9:$U$23,2)</f>
        <v>6</v>
      </c>
      <c r="L483" s="214">
        <v>2.23333E-3</v>
      </c>
      <c r="M483" s="213">
        <f>ROUND(J483*K483*L483,2)</f>
        <v>326.38</v>
      </c>
      <c r="N483" s="213">
        <f>ROUND(J483*L483*12,2)</f>
        <v>652.75</v>
      </c>
      <c r="O483" s="14"/>
      <c r="P483" s="210" t="str">
        <f>VLOOKUP(C483,'WO Descriptions'!$A$5:$D$345,4)</f>
        <v>Service/Yard Line Replacement (SLRP): Contract Crew.  Immediate response - replacement single unprotected steel or copper  (Lee's Summit - East Region)</v>
      </c>
    </row>
    <row r="484" spans="1:18" outlineLevel="1">
      <c r="A484" s="256"/>
      <c r="B484" s="257"/>
      <c r="C484" s="260" t="s">
        <v>1929</v>
      </c>
      <c r="D484" s="256"/>
      <c r="E484" s="257"/>
      <c r="F484" s="256"/>
      <c r="G484" s="257"/>
      <c r="H484" s="257"/>
      <c r="I484" s="257"/>
      <c r="J484" s="258">
        <f>SUBTOTAL(9,J480:J483)</f>
        <v>431343.84999999992</v>
      </c>
      <c r="K484" s="252"/>
      <c r="L484" s="259"/>
      <c r="M484" s="258">
        <f>SUBTOTAL(9,M480:M483)</f>
        <v>8074.9900000000007</v>
      </c>
      <c r="N484" s="258">
        <f>SUBTOTAL(9,N480:N483)</f>
        <v>11559.989999999998</v>
      </c>
      <c r="O484" s="223"/>
      <c r="P484" s="210"/>
      <c r="Q484" s="263" t="s">
        <v>2097</v>
      </c>
      <c r="R484" s="263" t="s">
        <v>2102</v>
      </c>
    </row>
    <row r="485" spans="1:18" outlineLevel="2">
      <c r="A485" s="211" t="s">
        <v>66</v>
      </c>
      <c r="B485" s="212" t="s">
        <v>599</v>
      </c>
      <c r="C485" s="212" t="s">
        <v>600</v>
      </c>
      <c r="D485" s="211" t="s">
        <v>385</v>
      </c>
      <c r="E485" s="212" t="s">
        <v>601</v>
      </c>
      <c r="F485" s="211" t="s">
        <v>387</v>
      </c>
      <c r="G485" s="212" t="s">
        <v>23</v>
      </c>
      <c r="H485" s="212" t="s">
        <v>1530</v>
      </c>
      <c r="I485" s="212">
        <v>201409</v>
      </c>
      <c r="J485" s="213">
        <v>3438.85</v>
      </c>
      <c r="K485" s="171">
        <f>VLOOKUP(I485,$T$9:$U$23,2)</f>
        <v>9</v>
      </c>
      <c r="L485" s="214">
        <v>2.23333E-3</v>
      </c>
      <c r="M485" s="213">
        <f>ROUND(J485*K485*L485,2)</f>
        <v>69.12</v>
      </c>
      <c r="N485" s="213">
        <f>ROUND(J485*L485*12,2)</f>
        <v>92.16</v>
      </c>
      <c r="O485" s="14"/>
      <c r="P485" s="210" t="str">
        <f>VLOOKUP(C485,'WO Descriptions'!$A$5:$D$345,4)</f>
        <v>Replacement and/or removal of existing protected steel or plastic (St. Joseph)</v>
      </c>
    </row>
    <row r="486" spans="1:18" outlineLevel="2">
      <c r="A486" s="211" t="s">
        <v>66</v>
      </c>
      <c r="B486" s="212" t="s">
        <v>599</v>
      </c>
      <c r="C486" s="212" t="s">
        <v>600</v>
      </c>
      <c r="D486" s="211" t="s">
        <v>385</v>
      </c>
      <c r="E486" s="212" t="s">
        <v>601</v>
      </c>
      <c r="F486" s="211" t="s">
        <v>387</v>
      </c>
      <c r="G486" s="212" t="s">
        <v>23</v>
      </c>
      <c r="H486" s="212" t="s">
        <v>1530</v>
      </c>
      <c r="I486" s="212">
        <v>201410</v>
      </c>
      <c r="J486" s="213">
        <v>5829.85</v>
      </c>
      <c r="K486" s="171">
        <f>VLOOKUP(I486,$T$9:$U$23,2)</f>
        <v>8</v>
      </c>
      <c r="L486" s="214">
        <v>2.23333E-3</v>
      </c>
      <c r="M486" s="213">
        <f>ROUND(J486*K486*L486,2)</f>
        <v>104.16</v>
      </c>
      <c r="N486" s="213">
        <f>ROUND(J486*L486*12,2)</f>
        <v>156.24</v>
      </c>
      <c r="O486" s="14"/>
      <c r="P486" s="210" t="str">
        <f>VLOOKUP(C486,'WO Descriptions'!$A$5:$D$345,4)</f>
        <v>Replacement and/or removal of existing protected steel or plastic (St. Joseph)</v>
      </c>
    </row>
    <row r="487" spans="1:18" outlineLevel="2">
      <c r="A487" s="211" t="s">
        <v>66</v>
      </c>
      <c r="B487" s="212" t="s">
        <v>599</v>
      </c>
      <c r="C487" s="212" t="s">
        <v>600</v>
      </c>
      <c r="D487" s="211" t="s">
        <v>385</v>
      </c>
      <c r="E487" s="212" t="s">
        <v>601</v>
      </c>
      <c r="F487" s="211" t="s">
        <v>387</v>
      </c>
      <c r="G487" s="212" t="s">
        <v>23</v>
      </c>
      <c r="H487" s="212" t="s">
        <v>1530</v>
      </c>
      <c r="I487" s="212">
        <v>201411</v>
      </c>
      <c r="J487" s="213">
        <v>5494.87</v>
      </c>
      <c r="K487" s="171">
        <f>VLOOKUP(I487,$T$9:$U$23,2)</f>
        <v>7</v>
      </c>
      <c r="L487" s="214">
        <v>2.23333E-3</v>
      </c>
      <c r="M487" s="213">
        <f>ROUND(J487*K487*L487,2)</f>
        <v>85.9</v>
      </c>
      <c r="N487" s="213">
        <f>ROUND(J487*L487*12,2)</f>
        <v>147.26</v>
      </c>
      <c r="O487" s="14"/>
      <c r="P487" s="210" t="str">
        <f>VLOOKUP(C487,'WO Descriptions'!$A$5:$D$345,4)</f>
        <v>Replacement and/or removal of existing protected steel or plastic (St. Joseph)</v>
      </c>
    </row>
    <row r="488" spans="1:18" outlineLevel="2">
      <c r="A488" s="211" t="s">
        <v>66</v>
      </c>
      <c r="B488" s="212" t="s">
        <v>599</v>
      </c>
      <c r="C488" s="212" t="s">
        <v>600</v>
      </c>
      <c r="D488" s="211" t="s">
        <v>385</v>
      </c>
      <c r="E488" s="212" t="s">
        <v>601</v>
      </c>
      <c r="F488" s="211" t="s">
        <v>387</v>
      </c>
      <c r="G488" s="212" t="s">
        <v>23</v>
      </c>
      <c r="H488" s="212" t="s">
        <v>1530</v>
      </c>
      <c r="I488" s="212">
        <v>201412</v>
      </c>
      <c r="J488" s="213">
        <v>5423.03</v>
      </c>
      <c r="K488" s="171">
        <f>VLOOKUP(I488,$T$9:$U$23,2)</f>
        <v>6</v>
      </c>
      <c r="L488" s="214">
        <v>2.23333E-3</v>
      </c>
      <c r="M488" s="213">
        <f>ROUND(J488*K488*L488,2)</f>
        <v>72.67</v>
      </c>
      <c r="N488" s="213">
        <f>ROUND(J488*L488*12,2)</f>
        <v>145.34</v>
      </c>
      <c r="O488" s="14"/>
      <c r="P488" s="210" t="str">
        <f>VLOOKUP(C488,'WO Descriptions'!$A$5:$D$345,4)</f>
        <v>Replacement and/or removal of existing protected steel or plastic (St. Joseph)</v>
      </c>
    </row>
    <row r="489" spans="1:18" outlineLevel="1">
      <c r="A489" s="256"/>
      <c r="B489" s="257"/>
      <c r="C489" s="260" t="s">
        <v>1930</v>
      </c>
      <c r="D489" s="256"/>
      <c r="E489" s="257"/>
      <c r="F489" s="256"/>
      <c r="G489" s="257"/>
      <c r="H489" s="257"/>
      <c r="I489" s="257"/>
      <c r="J489" s="258">
        <f>SUBTOTAL(9,J485:J488)</f>
        <v>20186.599999999999</v>
      </c>
      <c r="K489" s="252"/>
      <c r="L489" s="259"/>
      <c r="M489" s="258">
        <f>SUBTOTAL(9,M485:M488)</f>
        <v>331.85</v>
      </c>
      <c r="N489" s="258">
        <f>SUBTOTAL(9,N485:N488)</f>
        <v>541</v>
      </c>
      <c r="O489" s="223"/>
      <c r="P489" s="210"/>
      <c r="Q489" s="263" t="s">
        <v>2097</v>
      </c>
      <c r="R489" s="263" t="s">
        <v>2102</v>
      </c>
    </row>
    <row r="490" spans="1:18" ht="75" outlineLevel="2">
      <c r="A490" s="14" t="s">
        <v>17</v>
      </c>
      <c r="B490" s="15" t="s">
        <v>602</v>
      </c>
      <c r="C490" s="15" t="s">
        <v>603</v>
      </c>
      <c r="D490" s="14" t="s">
        <v>604</v>
      </c>
      <c r="E490" s="15" t="s">
        <v>58</v>
      </c>
      <c r="F490" s="14" t="s">
        <v>22</v>
      </c>
      <c r="G490" s="15" t="s">
        <v>23</v>
      </c>
      <c r="H490" s="15" t="s">
        <v>1525</v>
      </c>
      <c r="I490" s="15">
        <v>201409</v>
      </c>
      <c r="J490" s="16">
        <v>50.89</v>
      </c>
      <c r="K490" s="171">
        <f>VLOOKUP(I490,$T$9:$U$23,2)</f>
        <v>9</v>
      </c>
      <c r="L490" s="17">
        <v>1.4833299999999999E-3</v>
      </c>
      <c r="M490" s="16">
        <f>ROUND(J490*K490*L490,2)</f>
        <v>0.68</v>
      </c>
      <c r="N490" s="16">
        <f>ROUND(J490*L490*12,2)</f>
        <v>0.91</v>
      </c>
      <c r="O490" s="14"/>
      <c r="P490" s="210" t="str">
        <f>VLOOKUP(C490,'WO Descriptions'!$A$5:$D$345,4)</f>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
    </row>
    <row r="491" spans="1:18" outlineLevel="1">
      <c r="A491" s="223"/>
      <c r="B491" s="250"/>
      <c r="C491" s="254" t="s">
        <v>1931</v>
      </c>
      <c r="D491" s="223"/>
      <c r="E491" s="250"/>
      <c r="F491" s="223"/>
      <c r="G491" s="250"/>
      <c r="H491" s="250"/>
      <c r="I491" s="250"/>
      <c r="J491" s="251">
        <f>SUBTOTAL(9,J490:J490)</f>
        <v>50.89</v>
      </c>
      <c r="K491" s="252"/>
      <c r="L491" s="253"/>
      <c r="M491" s="251">
        <f>SUBTOTAL(9,M490:M490)</f>
        <v>0.68</v>
      </c>
      <c r="N491" s="251">
        <f>SUBTOTAL(9,N490:N490)</f>
        <v>0.91</v>
      </c>
      <c r="O491" s="223"/>
      <c r="P491" s="210"/>
      <c r="Q491" s="263" t="s">
        <v>2097</v>
      </c>
      <c r="R491" s="263" t="s">
        <v>2098</v>
      </c>
    </row>
    <row r="492" spans="1:18" ht="180" outlineLevel="2">
      <c r="A492" s="18" t="s">
        <v>17</v>
      </c>
      <c r="B492" s="15" t="s">
        <v>605</v>
      </c>
      <c r="C492" s="15" t="s">
        <v>606</v>
      </c>
      <c r="D492" s="14" t="s">
        <v>607</v>
      </c>
      <c r="E492" s="15" t="s">
        <v>62</v>
      </c>
      <c r="F492" s="14" t="s">
        <v>22</v>
      </c>
      <c r="G492" s="15" t="s">
        <v>23</v>
      </c>
      <c r="H492" s="15" t="s">
        <v>1525</v>
      </c>
      <c r="I492" s="15">
        <v>201409</v>
      </c>
      <c r="J492" s="16">
        <v>-1362.37</v>
      </c>
      <c r="K492" s="171">
        <f>VLOOKUP(I492,$T$9:$U$23,2)</f>
        <v>9</v>
      </c>
      <c r="L492" s="17">
        <v>1.4833299999999999E-3</v>
      </c>
      <c r="M492" s="16">
        <f>ROUND(J492*K492*L492,2)</f>
        <v>-18.190000000000001</v>
      </c>
      <c r="N492" s="16">
        <f>ROUND(J492*L492*12,2)</f>
        <v>-24.25</v>
      </c>
      <c r="O492" s="14"/>
      <c r="P492" s="210" t="str">
        <f>VLOOKUP(C492,'WO Descriptions'!$A$5:$D$345,4)</f>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
    </row>
    <row r="493" spans="1:18" outlineLevel="1">
      <c r="A493" s="225"/>
      <c r="B493" s="250"/>
      <c r="C493" s="254" t="s">
        <v>1932</v>
      </c>
      <c r="D493" s="223"/>
      <c r="E493" s="250"/>
      <c r="F493" s="223"/>
      <c r="G493" s="250"/>
      <c r="H493" s="250"/>
      <c r="I493" s="250"/>
      <c r="J493" s="251">
        <f>SUBTOTAL(9,J492:J492)</f>
        <v>-1362.37</v>
      </c>
      <c r="K493" s="252"/>
      <c r="L493" s="253"/>
      <c r="M493" s="251">
        <f>SUBTOTAL(9,M492:M492)</f>
        <v>-18.190000000000001</v>
      </c>
      <c r="N493" s="251">
        <f>SUBTOTAL(9,N492:N492)</f>
        <v>-24.25</v>
      </c>
      <c r="O493" s="223"/>
      <c r="P493" s="210"/>
      <c r="Q493" s="263" t="s">
        <v>2097</v>
      </c>
      <c r="R493" s="263" t="s">
        <v>2098</v>
      </c>
    </row>
    <row r="494" spans="1:18" ht="45" outlineLevel="2">
      <c r="A494" s="18" t="s">
        <v>17</v>
      </c>
      <c r="B494" s="15" t="s">
        <v>608</v>
      </c>
      <c r="C494" s="15" t="s">
        <v>609</v>
      </c>
      <c r="D494" s="14" t="s">
        <v>610</v>
      </c>
      <c r="E494" s="15" t="s">
        <v>45</v>
      </c>
      <c r="F494" s="14" t="s">
        <v>22</v>
      </c>
      <c r="G494" s="15" t="s">
        <v>23</v>
      </c>
      <c r="H494" s="15" t="s">
        <v>1525</v>
      </c>
      <c r="I494" s="15">
        <v>201409</v>
      </c>
      <c r="J494" s="16">
        <v>-283.43</v>
      </c>
      <c r="K494" s="171">
        <f>VLOOKUP(I494,$T$9:$U$23,2)</f>
        <v>9</v>
      </c>
      <c r="L494" s="17">
        <v>1.4833299999999999E-3</v>
      </c>
      <c r="M494" s="16">
        <f>ROUND(J494*K494*L494,2)</f>
        <v>-3.78</v>
      </c>
      <c r="N494" s="16">
        <f>ROUND(J494*L494*12,2)</f>
        <v>-5.05</v>
      </c>
      <c r="O494" s="14"/>
      <c r="P494" s="210" t="str">
        <f>VLOOKUP(C494,'WO Descriptions'!$A$5:$D$345,4)</f>
        <v>Approved by: Gary Williams on 04/08/2013,  Replace 40'-12in bare steel and 4'-3in bare steel, work orders unknow. Replaced with 40'-12in TF Steel main.  This work order was necessary due to leak on 12in steel main.</v>
      </c>
    </row>
    <row r="495" spans="1:18" outlineLevel="1">
      <c r="A495" s="225"/>
      <c r="B495" s="250"/>
      <c r="C495" s="254" t="s">
        <v>1933</v>
      </c>
      <c r="D495" s="223"/>
      <c r="E495" s="250"/>
      <c r="F495" s="223"/>
      <c r="G495" s="250"/>
      <c r="H495" s="250"/>
      <c r="I495" s="250"/>
      <c r="J495" s="251">
        <f>SUBTOTAL(9,J494:J494)</f>
        <v>-283.43</v>
      </c>
      <c r="K495" s="252"/>
      <c r="L495" s="253"/>
      <c r="M495" s="251">
        <f>SUBTOTAL(9,M494:M494)</f>
        <v>-3.78</v>
      </c>
      <c r="N495" s="251">
        <f>SUBTOTAL(9,N494:N494)</f>
        <v>-5.05</v>
      </c>
      <c r="O495" s="223"/>
      <c r="P495" s="210"/>
      <c r="Q495" s="263" t="s">
        <v>2097</v>
      </c>
      <c r="R495" s="263" t="s">
        <v>2098</v>
      </c>
    </row>
    <row r="496" spans="1:18" ht="135" outlineLevel="2">
      <c r="A496" s="18" t="s">
        <v>17</v>
      </c>
      <c r="B496" s="15" t="s">
        <v>611</v>
      </c>
      <c r="C496" s="15" t="s">
        <v>612</v>
      </c>
      <c r="D496" s="14" t="s">
        <v>613</v>
      </c>
      <c r="E496" s="15" t="s">
        <v>324</v>
      </c>
      <c r="F496" s="14" t="s">
        <v>325</v>
      </c>
      <c r="G496" s="15" t="s">
        <v>23</v>
      </c>
      <c r="H496" s="15" t="s">
        <v>1525</v>
      </c>
      <c r="I496" s="15">
        <v>201409</v>
      </c>
      <c r="J496" s="16">
        <v>-386.84</v>
      </c>
      <c r="K496" s="171">
        <f>VLOOKUP(I496,$T$9:$U$23,2)</f>
        <v>9</v>
      </c>
      <c r="L496" s="17">
        <v>1.4833299999999999E-3</v>
      </c>
      <c r="M496" s="16">
        <f>ROUND(J496*K496*L496,2)</f>
        <v>-5.16</v>
      </c>
      <c r="N496" s="16">
        <f>ROUND(J496*L496*12,2)</f>
        <v>-6.89</v>
      </c>
      <c r="O496" s="14"/>
      <c r="P496" s="210" t="str">
        <f>VLOOKUP(C496,'WO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497" spans="1:18" ht="135" outlineLevel="2">
      <c r="A497" s="18" t="s">
        <v>17</v>
      </c>
      <c r="B497" s="15" t="s">
        <v>611</v>
      </c>
      <c r="C497" s="15" t="s">
        <v>612</v>
      </c>
      <c r="D497" s="14" t="s">
        <v>613</v>
      </c>
      <c r="E497" s="15" t="s">
        <v>324</v>
      </c>
      <c r="F497" s="14" t="s">
        <v>325</v>
      </c>
      <c r="G497" s="15" t="s">
        <v>23</v>
      </c>
      <c r="H497" s="15" t="s">
        <v>1525</v>
      </c>
      <c r="I497" s="15">
        <v>201410</v>
      </c>
      <c r="J497" s="16">
        <v>0</v>
      </c>
      <c r="K497" s="171">
        <f>VLOOKUP(I497,$T$9:$U$23,2)</f>
        <v>8</v>
      </c>
      <c r="L497" s="17">
        <v>1.4833299999999999E-3</v>
      </c>
      <c r="M497" s="16">
        <f>ROUND(J497*K497*L497,2)</f>
        <v>0</v>
      </c>
      <c r="N497" s="16">
        <f>ROUND(J497*L497*12,2)</f>
        <v>0</v>
      </c>
      <c r="O497" s="14"/>
      <c r="P497" s="210" t="str">
        <f>VLOOKUP(C497,'WO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498" spans="1:18" outlineLevel="1">
      <c r="A498" s="225"/>
      <c r="B498" s="250"/>
      <c r="C498" s="254" t="s">
        <v>1934</v>
      </c>
      <c r="D498" s="223"/>
      <c r="E498" s="250"/>
      <c r="F498" s="223"/>
      <c r="G498" s="250"/>
      <c r="H498" s="250"/>
      <c r="I498" s="250"/>
      <c r="J498" s="251">
        <f>SUBTOTAL(9,J496:J497)</f>
        <v>-386.84</v>
      </c>
      <c r="K498" s="252"/>
      <c r="L498" s="253"/>
      <c r="M498" s="251">
        <f>SUBTOTAL(9,M496:M497)</f>
        <v>-5.16</v>
      </c>
      <c r="N498" s="251">
        <f>SUBTOTAL(9,N496:N497)</f>
        <v>-6.89</v>
      </c>
      <c r="O498" s="223"/>
      <c r="P498" s="210"/>
      <c r="Q498" s="263" t="s">
        <v>2094</v>
      </c>
      <c r="R498" s="263" t="s">
        <v>2095</v>
      </c>
    </row>
    <row r="499" spans="1:18" ht="30" outlineLevel="2">
      <c r="A499" s="18" t="s">
        <v>17</v>
      </c>
      <c r="B499" s="15" t="s">
        <v>614</v>
      </c>
      <c r="C499" s="15" t="s">
        <v>615</v>
      </c>
      <c r="D499" s="14" t="s">
        <v>616</v>
      </c>
      <c r="E499" s="15" t="s">
        <v>40</v>
      </c>
      <c r="F499" s="14" t="s">
        <v>41</v>
      </c>
      <c r="G499" s="15" t="s">
        <v>23</v>
      </c>
      <c r="H499" s="15" t="s">
        <v>1526</v>
      </c>
      <c r="I499" s="15">
        <v>201409</v>
      </c>
      <c r="J499" s="16">
        <v>-6.15</v>
      </c>
      <c r="K499" s="171">
        <f>VLOOKUP(I499,$T$9:$U$23,2)</f>
        <v>9</v>
      </c>
      <c r="L499" s="17">
        <v>1.4833299999999999E-3</v>
      </c>
      <c r="M499" s="16">
        <f>ROUND(J499*K499*L499,2)</f>
        <v>-0.08</v>
      </c>
      <c r="N499" s="16">
        <f>ROUND(J499*L499*12,2)</f>
        <v>-0.11</v>
      </c>
      <c r="O499" s="14"/>
      <c r="P499" s="210" t="str">
        <f>VLOOKUP(C499,'WO Descriptions'!$A$5:$D$345,4)</f>
        <v>Approved by: Kevin Driskell on 01/13/2014,  Replace 19'-3in PCS with 3" PCS due to new storm sewer conflict.  Work done my MGE crew.  Retire 7'-3in PCS, year 1962, 62-1512</v>
      </c>
    </row>
    <row r="500" spans="1:18" outlineLevel="1">
      <c r="A500" s="225"/>
      <c r="B500" s="250"/>
      <c r="C500" s="254" t="s">
        <v>1935</v>
      </c>
      <c r="D500" s="223"/>
      <c r="E500" s="250"/>
      <c r="F500" s="223"/>
      <c r="G500" s="250"/>
      <c r="H500" s="250"/>
      <c r="I500" s="250"/>
      <c r="J500" s="251">
        <f>SUBTOTAL(9,J499:J499)</f>
        <v>-6.15</v>
      </c>
      <c r="K500" s="252"/>
      <c r="L500" s="253"/>
      <c r="M500" s="251">
        <f>SUBTOTAL(9,M499:M499)</f>
        <v>-0.08</v>
      </c>
      <c r="N500" s="251">
        <f>SUBTOTAL(9,N499:N499)</f>
        <v>-0.11</v>
      </c>
      <c r="O500" s="223"/>
      <c r="P500" s="210"/>
      <c r="Q500" s="263" t="s">
        <v>2096</v>
      </c>
    </row>
    <row r="501" spans="1:18" ht="75" outlineLevel="2">
      <c r="A501" s="18" t="s">
        <v>17</v>
      </c>
      <c r="B501" s="15" t="s">
        <v>617</v>
      </c>
      <c r="C501" s="15" t="s">
        <v>618</v>
      </c>
      <c r="D501" s="14" t="s">
        <v>619</v>
      </c>
      <c r="E501" s="15" t="s">
        <v>141</v>
      </c>
      <c r="F501" s="14" t="s">
        <v>142</v>
      </c>
      <c r="G501" s="15" t="s">
        <v>23</v>
      </c>
      <c r="H501" s="15" t="s">
        <v>1525</v>
      </c>
      <c r="I501" s="15">
        <v>201409</v>
      </c>
      <c r="J501" s="16">
        <v>-725.84</v>
      </c>
      <c r="K501" s="171">
        <f>VLOOKUP(I501,$T$9:$U$23,2)</f>
        <v>9</v>
      </c>
      <c r="L501" s="17">
        <v>1.4833299999999999E-3</v>
      </c>
      <c r="M501" s="16">
        <f>ROUND(J501*K501*L501,2)</f>
        <v>-9.69</v>
      </c>
      <c r="N501" s="16">
        <f>ROUND(J501*L501*12,2)</f>
        <v>-12.92</v>
      </c>
      <c r="O501" s="14"/>
      <c r="P501" s="210" t="str">
        <f>VLOOKUP(C501,'WO Descriptions'!$A$5:$D$345,4)</f>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
    </row>
    <row r="502" spans="1:18" outlineLevel="1">
      <c r="A502" s="225"/>
      <c r="B502" s="250"/>
      <c r="C502" s="254" t="s">
        <v>1936</v>
      </c>
      <c r="D502" s="223"/>
      <c r="E502" s="250"/>
      <c r="F502" s="223"/>
      <c r="G502" s="250"/>
      <c r="H502" s="250"/>
      <c r="I502" s="250"/>
      <c r="J502" s="251">
        <f>SUBTOTAL(9,J501:J501)</f>
        <v>-725.84</v>
      </c>
      <c r="K502" s="252"/>
      <c r="L502" s="253"/>
      <c r="M502" s="251">
        <f>SUBTOTAL(9,M501:M501)</f>
        <v>-9.69</v>
      </c>
      <c r="N502" s="251">
        <f>SUBTOTAL(9,N501:N501)</f>
        <v>-12.92</v>
      </c>
      <c r="O502" s="223"/>
      <c r="P502" s="210"/>
      <c r="Q502" s="263" t="s">
        <v>2097</v>
      </c>
      <c r="R502" s="263" t="s">
        <v>2100</v>
      </c>
    </row>
    <row r="503" spans="1:18" ht="45" outlineLevel="2">
      <c r="A503" s="14" t="s">
        <v>66</v>
      </c>
      <c r="B503" s="15" t="s">
        <v>620</v>
      </c>
      <c r="C503" s="15" t="s">
        <v>621</v>
      </c>
      <c r="D503" s="14" t="s">
        <v>622</v>
      </c>
      <c r="E503" s="15" t="s">
        <v>623</v>
      </c>
      <c r="F503" s="14" t="s">
        <v>624</v>
      </c>
      <c r="G503" s="15" t="s">
        <v>23</v>
      </c>
      <c r="H503" s="15" t="s">
        <v>1527</v>
      </c>
      <c r="I503" s="15">
        <v>201409</v>
      </c>
      <c r="J503" s="16">
        <v>-176.28</v>
      </c>
      <c r="K503" s="171">
        <f>VLOOKUP(I503,$T$9:$U$23,2)</f>
        <v>9</v>
      </c>
      <c r="L503" s="17">
        <v>2.23333E-3</v>
      </c>
      <c r="M503" s="16">
        <f>ROUND(J503*K503*L503,2)</f>
        <v>-3.54</v>
      </c>
      <c r="N503" s="16">
        <f>ROUND(J503*L503*12,2)</f>
        <v>-4.72</v>
      </c>
      <c r="O503" s="14"/>
      <c r="P503" s="210" t="str">
        <f>VLOOKUP(C503,'WO Descriptions'!$A$5:$D$345,4)</f>
        <v>Approved by: Kevin Driskell on 12/06/2013,  Replacing 20ft-2in cs (WO# N/A) service line with 280ft-2in pe service line. Due to leak on main will need to reroute service line to a different main 4in pe (WO#93-2450).</v>
      </c>
    </row>
    <row r="504" spans="1:18" outlineLevel="1">
      <c r="A504" s="223"/>
      <c r="B504" s="250"/>
      <c r="C504" s="254" t="s">
        <v>1937</v>
      </c>
      <c r="D504" s="223"/>
      <c r="E504" s="250"/>
      <c r="F504" s="223"/>
      <c r="G504" s="250"/>
      <c r="H504" s="250"/>
      <c r="I504" s="250"/>
      <c r="J504" s="251">
        <f>SUBTOTAL(9,J503:J503)</f>
        <v>-176.28</v>
      </c>
      <c r="K504" s="252"/>
      <c r="L504" s="253"/>
      <c r="M504" s="251">
        <f>SUBTOTAL(9,M503:M503)</f>
        <v>-3.54</v>
      </c>
      <c r="N504" s="251">
        <f>SUBTOTAL(9,N503:N503)</f>
        <v>-4.72</v>
      </c>
      <c r="O504" s="223"/>
      <c r="P504" s="210"/>
      <c r="Q504" s="263" t="s">
        <v>2097</v>
      </c>
      <c r="R504" s="263" t="s">
        <v>2104</v>
      </c>
    </row>
    <row r="505" spans="1:18" ht="60" outlineLevel="2">
      <c r="A505" s="14" t="s">
        <v>17</v>
      </c>
      <c r="B505" s="15" t="s">
        <v>625</v>
      </c>
      <c r="C505" s="15" t="s">
        <v>626</v>
      </c>
      <c r="D505" s="14" t="s">
        <v>627</v>
      </c>
      <c r="E505" s="15" t="s">
        <v>62</v>
      </c>
      <c r="F505" s="14" t="s">
        <v>22</v>
      </c>
      <c r="G505" s="15" t="s">
        <v>23</v>
      </c>
      <c r="H505" s="15" t="s">
        <v>1525</v>
      </c>
      <c r="I505" s="15">
        <v>201409</v>
      </c>
      <c r="J505" s="16">
        <v>-536.53</v>
      </c>
      <c r="K505" s="171">
        <f>VLOOKUP(I505,$T$9:$U$23,2)</f>
        <v>9</v>
      </c>
      <c r="L505" s="17">
        <v>1.4833299999999999E-3</v>
      </c>
      <c r="M505" s="16">
        <f>ROUND(J505*K505*L505,2)</f>
        <v>-7.16</v>
      </c>
      <c r="N505" s="16">
        <f>ROUND(J505*L505*12,2)</f>
        <v>-9.5500000000000007</v>
      </c>
      <c r="O505" s="14"/>
      <c r="P505" s="210" t="str">
        <f>VLOOKUP(C505,'WO Descriptions'!$A$5:$D$345,4)</f>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
    </row>
    <row r="506" spans="1:18" outlineLevel="1">
      <c r="A506" s="223"/>
      <c r="B506" s="250"/>
      <c r="C506" s="254" t="s">
        <v>1938</v>
      </c>
      <c r="D506" s="223"/>
      <c r="E506" s="250"/>
      <c r="F506" s="223"/>
      <c r="G506" s="250"/>
      <c r="H506" s="250"/>
      <c r="I506" s="250"/>
      <c r="J506" s="251">
        <f>SUBTOTAL(9,J505:J505)</f>
        <v>-536.53</v>
      </c>
      <c r="K506" s="252"/>
      <c r="L506" s="253"/>
      <c r="M506" s="251">
        <f>SUBTOTAL(9,M505:M505)</f>
        <v>-7.16</v>
      </c>
      <c r="N506" s="251">
        <f>SUBTOTAL(9,N505:N505)</f>
        <v>-9.5500000000000007</v>
      </c>
      <c r="O506" s="223"/>
      <c r="P506" s="210"/>
      <c r="Q506" s="263" t="s">
        <v>2097</v>
      </c>
      <c r="R506" s="263" t="s">
        <v>2098</v>
      </c>
    </row>
    <row r="507" spans="1:18" ht="75" outlineLevel="2">
      <c r="A507" s="14" t="s">
        <v>17</v>
      </c>
      <c r="B507" s="15" t="s">
        <v>1030</v>
      </c>
      <c r="C507" s="15" t="s">
        <v>1031</v>
      </c>
      <c r="D507" s="14" t="s">
        <v>1032</v>
      </c>
      <c r="E507" s="15" t="s">
        <v>53</v>
      </c>
      <c r="F507" s="14" t="s">
        <v>41</v>
      </c>
      <c r="G507" s="15" t="s">
        <v>23</v>
      </c>
      <c r="H507" s="15" t="s">
        <v>1526</v>
      </c>
      <c r="I507" s="15">
        <v>201412</v>
      </c>
      <c r="J507" s="16">
        <v>77100.09</v>
      </c>
      <c r="K507" s="171">
        <f>VLOOKUP(I507,$T$9:$U$23,2)</f>
        <v>6</v>
      </c>
      <c r="L507" s="17">
        <v>1.4833299999999999E-3</v>
      </c>
      <c r="M507" s="16">
        <f>ROUND(J507*K507*L507,2)</f>
        <v>686.19</v>
      </c>
      <c r="N507" s="16">
        <f>ROUND(J507*L507*12,2)</f>
        <v>1372.38</v>
      </c>
      <c r="O507" s="14"/>
      <c r="P507" s="210" t="str">
        <f>VLOOKUP(C507,'WO Descriptions'!$A$5:$D$345,4)</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row>
    <row r="508" spans="1:18" outlineLevel="1">
      <c r="A508" s="223"/>
      <c r="B508" s="250"/>
      <c r="C508" s="254" t="s">
        <v>1939</v>
      </c>
      <c r="D508" s="223"/>
      <c r="E508" s="250"/>
      <c r="F508" s="223"/>
      <c r="G508" s="250"/>
      <c r="H508" s="250"/>
      <c r="I508" s="250"/>
      <c r="J508" s="251">
        <f>SUBTOTAL(9,J507:J507)</f>
        <v>77100.09</v>
      </c>
      <c r="K508" s="252"/>
      <c r="L508" s="253"/>
      <c r="M508" s="251">
        <f>SUBTOTAL(9,M507:M507)</f>
        <v>686.19</v>
      </c>
      <c r="N508" s="251">
        <f>SUBTOTAL(9,N507:N507)</f>
        <v>1372.38</v>
      </c>
      <c r="O508" s="223"/>
      <c r="P508" s="210"/>
      <c r="Q508" s="263" t="s">
        <v>2096</v>
      </c>
    </row>
    <row r="509" spans="1:18" ht="45" outlineLevel="2">
      <c r="A509" s="18" t="s">
        <v>17</v>
      </c>
      <c r="B509" s="15" t="s">
        <v>628</v>
      </c>
      <c r="C509" s="15" t="s">
        <v>629</v>
      </c>
      <c r="D509" s="14" t="s">
        <v>630</v>
      </c>
      <c r="E509" s="15" t="s">
        <v>440</v>
      </c>
      <c r="F509" s="14" t="s">
        <v>28</v>
      </c>
      <c r="G509" s="15" t="s">
        <v>23</v>
      </c>
      <c r="H509" s="15" t="s">
        <v>1525</v>
      </c>
      <c r="I509" s="15">
        <v>201409</v>
      </c>
      <c r="J509" s="16">
        <v>24.81</v>
      </c>
      <c r="K509" s="171">
        <f>VLOOKUP(I509,$T$9:$U$23,2)</f>
        <v>9</v>
      </c>
      <c r="L509" s="17">
        <v>1.4833299999999999E-3</v>
      </c>
      <c r="M509" s="16">
        <f>ROUND(J509*K509*L509,2)</f>
        <v>0.33</v>
      </c>
      <c r="N509" s="16">
        <f>ROUND(J509*L509*12,2)</f>
        <v>0.44</v>
      </c>
      <c r="O509" s="14"/>
      <c r="P509" s="210" t="str">
        <f>VLOOKUP(C509,'WO Descriptions'!$A$5:$D$345,4)</f>
        <v>Approved by: Kevin Driskell on 09/05/2013,  This work order is necessary to clear leak due to corrosion on 3inch gas main. Install 15'-3in TF steel main; retire 15'-3in PCS main, year 1962, wo 62-1512.</v>
      </c>
    </row>
    <row r="510" spans="1:18" outlineLevel="1">
      <c r="A510" s="225"/>
      <c r="B510" s="250"/>
      <c r="C510" s="254" t="s">
        <v>1940</v>
      </c>
      <c r="D510" s="223"/>
      <c r="E510" s="250"/>
      <c r="F510" s="223"/>
      <c r="G510" s="250"/>
      <c r="H510" s="250"/>
      <c r="I510" s="250"/>
      <c r="J510" s="251">
        <f>SUBTOTAL(9,J509:J509)</f>
        <v>24.81</v>
      </c>
      <c r="K510" s="252"/>
      <c r="L510" s="253"/>
      <c r="M510" s="251">
        <f>SUBTOTAL(9,M509:M509)</f>
        <v>0.33</v>
      </c>
      <c r="N510" s="251">
        <f>SUBTOTAL(9,N509:N509)</f>
        <v>0.44</v>
      </c>
      <c r="O510" s="223"/>
      <c r="P510" s="210"/>
      <c r="Q510" s="263" t="s">
        <v>2097</v>
      </c>
      <c r="R510" s="263" t="s">
        <v>2099</v>
      </c>
    </row>
    <row r="511" spans="1:18" ht="60" outlineLevel="2">
      <c r="A511" s="18" t="s">
        <v>17</v>
      </c>
      <c r="B511" s="15" t="s">
        <v>631</v>
      </c>
      <c r="C511" s="15" t="s">
        <v>632</v>
      </c>
      <c r="D511" s="14" t="s">
        <v>633</v>
      </c>
      <c r="E511" s="15" t="s">
        <v>32</v>
      </c>
      <c r="F511" s="14" t="s">
        <v>22</v>
      </c>
      <c r="G511" s="15" t="s">
        <v>23</v>
      </c>
      <c r="H511" s="15" t="s">
        <v>1525</v>
      </c>
      <c r="I511" s="15">
        <v>201409</v>
      </c>
      <c r="J511" s="16">
        <v>-175.31</v>
      </c>
      <c r="K511" s="171">
        <f>VLOOKUP(I511,$T$9:$U$23,2)</f>
        <v>9</v>
      </c>
      <c r="L511" s="17">
        <v>1.4833299999999999E-3</v>
      </c>
      <c r="M511" s="16">
        <f>ROUND(J511*K511*L511,2)</f>
        <v>-2.34</v>
      </c>
      <c r="N511" s="16">
        <f>ROUND(J511*L511*12,2)</f>
        <v>-3.12</v>
      </c>
      <c r="O511" s="14"/>
      <c r="P511" s="210" t="str">
        <f>VLOOKUP(C511,'WO Descriptions'!$A$5:$D$345,4)</f>
        <v>Approved by: Ken Thomas on 11/20/2013,  Abandon 303' - 2' PBS (WO#'s: J07262, 60285) and replace with 310' - 2" PE due to history of leakage and isolated bare steel. Project Location: Geneve and Main; Pressure System: S-1; MOP: 20 psig; MAOP: 20 psig; Design: 58 psig; Test: 100 psig; ISRS $44.70/ft</v>
      </c>
    </row>
    <row r="512" spans="1:18" outlineLevel="1">
      <c r="A512" s="225"/>
      <c r="B512" s="250"/>
      <c r="C512" s="254" t="s">
        <v>1941</v>
      </c>
      <c r="D512" s="223"/>
      <c r="E512" s="250"/>
      <c r="F512" s="223"/>
      <c r="G512" s="250"/>
      <c r="H512" s="250"/>
      <c r="I512" s="250"/>
      <c r="J512" s="251">
        <f>SUBTOTAL(9,J511:J511)</f>
        <v>-175.31</v>
      </c>
      <c r="K512" s="252"/>
      <c r="L512" s="253"/>
      <c r="M512" s="251">
        <f>SUBTOTAL(9,M511:M511)</f>
        <v>-2.34</v>
      </c>
      <c r="N512" s="251">
        <f>SUBTOTAL(9,N511:N511)</f>
        <v>-3.12</v>
      </c>
      <c r="O512" s="223"/>
      <c r="P512" s="210"/>
      <c r="Q512" s="263" t="s">
        <v>2097</v>
      </c>
      <c r="R512" s="263" t="s">
        <v>2098</v>
      </c>
    </row>
    <row r="513" spans="1:18" ht="105" outlineLevel="2">
      <c r="A513" s="18" t="s">
        <v>17</v>
      </c>
      <c r="B513" s="15" t="s">
        <v>634</v>
      </c>
      <c r="C513" s="15" t="s">
        <v>635</v>
      </c>
      <c r="D513" s="14" t="s">
        <v>636</v>
      </c>
      <c r="E513" s="15" t="s">
        <v>567</v>
      </c>
      <c r="F513" s="14" t="s">
        <v>137</v>
      </c>
      <c r="G513" s="15" t="s">
        <v>23</v>
      </c>
      <c r="H513" s="15" t="s">
        <v>1526</v>
      </c>
      <c r="I513" s="15">
        <v>201409</v>
      </c>
      <c r="J513" s="16">
        <v>-674262.3</v>
      </c>
      <c r="K513" s="171">
        <f>VLOOKUP(I513,$T$9:$U$23,2)</f>
        <v>9</v>
      </c>
      <c r="L513" s="17">
        <v>1.4833299999999999E-3</v>
      </c>
      <c r="M513" s="16">
        <f>ROUND(J513*K513*L513,2)</f>
        <v>-9001.3799999999992</v>
      </c>
      <c r="N513" s="16">
        <f>ROUND(J513*L513*12,2)</f>
        <v>-12001.84</v>
      </c>
      <c r="O513" s="14"/>
      <c r="P513" s="210" t="str">
        <f>VLOOKUP(C513,'WO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514" spans="1:18" ht="105" outlineLevel="2">
      <c r="A514" s="18" t="s">
        <v>54</v>
      </c>
      <c r="B514" s="15" t="s">
        <v>634</v>
      </c>
      <c r="C514" s="15" t="s">
        <v>635</v>
      </c>
      <c r="D514" s="14" t="s">
        <v>636</v>
      </c>
      <c r="E514" s="15" t="s">
        <v>567</v>
      </c>
      <c r="F514" s="14" t="s">
        <v>137</v>
      </c>
      <c r="G514" s="15" t="s">
        <v>23</v>
      </c>
      <c r="H514" s="15" t="s">
        <v>1526</v>
      </c>
      <c r="I514" s="15">
        <v>201409</v>
      </c>
      <c r="J514" s="16">
        <v>660836.46</v>
      </c>
      <c r="K514" s="171">
        <f>VLOOKUP(I514,$T$9:$U$23,2)</f>
        <v>9</v>
      </c>
      <c r="L514" s="17">
        <v>1.4833299999999999E-3</v>
      </c>
      <c r="M514" s="16">
        <f>ROUND(J514*K514*L514,2)</f>
        <v>8822.15</v>
      </c>
      <c r="N514" s="16">
        <f>ROUND(J514*L514*12,2)</f>
        <v>11762.86</v>
      </c>
      <c r="O514" s="14"/>
      <c r="P514" s="210" t="str">
        <f>VLOOKUP(C514,'WO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515" spans="1:18" outlineLevel="1">
      <c r="A515" s="225"/>
      <c r="B515" s="250"/>
      <c r="C515" s="254" t="s">
        <v>1942</v>
      </c>
      <c r="D515" s="223"/>
      <c r="E515" s="250"/>
      <c r="F515" s="223"/>
      <c r="G515" s="250"/>
      <c r="H515" s="250"/>
      <c r="I515" s="250"/>
      <c r="J515" s="251">
        <f>SUBTOTAL(9,J513:J514)</f>
        <v>-13425.840000000084</v>
      </c>
      <c r="K515" s="252"/>
      <c r="L515" s="253"/>
      <c r="M515" s="251">
        <f>SUBTOTAL(9,M513:M514)</f>
        <v>-179.22999999999956</v>
      </c>
      <c r="N515" s="251">
        <f>SUBTOTAL(9,N513:N514)</f>
        <v>-238.97999999999956</v>
      </c>
      <c r="O515" s="223"/>
      <c r="P515" s="210"/>
      <c r="Q515" s="263" t="s">
        <v>2096</v>
      </c>
    </row>
    <row r="516" spans="1:18" ht="165" outlineLevel="2">
      <c r="A516" s="14" t="s">
        <v>17</v>
      </c>
      <c r="B516" s="15" t="s">
        <v>637</v>
      </c>
      <c r="C516" s="15" t="s">
        <v>638</v>
      </c>
      <c r="D516" s="14" t="s">
        <v>639</v>
      </c>
      <c r="E516" s="15" t="s">
        <v>136</v>
      </c>
      <c r="F516" s="14" t="s">
        <v>137</v>
      </c>
      <c r="G516" s="15" t="s">
        <v>23</v>
      </c>
      <c r="H516" s="15" t="s">
        <v>1526</v>
      </c>
      <c r="I516" s="15">
        <v>201409</v>
      </c>
      <c r="J516" s="16">
        <v>4065.05</v>
      </c>
      <c r="K516" s="171">
        <f>VLOOKUP(I516,$T$9:$U$23,2)</f>
        <v>9</v>
      </c>
      <c r="L516" s="17">
        <v>1.4833299999999999E-3</v>
      </c>
      <c r="M516" s="16">
        <f>ROUND(J516*K516*L516,2)</f>
        <v>54.27</v>
      </c>
      <c r="N516" s="16">
        <f>ROUND(J516*L516*12,2)</f>
        <v>72.36</v>
      </c>
      <c r="O516" s="14"/>
      <c r="P516" s="210" t="str">
        <f>VLOOKUP(C516,'WO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7" spans="1:18" ht="165" outlineLevel="2">
      <c r="A517" s="18" t="s">
        <v>17</v>
      </c>
      <c r="B517" s="15" t="s">
        <v>637</v>
      </c>
      <c r="C517" s="15" t="s">
        <v>638</v>
      </c>
      <c r="D517" s="14" t="s">
        <v>639</v>
      </c>
      <c r="E517" s="15" t="s">
        <v>136</v>
      </c>
      <c r="F517" s="14" t="s">
        <v>137</v>
      </c>
      <c r="G517" s="15" t="s">
        <v>23</v>
      </c>
      <c r="H517" s="15" t="s">
        <v>1526</v>
      </c>
      <c r="I517" s="15">
        <v>201410</v>
      </c>
      <c r="J517" s="16">
        <v>-14831.49</v>
      </c>
      <c r="K517" s="171">
        <f>VLOOKUP(I517,$T$9:$U$23,2)</f>
        <v>8</v>
      </c>
      <c r="L517" s="17">
        <v>1.4833299999999999E-3</v>
      </c>
      <c r="M517" s="16">
        <f>ROUND(J517*K517*L517,2)</f>
        <v>-176</v>
      </c>
      <c r="N517" s="16">
        <f>ROUND(J517*L517*12,2)</f>
        <v>-264</v>
      </c>
      <c r="O517" s="14"/>
      <c r="P517" s="210" t="str">
        <f>VLOOKUP(C517,'WO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8" spans="1:18" ht="165" outlineLevel="2">
      <c r="A518" s="18" t="s">
        <v>54</v>
      </c>
      <c r="B518" s="15" t="s">
        <v>637</v>
      </c>
      <c r="C518" s="15" t="s">
        <v>638</v>
      </c>
      <c r="D518" s="14" t="s">
        <v>639</v>
      </c>
      <c r="E518" s="15" t="s">
        <v>136</v>
      </c>
      <c r="F518" s="14" t="s">
        <v>137</v>
      </c>
      <c r="G518" s="15" t="s">
        <v>23</v>
      </c>
      <c r="H518" s="15" t="s">
        <v>1526</v>
      </c>
      <c r="I518" s="15">
        <v>201410</v>
      </c>
      <c r="J518" s="16">
        <v>14831.49</v>
      </c>
      <c r="K518" s="171">
        <f>VLOOKUP(I518,$T$9:$U$23,2)</f>
        <v>8</v>
      </c>
      <c r="L518" s="17">
        <v>1.4833299999999999E-3</v>
      </c>
      <c r="M518" s="16">
        <f>ROUND(J518*K518*L518,2)</f>
        <v>176</v>
      </c>
      <c r="N518" s="16">
        <f>ROUND(J518*L518*12,2)</f>
        <v>264</v>
      </c>
      <c r="O518" s="14"/>
      <c r="P518" s="210" t="str">
        <f>VLOOKUP(C518,'WO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9" spans="1:18" outlineLevel="1">
      <c r="A519" s="225"/>
      <c r="B519" s="250"/>
      <c r="C519" s="254" t="s">
        <v>1943</v>
      </c>
      <c r="D519" s="223"/>
      <c r="E519" s="250"/>
      <c r="F519" s="223"/>
      <c r="G519" s="250"/>
      <c r="H519" s="250"/>
      <c r="I519" s="250"/>
      <c r="J519" s="251">
        <f>SUBTOTAL(9,J516:J518)</f>
        <v>4065.0500000000011</v>
      </c>
      <c r="K519" s="252"/>
      <c r="L519" s="253"/>
      <c r="M519" s="251">
        <f>SUBTOTAL(9,M516:M518)</f>
        <v>54.27000000000001</v>
      </c>
      <c r="N519" s="251">
        <f>SUBTOTAL(9,N516:N518)</f>
        <v>72.360000000000014</v>
      </c>
      <c r="O519" s="223"/>
      <c r="P519" s="210"/>
      <c r="Q519" s="263" t="s">
        <v>2096</v>
      </c>
    </row>
    <row r="520" spans="1:18" ht="60" outlineLevel="2">
      <c r="A520" s="18" t="s">
        <v>17</v>
      </c>
      <c r="B520" s="15" t="s">
        <v>640</v>
      </c>
      <c r="C520" s="15" t="s">
        <v>641</v>
      </c>
      <c r="D520" s="14" t="s">
        <v>642</v>
      </c>
      <c r="E520" s="15" t="s">
        <v>362</v>
      </c>
      <c r="F520" s="14" t="s">
        <v>41</v>
      </c>
      <c r="G520" s="15" t="s">
        <v>23</v>
      </c>
      <c r="H520" s="15" t="s">
        <v>1526</v>
      </c>
      <c r="I520" s="15">
        <v>201409</v>
      </c>
      <c r="J520" s="16">
        <v>-115.28</v>
      </c>
      <c r="K520" s="171">
        <f>VLOOKUP(I520,$T$9:$U$23,2)</f>
        <v>9</v>
      </c>
      <c r="L520" s="17">
        <v>1.4833299999999999E-3</v>
      </c>
      <c r="M520" s="16">
        <f>ROUND(J520*K520*L520,2)</f>
        <v>-1.54</v>
      </c>
      <c r="N520" s="16">
        <f>ROUND(J520*L520*12,2)</f>
        <v>-2.0499999999999998</v>
      </c>
      <c r="O520" s="14"/>
      <c r="P520" s="210" t="str">
        <f>VLOOKUP(C520,'WO Descriptions'!$A$5:$D$345,4)</f>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
    </row>
    <row r="521" spans="1:18" outlineLevel="1">
      <c r="A521" s="225"/>
      <c r="B521" s="250"/>
      <c r="C521" s="254" t="s">
        <v>1944</v>
      </c>
      <c r="D521" s="223"/>
      <c r="E521" s="250"/>
      <c r="F521" s="223"/>
      <c r="G521" s="250"/>
      <c r="H521" s="250"/>
      <c r="I521" s="250"/>
      <c r="J521" s="251">
        <f>SUBTOTAL(9,J520:J520)</f>
        <v>-115.28</v>
      </c>
      <c r="K521" s="252"/>
      <c r="L521" s="253"/>
      <c r="M521" s="251">
        <f>SUBTOTAL(9,M520:M520)</f>
        <v>-1.54</v>
      </c>
      <c r="N521" s="251">
        <f>SUBTOTAL(9,N520:N520)</f>
        <v>-2.0499999999999998</v>
      </c>
      <c r="O521" s="223"/>
      <c r="P521" s="210"/>
      <c r="Q521" s="263" t="s">
        <v>2096</v>
      </c>
    </row>
    <row r="522" spans="1:18" ht="75" outlineLevel="2">
      <c r="A522" s="18" t="s">
        <v>17</v>
      </c>
      <c r="B522" s="15" t="s">
        <v>643</v>
      </c>
      <c r="C522" s="15" t="s">
        <v>644</v>
      </c>
      <c r="D522" s="14" t="s">
        <v>645</v>
      </c>
      <c r="E522" s="15" t="s">
        <v>141</v>
      </c>
      <c r="F522" s="14" t="s">
        <v>142</v>
      </c>
      <c r="G522" s="15" t="s">
        <v>23</v>
      </c>
      <c r="H522" s="15" t="s">
        <v>1525</v>
      </c>
      <c r="I522" s="15">
        <v>201409</v>
      </c>
      <c r="J522" s="16">
        <v>-912.44</v>
      </c>
      <c r="K522" s="171">
        <f>VLOOKUP(I522,$T$9:$U$23,2)</f>
        <v>9</v>
      </c>
      <c r="L522" s="17">
        <v>1.4833299999999999E-3</v>
      </c>
      <c r="M522" s="16">
        <f>ROUND(J522*K522*L522,2)</f>
        <v>-12.18</v>
      </c>
      <c r="N522" s="16">
        <f>ROUND(J522*L522*12,2)</f>
        <v>-16.239999999999998</v>
      </c>
      <c r="O522" s="14"/>
      <c r="P522" s="210" t="str">
        <f>VLOOKUP(C522,'WO Descriptions'!$A$5:$D$345,4)</f>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
    </row>
    <row r="523" spans="1:18" outlineLevel="1">
      <c r="A523" s="225"/>
      <c r="B523" s="250"/>
      <c r="C523" s="254" t="s">
        <v>1945</v>
      </c>
      <c r="D523" s="223"/>
      <c r="E523" s="250"/>
      <c r="F523" s="223"/>
      <c r="G523" s="250"/>
      <c r="H523" s="250"/>
      <c r="I523" s="250"/>
      <c r="J523" s="251">
        <f>SUBTOTAL(9,J522:J522)</f>
        <v>-912.44</v>
      </c>
      <c r="K523" s="252"/>
      <c r="L523" s="253"/>
      <c r="M523" s="251">
        <f>SUBTOTAL(9,M522:M522)</f>
        <v>-12.18</v>
      </c>
      <c r="N523" s="251">
        <f>SUBTOTAL(9,N522:N522)</f>
        <v>-16.239999999999998</v>
      </c>
      <c r="O523" s="223"/>
      <c r="P523" s="210"/>
      <c r="Q523" s="263" t="s">
        <v>2097</v>
      </c>
      <c r="R523" s="263" t="s">
        <v>2100</v>
      </c>
    </row>
    <row r="524" spans="1:18" ht="75" outlineLevel="2">
      <c r="A524" s="18" t="s">
        <v>17</v>
      </c>
      <c r="B524" s="15" t="s">
        <v>646</v>
      </c>
      <c r="C524" s="15" t="s">
        <v>647</v>
      </c>
      <c r="D524" s="14" t="s">
        <v>648</v>
      </c>
      <c r="E524" s="15" t="s">
        <v>176</v>
      </c>
      <c r="F524" s="14" t="s">
        <v>28</v>
      </c>
      <c r="G524" s="15" t="s">
        <v>23</v>
      </c>
      <c r="H524" s="15" t="s">
        <v>1525</v>
      </c>
      <c r="I524" s="15">
        <v>201411</v>
      </c>
      <c r="J524" s="16">
        <v>18.21</v>
      </c>
      <c r="K524" s="171">
        <f>VLOOKUP(I524,$T$9:$U$23,2)</f>
        <v>7</v>
      </c>
      <c r="L524" s="17">
        <v>1.4833299999999999E-3</v>
      </c>
      <c r="M524" s="16">
        <f>ROUND(J524*K524*L524,2)</f>
        <v>0.19</v>
      </c>
      <c r="N524" s="16">
        <f>ROUND(J524*L524*12,2)</f>
        <v>0.32</v>
      </c>
      <c r="O524" s="14"/>
      <c r="P524" s="210" t="str">
        <f>VLOOKUP(C524,'WO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525" spans="1:18" ht="75" outlineLevel="2">
      <c r="A525" s="14" t="s">
        <v>17</v>
      </c>
      <c r="B525" s="15" t="s">
        <v>646</v>
      </c>
      <c r="C525" s="15" t="s">
        <v>647</v>
      </c>
      <c r="D525" s="14" t="s">
        <v>648</v>
      </c>
      <c r="E525" s="15" t="s">
        <v>176</v>
      </c>
      <c r="F525" s="14" t="s">
        <v>28</v>
      </c>
      <c r="G525" s="15" t="s">
        <v>23</v>
      </c>
      <c r="H525" s="15" t="s">
        <v>1525</v>
      </c>
      <c r="I525" s="15">
        <v>201412</v>
      </c>
      <c r="J525" s="16">
        <v>-0.08</v>
      </c>
      <c r="K525" s="171">
        <f>VLOOKUP(I525,$T$9:$U$23,2)</f>
        <v>6</v>
      </c>
      <c r="L525" s="17">
        <v>1.4833299999999999E-3</v>
      </c>
      <c r="M525" s="16">
        <f>ROUND(J525*K525*L525,2)</f>
        <v>0</v>
      </c>
      <c r="N525" s="16">
        <f>ROUND(J525*L525*12,2)</f>
        <v>0</v>
      </c>
      <c r="O525" s="14"/>
      <c r="P525" s="210" t="str">
        <f>VLOOKUP(C525,'WO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526" spans="1:18" outlineLevel="1">
      <c r="A526" s="223"/>
      <c r="B526" s="250"/>
      <c r="C526" s="254" t="s">
        <v>1946</v>
      </c>
      <c r="D526" s="223"/>
      <c r="E526" s="250"/>
      <c r="F526" s="223"/>
      <c r="G526" s="250"/>
      <c r="H526" s="250"/>
      <c r="I526" s="250"/>
      <c r="J526" s="251">
        <f>SUBTOTAL(9,J524:J525)</f>
        <v>18.130000000000003</v>
      </c>
      <c r="K526" s="252"/>
      <c r="L526" s="253"/>
      <c r="M526" s="251">
        <f>SUBTOTAL(9,M524:M525)</f>
        <v>0.19</v>
      </c>
      <c r="N526" s="251">
        <f>SUBTOTAL(9,N524:N525)</f>
        <v>0.32</v>
      </c>
      <c r="O526" s="223"/>
      <c r="P526" s="210"/>
      <c r="Q526" s="263" t="s">
        <v>2097</v>
      </c>
      <c r="R526" s="263" t="s">
        <v>2099</v>
      </c>
    </row>
    <row r="527" spans="1:18" ht="105" outlineLevel="2">
      <c r="A527" s="18" t="s">
        <v>54</v>
      </c>
      <c r="B527" s="15" t="s">
        <v>649</v>
      </c>
      <c r="C527" s="15" t="s">
        <v>650</v>
      </c>
      <c r="D527" s="14" t="s">
        <v>651</v>
      </c>
      <c r="E527" s="15" t="s">
        <v>104</v>
      </c>
      <c r="F527" s="14" t="s">
        <v>41</v>
      </c>
      <c r="G527" s="15" t="s">
        <v>23</v>
      </c>
      <c r="H527" s="15" t="s">
        <v>1526</v>
      </c>
      <c r="I527" s="15">
        <v>201409</v>
      </c>
      <c r="J527" s="16">
        <v>-33.92</v>
      </c>
      <c r="K527" s="171">
        <f>VLOOKUP(I527,$T$9:$U$23,2)</f>
        <v>9</v>
      </c>
      <c r="L527" s="17">
        <v>1.4833299999999999E-3</v>
      </c>
      <c r="M527" s="16">
        <f>ROUND(J527*K527*L527,2)</f>
        <v>-0.45</v>
      </c>
      <c r="N527" s="16">
        <f>ROUND(J527*L527*12,2)</f>
        <v>-0.6</v>
      </c>
      <c r="O527" s="14"/>
      <c r="P527" s="210" t="str">
        <f>VLOOKUP(C527,'WO Descriptions'!$A$5:$D$345,4)</f>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
    </row>
    <row r="528" spans="1:18" outlineLevel="1">
      <c r="A528" s="225"/>
      <c r="B528" s="250"/>
      <c r="C528" s="254" t="s">
        <v>1947</v>
      </c>
      <c r="D528" s="223"/>
      <c r="E528" s="250"/>
      <c r="F528" s="223"/>
      <c r="G528" s="250"/>
      <c r="H528" s="250"/>
      <c r="I528" s="250"/>
      <c r="J528" s="251">
        <f>SUBTOTAL(9,J527:J527)</f>
        <v>-33.92</v>
      </c>
      <c r="K528" s="252"/>
      <c r="L528" s="253"/>
      <c r="M528" s="251">
        <f>SUBTOTAL(9,M527:M527)</f>
        <v>-0.45</v>
      </c>
      <c r="N528" s="251">
        <f>SUBTOTAL(9,N527:N527)</f>
        <v>-0.6</v>
      </c>
      <c r="O528" s="223"/>
      <c r="P528" s="210"/>
      <c r="Q528" s="263" t="s">
        <v>2096</v>
      </c>
    </row>
    <row r="529" spans="1:18" ht="75" outlineLevel="2">
      <c r="A529" s="14" t="s">
        <v>17</v>
      </c>
      <c r="B529" s="15" t="s">
        <v>652</v>
      </c>
      <c r="C529" s="15" t="s">
        <v>653</v>
      </c>
      <c r="D529" s="14" t="s">
        <v>654</v>
      </c>
      <c r="E529" s="15" t="s">
        <v>40</v>
      </c>
      <c r="F529" s="14" t="s">
        <v>41</v>
      </c>
      <c r="G529" s="15" t="s">
        <v>23</v>
      </c>
      <c r="H529" s="15" t="s">
        <v>1526</v>
      </c>
      <c r="I529" s="15">
        <v>201409</v>
      </c>
      <c r="J529" s="16">
        <v>-1136.6400000000001</v>
      </c>
      <c r="K529" s="171">
        <f>VLOOKUP(I529,$T$9:$U$23,2)</f>
        <v>9</v>
      </c>
      <c r="L529" s="17">
        <v>1.4833299999999999E-3</v>
      </c>
      <c r="M529" s="16">
        <f>ROUND(J529*K529*L529,2)</f>
        <v>-15.17</v>
      </c>
      <c r="N529" s="16">
        <f>ROUND(J529*L529*12,2)</f>
        <v>-20.23</v>
      </c>
      <c r="O529" s="14"/>
      <c r="P529" s="210" t="str">
        <f>VLOOKUP(C529,'WO Descriptions'!$A$5:$D$345,4)</f>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
    </row>
    <row r="530" spans="1:18" outlineLevel="1">
      <c r="A530" s="223"/>
      <c r="B530" s="250"/>
      <c r="C530" s="254" t="s">
        <v>1948</v>
      </c>
      <c r="D530" s="223"/>
      <c r="E530" s="250"/>
      <c r="F530" s="223"/>
      <c r="G530" s="250"/>
      <c r="H530" s="250"/>
      <c r="I530" s="250"/>
      <c r="J530" s="251">
        <f>SUBTOTAL(9,J529:J529)</f>
        <v>-1136.6400000000001</v>
      </c>
      <c r="K530" s="252"/>
      <c r="L530" s="253"/>
      <c r="M530" s="251">
        <f>SUBTOTAL(9,M529:M529)</f>
        <v>-15.17</v>
      </c>
      <c r="N530" s="251">
        <f>SUBTOTAL(9,N529:N529)</f>
        <v>-20.23</v>
      </c>
      <c r="O530" s="223"/>
      <c r="P530" s="210"/>
      <c r="Q530" s="263" t="s">
        <v>2096</v>
      </c>
    </row>
    <row r="531" spans="1:18" ht="45" outlineLevel="2">
      <c r="A531" s="14" t="s">
        <v>17</v>
      </c>
      <c r="B531" s="15" t="s">
        <v>655</v>
      </c>
      <c r="C531" s="15" t="s">
        <v>656</v>
      </c>
      <c r="D531" s="14" t="s">
        <v>657</v>
      </c>
      <c r="E531" s="15" t="s">
        <v>36</v>
      </c>
      <c r="F531" s="14" t="s">
        <v>22</v>
      </c>
      <c r="G531" s="15" t="s">
        <v>23</v>
      </c>
      <c r="H531" s="15" t="s">
        <v>1525</v>
      </c>
      <c r="I531" s="15">
        <v>201409</v>
      </c>
      <c r="J531" s="16">
        <v>-42.2</v>
      </c>
      <c r="K531" s="171">
        <f>VLOOKUP(I531,$T$9:$U$23,2)</f>
        <v>9</v>
      </c>
      <c r="L531" s="17">
        <v>1.4833299999999999E-3</v>
      </c>
      <c r="M531" s="16">
        <f>ROUND(J531*K531*L531,2)</f>
        <v>-0.56000000000000005</v>
      </c>
      <c r="N531" s="16">
        <f>ROUND(J531*L531*12,2)</f>
        <v>-0.75</v>
      </c>
      <c r="O531" s="14"/>
      <c r="P531" s="210" t="str">
        <f>VLOOKUP(C531,'WO Descriptions'!$A$5:$D$345,4)</f>
        <v>Approved by: Gary Williams on 07/22/2013,  This work order is necessary to replace 518ft-4in bs main (WO#11516) with 4in pe (WO#13-2797) due to low reads. Pressure System C-01 Pressure .88.</v>
      </c>
    </row>
    <row r="532" spans="1:18" outlineLevel="1">
      <c r="A532" s="223"/>
      <c r="B532" s="250"/>
      <c r="C532" s="254" t="s">
        <v>1949</v>
      </c>
      <c r="D532" s="223"/>
      <c r="E532" s="250"/>
      <c r="F532" s="223"/>
      <c r="G532" s="250"/>
      <c r="H532" s="250"/>
      <c r="I532" s="250"/>
      <c r="J532" s="251">
        <f>SUBTOTAL(9,J531:J531)</f>
        <v>-42.2</v>
      </c>
      <c r="K532" s="252"/>
      <c r="L532" s="253"/>
      <c r="M532" s="251">
        <f>SUBTOTAL(9,M531:M531)</f>
        <v>-0.56000000000000005</v>
      </c>
      <c r="N532" s="251">
        <f>SUBTOTAL(9,N531:N531)</f>
        <v>-0.75</v>
      </c>
      <c r="O532" s="223"/>
      <c r="P532" s="210"/>
      <c r="Q532" s="263" t="s">
        <v>2097</v>
      </c>
      <c r="R532" s="263" t="s">
        <v>2098</v>
      </c>
    </row>
    <row r="533" spans="1:18" outlineLevel="2">
      <c r="A533" s="14" t="s">
        <v>17</v>
      </c>
      <c r="B533" s="15" t="s">
        <v>658</v>
      </c>
      <c r="C533" s="15" t="s">
        <v>659</v>
      </c>
      <c r="D533" s="14" t="s">
        <v>660</v>
      </c>
      <c r="E533" s="15" t="s">
        <v>440</v>
      </c>
      <c r="F533" s="14" t="s">
        <v>28</v>
      </c>
      <c r="G533" s="15" t="s">
        <v>23</v>
      </c>
      <c r="H533" s="15" t="s">
        <v>1525</v>
      </c>
      <c r="I533" s="15">
        <v>201409</v>
      </c>
      <c r="J533" s="16">
        <v>10.48</v>
      </c>
      <c r="K533" s="171">
        <f>VLOOKUP(I533,$T$9:$U$23,2)</f>
        <v>9</v>
      </c>
      <c r="L533" s="17">
        <v>1.4833299999999999E-3</v>
      </c>
      <c r="M533" s="16">
        <f>ROUND(J533*K533*L533,2)</f>
        <v>0.14000000000000001</v>
      </c>
      <c r="N533" s="16">
        <f>ROUND(J533*L533*12,2)</f>
        <v>0.19</v>
      </c>
      <c r="O533" s="14"/>
      <c r="P533" s="210" t="str">
        <f>VLOOKUP(C533,'WO Descriptions'!$A$5:$D$345,4)</f>
        <v>Approved by: Kevin Driskell on 09/23/2013,  Repalce 21' of 2'' PCS (WO # 64-5275) due to leak.</v>
      </c>
    </row>
    <row r="534" spans="1:18" outlineLevel="1">
      <c r="A534" s="223"/>
      <c r="B534" s="250"/>
      <c r="C534" s="254" t="s">
        <v>1950</v>
      </c>
      <c r="D534" s="223"/>
      <c r="E534" s="250"/>
      <c r="F534" s="223"/>
      <c r="G534" s="250"/>
      <c r="H534" s="250"/>
      <c r="I534" s="250"/>
      <c r="J534" s="251">
        <f>SUBTOTAL(9,J533:J533)</f>
        <v>10.48</v>
      </c>
      <c r="K534" s="252"/>
      <c r="L534" s="253"/>
      <c r="M534" s="251">
        <f>SUBTOTAL(9,M533:M533)</f>
        <v>0.14000000000000001</v>
      </c>
      <c r="N534" s="251">
        <f>SUBTOTAL(9,N533:N533)</f>
        <v>0.19</v>
      </c>
      <c r="O534" s="223"/>
      <c r="P534" s="210"/>
      <c r="Q534" s="263" t="s">
        <v>2097</v>
      </c>
      <c r="R534" s="263" t="s">
        <v>2099</v>
      </c>
    </row>
    <row r="535" spans="1:18" ht="60" outlineLevel="2">
      <c r="A535" s="14" t="s">
        <v>17</v>
      </c>
      <c r="B535" s="15" t="s">
        <v>661</v>
      </c>
      <c r="C535" s="15" t="s">
        <v>662</v>
      </c>
      <c r="D535" s="14" t="s">
        <v>663</v>
      </c>
      <c r="E535" s="15" t="s">
        <v>40</v>
      </c>
      <c r="F535" s="14" t="s">
        <v>41</v>
      </c>
      <c r="G535" s="15" t="s">
        <v>23</v>
      </c>
      <c r="H535" s="15" t="s">
        <v>1526</v>
      </c>
      <c r="I535" s="15">
        <v>201409</v>
      </c>
      <c r="J535" s="16">
        <v>-187.92</v>
      </c>
      <c r="K535" s="171">
        <f>VLOOKUP(I535,$T$9:$U$23,2)</f>
        <v>9</v>
      </c>
      <c r="L535" s="17">
        <v>1.4833299999999999E-3</v>
      </c>
      <c r="M535" s="16">
        <f>ROUND(J535*K535*L535,2)</f>
        <v>-2.5099999999999998</v>
      </c>
      <c r="N535" s="16">
        <f>ROUND(J535*L535*12,2)</f>
        <v>-3.34</v>
      </c>
      <c r="O535" s="14"/>
      <c r="P535" s="210" t="str">
        <f>VLOOKUP(C535,'WO Descriptions'!$A$5:$D$345,4)</f>
        <v>Approved by: Kevin Driskell on 10/02/2013,  ISRS This work order is necessary for Public Improvement Improvement project. The 8" PCS main is in conflict of storm structure. Retire 20" of 8" PCS main and install 20' of 8" PCS main. System= C-055, MOP= 90PSIG, MAOP= 90PSIG, Test Pressure= 135PSIG.</v>
      </c>
    </row>
    <row r="536" spans="1:18" outlineLevel="1">
      <c r="A536" s="223"/>
      <c r="B536" s="250"/>
      <c r="C536" s="254" t="s">
        <v>1951</v>
      </c>
      <c r="D536" s="223"/>
      <c r="E536" s="250"/>
      <c r="F536" s="223"/>
      <c r="G536" s="250"/>
      <c r="H536" s="250"/>
      <c r="I536" s="250"/>
      <c r="J536" s="251">
        <f>SUBTOTAL(9,J535:J535)</f>
        <v>-187.92</v>
      </c>
      <c r="K536" s="252"/>
      <c r="L536" s="253"/>
      <c r="M536" s="251">
        <f>SUBTOTAL(9,M535:M535)</f>
        <v>-2.5099999999999998</v>
      </c>
      <c r="N536" s="251">
        <f>SUBTOTAL(9,N535:N535)</f>
        <v>-3.34</v>
      </c>
      <c r="O536" s="223"/>
      <c r="P536" s="210"/>
      <c r="Q536" s="263" t="s">
        <v>2096</v>
      </c>
    </row>
    <row r="537" spans="1:18" ht="45" outlineLevel="2">
      <c r="A537" s="14" t="s">
        <v>17</v>
      </c>
      <c r="B537" s="15" t="s">
        <v>664</v>
      </c>
      <c r="C537" s="15" t="s">
        <v>665</v>
      </c>
      <c r="D537" s="14" t="s">
        <v>666</v>
      </c>
      <c r="E537" s="15" t="s">
        <v>667</v>
      </c>
      <c r="F537" s="14" t="s">
        <v>28</v>
      </c>
      <c r="G537" s="15" t="s">
        <v>23</v>
      </c>
      <c r="H537" s="15" t="s">
        <v>1525</v>
      </c>
      <c r="I537" s="15">
        <v>201409</v>
      </c>
      <c r="J537" s="16">
        <v>5.21</v>
      </c>
      <c r="K537" s="171">
        <f>VLOOKUP(I537,$T$9:$U$23,2)</f>
        <v>9</v>
      </c>
      <c r="L537" s="17">
        <v>1.4833299999999999E-3</v>
      </c>
      <c r="M537" s="16">
        <f>ROUND(J537*K537*L537,2)</f>
        <v>7.0000000000000007E-2</v>
      </c>
      <c r="N537" s="16">
        <f>ROUND(J537*L537*12,2)</f>
        <v>0.09</v>
      </c>
      <c r="O537" s="14"/>
      <c r="P537" s="210" t="str">
        <f>VLOOKUP(C537,'WO Descriptions'!$A$5:$D$345,4)</f>
        <v>Approved by: Galen Shoemaker on 08/26/2013,  To replace 6ft of 2in Coated Steel Main from WO 724646 and 4ft of 2in Coated Steel Main from WO 801479 at intersection due to leakage and poor condition of main. MOP=30# MAOP=31# SYSTEM=S-6 TEST=100#</v>
      </c>
    </row>
    <row r="538" spans="1:18" outlineLevel="1">
      <c r="A538" s="223"/>
      <c r="B538" s="250"/>
      <c r="C538" s="254" t="s">
        <v>1952</v>
      </c>
      <c r="D538" s="223"/>
      <c r="E538" s="250"/>
      <c r="F538" s="223"/>
      <c r="G538" s="250"/>
      <c r="H538" s="250"/>
      <c r="I538" s="250"/>
      <c r="J538" s="251">
        <f>SUBTOTAL(9,J537:J537)</f>
        <v>5.21</v>
      </c>
      <c r="K538" s="252"/>
      <c r="L538" s="253"/>
      <c r="M538" s="251">
        <f>SUBTOTAL(9,M537:M537)</f>
        <v>7.0000000000000007E-2</v>
      </c>
      <c r="N538" s="251">
        <f>SUBTOTAL(9,N537:N537)</f>
        <v>0.09</v>
      </c>
      <c r="O538" s="223"/>
      <c r="P538" s="210"/>
      <c r="Q538" s="263" t="s">
        <v>2097</v>
      </c>
      <c r="R538" s="263" t="s">
        <v>2099</v>
      </c>
    </row>
    <row r="539" spans="1:18" ht="45" outlineLevel="2">
      <c r="A539" s="14" t="s">
        <v>17</v>
      </c>
      <c r="B539" s="15" t="s">
        <v>668</v>
      </c>
      <c r="C539" s="15" t="s">
        <v>669</v>
      </c>
      <c r="D539" s="14" t="s">
        <v>670</v>
      </c>
      <c r="E539" s="15" t="s">
        <v>45</v>
      </c>
      <c r="F539" s="14" t="s">
        <v>22</v>
      </c>
      <c r="G539" s="15" t="s">
        <v>23</v>
      </c>
      <c r="H539" s="15" t="s">
        <v>1525</v>
      </c>
      <c r="I539" s="15">
        <v>201409</v>
      </c>
      <c r="J539" s="16">
        <v>-193.2</v>
      </c>
      <c r="K539" s="171">
        <f>VLOOKUP(I539,$T$9:$U$23,2)</f>
        <v>9</v>
      </c>
      <c r="L539" s="17">
        <v>1.4833299999999999E-3</v>
      </c>
      <c r="M539" s="16">
        <f>ROUND(J539*K539*L539,2)</f>
        <v>-2.58</v>
      </c>
      <c r="N539" s="16">
        <f>ROUND(J539*L539*12,2)</f>
        <v>-3.44</v>
      </c>
      <c r="O539" s="14"/>
      <c r="P539" s="210" t="str">
        <f>VLOOKUP(C539,'WO Descriptions'!$A$5:$D$345,4)</f>
        <v>Approved by: Ken Thomas on 07/01/2013,  Replace 45' of 12in PBS wo unknown with 36' of 12in PCS due to leak on the gate valve. Pressure system C-175KCLS. Job was completed on 3-15-2013.</v>
      </c>
    </row>
    <row r="540" spans="1:18" outlineLevel="1">
      <c r="A540" s="223"/>
      <c r="B540" s="250"/>
      <c r="C540" s="254" t="s">
        <v>1953</v>
      </c>
      <c r="D540" s="223"/>
      <c r="E540" s="250"/>
      <c r="F540" s="223"/>
      <c r="G540" s="250"/>
      <c r="H540" s="250"/>
      <c r="I540" s="250"/>
      <c r="J540" s="251">
        <f>SUBTOTAL(9,J539:J539)</f>
        <v>-193.2</v>
      </c>
      <c r="K540" s="252"/>
      <c r="L540" s="253"/>
      <c r="M540" s="251">
        <f>SUBTOTAL(9,M539:M539)</f>
        <v>-2.58</v>
      </c>
      <c r="N540" s="251">
        <f>SUBTOTAL(9,N539:N539)</f>
        <v>-3.44</v>
      </c>
      <c r="O540" s="223"/>
      <c r="P540" s="210"/>
      <c r="Q540" s="263" t="s">
        <v>2097</v>
      </c>
      <c r="R540" s="263" t="s">
        <v>2098</v>
      </c>
    </row>
    <row r="541" spans="1:18" ht="45" outlineLevel="2">
      <c r="A541" s="211" t="s">
        <v>1584</v>
      </c>
      <c r="B541" s="212" t="s">
        <v>1612</v>
      </c>
      <c r="C541" s="212" t="s">
        <v>1613</v>
      </c>
      <c r="D541" s="211" t="s">
        <v>1588</v>
      </c>
      <c r="E541" s="212" t="s">
        <v>1614</v>
      </c>
      <c r="F541" s="211" t="s">
        <v>1590</v>
      </c>
      <c r="G541" s="212" t="s">
        <v>23</v>
      </c>
      <c r="H541" s="212" t="s">
        <v>1530</v>
      </c>
      <c r="I541" s="212">
        <v>201409</v>
      </c>
      <c r="J541" s="213">
        <v>453.16</v>
      </c>
      <c r="K541" s="171">
        <f>VLOOKUP(I541,$T$9:$U$23,2)</f>
        <v>9</v>
      </c>
      <c r="L541" s="214">
        <v>2.0333333000000001E-3</v>
      </c>
      <c r="M541" s="213">
        <f>ROUND(J541*K541*L541,2)</f>
        <v>8.2899999999999991</v>
      </c>
      <c r="N541" s="213">
        <f>ROUND(J541*L541*12,2)</f>
        <v>11.06</v>
      </c>
      <c r="O541" s="14"/>
      <c r="P541" s="210" t="str">
        <f>VLOOKUP(C541,'WO Descriptions'!$A$5:$D$345,4)</f>
        <v>Approved by: Ken Thomas on 07/01/2013,  Replace 45' of 12in PBS wo unknown with 36' of 12in PCS due to leak on the gate valve. Pressure system C-175KCLS. Job was completed on 3-15-2013.</v>
      </c>
    </row>
    <row r="542" spans="1:18" ht="45" outlineLevel="2">
      <c r="A542" s="211" t="s">
        <v>1584</v>
      </c>
      <c r="B542" s="212" t="s">
        <v>1612</v>
      </c>
      <c r="C542" s="212" t="s">
        <v>1613</v>
      </c>
      <c r="D542" s="211" t="s">
        <v>1588</v>
      </c>
      <c r="E542" s="212" t="s">
        <v>1614</v>
      </c>
      <c r="F542" s="211" t="s">
        <v>1590</v>
      </c>
      <c r="G542" s="212" t="s">
        <v>23</v>
      </c>
      <c r="H542" s="212" t="s">
        <v>1530</v>
      </c>
      <c r="I542" s="212">
        <v>201410</v>
      </c>
      <c r="J542" s="213">
        <v>434.13</v>
      </c>
      <c r="K542" s="171">
        <f>VLOOKUP(I542,$T$9:$U$23,2)</f>
        <v>8</v>
      </c>
      <c r="L542" s="214">
        <v>2.0333333000000001E-3</v>
      </c>
      <c r="M542" s="213">
        <f>ROUND(J542*K542*L542,2)</f>
        <v>7.06</v>
      </c>
      <c r="N542" s="213">
        <f>ROUND(J542*L542*12,2)</f>
        <v>10.59</v>
      </c>
      <c r="O542" s="14"/>
      <c r="P542" s="210" t="str">
        <f>VLOOKUP(C542,'WO Descriptions'!$A$5:$D$345,4)</f>
        <v>Approved by: Ken Thomas on 07/01/2013,  Replace 45' of 12in PBS wo unknown with 36' of 12in PCS due to leak on the gate valve. Pressure system C-175KCLS. Job was completed on 3-15-2013.</v>
      </c>
    </row>
    <row r="543" spans="1:18" ht="45" outlineLevel="2">
      <c r="A543" s="211" t="s">
        <v>1584</v>
      </c>
      <c r="B543" s="212" t="s">
        <v>1612</v>
      </c>
      <c r="C543" s="212" t="s">
        <v>1613</v>
      </c>
      <c r="D543" s="211" t="s">
        <v>1588</v>
      </c>
      <c r="E543" s="212" t="s">
        <v>1614</v>
      </c>
      <c r="F543" s="211" t="s">
        <v>1590</v>
      </c>
      <c r="G543" s="212" t="s">
        <v>23</v>
      </c>
      <c r="H543" s="212" t="s">
        <v>1530</v>
      </c>
      <c r="I543" s="212">
        <v>201411</v>
      </c>
      <c r="J543" s="213">
        <v>425.66</v>
      </c>
      <c r="K543" s="171">
        <f>VLOOKUP(I543,$T$9:$U$23,2)</f>
        <v>7</v>
      </c>
      <c r="L543" s="214">
        <v>2.0333333000000001E-3</v>
      </c>
      <c r="M543" s="213">
        <f>ROUND(J543*K543*L543,2)</f>
        <v>6.06</v>
      </c>
      <c r="N543" s="213">
        <f>ROUND(J543*L543*12,2)</f>
        <v>10.39</v>
      </c>
      <c r="O543" s="14"/>
      <c r="P543" s="210" t="str">
        <f>VLOOKUP(C543,'WO Descriptions'!$A$5:$D$345,4)</f>
        <v>Approved by: Ken Thomas on 07/01/2013,  Replace 45' of 12in PBS wo unknown with 36' of 12in PCS due to leak on the gate valve. Pressure system C-175KCLS. Job was completed on 3-15-2013.</v>
      </c>
    </row>
    <row r="544" spans="1:18" ht="45" outlineLevel="2">
      <c r="A544" s="211" t="s">
        <v>1584</v>
      </c>
      <c r="B544" s="212" t="s">
        <v>1612</v>
      </c>
      <c r="C544" s="212" t="s">
        <v>1613</v>
      </c>
      <c r="D544" s="211" t="s">
        <v>1588</v>
      </c>
      <c r="E544" s="212" t="s">
        <v>1614</v>
      </c>
      <c r="F544" s="211" t="s">
        <v>1590</v>
      </c>
      <c r="G544" s="212" t="s">
        <v>23</v>
      </c>
      <c r="H544" s="212" t="s">
        <v>1530</v>
      </c>
      <c r="I544" s="212">
        <v>201412</v>
      </c>
      <c r="J544" s="213">
        <v>332.2</v>
      </c>
      <c r="K544" s="171">
        <f>VLOOKUP(I544,$T$9:$U$23,2)</f>
        <v>6</v>
      </c>
      <c r="L544" s="214">
        <v>2.0333333000000001E-3</v>
      </c>
      <c r="M544" s="213">
        <f>ROUND(J544*K544*L544,2)</f>
        <v>4.05</v>
      </c>
      <c r="N544" s="213">
        <f>ROUND(J544*L544*12,2)</f>
        <v>8.11</v>
      </c>
      <c r="O544" s="14"/>
      <c r="P544" s="210" t="str">
        <f>VLOOKUP(C544,'WO Descriptions'!$A$5:$D$345,4)</f>
        <v>Approved by: Ken Thomas on 07/01/2013,  Replace 45' of 12in PBS wo unknown with 36' of 12in PCS due to leak on the gate valve. Pressure system C-175KCLS. Job was completed on 3-15-2013.</v>
      </c>
    </row>
    <row r="545" spans="1:18" outlineLevel="1">
      <c r="A545" s="256"/>
      <c r="B545" s="257"/>
      <c r="C545" s="260" t="s">
        <v>1954</v>
      </c>
      <c r="D545" s="256"/>
      <c r="E545" s="257"/>
      <c r="F545" s="256"/>
      <c r="G545" s="257"/>
      <c r="H545" s="257"/>
      <c r="I545" s="257"/>
      <c r="J545" s="258">
        <f>SUBTOTAL(9,J541:J544)</f>
        <v>1645.15</v>
      </c>
      <c r="K545" s="252"/>
      <c r="L545" s="259"/>
      <c r="M545" s="258">
        <f>SUBTOTAL(9,M541:M544)</f>
        <v>25.459999999999997</v>
      </c>
      <c r="N545" s="258">
        <f>SUBTOTAL(9,N541:N544)</f>
        <v>40.15</v>
      </c>
      <c r="O545" s="223"/>
      <c r="P545" s="210"/>
      <c r="Q545" s="263" t="s">
        <v>2097</v>
      </c>
      <c r="R545" s="263" t="s">
        <v>2102</v>
      </c>
    </row>
    <row r="546" spans="1:18" ht="30" outlineLevel="2">
      <c r="A546" s="211" t="s">
        <v>66</v>
      </c>
      <c r="B546" s="212" t="s">
        <v>671</v>
      </c>
      <c r="C546" s="212" t="s">
        <v>672</v>
      </c>
      <c r="D546" s="211" t="s">
        <v>206</v>
      </c>
      <c r="E546" s="212" t="s">
        <v>673</v>
      </c>
      <c r="F546" s="211" t="s">
        <v>97</v>
      </c>
      <c r="G546" s="212" t="s">
        <v>23</v>
      </c>
      <c r="H546" s="212" t="s">
        <v>1530</v>
      </c>
      <c r="I546" s="212">
        <v>201409</v>
      </c>
      <c r="J546" s="213">
        <v>642.49</v>
      </c>
      <c r="K546" s="171">
        <f>VLOOKUP(I546,$T$9:$U$23,2)</f>
        <v>9</v>
      </c>
      <c r="L546" s="214">
        <v>2.23333E-3</v>
      </c>
      <c r="M546" s="213">
        <f>ROUND(J546*K546*L546,2)</f>
        <v>12.91</v>
      </c>
      <c r="N546" s="213">
        <f>ROUND(J546*L546*12,2)</f>
        <v>17.22</v>
      </c>
      <c r="O546" s="14"/>
      <c r="P546" s="210" t="str">
        <f>VLOOKUP(C546,'WO Descriptions'!$A$5:$D$345,4)</f>
        <v>Service/Yard Line Replacement (SLRP): Company Crew.  Service/yard line replacement - Material Charges Only  (Joplin - South Region)</v>
      </c>
    </row>
    <row r="547" spans="1:18" ht="30" outlineLevel="2">
      <c r="A547" s="211" t="s">
        <v>66</v>
      </c>
      <c r="B547" s="212" t="s">
        <v>671</v>
      </c>
      <c r="C547" s="212" t="s">
        <v>672</v>
      </c>
      <c r="D547" s="211" t="s">
        <v>206</v>
      </c>
      <c r="E547" s="212" t="s">
        <v>673</v>
      </c>
      <c r="F547" s="211" t="s">
        <v>97</v>
      </c>
      <c r="G547" s="212" t="s">
        <v>23</v>
      </c>
      <c r="H547" s="212" t="s">
        <v>1530</v>
      </c>
      <c r="I547" s="212">
        <v>201410</v>
      </c>
      <c r="J547" s="213">
        <v>-743.2</v>
      </c>
      <c r="K547" s="171">
        <f>VLOOKUP(I547,$T$9:$U$23,2)</f>
        <v>8</v>
      </c>
      <c r="L547" s="214">
        <v>2.23333E-3</v>
      </c>
      <c r="M547" s="213">
        <f>ROUND(J547*K547*L547,2)</f>
        <v>-13.28</v>
      </c>
      <c r="N547" s="213">
        <f>ROUND(J547*L547*12,2)</f>
        <v>-19.920000000000002</v>
      </c>
      <c r="O547" s="14"/>
      <c r="P547" s="210" t="str">
        <f>VLOOKUP(C547,'WO Descriptions'!$A$5:$D$345,4)</f>
        <v>Service/Yard Line Replacement (SLRP): Company Crew.  Service/yard line replacement - Material Charges Only  (Joplin - South Region)</v>
      </c>
    </row>
    <row r="548" spans="1:18" ht="30" outlineLevel="2">
      <c r="A548" s="211" t="s">
        <v>66</v>
      </c>
      <c r="B548" s="212" t="s">
        <v>671</v>
      </c>
      <c r="C548" s="212" t="s">
        <v>672</v>
      </c>
      <c r="D548" s="211" t="s">
        <v>206</v>
      </c>
      <c r="E548" s="212" t="s">
        <v>673</v>
      </c>
      <c r="F548" s="211" t="s">
        <v>97</v>
      </c>
      <c r="G548" s="212" t="s">
        <v>23</v>
      </c>
      <c r="H548" s="212" t="s">
        <v>1530</v>
      </c>
      <c r="I548" s="212">
        <v>201411</v>
      </c>
      <c r="J548" s="213">
        <v>20.29</v>
      </c>
      <c r="K548" s="171">
        <f>VLOOKUP(I548,$T$9:$U$23,2)</f>
        <v>7</v>
      </c>
      <c r="L548" s="214">
        <v>2.23333E-3</v>
      </c>
      <c r="M548" s="213">
        <f>ROUND(J548*K548*L548,2)</f>
        <v>0.32</v>
      </c>
      <c r="N548" s="213">
        <f>ROUND(J548*L548*12,2)</f>
        <v>0.54</v>
      </c>
      <c r="O548" s="14"/>
      <c r="P548" s="210" t="str">
        <f>VLOOKUP(C548,'WO Descriptions'!$A$5:$D$345,4)</f>
        <v>Service/Yard Line Replacement (SLRP): Company Crew.  Service/yard line replacement - Material Charges Only  (Joplin - South Region)</v>
      </c>
    </row>
    <row r="549" spans="1:18" ht="30" outlineLevel="2">
      <c r="A549" s="211" t="s">
        <v>66</v>
      </c>
      <c r="B549" s="212" t="s">
        <v>671</v>
      </c>
      <c r="C549" s="212" t="s">
        <v>672</v>
      </c>
      <c r="D549" s="211" t="s">
        <v>206</v>
      </c>
      <c r="E549" s="212" t="s">
        <v>673</v>
      </c>
      <c r="F549" s="211" t="s">
        <v>97</v>
      </c>
      <c r="G549" s="212" t="s">
        <v>23</v>
      </c>
      <c r="H549" s="212" t="s">
        <v>1530</v>
      </c>
      <c r="I549" s="212">
        <v>201412</v>
      </c>
      <c r="J549" s="213">
        <v>64.27</v>
      </c>
      <c r="K549" s="171">
        <f>VLOOKUP(I549,$T$9:$U$23,2)</f>
        <v>6</v>
      </c>
      <c r="L549" s="214">
        <v>2.23333E-3</v>
      </c>
      <c r="M549" s="213">
        <f>ROUND(J549*K549*L549,2)</f>
        <v>0.86</v>
      </c>
      <c r="N549" s="213">
        <f>ROUND(J549*L549*12,2)</f>
        <v>1.72</v>
      </c>
      <c r="O549" s="14"/>
      <c r="P549" s="210" t="str">
        <f>VLOOKUP(C549,'WO Descriptions'!$A$5:$D$345,4)</f>
        <v>Service/Yard Line Replacement (SLRP): Company Crew.  Service/yard line replacement - Material Charges Only  (Joplin - South Region)</v>
      </c>
    </row>
    <row r="550" spans="1:18" outlineLevel="1">
      <c r="A550" s="256"/>
      <c r="B550" s="257"/>
      <c r="C550" s="260" t="s">
        <v>1955</v>
      </c>
      <c r="D550" s="256"/>
      <c r="E550" s="257"/>
      <c r="F550" s="256"/>
      <c r="G550" s="257"/>
      <c r="H550" s="257"/>
      <c r="I550" s="257"/>
      <c r="J550" s="258">
        <f>SUBTOTAL(9,J546:J549)</f>
        <v>-16.150000000000048</v>
      </c>
      <c r="K550" s="252"/>
      <c r="L550" s="259"/>
      <c r="M550" s="258">
        <f>SUBTOTAL(9,M546:M549)</f>
        <v>0.81000000000000072</v>
      </c>
      <c r="N550" s="258">
        <f>SUBTOTAL(9,N546:N549)</f>
        <v>-0.44000000000000283</v>
      </c>
      <c r="O550" s="223"/>
      <c r="P550" s="210"/>
      <c r="Q550" s="263" t="s">
        <v>2097</v>
      </c>
      <c r="R550" s="263" t="s">
        <v>2102</v>
      </c>
    </row>
    <row r="551" spans="1:18" outlineLevel="2">
      <c r="A551" s="211" t="s">
        <v>66</v>
      </c>
      <c r="B551" s="212" t="s">
        <v>674</v>
      </c>
      <c r="C551" s="212" t="s">
        <v>675</v>
      </c>
      <c r="D551" s="211" t="s">
        <v>385</v>
      </c>
      <c r="E551" s="212" t="s">
        <v>676</v>
      </c>
      <c r="F551" s="211" t="s">
        <v>387</v>
      </c>
      <c r="G551" s="212" t="s">
        <v>23</v>
      </c>
      <c r="H551" s="212" t="s">
        <v>1530</v>
      </c>
      <c r="I551" s="212">
        <v>201409</v>
      </c>
      <c r="J551" s="213">
        <v>16917.41</v>
      </c>
      <c r="K551" s="171">
        <f>VLOOKUP(I551,$T$9:$U$23,2)</f>
        <v>9</v>
      </c>
      <c r="L551" s="214">
        <v>2.23333E-3</v>
      </c>
      <c r="M551" s="213">
        <f>ROUND(J551*K551*L551,2)</f>
        <v>340.04</v>
      </c>
      <c r="N551" s="213">
        <f>ROUND(J551*L551*12,2)</f>
        <v>453.39</v>
      </c>
      <c r="O551" s="14"/>
      <c r="P551" s="210" t="str">
        <f>VLOOKUP(C551,'WO Descriptions'!$A$5:$D$345,4)</f>
        <v>Replacement and/or removal of existing protected steel or plastic (Monett - South Region)</v>
      </c>
    </row>
    <row r="552" spans="1:18" outlineLevel="2">
      <c r="A552" s="211" t="s">
        <v>66</v>
      </c>
      <c r="B552" s="212" t="s">
        <v>674</v>
      </c>
      <c r="C552" s="212" t="s">
        <v>675</v>
      </c>
      <c r="D552" s="211" t="s">
        <v>385</v>
      </c>
      <c r="E552" s="212" t="s">
        <v>676</v>
      </c>
      <c r="F552" s="211" t="s">
        <v>387</v>
      </c>
      <c r="G552" s="212" t="s">
        <v>23</v>
      </c>
      <c r="H552" s="212" t="s">
        <v>1530</v>
      </c>
      <c r="I552" s="212">
        <v>201410</v>
      </c>
      <c r="J552" s="213">
        <v>14213.17</v>
      </c>
      <c r="K552" s="171">
        <f>VLOOKUP(I552,$T$9:$U$23,2)</f>
        <v>8</v>
      </c>
      <c r="L552" s="214">
        <v>2.23333E-3</v>
      </c>
      <c r="M552" s="213">
        <f>ROUND(J552*K552*L552,2)</f>
        <v>253.94</v>
      </c>
      <c r="N552" s="213">
        <f>ROUND(J552*L552*12,2)</f>
        <v>380.91</v>
      </c>
      <c r="O552" s="14"/>
      <c r="P552" s="210" t="str">
        <f>VLOOKUP(C552,'WO Descriptions'!$A$5:$D$345,4)</f>
        <v>Replacement and/or removal of existing protected steel or plastic (Monett - South Region)</v>
      </c>
    </row>
    <row r="553" spans="1:18" outlineLevel="2">
      <c r="A553" s="211" t="s">
        <v>66</v>
      </c>
      <c r="B553" s="212" t="s">
        <v>674</v>
      </c>
      <c r="C553" s="212" t="s">
        <v>675</v>
      </c>
      <c r="D553" s="211" t="s">
        <v>385</v>
      </c>
      <c r="E553" s="212" t="s">
        <v>676</v>
      </c>
      <c r="F553" s="211" t="s">
        <v>387</v>
      </c>
      <c r="G553" s="212" t="s">
        <v>23</v>
      </c>
      <c r="H553" s="212" t="s">
        <v>1530</v>
      </c>
      <c r="I553" s="212">
        <v>201411</v>
      </c>
      <c r="J553" s="213">
        <v>-5090.0600000000004</v>
      </c>
      <c r="K553" s="171">
        <f>VLOOKUP(I553,$T$9:$U$23,2)</f>
        <v>7</v>
      </c>
      <c r="L553" s="214">
        <v>2.23333E-3</v>
      </c>
      <c r="M553" s="213">
        <f>ROUND(J553*K553*L553,2)</f>
        <v>-79.569999999999993</v>
      </c>
      <c r="N553" s="213">
        <f>ROUND(J553*L553*12,2)</f>
        <v>-136.41</v>
      </c>
      <c r="O553" s="14"/>
      <c r="P553" s="210" t="str">
        <f>VLOOKUP(C553,'WO Descriptions'!$A$5:$D$345,4)</f>
        <v>Replacement and/or removal of existing protected steel or plastic (Monett - South Region)</v>
      </c>
    </row>
    <row r="554" spans="1:18" outlineLevel="2">
      <c r="A554" s="211" t="s">
        <v>66</v>
      </c>
      <c r="B554" s="212" t="s">
        <v>674</v>
      </c>
      <c r="C554" s="212" t="s">
        <v>675</v>
      </c>
      <c r="D554" s="211" t="s">
        <v>385</v>
      </c>
      <c r="E554" s="212" t="s">
        <v>676</v>
      </c>
      <c r="F554" s="211" t="s">
        <v>387</v>
      </c>
      <c r="G554" s="212" t="s">
        <v>23</v>
      </c>
      <c r="H554" s="212" t="s">
        <v>1530</v>
      </c>
      <c r="I554" s="212">
        <v>201412</v>
      </c>
      <c r="J554" s="213">
        <v>4755.1000000000004</v>
      </c>
      <c r="K554" s="171">
        <f>VLOOKUP(I554,$T$9:$U$23,2)</f>
        <v>6</v>
      </c>
      <c r="L554" s="214">
        <v>2.23333E-3</v>
      </c>
      <c r="M554" s="213">
        <f>ROUND(J554*K554*L554,2)</f>
        <v>63.72</v>
      </c>
      <c r="N554" s="213">
        <f>ROUND(J554*L554*12,2)</f>
        <v>127.44</v>
      </c>
      <c r="O554" s="14"/>
      <c r="P554" s="210" t="str">
        <f>VLOOKUP(C554,'WO Descriptions'!$A$5:$D$345,4)</f>
        <v>Replacement and/or removal of existing protected steel or plastic (Monett - South Region)</v>
      </c>
    </row>
    <row r="555" spans="1:18" outlineLevel="1">
      <c r="A555" s="256"/>
      <c r="B555" s="257"/>
      <c r="C555" s="260" t="s">
        <v>1956</v>
      </c>
      <c r="D555" s="256"/>
      <c r="E555" s="257"/>
      <c r="F555" s="256"/>
      <c r="G555" s="257"/>
      <c r="H555" s="257"/>
      <c r="I555" s="257"/>
      <c r="J555" s="258">
        <f>SUBTOTAL(9,J551:J554)</f>
        <v>30795.620000000003</v>
      </c>
      <c r="K555" s="252"/>
      <c r="L555" s="259"/>
      <c r="M555" s="258">
        <f>SUBTOTAL(9,M551:M554)</f>
        <v>578.13000000000011</v>
      </c>
      <c r="N555" s="258">
        <f>SUBTOTAL(9,N551:N554)</f>
        <v>825.32999999999993</v>
      </c>
      <c r="O555" s="223"/>
      <c r="P555" s="210"/>
      <c r="Q555" s="263" t="s">
        <v>2097</v>
      </c>
      <c r="R555" s="263" t="s">
        <v>2102</v>
      </c>
    </row>
    <row r="556" spans="1:18" ht="60" outlineLevel="2">
      <c r="A556" s="14" t="s">
        <v>17</v>
      </c>
      <c r="B556" s="15" t="s">
        <v>677</v>
      </c>
      <c r="C556" s="15" t="s">
        <v>678</v>
      </c>
      <c r="D556" s="14" t="s">
        <v>679</v>
      </c>
      <c r="E556" s="15" t="s">
        <v>216</v>
      </c>
      <c r="F556" s="14" t="s">
        <v>22</v>
      </c>
      <c r="G556" s="15" t="s">
        <v>23</v>
      </c>
      <c r="H556" s="15" t="s">
        <v>1525</v>
      </c>
      <c r="I556" s="15">
        <v>201409</v>
      </c>
      <c r="J556" s="16">
        <v>6.37</v>
      </c>
      <c r="K556" s="171">
        <f>VLOOKUP(I556,$T$9:$U$23,2)</f>
        <v>9</v>
      </c>
      <c r="L556" s="17">
        <v>1.4833299999999999E-3</v>
      </c>
      <c r="M556" s="16">
        <f>ROUND(J556*K556*L556,2)</f>
        <v>0.09</v>
      </c>
      <c r="N556" s="16">
        <f>ROUND(J556*L556*12,2)</f>
        <v>0.11</v>
      </c>
      <c r="O556" s="14"/>
      <c r="P556" s="210" t="str">
        <f>VLOOKUP(C556,'WO Descriptions'!$A$5:$D$345,4)</f>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
    </row>
    <row r="557" spans="1:18" outlineLevel="1">
      <c r="A557" s="223"/>
      <c r="B557" s="250"/>
      <c r="C557" s="254" t="s">
        <v>1957</v>
      </c>
      <c r="D557" s="223"/>
      <c r="E557" s="250"/>
      <c r="F557" s="223"/>
      <c r="G557" s="250"/>
      <c r="H557" s="250"/>
      <c r="I557" s="250"/>
      <c r="J557" s="251">
        <f>SUBTOTAL(9,J556:J556)</f>
        <v>6.37</v>
      </c>
      <c r="K557" s="252"/>
      <c r="L557" s="253"/>
      <c r="M557" s="251">
        <f>SUBTOTAL(9,M556:M556)</f>
        <v>0.09</v>
      </c>
      <c r="N557" s="251">
        <f>SUBTOTAL(9,N556:N556)</f>
        <v>0.11</v>
      </c>
      <c r="O557" s="223"/>
      <c r="P557" s="210"/>
      <c r="Q557" s="263" t="s">
        <v>2097</v>
      </c>
      <c r="R557" s="263" t="s">
        <v>2098</v>
      </c>
    </row>
    <row r="558" spans="1:18" ht="45" outlineLevel="2">
      <c r="A558" s="14" t="s">
        <v>238</v>
      </c>
      <c r="B558" s="15" t="s">
        <v>680</v>
      </c>
      <c r="C558" s="15" t="s">
        <v>681</v>
      </c>
      <c r="D558" s="14" t="s">
        <v>682</v>
      </c>
      <c r="E558" s="15" t="s">
        <v>683</v>
      </c>
      <c r="F558" s="14" t="s">
        <v>684</v>
      </c>
      <c r="G558" s="15" t="s">
        <v>23</v>
      </c>
      <c r="H558" s="15" t="s">
        <v>1528</v>
      </c>
      <c r="I558" s="15">
        <v>201409</v>
      </c>
      <c r="J558" s="16">
        <v>-215.87</v>
      </c>
      <c r="K558" s="171">
        <f>VLOOKUP(I558,$T$9:$U$23,2)</f>
        <v>9</v>
      </c>
      <c r="L558" s="17">
        <v>2.3833299999999999E-3</v>
      </c>
      <c r="M558" s="16">
        <f>ROUND(J558*K558*L558,2)</f>
        <v>-4.63</v>
      </c>
      <c r="N558" s="16">
        <f>ROUND(J558*L558*12,2)</f>
        <v>-6.17</v>
      </c>
      <c r="O558" s="14"/>
      <c r="P558" s="210" t="str">
        <f>VLOOKUP(C558,'WO Descriptions'!$A$5:$D$345,4)</f>
        <v>Approved by: Gary Williams on 01/31/2013,  Relocate DRS 424 from Gardener Avenue and Askew to Front Street and Askew. All existing regulators and valves from station were utilized in the relocation. Install new barricade around station.</v>
      </c>
    </row>
    <row r="559" spans="1:18" outlineLevel="1">
      <c r="A559" s="223"/>
      <c r="B559" s="250"/>
      <c r="C559" s="254" t="s">
        <v>1958</v>
      </c>
      <c r="D559" s="223"/>
      <c r="E559" s="250"/>
      <c r="F559" s="223"/>
      <c r="G559" s="250"/>
      <c r="H559" s="250"/>
      <c r="I559" s="250"/>
      <c r="J559" s="251">
        <f>SUBTOTAL(9,J558:J558)</f>
        <v>-215.87</v>
      </c>
      <c r="K559" s="252"/>
      <c r="L559" s="253"/>
      <c r="M559" s="251">
        <f>SUBTOTAL(9,M558:M558)</f>
        <v>-4.63</v>
      </c>
      <c r="N559" s="251">
        <f>SUBTOTAL(9,N558:N558)</f>
        <v>-6.17</v>
      </c>
      <c r="O559" s="223"/>
      <c r="P559" s="210"/>
      <c r="Q559" s="263" t="s">
        <v>2097</v>
      </c>
      <c r="R559" s="263" t="s">
        <v>2099</v>
      </c>
    </row>
    <row r="560" spans="1:18" ht="75" outlineLevel="2">
      <c r="A560" s="14" t="s">
        <v>17</v>
      </c>
      <c r="B560" s="15" t="s">
        <v>685</v>
      </c>
      <c r="C560" s="15" t="s">
        <v>686</v>
      </c>
      <c r="D560" s="14" t="s">
        <v>687</v>
      </c>
      <c r="E560" s="15" t="s">
        <v>40</v>
      </c>
      <c r="F560" s="14" t="s">
        <v>41</v>
      </c>
      <c r="G560" s="15" t="s">
        <v>23</v>
      </c>
      <c r="H560" s="15" t="s">
        <v>1526</v>
      </c>
      <c r="I560" s="15">
        <v>201409</v>
      </c>
      <c r="J560" s="16">
        <v>-5404.17</v>
      </c>
      <c r="K560" s="171">
        <f>VLOOKUP(I560,$T$9:$U$23,2)</f>
        <v>9</v>
      </c>
      <c r="L560" s="17">
        <v>1.4833299999999999E-3</v>
      </c>
      <c r="M560" s="16">
        <f>ROUND(J560*K560*L560,2)</f>
        <v>-72.150000000000006</v>
      </c>
      <c r="N560" s="16">
        <f>ROUND(J560*L560*12,2)</f>
        <v>-96.19</v>
      </c>
      <c r="O560" s="14"/>
      <c r="P560" s="210" t="str">
        <f>VLOOKUP(C560,'WO Descriptions'!$A$5:$D$345,4)</f>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
    </row>
    <row r="561" spans="1:18" outlineLevel="1">
      <c r="A561" s="223"/>
      <c r="B561" s="250"/>
      <c r="C561" s="254" t="s">
        <v>1959</v>
      </c>
      <c r="D561" s="223"/>
      <c r="E561" s="250"/>
      <c r="F561" s="223"/>
      <c r="G561" s="250"/>
      <c r="H561" s="250"/>
      <c r="I561" s="250"/>
      <c r="J561" s="251">
        <f>SUBTOTAL(9,J560:J560)</f>
        <v>-5404.17</v>
      </c>
      <c r="K561" s="252"/>
      <c r="L561" s="253"/>
      <c r="M561" s="251">
        <f>SUBTOTAL(9,M560:M560)</f>
        <v>-72.150000000000006</v>
      </c>
      <c r="N561" s="251">
        <f>SUBTOTAL(9,N560:N560)</f>
        <v>-96.19</v>
      </c>
      <c r="O561" s="223"/>
      <c r="P561" s="210"/>
      <c r="Q561" s="263" t="s">
        <v>2096</v>
      </c>
    </row>
    <row r="562" spans="1:18" ht="150" outlineLevel="2">
      <c r="A562" s="14" t="s">
        <v>17</v>
      </c>
      <c r="B562" s="15" t="s">
        <v>688</v>
      </c>
      <c r="C562" s="15" t="s">
        <v>689</v>
      </c>
      <c r="D562" s="14" t="s">
        <v>690</v>
      </c>
      <c r="E562" s="15" t="s">
        <v>141</v>
      </c>
      <c r="F562" s="14" t="s">
        <v>142</v>
      </c>
      <c r="G562" s="15" t="s">
        <v>23</v>
      </c>
      <c r="H562" s="15" t="s">
        <v>1525</v>
      </c>
      <c r="I562" s="15">
        <v>201409</v>
      </c>
      <c r="J562" s="16">
        <v>-919.54</v>
      </c>
      <c r="K562" s="171">
        <f>VLOOKUP(I562,$T$9:$U$23,2)</f>
        <v>9</v>
      </c>
      <c r="L562" s="17">
        <v>1.4833299999999999E-3</v>
      </c>
      <c r="M562" s="16">
        <f>ROUND(J562*K562*L562,2)</f>
        <v>-12.28</v>
      </c>
      <c r="N562" s="16">
        <f>ROUND(J562*L562*12,2)</f>
        <v>-16.37</v>
      </c>
      <c r="O562" s="14"/>
      <c r="P562" s="210" t="str">
        <f>VLOOKUP(C562,'WO Descriptions'!$A$5:$D$345,4)</f>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
    </row>
    <row r="563" spans="1:18" outlineLevel="1">
      <c r="A563" s="223"/>
      <c r="B563" s="250"/>
      <c r="C563" s="254" t="s">
        <v>1960</v>
      </c>
      <c r="D563" s="223"/>
      <c r="E563" s="250"/>
      <c r="F563" s="223"/>
      <c r="G563" s="250"/>
      <c r="H563" s="250"/>
      <c r="I563" s="250"/>
      <c r="J563" s="251">
        <f>SUBTOTAL(9,J562:J562)</f>
        <v>-919.54</v>
      </c>
      <c r="K563" s="252"/>
      <c r="L563" s="253"/>
      <c r="M563" s="251">
        <f>SUBTOTAL(9,M562:M562)</f>
        <v>-12.28</v>
      </c>
      <c r="N563" s="251">
        <f>SUBTOTAL(9,N562:N562)</f>
        <v>-16.37</v>
      </c>
      <c r="O563" s="223"/>
      <c r="P563" s="210"/>
      <c r="Q563" s="263" t="s">
        <v>2097</v>
      </c>
      <c r="R563" s="263" t="s">
        <v>2100</v>
      </c>
    </row>
    <row r="564" spans="1:18" ht="105" outlineLevel="2">
      <c r="A564" s="18" t="s">
        <v>17</v>
      </c>
      <c r="B564" s="15" t="s">
        <v>691</v>
      </c>
      <c r="C564" s="15" t="s">
        <v>692</v>
      </c>
      <c r="D564" s="14" t="s">
        <v>693</v>
      </c>
      <c r="E564" s="15" t="s">
        <v>58</v>
      </c>
      <c r="F564" s="14" t="s">
        <v>22</v>
      </c>
      <c r="G564" s="15" t="s">
        <v>23</v>
      </c>
      <c r="H564" s="15" t="s">
        <v>1525</v>
      </c>
      <c r="I564" s="15">
        <v>201409</v>
      </c>
      <c r="J564" s="16">
        <v>-115.71</v>
      </c>
      <c r="K564" s="171">
        <f>VLOOKUP(I564,$T$9:$U$23,2)</f>
        <v>9</v>
      </c>
      <c r="L564" s="17">
        <v>1.4833299999999999E-3</v>
      </c>
      <c r="M564" s="16">
        <f>ROUND(J564*K564*L564,2)</f>
        <v>-1.54</v>
      </c>
      <c r="N564" s="16">
        <f>ROUND(J564*L564*12,2)</f>
        <v>-2.06</v>
      </c>
      <c r="O564" s="14"/>
      <c r="P564" s="210" t="str">
        <f>VLOOKUP(C564,'WO Descriptions'!$A$5:$D$345,4)</f>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
    </row>
    <row r="565" spans="1:18" outlineLevel="1">
      <c r="A565" s="225"/>
      <c r="B565" s="250"/>
      <c r="C565" s="254" t="s">
        <v>1961</v>
      </c>
      <c r="D565" s="223"/>
      <c r="E565" s="250"/>
      <c r="F565" s="223"/>
      <c r="G565" s="250"/>
      <c r="H565" s="250"/>
      <c r="I565" s="250"/>
      <c r="J565" s="251">
        <f>SUBTOTAL(9,J564:J564)</f>
        <v>-115.71</v>
      </c>
      <c r="K565" s="252"/>
      <c r="L565" s="253"/>
      <c r="M565" s="251">
        <f>SUBTOTAL(9,M564:M564)</f>
        <v>-1.54</v>
      </c>
      <c r="N565" s="251">
        <f>SUBTOTAL(9,N564:N564)</f>
        <v>-2.06</v>
      </c>
      <c r="O565" s="223"/>
      <c r="P565" s="210"/>
      <c r="Q565" s="263" t="s">
        <v>2097</v>
      </c>
      <c r="R565" s="263" t="s">
        <v>2098</v>
      </c>
    </row>
    <row r="566" spans="1:18" ht="60" outlineLevel="2">
      <c r="A566" s="18" t="s">
        <v>17</v>
      </c>
      <c r="B566" s="15" t="s">
        <v>694</v>
      </c>
      <c r="C566" s="15" t="s">
        <v>695</v>
      </c>
      <c r="D566" s="14" t="s">
        <v>696</v>
      </c>
      <c r="E566" s="15" t="s">
        <v>141</v>
      </c>
      <c r="F566" s="14" t="s">
        <v>142</v>
      </c>
      <c r="G566" s="15" t="s">
        <v>23</v>
      </c>
      <c r="H566" s="15" t="s">
        <v>1525</v>
      </c>
      <c r="I566" s="15">
        <v>201409</v>
      </c>
      <c r="J566" s="16">
        <v>-90.01</v>
      </c>
      <c r="K566" s="171">
        <f>VLOOKUP(I566,$T$9:$U$23,2)</f>
        <v>9</v>
      </c>
      <c r="L566" s="17">
        <v>1.4833299999999999E-3</v>
      </c>
      <c r="M566" s="16">
        <f>ROUND(J566*K566*L566,2)</f>
        <v>-1.2</v>
      </c>
      <c r="N566" s="16">
        <f>ROUND(J566*L566*12,2)</f>
        <v>-1.6</v>
      </c>
      <c r="O566" s="14"/>
      <c r="P566" s="210" t="str">
        <f>VLOOKUP(C566,'WO Descriptions'!$A$5:$D$345,4)</f>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
    </row>
    <row r="567" spans="1:18" outlineLevel="1">
      <c r="A567" s="225"/>
      <c r="B567" s="250"/>
      <c r="C567" s="254" t="s">
        <v>1962</v>
      </c>
      <c r="D567" s="223"/>
      <c r="E567" s="250"/>
      <c r="F567" s="223"/>
      <c r="G567" s="250"/>
      <c r="H567" s="250"/>
      <c r="I567" s="250"/>
      <c r="J567" s="251">
        <f>SUBTOTAL(9,J566:J566)</f>
        <v>-90.01</v>
      </c>
      <c r="K567" s="252"/>
      <c r="L567" s="253"/>
      <c r="M567" s="251">
        <f>SUBTOTAL(9,M566:M566)</f>
        <v>-1.2</v>
      </c>
      <c r="N567" s="251">
        <f>SUBTOTAL(9,N566:N566)</f>
        <v>-1.6</v>
      </c>
      <c r="O567" s="223"/>
      <c r="P567" s="210"/>
      <c r="Q567" s="263" t="s">
        <v>2097</v>
      </c>
      <c r="R567" s="263" t="s">
        <v>2100</v>
      </c>
    </row>
    <row r="568" spans="1:18" ht="45" outlineLevel="2">
      <c r="A568" s="18" t="s">
        <v>17</v>
      </c>
      <c r="B568" s="15" t="s">
        <v>697</v>
      </c>
      <c r="C568" s="15" t="s">
        <v>698</v>
      </c>
      <c r="D568" s="14" t="s">
        <v>699</v>
      </c>
      <c r="E568" s="15" t="s">
        <v>108</v>
      </c>
      <c r="F568" s="14" t="s">
        <v>28</v>
      </c>
      <c r="G568" s="15" t="s">
        <v>23</v>
      </c>
      <c r="H568" s="15" t="s">
        <v>1525</v>
      </c>
      <c r="I568" s="15">
        <v>201409</v>
      </c>
      <c r="J568" s="16">
        <v>-61.29</v>
      </c>
      <c r="K568" s="171">
        <f>VLOOKUP(I568,$T$9:$U$23,2)</f>
        <v>9</v>
      </c>
      <c r="L568" s="17">
        <v>1.4833299999999999E-3</v>
      </c>
      <c r="M568" s="16">
        <f>ROUND(J568*K568*L568,2)</f>
        <v>-0.82</v>
      </c>
      <c r="N568" s="16">
        <f>ROUND(J568*L568*12,2)</f>
        <v>-1.0900000000000001</v>
      </c>
      <c r="O568" s="14"/>
      <c r="P568" s="210" t="str">
        <f>VLOOKUP(C568,'WO Descriptions'!$A$5:$D$345,4)</f>
        <v>Approved by: Kevin Driskell on 10/17/2013,  Replace 75' of 2in PE (wo 1973, 73-3788) with 75'-2in PE due to steel service replacement. Was unable to access existing 2in PE that was inserted into abandoned cat iron.</v>
      </c>
    </row>
    <row r="569" spans="1:18" outlineLevel="1">
      <c r="A569" s="225"/>
      <c r="B569" s="250"/>
      <c r="C569" s="254" t="s">
        <v>1963</v>
      </c>
      <c r="D569" s="223"/>
      <c r="E569" s="250"/>
      <c r="F569" s="223"/>
      <c r="G569" s="250"/>
      <c r="H569" s="250"/>
      <c r="I569" s="250"/>
      <c r="J569" s="251">
        <f>SUBTOTAL(9,J568:J568)</f>
        <v>-61.29</v>
      </c>
      <c r="K569" s="252"/>
      <c r="L569" s="253"/>
      <c r="M569" s="251">
        <f>SUBTOTAL(9,M568:M568)</f>
        <v>-0.82</v>
      </c>
      <c r="N569" s="251">
        <f>SUBTOTAL(9,N568:N568)</f>
        <v>-1.0900000000000001</v>
      </c>
      <c r="O569" s="223"/>
      <c r="P569" s="210"/>
      <c r="Q569" s="263" t="s">
        <v>2097</v>
      </c>
      <c r="R569" s="263" t="s">
        <v>2098</v>
      </c>
    </row>
    <row r="570" spans="1:18" ht="105" outlineLevel="2">
      <c r="A570" s="18" t="s">
        <v>17</v>
      </c>
      <c r="B570" s="15" t="s">
        <v>700</v>
      </c>
      <c r="C570" s="15" t="s">
        <v>701</v>
      </c>
      <c r="D570" s="14" t="s">
        <v>702</v>
      </c>
      <c r="E570" s="15" t="s">
        <v>703</v>
      </c>
      <c r="F570" s="14" t="s">
        <v>142</v>
      </c>
      <c r="G570" s="15" t="s">
        <v>23</v>
      </c>
      <c r="H570" s="15" t="s">
        <v>1525</v>
      </c>
      <c r="I570" s="15">
        <v>201409</v>
      </c>
      <c r="J570" s="16">
        <v>-1328.44</v>
      </c>
      <c r="K570" s="171">
        <f>VLOOKUP(I570,$T$9:$U$23,2)</f>
        <v>9</v>
      </c>
      <c r="L570" s="17">
        <v>1.4833299999999999E-3</v>
      </c>
      <c r="M570" s="16">
        <f>ROUND(J570*K570*L570,2)</f>
        <v>-17.73</v>
      </c>
      <c r="N570" s="16">
        <f>ROUND(J570*L570*12,2)</f>
        <v>-23.65</v>
      </c>
      <c r="O570" s="14"/>
      <c r="P570" s="210" t="str">
        <f>VLOOKUP(C570,'WO Descriptions'!$A$5:$D$345,4)</f>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
    </row>
    <row r="571" spans="1:18" outlineLevel="1">
      <c r="A571" s="225"/>
      <c r="B571" s="250"/>
      <c r="C571" s="254" t="s">
        <v>1964</v>
      </c>
      <c r="D571" s="223"/>
      <c r="E571" s="250"/>
      <c r="F571" s="223"/>
      <c r="G571" s="250"/>
      <c r="H571" s="250"/>
      <c r="I571" s="250"/>
      <c r="J571" s="251">
        <f>SUBTOTAL(9,J570:J570)</f>
        <v>-1328.44</v>
      </c>
      <c r="K571" s="252"/>
      <c r="L571" s="253"/>
      <c r="M571" s="251">
        <f>SUBTOTAL(9,M570:M570)</f>
        <v>-17.73</v>
      </c>
      <c r="N571" s="251">
        <f>SUBTOTAL(9,N570:N570)</f>
        <v>-23.65</v>
      </c>
      <c r="O571" s="223"/>
      <c r="P571" s="210"/>
      <c r="Q571" s="263" t="s">
        <v>2097</v>
      </c>
      <c r="R571" s="263" t="s">
        <v>2100</v>
      </c>
    </row>
    <row r="572" spans="1:18" ht="105" outlineLevel="2">
      <c r="A572" s="14" t="s">
        <v>17</v>
      </c>
      <c r="B572" s="15" t="s">
        <v>704</v>
      </c>
      <c r="C572" s="15" t="s">
        <v>705</v>
      </c>
      <c r="D572" s="14" t="s">
        <v>706</v>
      </c>
      <c r="E572" s="15" t="s">
        <v>58</v>
      </c>
      <c r="F572" s="14" t="s">
        <v>22</v>
      </c>
      <c r="G572" s="15" t="s">
        <v>23</v>
      </c>
      <c r="H572" s="15" t="s">
        <v>1525</v>
      </c>
      <c r="I572" s="15">
        <v>201409</v>
      </c>
      <c r="J572" s="16">
        <v>-1908.15</v>
      </c>
      <c r="K572" s="171">
        <f>VLOOKUP(I572,$T$9:$U$23,2)</f>
        <v>9</v>
      </c>
      <c r="L572" s="17">
        <v>1.4833299999999999E-3</v>
      </c>
      <c r="M572" s="16">
        <f>ROUND(J572*K572*L572,2)</f>
        <v>-25.47</v>
      </c>
      <c r="N572" s="16">
        <f>ROUND(J572*L572*12,2)</f>
        <v>-33.96</v>
      </c>
      <c r="O572" s="14"/>
      <c r="P572" s="210" t="str">
        <f>VLOOKUP(C572,'WO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3" spans="1:18" ht="105" outlineLevel="2">
      <c r="A573" s="18" t="s">
        <v>17</v>
      </c>
      <c r="B573" s="15" t="s">
        <v>704</v>
      </c>
      <c r="C573" s="15" t="s">
        <v>705</v>
      </c>
      <c r="D573" s="14" t="s">
        <v>706</v>
      </c>
      <c r="E573" s="15" t="s">
        <v>58</v>
      </c>
      <c r="F573" s="14" t="s">
        <v>22</v>
      </c>
      <c r="G573" s="15" t="s">
        <v>23</v>
      </c>
      <c r="H573" s="15" t="s">
        <v>1525</v>
      </c>
      <c r="I573" s="15">
        <v>201411</v>
      </c>
      <c r="J573" s="16">
        <v>5238.34</v>
      </c>
      <c r="K573" s="171">
        <f>VLOOKUP(I573,$T$9:$U$23,2)</f>
        <v>7</v>
      </c>
      <c r="L573" s="17">
        <v>1.4833299999999999E-3</v>
      </c>
      <c r="M573" s="16">
        <f>ROUND(J573*K573*L573,2)</f>
        <v>54.39</v>
      </c>
      <c r="N573" s="16">
        <f>ROUND(J573*L573*12,2)</f>
        <v>93.24</v>
      </c>
      <c r="O573" s="14"/>
      <c r="P573" s="210" t="str">
        <f>VLOOKUP(C573,'WO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4" spans="1:18" ht="105" outlineLevel="2">
      <c r="A574" s="14" t="s">
        <v>17</v>
      </c>
      <c r="B574" s="15" t="s">
        <v>704</v>
      </c>
      <c r="C574" s="15" t="s">
        <v>705</v>
      </c>
      <c r="D574" s="14" t="s">
        <v>706</v>
      </c>
      <c r="E574" s="15" t="s">
        <v>58</v>
      </c>
      <c r="F574" s="14" t="s">
        <v>22</v>
      </c>
      <c r="G574" s="15" t="s">
        <v>23</v>
      </c>
      <c r="H574" s="15" t="s">
        <v>1525</v>
      </c>
      <c r="I574" s="15">
        <v>201412</v>
      </c>
      <c r="J574" s="16">
        <v>7983.95</v>
      </c>
      <c r="K574" s="171">
        <f>VLOOKUP(I574,$T$9:$U$23,2)</f>
        <v>6</v>
      </c>
      <c r="L574" s="17">
        <v>1.4833299999999999E-3</v>
      </c>
      <c r="M574" s="16">
        <f>ROUND(J574*K574*L574,2)</f>
        <v>71.06</v>
      </c>
      <c r="N574" s="16">
        <f>ROUND(J574*L574*12,2)</f>
        <v>142.11000000000001</v>
      </c>
      <c r="O574" s="14"/>
      <c r="P574" s="210" t="str">
        <f>VLOOKUP(C574,'WO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5" spans="1:18" outlineLevel="1">
      <c r="A575" s="223"/>
      <c r="B575" s="250"/>
      <c r="C575" s="254" t="s">
        <v>1965</v>
      </c>
      <c r="D575" s="223"/>
      <c r="E575" s="250"/>
      <c r="F575" s="223"/>
      <c r="G575" s="250"/>
      <c r="H575" s="250"/>
      <c r="I575" s="250"/>
      <c r="J575" s="251">
        <f>SUBTOTAL(9,J572:J574)</f>
        <v>11314.14</v>
      </c>
      <c r="K575" s="252"/>
      <c r="L575" s="253"/>
      <c r="M575" s="251">
        <f>SUBTOTAL(9,M572:M574)</f>
        <v>99.98</v>
      </c>
      <c r="N575" s="251">
        <f>SUBTOTAL(9,N572:N574)</f>
        <v>201.39000000000001</v>
      </c>
      <c r="O575" s="223"/>
      <c r="P575" s="210"/>
      <c r="Q575" s="263" t="s">
        <v>2097</v>
      </c>
      <c r="R575" s="263" t="s">
        <v>2098</v>
      </c>
    </row>
    <row r="576" spans="1:18" ht="135" outlineLevel="2">
      <c r="A576" s="18" t="s">
        <v>54</v>
      </c>
      <c r="B576" s="15" t="s">
        <v>707</v>
      </c>
      <c r="C576" s="15" t="s">
        <v>708</v>
      </c>
      <c r="D576" s="14" t="s">
        <v>709</v>
      </c>
      <c r="E576" s="15" t="s">
        <v>62</v>
      </c>
      <c r="F576" s="14" t="s">
        <v>22</v>
      </c>
      <c r="G576" s="15" t="s">
        <v>23</v>
      </c>
      <c r="H576" s="15" t="s">
        <v>1525</v>
      </c>
      <c r="I576" s="15">
        <v>201409</v>
      </c>
      <c r="J576" s="16">
        <v>-1477.33</v>
      </c>
      <c r="K576" s="171">
        <f>VLOOKUP(I576,$T$9:$U$23,2)</f>
        <v>9</v>
      </c>
      <c r="L576" s="17">
        <v>1.4833299999999999E-3</v>
      </c>
      <c r="M576" s="16">
        <f>ROUND(J576*K576*L576,2)</f>
        <v>-19.72</v>
      </c>
      <c r="N576" s="16">
        <f>ROUND(J576*L576*12,2)</f>
        <v>-26.3</v>
      </c>
      <c r="O576" s="14"/>
      <c r="P576" s="210" t="str">
        <f>VLOOKUP(C576,'WO Descriptions'!$A$5:$D$345,4)</f>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
    </row>
    <row r="577" spans="1:18" outlineLevel="1">
      <c r="A577" s="225"/>
      <c r="B577" s="250"/>
      <c r="C577" s="254" t="s">
        <v>1966</v>
      </c>
      <c r="D577" s="223"/>
      <c r="E577" s="250"/>
      <c r="F577" s="223"/>
      <c r="G577" s="250"/>
      <c r="H577" s="250"/>
      <c r="I577" s="250"/>
      <c r="J577" s="251">
        <f>SUBTOTAL(9,J576:J576)</f>
        <v>-1477.33</v>
      </c>
      <c r="K577" s="252"/>
      <c r="L577" s="253"/>
      <c r="M577" s="251">
        <f>SUBTOTAL(9,M576:M576)</f>
        <v>-19.72</v>
      </c>
      <c r="N577" s="251">
        <f>SUBTOTAL(9,N576:N576)</f>
        <v>-26.3</v>
      </c>
      <c r="O577" s="223"/>
      <c r="P577" s="210"/>
      <c r="Q577" s="263" t="s">
        <v>2097</v>
      </c>
      <c r="R577" s="263" t="s">
        <v>2098</v>
      </c>
    </row>
    <row r="578" spans="1:18" ht="90" outlineLevel="2">
      <c r="A578" s="18" t="s">
        <v>17</v>
      </c>
      <c r="B578" s="15" t="s">
        <v>710</v>
      </c>
      <c r="C578" s="15" t="s">
        <v>711</v>
      </c>
      <c r="D578" s="14" t="s">
        <v>712</v>
      </c>
      <c r="E578" s="15" t="s">
        <v>45</v>
      </c>
      <c r="F578" s="14" t="s">
        <v>22</v>
      </c>
      <c r="G578" s="15" t="s">
        <v>23</v>
      </c>
      <c r="H578" s="15" t="s">
        <v>1525</v>
      </c>
      <c r="I578" s="15">
        <v>201409</v>
      </c>
      <c r="J578" s="16">
        <v>-5845.57</v>
      </c>
      <c r="K578" s="171">
        <f>VLOOKUP(I578,$T$9:$U$23,2)</f>
        <v>9</v>
      </c>
      <c r="L578" s="17">
        <v>1.4833299999999999E-3</v>
      </c>
      <c r="M578" s="16">
        <f>ROUND(J578*K578*L578,2)</f>
        <v>-78.040000000000006</v>
      </c>
      <c r="N578" s="16">
        <f>ROUND(J578*L578*12,2)</f>
        <v>-104.05</v>
      </c>
      <c r="O578" s="14"/>
      <c r="P578" s="210" t="str">
        <f>VLOOKUP(C578,'WO Descriptions'!$A$5:$D$345,4)</f>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
    </row>
    <row r="579" spans="1:18" outlineLevel="1">
      <c r="A579" s="225"/>
      <c r="B579" s="250"/>
      <c r="C579" s="254" t="s">
        <v>1967</v>
      </c>
      <c r="D579" s="223"/>
      <c r="E579" s="250"/>
      <c r="F579" s="223"/>
      <c r="G579" s="250"/>
      <c r="H579" s="250"/>
      <c r="I579" s="250"/>
      <c r="J579" s="251">
        <f>SUBTOTAL(9,J578:J578)</f>
        <v>-5845.57</v>
      </c>
      <c r="K579" s="252"/>
      <c r="L579" s="253"/>
      <c r="M579" s="251">
        <f>SUBTOTAL(9,M578:M578)</f>
        <v>-78.040000000000006</v>
      </c>
      <c r="N579" s="251">
        <f>SUBTOTAL(9,N578:N578)</f>
        <v>-104.05</v>
      </c>
      <c r="O579" s="223"/>
      <c r="P579" s="210"/>
      <c r="Q579" s="263" t="s">
        <v>2097</v>
      </c>
      <c r="R579" s="263" t="s">
        <v>2098</v>
      </c>
    </row>
    <row r="580" spans="1:18" ht="135" outlineLevel="2">
      <c r="A580" s="18" t="s">
        <v>17</v>
      </c>
      <c r="B580" s="15" t="s">
        <v>713</v>
      </c>
      <c r="C580" s="15" t="s">
        <v>714</v>
      </c>
      <c r="D580" s="14" t="s">
        <v>715</v>
      </c>
      <c r="E580" s="15" t="s">
        <v>258</v>
      </c>
      <c r="F580" s="14" t="s">
        <v>259</v>
      </c>
      <c r="G580" s="15" t="s">
        <v>23</v>
      </c>
      <c r="H580" s="15" t="s">
        <v>1525</v>
      </c>
      <c r="I580" s="15">
        <v>201409</v>
      </c>
      <c r="J580" s="16">
        <v>-332.16</v>
      </c>
      <c r="K580" s="171">
        <f>VLOOKUP(I580,$T$9:$U$23,2)</f>
        <v>9</v>
      </c>
      <c r="L580" s="17">
        <v>1.4833299999999999E-3</v>
      </c>
      <c r="M580" s="16">
        <f>ROUND(J580*K580*L580,2)</f>
        <v>-4.43</v>
      </c>
      <c r="N580" s="16">
        <f>ROUND(J580*L580*12,2)</f>
        <v>-5.91</v>
      </c>
      <c r="O580" s="14"/>
      <c r="P580" s="210" t="str">
        <f>VLOOKUP(C580,'WO Descriptions'!$A$5:$D$345,4)</f>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
    </row>
    <row r="581" spans="1:18" outlineLevel="1">
      <c r="A581" s="225"/>
      <c r="B581" s="250"/>
      <c r="C581" s="254" t="s">
        <v>1968</v>
      </c>
      <c r="D581" s="223"/>
      <c r="E581" s="250"/>
      <c r="F581" s="223"/>
      <c r="G581" s="250"/>
      <c r="H581" s="250"/>
      <c r="I581" s="250"/>
      <c r="J581" s="251">
        <f>SUBTOTAL(9,J580:J580)</f>
        <v>-332.16</v>
      </c>
      <c r="K581" s="252"/>
      <c r="L581" s="253"/>
      <c r="M581" s="251">
        <f>SUBTOTAL(9,M580:M580)</f>
        <v>-4.43</v>
      </c>
      <c r="N581" s="251">
        <f>SUBTOTAL(9,N580:N580)</f>
        <v>-5.91</v>
      </c>
      <c r="O581" s="223"/>
      <c r="P581" s="210"/>
      <c r="Q581" s="263" t="s">
        <v>2097</v>
      </c>
      <c r="R581" s="263" t="s">
        <v>2101</v>
      </c>
    </row>
    <row r="582" spans="1:18" ht="45" outlineLevel="2">
      <c r="A582" s="18" t="s">
        <v>17</v>
      </c>
      <c r="B582" s="15" t="s">
        <v>716</v>
      </c>
      <c r="C582" s="15" t="s">
        <v>717</v>
      </c>
      <c r="D582" s="14" t="s">
        <v>718</v>
      </c>
      <c r="E582" s="15" t="s">
        <v>104</v>
      </c>
      <c r="F582" s="14" t="s">
        <v>41</v>
      </c>
      <c r="G582" s="15" t="s">
        <v>23</v>
      </c>
      <c r="H582" s="15" t="s">
        <v>1526</v>
      </c>
      <c r="I582" s="15">
        <v>201409</v>
      </c>
      <c r="J582" s="16">
        <v>-46.05</v>
      </c>
      <c r="K582" s="171">
        <f>VLOOKUP(I582,$T$9:$U$23,2)</f>
        <v>9</v>
      </c>
      <c r="L582" s="17">
        <v>1.4833299999999999E-3</v>
      </c>
      <c r="M582" s="16">
        <f>ROUND(J582*K582*L582,2)</f>
        <v>-0.61</v>
      </c>
      <c r="N582" s="16">
        <f>ROUND(J582*L582*12,2)</f>
        <v>-0.82</v>
      </c>
      <c r="O582" s="14"/>
      <c r="P582" s="210" t="str">
        <f>VLOOKUP(C582,'WO Descriptions'!$A$5:$D$345,4)</f>
        <v>Approved by: Ralph Janes on 06/28/2013,  Public Improvement Project: Lincolnwood Storm. Relocate 20' - 4in PCS (14' span with 3' legs) to avoid a new storm curb inlet. Retire 14' - 4in PCS (WO# B2183). (ISRS)</v>
      </c>
    </row>
    <row r="583" spans="1:18" outlineLevel="1">
      <c r="A583" s="225"/>
      <c r="B583" s="250"/>
      <c r="C583" s="254" t="s">
        <v>1969</v>
      </c>
      <c r="D583" s="223"/>
      <c r="E583" s="250"/>
      <c r="F583" s="223"/>
      <c r="G583" s="250"/>
      <c r="H583" s="250"/>
      <c r="I583" s="250"/>
      <c r="J583" s="251">
        <f>SUBTOTAL(9,J582:J582)</f>
        <v>-46.05</v>
      </c>
      <c r="K583" s="252"/>
      <c r="L583" s="253"/>
      <c r="M583" s="251">
        <f>SUBTOTAL(9,M582:M582)</f>
        <v>-0.61</v>
      </c>
      <c r="N583" s="251">
        <f>SUBTOTAL(9,N582:N582)</f>
        <v>-0.82</v>
      </c>
      <c r="O583" s="223"/>
      <c r="P583" s="210"/>
      <c r="Q583" s="263" t="s">
        <v>2096</v>
      </c>
    </row>
    <row r="584" spans="1:18" ht="105" outlineLevel="2">
      <c r="A584" s="18" t="s">
        <v>54</v>
      </c>
      <c r="B584" s="15" t="s">
        <v>719</v>
      </c>
      <c r="C584" s="15" t="s">
        <v>720</v>
      </c>
      <c r="D584" s="14" t="s">
        <v>721</v>
      </c>
      <c r="E584" s="15" t="s">
        <v>27</v>
      </c>
      <c r="F584" s="14" t="s">
        <v>28</v>
      </c>
      <c r="G584" s="15" t="s">
        <v>23</v>
      </c>
      <c r="H584" s="15" t="s">
        <v>1525</v>
      </c>
      <c r="I584" s="15">
        <v>201409</v>
      </c>
      <c r="J584" s="16">
        <v>-622.91</v>
      </c>
      <c r="K584" s="171">
        <f>VLOOKUP(I584,$T$9:$U$23,2)</f>
        <v>9</v>
      </c>
      <c r="L584" s="17">
        <v>1.4833299999999999E-3</v>
      </c>
      <c r="M584" s="16">
        <f>ROUND(J584*K584*L584,2)</f>
        <v>-8.32</v>
      </c>
      <c r="N584" s="16">
        <f>ROUND(J584*L584*12,2)</f>
        <v>-11.09</v>
      </c>
      <c r="O584" s="14"/>
      <c r="P584" s="210" t="str">
        <f>VLOOKUP(C584,'WO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585" spans="1:18" ht="105" outlineLevel="2">
      <c r="A585" s="14" t="s">
        <v>54</v>
      </c>
      <c r="B585" s="15" t="s">
        <v>719</v>
      </c>
      <c r="C585" s="15" t="s">
        <v>720</v>
      </c>
      <c r="D585" s="14" t="s">
        <v>721</v>
      </c>
      <c r="E585" s="15" t="s">
        <v>27</v>
      </c>
      <c r="F585" s="14" t="s">
        <v>28</v>
      </c>
      <c r="G585" s="15" t="s">
        <v>23</v>
      </c>
      <c r="H585" s="15" t="s">
        <v>1525</v>
      </c>
      <c r="I585" s="15">
        <v>201411</v>
      </c>
      <c r="J585" s="16">
        <v>0</v>
      </c>
      <c r="K585" s="171">
        <f>VLOOKUP(I585,$T$9:$U$23,2)</f>
        <v>7</v>
      </c>
      <c r="L585" s="17">
        <v>1.4833299999999999E-3</v>
      </c>
      <c r="M585" s="16">
        <f>ROUND(J585*K585*L585,2)</f>
        <v>0</v>
      </c>
      <c r="N585" s="16">
        <f>ROUND(J585*L585*12,2)</f>
        <v>0</v>
      </c>
      <c r="O585" s="14"/>
      <c r="P585" s="210" t="str">
        <f>VLOOKUP(C585,'WO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586" spans="1:18" outlineLevel="1">
      <c r="A586" s="223"/>
      <c r="B586" s="250"/>
      <c r="C586" s="254" t="s">
        <v>1970</v>
      </c>
      <c r="D586" s="223"/>
      <c r="E586" s="250"/>
      <c r="F586" s="223"/>
      <c r="G586" s="250"/>
      <c r="H586" s="250"/>
      <c r="I586" s="250"/>
      <c r="J586" s="251">
        <f>SUBTOTAL(9,J584:J585)</f>
        <v>-622.91</v>
      </c>
      <c r="K586" s="252"/>
      <c r="L586" s="253"/>
      <c r="M586" s="251">
        <f>SUBTOTAL(9,M584:M585)</f>
        <v>-8.32</v>
      </c>
      <c r="N586" s="251">
        <f>SUBTOTAL(9,N584:N585)</f>
        <v>-11.09</v>
      </c>
      <c r="O586" s="223"/>
      <c r="P586" s="210"/>
      <c r="Q586" s="263" t="s">
        <v>2097</v>
      </c>
      <c r="R586" s="263" t="s">
        <v>2099</v>
      </c>
    </row>
    <row r="587" spans="1:18" ht="105" outlineLevel="2">
      <c r="A587" s="18" t="s">
        <v>54</v>
      </c>
      <c r="B587" s="15" t="s">
        <v>722</v>
      </c>
      <c r="C587" s="15" t="s">
        <v>723</v>
      </c>
      <c r="D587" s="14" t="s">
        <v>724</v>
      </c>
      <c r="E587" s="15" t="s">
        <v>40</v>
      </c>
      <c r="F587" s="14" t="s">
        <v>41</v>
      </c>
      <c r="G587" s="15" t="s">
        <v>23</v>
      </c>
      <c r="H587" s="15" t="s">
        <v>1526</v>
      </c>
      <c r="I587" s="15">
        <v>201409</v>
      </c>
      <c r="J587" s="16">
        <v>-3374.08</v>
      </c>
      <c r="K587" s="171">
        <f>VLOOKUP(I587,$T$9:$U$23,2)</f>
        <v>9</v>
      </c>
      <c r="L587" s="17">
        <v>1.4833299999999999E-3</v>
      </c>
      <c r="M587" s="16">
        <f>ROUND(J587*K587*L587,2)</f>
        <v>-45.04</v>
      </c>
      <c r="N587" s="16">
        <f>ROUND(J587*L587*12,2)</f>
        <v>-60.06</v>
      </c>
      <c r="O587" s="14"/>
      <c r="P587" s="210" t="str">
        <f>VLOOKUP(C587,'WO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588" spans="1:18" ht="105" outlineLevel="2">
      <c r="A588" s="18" t="s">
        <v>54</v>
      </c>
      <c r="B588" s="15" t="s">
        <v>722</v>
      </c>
      <c r="C588" s="15" t="s">
        <v>723</v>
      </c>
      <c r="D588" s="14" t="s">
        <v>724</v>
      </c>
      <c r="E588" s="15" t="s">
        <v>40</v>
      </c>
      <c r="F588" s="14" t="s">
        <v>41</v>
      </c>
      <c r="G588" s="15" t="s">
        <v>23</v>
      </c>
      <c r="H588" s="15" t="s">
        <v>1526</v>
      </c>
      <c r="I588" s="15">
        <v>201410</v>
      </c>
      <c r="J588" s="16">
        <v>0</v>
      </c>
      <c r="K588" s="171">
        <f>VLOOKUP(I588,$T$9:$U$23,2)</f>
        <v>8</v>
      </c>
      <c r="L588" s="17">
        <v>1.4833299999999999E-3</v>
      </c>
      <c r="M588" s="16">
        <f>ROUND(J588*K588*L588,2)</f>
        <v>0</v>
      </c>
      <c r="N588" s="16">
        <f>ROUND(J588*L588*12,2)</f>
        <v>0</v>
      </c>
      <c r="O588" s="14"/>
      <c r="P588" s="210" t="str">
        <f>VLOOKUP(C588,'WO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589" spans="1:18" outlineLevel="1">
      <c r="A589" s="225"/>
      <c r="B589" s="250"/>
      <c r="C589" s="254" t="s">
        <v>1971</v>
      </c>
      <c r="D589" s="223"/>
      <c r="E589" s="250"/>
      <c r="F589" s="223"/>
      <c r="G589" s="250"/>
      <c r="H589" s="250"/>
      <c r="I589" s="250"/>
      <c r="J589" s="251">
        <f>SUBTOTAL(9,J587:J588)</f>
        <v>-3374.08</v>
      </c>
      <c r="K589" s="252"/>
      <c r="L589" s="253"/>
      <c r="M589" s="251">
        <f>SUBTOTAL(9,M587:M588)</f>
        <v>-45.04</v>
      </c>
      <c r="N589" s="251">
        <f>SUBTOTAL(9,N587:N588)</f>
        <v>-60.06</v>
      </c>
      <c r="O589" s="223"/>
      <c r="P589" s="210"/>
      <c r="Q589" s="263" t="s">
        <v>2096</v>
      </c>
    </row>
    <row r="590" spans="1:18" ht="60" outlineLevel="2">
      <c r="A590" s="18" t="s">
        <v>17</v>
      </c>
      <c r="B590" s="15" t="s">
        <v>725</v>
      </c>
      <c r="C590" s="15" t="s">
        <v>726</v>
      </c>
      <c r="D590" s="14" t="s">
        <v>727</v>
      </c>
      <c r="E590" s="15" t="s">
        <v>141</v>
      </c>
      <c r="F590" s="14" t="s">
        <v>142</v>
      </c>
      <c r="G590" s="15" t="s">
        <v>23</v>
      </c>
      <c r="H590" s="15" t="s">
        <v>1525</v>
      </c>
      <c r="I590" s="15">
        <v>201409</v>
      </c>
      <c r="J590" s="16">
        <v>-1433.54</v>
      </c>
      <c r="K590" s="171">
        <f>VLOOKUP(I590,$T$9:$U$23,2)</f>
        <v>9</v>
      </c>
      <c r="L590" s="17">
        <v>1.4833299999999999E-3</v>
      </c>
      <c r="M590" s="16">
        <f>ROUND(J590*K590*L590,2)</f>
        <v>-19.14</v>
      </c>
      <c r="N590" s="16">
        <f>ROUND(J590*L590*12,2)</f>
        <v>-25.52</v>
      </c>
      <c r="O590" s="14"/>
      <c r="P590" s="210" t="str">
        <f>VLOOKUP(C590,'WO Descriptions'!$A$5:$D$345,4)</f>
        <v>Approved by: Gary Williams on 10/07/2013,  AOR.  Replace 240 ft of 6in CI with 6in PE due to joint exposure.  Must be completed by Nov 21, 2013.  Replace one service.  Tie over 2 services.  See tie-in procedure.  COST PER FOOT $164.90 Retire 229'-6in CI year 1927; 11'-6in PE, yr 2012, wo 12-1682.</v>
      </c>
    </row>
    <row r="591" spans="1:18" outlineLevel="1">
      <c r="A591" s="225"/>
      <c r="B591" s="250"/>
      <c r="C591" s="254" t="s">
        <v>1972</v>
      </c>
      <c r="D591" s="223"/>
      <c r="E591" s="250"/>
      <c r="F591" s="223"/>
      <c r="G591" s="250"/>
      <c r="H591" s="250"/>
      <c r="I591" s="250"/>
      <c r="J591" s="251">
        <f>SUBTOTAL(9,J590:J590)</f>
        <v>-1433.54</v>
      </c>
      <c r="K591" s="252"/>
      <c r="L591" s="253"/>
      <c r="M591" s="251">
        <f>SUBTOTAL(9,M590:M590)</f>
        <v>-19.14</v>
      </c>
      <c r="N591" s="251">
        <f>SUBTOTAL(9,N590:N590)</f>
        <v>-25.52</v>
      </c>
      <c r="O591" s="223"/>
      <c r="P591" s="210"/>
      <c r="Q591" s="263" t="s">
        <v>2097</v>
      </c>
      <c r="R591" s="263" t="s">
        <v>2100</v>
      </c>
    </row>
    <row r="592" spans="1:18" ht="45" outlineLevel="2">
      <c r="A592" s="18" t="s">
        <v>17</v>
      </c>
      <c r="B592" s="15" t="s">
        <v>728</v>
      </c>
      <c r="C592" s="15" t="s">
        <v>729</v>
      </c>
      <c r="D592" s="14" t="s">
        <v>730</v>
      </c>
      <c r="E592" s="15" t="s">
        <v>141</v>
      </c>
      <c r="F592" s="14" t="s">
        <v>142</v>
      </c>
      <c r="G592" s="15" t="s">
        <v>23</v>
      </c>
      <c r="H592" s="15" t="s">
        <v>1525</v>
      </c>
      <c r="I592" s="15">
        <v>201409</v>
      </c>
      <c r="J592" s="16">
        <v>-505.02</v>
      </c>
      <c r="K592" s="171">
        <f>VLOOKUP(I592,$T$9:$U$23,2)</f>
        <v>9</v>
      </c>
      <c r="L592" s="17">
        <v>1.4833299999999999E-3</v>
      </c>
      <c r="M592" s="16">
        <f>ROUND(J592*K592*L592,2)</f>
        <v>-6.74</v>
      </c>
      <c r="N592" s="16">
        <f>ROUND(J592*L592*12,2)</f>
        <v>-8.99</v>
      </c>
      <c r="O592" s="14"/>
      <c r="P592" s="210" t="str">
        <f>VLOOKUP(C592,'WO Descriptions'!$A$5:$D$345,4)</f>
        <v>Approved by: Gary Williams on 01/06/2014,  AOR.  Replace 6in CI with 35'-6in PE due to parallel excavation.  Angle of Repose location: 4' WECB Denver, 5' NNLH to 16' NNLH of 425 N Denver.  This job must be completed by Mar. 18, 2014.  Retire 35'-6in CI, WO BK15P76.  Install 35'-6in PE.</v>
      </c>
    </row>
    <row r="593" spans="1:18" outlineLevel="1">
      <c r="A593" s="225"/>
      <c r="B593" s="250"/>
      <c r="C593" s="254" t="s">
        <v>1973</v>
      </c>
      <c r="D593" s="223"/>
      <c r="E593" s="250"/>
      <c r="F593" s="223"/>
      <c r="G593" s="250"/>
      <c r="H593" s="250"/>
      <c r="I593" s="250"/>
      <c r="J593" s="251">
        <f>SUBTOTAL(9,J592:J592)</f>
        <v>-505.02</v>
      </c>
      <c r="K593" s="252"/>
      <c r="L593" s="253"/>
      <c r="M593" s="251">
        <f>SUBTOTAL(9,M592:M592)</f>
        <v>-6.74</v>
      </c>
      <c r="N593" s="251">
        <f>SUBTOTAL(9,N592:N592)</f>
        <v>-8.99</v>
      </c>
      <c r="O593" s="223"/>
      <c r="P593" s="210"/>
      <c r="Q593" s="263" t="s">
        <v>2097</v>
      </c>
      <c r="R593" s="263" t="s">
        <v>2100</v>
      </c>
    </row>
    <row r="594" spans="1:18" ht="150" outlineLevel="2">
      <c r="A594" s="18" t="s">
        <v>54</v>
      </c>
      <c r="B594" s="15" t="s">
        <v>731</v>
      </c>
      <c r="C594" s="15" t="s">
        <v>732</v>
      </c>
      <c r="D594" s="14" t="s">
        <v>733</v>
      </c>
      <c r="E594" s="15" t="s">
        <v>104</v>
      </c>
      <c r="F594" s="14" t="s">
        <v>41</v>
      </c>
      <c r="G594" s="15" t="s">
        <v>23</v>
      </c>
      <c r="H594" s="15" t="s">
        <v>1526</v>
      </c>
      <c r="I594" s="15">
        <v>201409</v>
      </c>
      <c r="J594" s="16">
        <v>-1019.7</v>
      </c>
      <c r="K594" s="171">
        <f>VLOOKUP(I594,$T$9:$U$23,2)</f>
        <v>9</v>
      </c>
      <c r="L594" s="17">
        <v>1.4833299999999999E-3</v>
      </c>
      <c r="M594" s="16">
        <f>ROUND(J594*K594*L594,2)</f>
        <v>-13.61</v>
      </c>
      <c r="N594" s="16">
        <f>ROUND(J594*L594*12,2)</f>
        <v>-18.149999999999999</v>
      </c>
      <c r="O594" s="14"/>
      <c r="P594" s="210" t="str">
        <f>VLOOKUP(C594,'WO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595" spans="1:18" ht="150" outlineLevel="2">
      <c r="A595" s="18" t="s">
        <v>54</v>
      </c>
      <c r="B595" s="15" t="s">
        <v>731</v>
      </c>
      <c r="C595" s="15" t="s">
        <v>732</v>
      </c>
      <c r="D595" s="14" t="s">
        <v>733</v>
      </c>
      <c r="E595" s="15" t="s">
        <v>104</v>
      </c>
      <c r="F595" s="14" t="s">
        <v>41</v>
      </c>
      <c r="G595" s="15" t="s">
        <v>23</v>
      </c>
      <c r="H595" s="15" t="s">
        <v>1526</v>
      </c>
      <c r="I595" s="15">
        <v>201410</v>
      </c>
      <c r="J595" s="16">
        <v>0</v>
      </c>
      <c r="K595" s="171">
        <f>VLOOKUP(I595,$T$9:$U$23,2)</f>
        <v>8</v>
      </c>
      <c r="L595" s="17">
        <v>1.4833299999999999E-3</v>
      </c>
      <c r="M595" s="16">
        <f>ROUND(J595*K595*L595,2)</f>
        <v>0</v>
      </c>
      <c r="N595" s="16">
        <f>ROUND(J595*L595*12,2)</f>
        <v>0</v>
      </c>
      <c r="O595" s="14"/>
      <c r="P595" s="210" t="str">
        <f>VLOOKUP(C595,'WO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596" spans="1:18" outlineLevel="1">
      <c r="A596" s="225"/>
      <c r="B596" s="250"/>
      <c r="C596" s="254" t="s">
        <v>1974</v>
      </c>
      <c r="D596" s="223"/>
      <c r="E596" s="250"/>
      <c r="F596" s="223"/>
      <c r="G596" s="250"/>
      <c r="H596" s="250"/>
      <c r="I596" s="250"/>
      <c r="J596" s="251">
        <f>SUBTOTAL(9,J594:J595)</f>
        <v>-1019.7</v>
      </c>
      <c r="K596" s="252"/>
      <c r="L596" s="253"/>
      <c r="M596" s="251">
        <f>SUBTOTAL(9,M594:M595)</f>
        <v>-13.61</v>
      </c>
      <c r="N596" s="251">
        <f>SUBTOTAL(9,N594:N595)</f>
        <v>-18.149999999999999</v>
      </c>
      <c r="O596" s="223"/>
      <c r="P596" s="210"/>
      <c r="Q596" s="263" t="s">
        <v>2096</v>
      </c>
    </row>
    <row r="597" spans="1:18" ht="90" outlineLevel="2">
      <c r="A597" s="14" t="s">
        <v>17</v>
      </c>
      <c r="B597" s="15" t="s">
        <v>1033</v>
      </c>
      <c r="C597" s="15" t="s">
        <v>1034</v>
      </c>
      <c r="D597" s="14" t="s">
        <v>1035</v>
      </c>
      <c r="E597" s="15" t="s">
        <v>58</v>
      </c>
      <c r="F597" s="14" t="s">
        <v>22</v>
      </c>
      <c r="G597" s="15" t="s">
        <v>23</v>
      </c>
      <c r="H597" s="15" t="s">
        <v>1525</v>
      </c>
      <c r="I597" s="15">
        <v>201412</v>
      </c>
      <c r="J597" s="16">
        <v>192036.17</v>
      </c>
      <c r="K597" s="171">
        <f>VLOOKUP(I597,$T$9:$U$23,2)</f>
        <v>6</v>
      </c>
      <c r="L597" s="17">
        <v>1.4833299999999999E-3</v>
      </c>
      <c r="M597" s="16">
        <f>ROUND(J597*K597*L597,2)</f>
        <v>1709.12</v>
      </c>
      <c r="N597" s="16">
        <f>ROUND(J597*L597*12,2)</f>
        <v>3418.24</v>
      </c>
      <c r="O597" s="14"/>
      <c r="P597" s="210" t="str">
        <f>VLOOKUP(C597,'WO Descriptions'!$A$5:$D$345,4)</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row>
    <row r="598" spans="1:18" outlineLevel="1">
      <c r="A598" s="223"/>
      <c r="B598" s="250"/>
      <c r="C598" s="254" t="s">
        <v>1975</v>
      </c>
      <c r="D598" s="223"/>
      <c r="E598" s="250"/>
      <c r="F598" s="223"/>
      <c r="G598" s="250"/>
      <c r="H598" s="250"/>
      <c r="I598" s="250"/>
      <c r="J598" s="251">
        <f>SUBTOTAL(9,J597:J597)</f>
        <v>192036.17</v>
      </c>
      <c r="K598" s="252"/>
      <c r="L598" s="253"/>
      <c r="M598" s="251">
        <f>SUBTOTAL(9,M597:M597)</f>
        <v>1709.12</v>
      </c>
      <c r="N598" s="251">
        <f>SUBTOTAL(9,N597:N597)</f>
        <v>3418.24</v>
      </c>
      <c r="O598" s="223"/>
      <c r="P598" s="210"/>
      <c r="Q598" s="263" t="s">
        <v>2097</v>
      </c>
      <c r="R598" s="263" t="s">
        <v>2098</v>
      </c>
    </row>
    <row r="599" spans="1:18" ht="60" outlineLevel="2">
      <c r="A599" s="14" t="s">
        <v>66</v>
      </c>
      <c r="B599" s="15" t="s">
        <v>734</v>
      </c>
      <c r="C599" s="15" t="s">
        <v>735</v>
      </c>
      <c r="D599" s="14" t="s">
        <v>736</v>
      </c>
      <c r="E599" s="15" t="s">
        <v>737</v>
      </c>
      <c r="F599" s="14" t="s">
        <v>624</v>
      </c>
      <c r="G599" s="15" t="s">
        <v>23</v>
      </c>
      <c r="H599" s="15" t="s">
        <v>1527</v>
      </c>
      <c r="I599" s="15">
        <v>201409</v>
      </c>
      <c r="J599" s="16">
        <v>-44.18</v>
      </c>
      <c r="K599" s="171">
        <f>VLOOKUP(I599,$T$9:$U$23,2)</f>
        <v>9</v>
      </c>
      <c r="L599" s="17">
        <v>2.23333E-3</v>
      </c>
      <c r="M599" s="16">
        <f>ROUND(J599*K599*L599,2)</f>
        <v>-0.89</v>
      </c>
      <c r="N599" s="16">
        <f>ROUND(J599*L599*12,2)</f>
        <v>-1.18</v>
      </c>
      <c r="O599" s="14"/>
      <c r="P599" s="210" t="str">
        <f>VLOOKUP(C599,'WO Descriptions'!$A$5:$D$345,4)</f>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
    </row>
    <row r="600" spans="1:18" outlineLevel="1">
      <c r="A600" s="223"/>
      <c r="B600" s="250"/>
      <c r="C600" s="254" t="s">
        <v>1976</v>
      </c>
      <c r="D600" s="223"/>
      <c r="E600" s="250"/>
      <c r="F600" s="223"/>
      <c r="G600" s="250"/>
      <c r="H600" s="250"/>
      <c r="I600" s="250"/>
      <c r="J600" s="251">
        <f>SUBTOTAL(9,J599:J599)</f>
        <v>-44.18</v>
      </c>
      <c r="K600" s="252"/>
      <c r="L600" s="253"/>
      <c r="M600" s="251">
        <f>SUBTOTAL(9,M599:M599)</f>
        <v>-0.89</v>
      </c>
      <c r="N600" s="251">
        <f>SUBTOTAL(9,N599:N599)</f>
        <v>-1.18</v>
      </c>
      <c r="O600" s="223"/>
      <c r="P600" s="210"/>
      <c r="Q600" s="263" t="s">
        <v>2097</v>
      </c>
      <c r="R600" s="263" t="s">
        <v>2104</v>
      </c>
    </row>
    <row r="601" spans="1:18" ht="30" outlineLevel="2">
      <c r="A601" s="211" t="s">
        <v>66</v>
      </c>
      <c r="B601" s="212" t="s">
        <v>738</v>
      </c>
      <c r="C601" s="212" t="s">
        <v>739</v>
      </c>
      <c r="D601" s="211" t="s">
        <v>69</v>
      </c>
      <c r="E601" s="212" t="s">
        <v>740</v>
      </c>
      <c r="F601" s="211" t="s">
        <v>71</v>
      </c>
      <c r="G601" s="212" t="s">
        <v>23</v>
      </c>
      <c r="H601" s="212" t="s">
        <v>1530</v>
      </c>
      <c r="I601" s="212">
        <v>201409</v>
      </c>
      <c r="J601" s="213">
        <v>29.7</v>
      </c>
      <c r="K601" s="171">
        <f>VLOOKUP(I601,$T$9:$U$23,2)</f>
        <v>9</v>
      </c>
      <c r="L601" s="214">
        <v>2.23333E-3</v>
      </c>
      <c r="M601" s="213">
        <f>ROUND(J601*K601*L601,2)</f>
        <v>0.6</v>
      </c>
      <c r="N601" s="213">
        <f>ROUND(J601*L601*12,2)</f>
        <v>0.8</v>
      </c>
      <c r="O601" s="14"/>
      <c r="P601" s="210" t="str">
        <f>VLOOKUP(C601,'WO Descriptions'!$A$5:$D$345,4)</f>
        <v>Service/Yard Line Replacement (SLRP): Company Crew.  Immediate response - replacement single unprotected steel or copper  (Joplin - South Region)</v>
      </c>
    </row>
    <row r="602" spans="1:18" outlineLevel="1">
      <c r="A602" s="256"/>
      <c r="B602" s="257"/>
      <c r="C602" s="260" t="s">
        <v>1977</v>
      </c>
      <c r="D602" s="256"/>
      <c r="E602" s="257"/>
      <c r="F602" s="256"/>
      <c r="G602" s="257"/>
      <c r="H602" s="257"/>
      <c r="I602" s="257"/>
      <c r="J602" s="258">
        <f>SUBTOTAL(9,J601:J601)</f>
        <v>29.7</v>
      </c>
      <c r="K602" s="252"/>
      <c r="L602" s="259"/>
      <c r="M602" s="258">
        <f>SUBTOTAL(9,M601:M601)</f>
        <v>0.6</v>
      </c>
      <c r="N602" s="258">
        <f>SUBTOTAL(9,N601:N601)</f>
        <v>0.8</v>
      </c>
      <c r="O602" s="223"/>
      <c r="P602" s="210"/>
      <c r="Q602" s="263" t="s">
        <v>2097</v>
      </c>
      <c r="R602" s="263" t="s">
        <v>2102</v>
      </c>
    </row>
    <row r="603" spans="1:18" ht="30" outlineLevel="2">
      <c r="A603" s="211" t="s">
        <v>66</v>
      </c>
      <c r="B603" s="212" t="s">
        <v>741</v>
      </c>
      <c r="C603" s="212" t="s">
        <v>742</v>
      </c>
      <c r="D603" s="211" t="s">
        <v>69</v>
      </c>
      <c r="E603" s="212" t="s">
        <v>70</v>
      </c>
      <c r="F603" s="211" t="s">
        <v>71</v>
      </c>
      <c r="G603" s="212" t="s">
        <v>23</v>
      </c>
      <c r="H603" s="212" t="s">
        <v>1530</v>
      </c>
      <c r="I603" s="212">
        <v>201409</v>
      </c>
      <c r="J603" s="213">
        <v>1203.8</v>
      </c>
      <c r="K603" s="171">
        <f>VLOOKUP(I603,$T$9:$U$23,2)</f>
        <v>9</v>
      </c>
      <c r="L603" s="214">
        <v>2.23333E-3</v>
      </c>
      <c r="M603" s="213">
        <f>ROUND(J603*K603*L603,2)</f>
        <v>24.2</v>
      </c>
      <c r="N603" s="213">
        <f>ROUND(J603*L603*12,2)</f>
        <v>32.26</v>
      </c>
      <c r="O603" s="14"/>
      <c r="P603" s="210" t="str">
        <f>VLOOKUP(C603,'WO Descriptions'!$A$5:$D$345,4)</f>
        <v>Service/Yard Line Replacement (SLRP): Company Crew.  Immediate response - replacement single unprotected steel or copper  (Lee's Summit - East Region)</v>
      </c>
    </row>
    <row r="604" spans="1:18" ht="30" outlineLevel="2">
      <c r="A604" s="211" t="s">
        <v>66</v>
      </c>
      <c r="B604" s="212" t="s">
        <v>741</v>
      </c>
      <c r="C604" s="212" t="s">
        <v>742</v>
      </c>
      <c r="D604" s="211" t="s">
        <v>69</v>
      </c>
      <c r="E604" s="212" t="s">
        <v>70</v>
      </c>
      <c r="F604" s="211" t="s">
        <v>71</v>
      </c>
      <c r="G604" s="212" t="s">
        <v>23</v>
      </c>
      <c r="H604" s="212" t="s">
        <v>1530</v>
      </c>
      <c r="I604" s="212">
        <v>201411</v>
      </c>
      <c r="J604" s="213">
        <v>-127.08</v>
      </c>
      <c r="K604" s="171">
        <f>VLOOKUP(I604,$T$9:$U$23,2)</f>
        <v>7</v>
      </c>
      <c r="L604" s="214">
        <v>2.23333E-3</v>
      </c>
      <c r="M604" s="213">
        <f>ROUND(J604*K604*L604,2)</f>
        <v>-1.99</v>
      </c>
      <c r="N604" s="213">
        <f>ROUND(J604*L604*12,2)</f>
        <v>-3.41</v>
      </c>
      <c r="O604" s="14"/>
      <c r="P604" s="210" t="str">
        <f>VLOOKUP(C604,'WO Descriptions'!$A$5:$D$345,4)</f>
        <v>Service/Yard Line Replacement (SLRP): Company Crew.  Immediate response - replacement single unprotected steel or copper  (Lee's Summit - East Region)</v>
      </c>
    </row>
    <row r="605" spans="1:18" ht="30" outlineLevel="2">
      <c r="A605" s="211" t="s">
        <v>66</v>
      </c>
      <c r="B605" s="212" t="s">
        <v>741</v>
      </c>
      <c r="C605" s="212" t="s">
        <v>742</v>
      </c>
      <c r="D605" s="211" t="s">
        <v>69</v>
      </c>
      <c r="E605" s="212" t="s">
        <v>70</v>
      </c>
      <c r="F605" s="211" t="s">
        <v>71</v>
      </c>
      <c r="G605" s="212" t="s">
        <v>23</v>
      </c>
      <c r="H605" s="212" t="s">
        <v>1530</v>
      </c>
      <c r="I605" s="212">
        <v>201412</v>
      </c>
      <c r="J605" s="213">
        <v>8.01</v>
      </c>
      <c r="K605" s="171">
        <f>VLOOKUP(I605,$T$9:$U$23,2)</f>
        <v>6</v>
      </c>
      <c r="L605" s="214">
        <v>2.23333E-3</v>
      </c>
      <c r="M605" s="213">
        <f>ROUND(J605*K605*L605,2)</f>
        <v>0.11</v>
      </c>
      <c r="N605" s="213">
        <f>ROUND(J605*L605*12,2)</f>
        <v>0.21</v>
      </c>
      <c r="O605" s="14"/>
      <c r="P605" s="210" t="str">
        <f>VLOOKUP(C605,'WO Descriptions'!$A$5:$D$345,4)</f>
        <v>Service/Yard Line Replacement (SLRP): Company Crew.  Immediate response - replacement single unprotected steel or copper  (Lee's Summit - East Region)</v>
      </c>
    </row>
    <row r="606" spans="1:18" outlineLevel="1">
      <c r="A606" s="256"/>
      <c r="B606" s="257"/>
      <c r="C606" s="260" t="s">
        <v>1978</v>
      </c>
      <c r="D606" s="256"/>
      <c r="E606" s="257"/>
      <c r="F606" s="256"/>
      <c r="G606" s="257"/>
      <c r="H606" s="257"/>
      <c r="I606" s="257"/>
      <c r="J606" s="258">
        <f>SUBTOTAL(9,J603:J605)</f>
        <v>1084.73</v>
      </c>
      <c r="K606" s="252"/>
      <c r="L606" s="259"/>
      <c r="M606" s="258">
        <f>SUBTOTAL(9,M603:M605)</f>
        <v>22.32</v>
      </c>
      <c r="N606" s="258">
        <f>SUBTOTAL(9,N603:N605)</f>
        <v>29.06</v>
      </c>
      <c r="O606" s="223"/>
      <c r="P606" s="210"/>
      <c r="Q606" s="263" t="s">
        <v>2097</v>
      </c>
      <c r="R606" s="263" t="s">
        <v>2102</v>
      </c>
    </row>
    <row r="607" spans="1:18" ht="30" outlineLevel="2">
      <c r="A607" s="211" t="s">
        <v>66</v>
      </c>
      <c r="B607" s="212" t="s">
        <v>743</v>
      </c>
      <c r="C607" s="212" t="s">
        <v>744</v>
      </c>
      <c r="D607" s="211" t="s">
        <v>745</v>
      </c>
      <c r="E607" s="212" t="s">
        <v>746</v>
      </c>
      <c r="F607" s="211" t="s">
        <v>80</v>
      </c>
      <c r="G607" s="212" t="s">
        <v>23</v>
      </c>
      <c r="H607" s="212" t="s">
        <v>1530</v>
      </c>
      <c r="I607" s="212">
        <v>201409</v>
      </c>
      <c r="J607" s="213">
        <v>47053.64</v>
      </c>
      <c r="K607" s="171">
        <f>VLOOKUP(I607,$T$9:$U$23,2)</f>
        <v>9</v>
      </c>
      <c r="L607" s="214">
        <v>2.23333E-3</v>
      </c>
      <c r="M607" s="213">
        <f>ROUND(J607*K607*L607,2)</f>
        <v>945.78</v>
      </c>
      <c r="N607" s="213">
        <f>ROUND(J607*L607*12,2)</f>
        <v>1261.04</v>
      </c>
      <c r="O607" s="14"/>
      <c r="P607" s="210" t="str">
        <f>VLOOKUP(C607,'WO Descriptions'!$A$5:$D$345,4)</f>
        <v>Service/Yard Line Replacement (SLRP): Contract Crew.  Modified Block by Block - Planned replacement of unprotected steel or copper  (Kansas City - Central Region)</v>
      </c>
    </row>
    <row r="608" spans="1:18" ht="30" outlineLevel="2">
      <c r="A608" s="211" t="s">
        <v>66</v>
      </c>
      <c r="B608" s="212" t="s">
        <v>743</v>
      </c>
      <c r="C608" s="212" t="s">
        <v>744</v>
      </c>
      <c r="D608" s="211" t="s">
        <v>745</v>
      </c>
      <c r="E608" s="212" t="s">
        <v>746</v>
      </c>
      <c r="F608" s="211" t="s">
        <v>80</v>
      </c>
      <c r="G608" s="212" t="s">
        <v>23</v>
      </c>
      <c r="H608" s="212" t="s">
        <v>1530</v>
      </c>
      <c r="I608" s="212">
        <v>201410</v>
      </c>
      <c r="J608" s="213">
        <v>49038.54</v>
      </c>
      <c r="K608" s="171">
        <f>VLOOKUP(I608,$T$9:$U$23,2)</f>
        <v>8</v>
      </c>
      <c r="L608" s="214">
        <v>2.23333E-3</v>
      </c>
      <c r="M608" s="213">
        <f>ROUND(J608*K608*L608,2)</f>
        <v>876.15</v>
      </c>
      <c r="N608" s="213">
        <f>ROUND(J608*L608*12,2)</f>
        <v>1314.23</v>
      </c>
      <c r="O608" s="14"/>
      <c r="P608" s="210" t="str">
        <f>VLOOKUP(C608,'WO Descriptions'!$A$5:$D$345,4)</f>
        <v>Service/Yard Line Replacement (SLRP): Contract Crew.  Modified Block by Block - Planned replacement of unprotected steel or copper  (Kansas City - Central Region)</v>
      </c>
    </row>
    <row r="609" spans="1:18" ht="30" outlineLevel="2">
      <c r="A609" s="211" t="s">
        <v>66</v>
      </c>
      <c r="B609" s="212" t="s">
        <v>743</v>
      </c>
      <c r="C609" s="212" t="s">
        <v>744</v>
      </c>
      <c r="D609" s="211" t="s">
        <v>745</v>
      </c>
      <c r="E609" s="212" t="s">
        <v>746</v>
      </c>
      <c r="F609" s="211" t="s">
        <v>80</v>
      </c>
      <c r="G609" s="212" t="s">
        <v>23</v>
      </c>
      <c r="H609" s="212" t="s">
        <v>1530</v>
      </c>
      <c r="I609" s="212">
        <v>201411</v>
      </c>
      <c r="J609" s="213">
        <v>8037.46</v>
      </c>
      <c r="K609" s="171">
        <f>VLOOKUP(I609,$T$9:$U$23,2)</f>
        <v>7</v>
      </c>
      <c r="L609" s="214">
        <v>2.23333E-3</v>
      </c>
      <c r="M609" s="213">
        <f>ROUND(J609*K609*L609,2)</f>
        <v>125.65</v>
      </c>
      <c r="N609" s="213">
        <f>ROUND(J609*L609*12,2)</f>
        <v>215.4</v>
      </c>
      <c r="O609" s="14"/>
      <c r="P609" s="210" t="str">
        <f>VLOOKUP(C609,'WO Descriptions'!$A$5:$D$345,4)</f>
        <v>Service/Yard Line Replacement (SLRP): Contract Crew.  Modified Block by Block - Planned replacement of unprotected steel or copper  (Kansas City - Central Region)</v>
      </c>
    </row>
    <row r="610" spans="1:18" ht="30" outlineLevel="2">
      <c r="A610" s="211" t="s">
        <v>66</v>
      </c>
      <c r="B610" s="212" t="s">
        <v>743</v>
      </c>
      <c r="C610" s="212" t="s">
        <v>744</v>
      </c>
      <c r="D610" s="211" t="s">
        <v>745</v>
      </c>
      <c r="E610" s="212" t="s">
        <v>746</v>
      </c>
      <c r="F610" s="211" t="s">
        <v>80</v>
      </c>
      <c r="G610" s="212" t="s">
        <v>23</v>
      </c>
      <c r="H610" s="212" t="s">
        <v>1530</v>
      </c>
      <c r="I610" s="212">
        <v>201412</v>
      </c>
      <c r="J610" s="213">
        <v>-3814.16</v>
      </c>
      <c r="K610" s="171">
        <f>VLOOKUP(I610,$T$9:$U$23,2)</f>
        <v>6</v>
      </c>
      <c r="L610" s="214">
        <v>2.23333E-3</v>
      </c>
      <c r="M610" s="213">
        <f>ROUND(J610*K610*L610,2)</f>
        <v>-51.11</v>
      </c>
      <c r="N610" s="213">
        <f>ROUND(J610*L610*12,2)</f>
        <v>-102.22</v>
      </c>
      <c r="O610" s="14"/>
      <c r="P610" s="210" t="str">
        <f>VLOOKUP(C610,'WO Descriptions'!$A$5:$D$345,4)</f>
        <v>Service/Yard Line Replacement (SLRP): Contract Crew.  Modified Block by Block - Planned replacement of unprotected steel or copper  (Kansas City - Central Region)</v>
      </c>
    </row>
    <row r="611" spans="1:18" outlineLevel="1">
      <c r="A611" s="256"/>
      <c r="B611" s="257"/>
      <c r="C611" s="260" t="s">
        <v>1979</v>
      </c>
      <c r="D611" s="256"/>
      <c r="E611" s="257"/>
      <c r="F611" s="256"/>
      <c r="G611" s="257"/>
      <c r="H611" s="257"/>
      <c r="I611" s="257"/>
      <c r="J611" s="258">
        <f>SUBTOTAL(9,J607:J610)</f>
        <v>100315.48</v>
      </c>
      <c r="K611" s="252"/>
      <c r="L611" s="259"/>
      <c r="M611" s="258">
        <f>SUBTOTAL(9,M607:M610)</f>
        <v>1896.47</v>
      </c>
      <c r="N611" s="258">
        <f>SUBTOTAL(9,N607:N610)</f>
        <v>2688.4500000000003</v>
      </c>
      <c r="O611" s="223"/>
      <c r="P611" s="210"/>
      <c r="Q611" s="263" t="s">
        <v>2097</v>
      </c>
      <c r="R611" s="263" t="s">
        <v>2102</v>
      </c>
    </row>
    <row r="612" spans="1:18" ht="30" outlineLevel="2">
      <c r="A612" s="211" t="s">
        <v>66</v>
      </c>
      <c r="B612" s="212" t="s">
        <v>747</v>
      </c>
      <c r="C612" s="212" t="s">
        <v>748</v>
      </c>
      <c r="D612" s="211" t="s">
        <v>78</v>
      </c>
      <c r="E612" s="212" t="s">
        <v>749</v>
      </c>
      <c r="F612" s="211" t="s">
        <v>80</v>
      </c>
      <c r="G612" s="212" t="s">
        <v>23</v>
      </c>
      <c r="H612" s="212" t="s">
        <v>1530</v>
      </c>
      <c r="I612" s="212">
        <v>201409</v>
      </c>
      <c r="J612" s="213">
        <v>103995.5</v>
      </c>
      <c r="K612" s="171">
        <f>VLOOKUP(I612,$T$9:$U$23,2)</f>
        <v>9</v>
      </c>
      <c r="L612" s="214">
        <v>2.23333E-3</v>
      </c>
      <c r="M612" s="213">
        <f>ROUND(J612*K612*L612,2)</f>
        <v>2090.31</v>
      </c>
      <c r="N612" s="213">
        <f>ROUND(J612*L612*12,2)</f>
        <v>2787.08</v>
      </c>
      <c r="O612" s="14"/>
      <c r="P612" s="210" t="str">
        <f>VLOOKUP(C612,'WO Descriptions'!$A$5:$D$345,4)</f>
        <v>Service/Yard Line Replacement (SLRP): Contract Crew.  Modified Block by Block - Planned replacement of unprotected steel or copper  (Joplin - South Region)</v>
      </c>
    </row>
    <row r="613" spans="1:18" ht="30" outlineLevel="2">
      <c r="A613" s="211" t="s">
        <v>66</v>
      </c>
      <c r="B613" s="212" t="s">
        <v>747</v>
      </c>
      <c r="C613" s="212" t="s">
        <v>748</v>
      </c>
      <c r="D613" s="211" t="s">
        <v>78</v>
      </c>
      <c r="E613" s="212" t="s">
        <v>749</v>
      </c>
      <c r="F613" s="211" t="s">
        <v>80</v>
      </c>
      <c r="G613" s="212" t="s">
        <v>23</v>
      </c>
      <c r="H613" s="212" t="s">
        <v>1530</v>
      </c>
      <c r="I613" s="212">
        <v>201410</v>
      </c>
      <c r="J613" s="213">
        <v>26052.94</v>
      </c>
      <c r="K613" s="171">
        <f>VLOOKUP(I613,$T$9:$U$23,2)</f>
        <v>8</v>
      </c>
      <c r="L613" s="214">
        <v>2.23333E-3</v>
      </c>
      <c r="M613" s="213">
        <f>ROUND(J613*K613*L613,2)</f>
        <v>465.48</v>
      </c>
      <c r="N613" s="213">
        <f>ROUND(J613*L613*12,2)</f>
        <v>698.22</v>
      </c>
      <c r="O613" s="14"/>
      <c r="P613" s="210" t="str">
        <f>VLOOKUP(C613,'WO Descriptions'!$A$5:$D$345,4)</f>
        <v>Service/Yard Line Replacement (SLRP): Contract Crew.  Modified Block by Block - Planned replacement of unprotected steel or copper  (Joplin - South Region)</v>
      </c>
    </row>
    <row r="614" spans="1:18" ht="30" outlineLevel="2">
      <c r="A614" s="211" t="s">
        <v>66</v>
      </c>
      <c r="B614" s="212" t="s">
        <v>747</v>
      </c>
      <c r="C614" s="212" t="s">
        <v>748</v>
      </c>
      <c r="D614" s="211" t="s">
        <v>78</v>
      </c>
      <c r="E614" s="212" t="s">
        <v>749</v>
      </c>
      <c r="F614" s="211" t="s">
        <v>80</v>
      </c>
      <c r="G614" s="212" t="s">
        <v>23</v>
      </c>
      <c r="H614" s="212" t="s">
        <v>1530</v>
      </c>
      <c r="I614" s="212">
        <v>201411</v>
      </c>
      <c r="J614" s="213">
        <v>-983.36</v>
      </c>
      <c r="K614" s="171">
        <f>VLOOKUP(I614,$T$9:$U$23,2)</f>
        <v>7</v>
      </c>
      <c r="L614" s="214">
        <v>2.23333E-3</v>
      </c>
      <c r="M614" s="213">
        <f>ROUND(J614*K614*L614,2)</f>
        <v>-15.37</v>
      </c>
      <c r="N614" s="213">
        <f>ROUND(J614*L614*12,2)</f>
        <v>-26.35</v>
      </c>
      <c r="O614" s="14"/>
      <c r="P614" s="210" t="str">
        <f>VLOOKUP(C614,'WO Descriptions'!$A$5:$D$345,4)</f>
        <v>Service/Yard Line Replacement (SLRP): Contract Crew.  Modified Block by Block - Planned replacement of unprotected steel or copper  (Joplin - South Region)</v>
      </c>
    </row>
    <row r="615" spans="1:18" ht="30" outlineLevel="2">
      <c r="A615" s="211" t="s">
        <v>66</v>
      </c>
      <c r="B615" s="212" t="s">
        <v>747</v>
      </c>
      <c r="C615" s="212" t="s">
        <v>748</v>
      </c>
      <c r="D615" s="211" t="s">
        <v>78</v>
      </c>
      <c r="E615" s="212" t="s">
        <v>749</v>
      </c>
      <c r="F615" s="211" t="s">
        <v>80</v>
      </c>
      <c r="G615" s="212" t="s">
        <v>23</v>
      </c>
      <c r="H615" s="212" t="s">
        <v>1530</v>
      </c>
      <c r="I615" s="212">
        <v>201412</v>
      </c>
      <c r="J615" s="213">
        <v>8776.2099999999991</v>
      </c>
      <c r="K615" s="171">
        <f>VLOOKUP(I615,$T$9:$U$23,2)</f>
        <v>6</v>
      </c>
      <c r="L615" s="214">
        <v>2.23333E-3</v>
      </c>
      <c r="M615" s="213">
        <f>ROUND(J615*K615*L615,2)</f>
        <v>117.6</v>
      </c>
      <c r="N615" s="213">
        <f>ROUND(J615*L615*12,2)</f>
        <v>235.2</v>
      </c>
      <c r="O615" s="14"/>
      <c r="P615" s="210" t="str">
        <f>VLOOKUP(C615,'WO Descriptions'!$A$5:$D$345,4)</f>
        <v>Service/Yard Line Replacement (SLRP): Contract Crew.  Modified Block by Block - Planned replacement of unprotected steel or copper  (Joplin - South Region)</v>
      </c>
    </row>
    <row r="616" spans="1:18" outlineLevel="1">
      <c r="A616" s="256"/>
      <c r="B616" s="257"/>
      <c r="C616" s="260" t="s">
        <v>1980</v>
      </c>
      <c r="D616" s="256"/>
      <c r="E616" s="257"/>
      <c r="F616" s="256"/>
      <c r="G616" s="257"/>
      <c r="H616" s="257"/>
      <c r="I616" s="257"/>
      <c r="J616" s="258">
        <f>SUBTOTAL(9,J612:J615)</f>
        <v>137841.29</v>
      </c>
      <c r="K616" s="252"/>
      <c r="L616" s="259"/>
      <c r="M616" s="258">
        <f>SUBTOTAL(9,M612:M615)</f>
        <v>2658.02</v>
      </c>
      <c r="N616" s="258">
        <f>SUBTOTAL(9,N612:N615)</f>
        <v>3694.15</v>
      </c>
      <c r="O616" s="223"/>
      <c r="P616" s="210"/>
      <c r="Q616" s="263" t="s">
        <v>2097</v>
      </c>
      <c r="R616" s="263" t="s">
        <v>2102</v>
      </c>
    </row>
    <row r="617" spans="1:18" ht="30" outlineLevel="2">
      <c r="A617" s="211" t="s">
        <v>66</v>
      </c>
      <c r="B617" s="212" t="s">
        <v>750</v>
      </c>
      <c r="C617" s="212" t="s">
        <v>751</v>
      </c>
      <c r="D617" s="211" t="s">
        <v>78</v>
      </c>
      <c r="E617" s="212" t="s">
        <v>752</v>
      </c>
      <c r="F617" s="211" t="s">
        <v>80</v>
      </c>
      <c r="G617" s="212" t="s">
        <v>23</v>
      </c>
      <c r="H617" s="212" t="s">
        <v>1530</v>
      </c>
      <c r="I617" s="212">
        <v>201409</v>
      </c>
      <c r="J617" s="213">
        <v>-0.62</v>
      </c>
      <c r="K617" s="171">
        <f>VLOOKUP(I617,$T$9:$U$23,2)</f>
        <v>9</v>
      </c>
      <c r="L617" s="214">
        <v>2.23333E-3</v>
      </c>
      <c r="M617" s="213">
        <f>ROUND(J617*K617*L617,2)</f>
        <v>-0.01</v>
      </c>
      <c r="N617" s="213">
        <f>ROUND(J617*L617*12,2)</f>
        <v>-0.02</v>
      </c>
      <c r="O617" s="14"/>
      <c r="P617" s="210" t="str">
        <f>VLOOKUP(C617,'WO Descriptions'!$A$5:$D$345,4)</f>
        <v>Service/Yard Line Replacement (SLRP): Contract Crew.  Modified Block by Block - Planned replacement of unprotected steel or copper  (St. Joseph)</v>
      </c>
    </row>
    <row r="618" spans="1:18" ht="30" outlineLevel="2">
      <c r="A618" s="211" t="s">
        <v>66</v>
      </c>
      <c r="B618" s="212" t="s">
        <v>750</v>
      </c>
      <c r="C618" s="212" t="s">
        <v>751</v>
      </c>
      <c r="D618" s="211" t="s">
        <v>78</v>
      </c>
      <c r="E618" s="212" t="s">
        <v>752</v>
      </c>
      <c r="F618" s="211" t="s">
        <v>80</v>
      </c>
      <c r="G618" s="212" t="s">
        <v>23</v>
      </c>
      <c r="H618" s="212" t="s">
        <v>1530</v>
      </c>
      <c r="I618" s="212">
        <v>201412</v>
      </c>
      <c r="J618" s="213">
        <v>48.78</v>
      </c>
      <c r="K618" s="171">
        <f>VLOOKUP(I618,$T$9:$U$23,2)</f>
        <v>6</v>
      </c>
      <c r="L618" s="214">
        <v>2.23333E-3</v>
      </c>
      <c r="M618" s="213">
        <f>ROUND(J618*K618*L618,2)</f>
        <v>0.65</v>
      </c>
      <c r="N618" s="213">
        <f>ROUND(J618*L618*12,2)</f>
        <v>1.31</v>
      </c>
      <c r="O618" s="14"/>
      <c r="P618" s="210" t="str">
        <f>VLOOKUP(C618,'WO Descriptions'!$A$5:$D$345,4)</f>
        <v>Service/Yard Line Replacement (SLRP): Contract Crew.  Modified Block by Block - Planned replacement of unprotected steel or copper  (St. Joseph)</v>
      </c>
    </row>
    <row r="619" spans="1:18" outlineLevel="1">
      <c r="A619" s="256"/>
      <c r="B619" s="257"/>
      <c r="C619" s="260" t="s">
        <v>1981</v>
      </c>
      <c r="D619" s="256"/>
      <c r="E619" s="257"/>
      <c r="F619" s="256"/>
      <c r="G619" s="257"/>
      <c r="H619" s="257"/>
      <c r="I619" s="257"/>
      <c r="J619" s="258">
        <f>SUBTOTAL(9,J617:J618)</f>
        <v>48.160000000000004</v>
      </c>
      <c r="K619" s="252"/>
      <c r="L619" s="259"/>
      <c r="M619" s="258">
        <f>SUBTOTAL(9,M617:M618)</f>
        <v>0.64</v>
      </c>
      <c r="N619" s="258">
        <f>SUBTOTAL(9,N617:N618)</f>
        <v>1.29</v>
      </c>
      <c r="O619" s="223"/>
      <c r="P619" s="210"/>
      <c r="Q619" s="263" t="s">
        <v>2097</v>
      </c>
      <c r="R619" s="263" t="s">
        <v>2102</v>
      </c>
    </row>
    <row r="620" spans="1:18" ht="30" outlineLevel="2">
      <c r="A620" s="211" t="s">
        <v>1584</v>
      </c>
      <c r="B620" s="212" t="s">
        <v>1615</v>
      </c>
      <c r="C620" s="212" t="s">
        <v>1616</v>
      </c>
      <c r="D620" s="211" t="s">
        <v>1593</v>
      </c>
      <c r="E620" s="212" t="s">
        <v>1617</v>
      </c>
      <c r="F620" s="211" t="s">
        <v>1590</v>
      </c>
      <c r="G620" s="212" t="s">
        <v>23</v>
      </c>
      <c r="H620" s="212" t="s">
        <v>1530</v>
      </c>
      <c r="I620" s="212">
        <v>201409</v>
      </c>
      <c r="J620" s="213">
        <v>13225.13</v>
      </c>
      <c r="K620" s="171">
        <f>VLOOKUP(I620,$T$9:$U$23,2)</f>
        <v>9</v>
      </c>
      <c r="L620" s="214">
        <v>2.0333333000000001E-3</v>
      </c>
      <c r="M620" s="213">
        <f>ROUND(J620*K620*L620,2)</f>
        <v>242.02</v>
      </c>
      <c r="N620" s="213">
        <f>ROUND(J620*L620*12,2)</f>
        <v>322.69</v>
      </c>
      <c r="O620" s="14"/>
      <c r="P620" s="210" t="str">
        <f>VLOOKUP(C620,'WO Descriptions'!$A$5:$D$345,4)</f>
        <v>Service/Yard Line Replacement (SLRP): Contract Crew.  Modified Block by Block - Planned replacement of unprotected steel or copper  (St. Joseph)</v>
      </c>
    </row>
    <row r="621" spans="1:18" ht="30" outlineLevel="2">
      <c r="A621" s="211" t="s">
        <v>1584</v>
      </c>
      <c r="B621" s="212" t="s">
        <v>1615</v>
      </c>
      <c r="C621" s="212" t="s">
        <v>1616</v>
      </c>
      <c r="D621" s="211" t="s">
        <v>1593</v>
      </c>
      <c r="E621" s="212" t="s">
        <v>1617</v>
      </c>
      <c r="F621" s="211" t="s">
        <v>1590</v>
      </c>
      <c r="G621" s="212" t="s">
        <v>23</v>
      </c>
      <c r="H621" s="212" t="s">
        <v>1530</v>
      </c>
      <c r="I621" s="212">
        <v>201410</v>
      </c>
      <c r="J621" s="213">
        <v>4029.73</v>
      </c>
      <c r="K621" s="171">
        <f>VLOOKUP(I621,$T$9:$U$23,2)</f>
        <v>8</v>
      </c>
      <c r="L621" s="214">
        <v>2.0333333000000001E-3</v>
      </c>
      <c r="M621" s="213">
        <f>ROUND(J621*K621*L621,2)</f>
        <v>65.55</v>
      </c>
      <c r="N621" s="213">
        <f>ROUND(J621*L621*12,2)</f>
        <v>98.33</v>
      </c>
      <c r="O621" s="14"/>
      <c r="P621" s="210" t="str">
        <f>VLOOKUP(C621,'WO Descriptions'!$A$5:$D$345,4)</f>
        <v>Service/Yard Line Replacement (SLRP): Contract Crew.  Modified Block by Block - Planned replacement of unprotected steel or copper  (St. Joseph)</v>
      </c>
    </row>
    <row r="622" spans="1:18" ht="30" outlineLevel="2">
      <c r="A622" s="211" t="s">
        <v>1584</v>
      </c>
      <c r="B622" s="212" t="s">
        <v>1615</v>
      </c>
      <c r="C622" s="212" t="s">
        <v>1616</v>
      </c>
      <c r="D622" s="211" t="s">
        <v>1593</v>
      </c>
      <c r="E622" s="212" t="s">
        <v>1617</v>
      </c>
      <c r="F622" s="211" t="s">
        <v>1590</v>
      </c>
      <c r="G622" s="212" t="s">
        <v>23</v>
      </c>
      <c r="H622" s="212" t="s">
        <v>1530</v>
      </c>
      <c r="I622" s="212">
        <v>201411</v>
      </c>
      <c r="J622" s="213">
        <v>4.0199999999999996</v>
      </c>
      <c r="K622" s="171">
        <f>VLOOKUP(I622,$T$9:$U$23,2)</f>
        <v>7</v>
      </c>
      <c r="L622" s="214">
        <v>2.0333333000000001E-3</v>
      </c>
      <c r="M622" s="213">
        <f>ROUND(J622*K622*L622,2)</f>
        <v>0.06</v>
      </c>
      <c r="N622" s="213">
        <f>ROUND(J622*L622*12,2)</f>
        <v>0.1</v>
      </c>
      <c r="O622" s="14"/>
      <c r="P622" s="210" t="str">
        <f>VLOOKUP(C622,'WO Descriptions'!$A$5:$D$345,4)</f>
        <v>Service/Yard Line Replacement (SLRP): Contract Crew.  Modified Block by Block - Planned replacement of unprotected steel or copper  (St. Joseph)</v>
      </c>
    </row>
    <row r="623" spans="1:18" ht="30" outlineLevel="2">
      <c r="A623" s="211" t="s">
        <v>1584</v>
      </c>
      <c r="B623" s="212" t="s">
        <v>1615</v>
      </c>
      <c r="C623" s="212" t="s">
        <v>1616</v>
      </c>
      <c r="D623" s="211" t="s">
        <v>1593</v>
      </c>
      <c r="E623" s="212" t="s">
        <v>1617</v>
      </c>
      <c r="F623" s="211" t="s">
        <v>1590</v>
      </c>
      <c r="G623" s="212" t="s">
        <v>23</v>
      </c>
      <c r="H623" s="212" t="s">
        <v>1530</v>
      </c>
      <c r="I623" s="212">
        <v>201412</v>
      </c>
      <c r="J623" s="213">
        <v>-275.81</v>
      </c>
      <c r="K623" s="171">
        <f>VLOOKUP(I623,$T$9:$U$23,2)</f>
        <v>6</v>
      </c>
      <c r="L623" s="214">
        <v>2.0333333000000001E-3</v>
      </c>
      <c r="M623" s="213">
        <f>ROUND(J623*K623*L623,2)</f>
        <v>-3.36</v>
      </c>
      <c r="N623" s="213">
        <f>ROUND(J623*L623*12,2)</f>
        <v>-6.73</v>
      </c>
      <c r="O623" s="14"/>
      <c r="P623" s="210" t="str">
        <f>VLOOKUP(C623,'WO Descriptions'!$A$5:$D$345,4)</f>
        <v>Service/Yard Line Replacement (SLRP): Contract Crew.  Modified Block by Block - Planned replacement of unprotected steel or copper  (St. Joseph)</v>
      </c>
    </row>
    <row r="624" spans="1:18" outlineLevel="1">
      <c r="A624" s="256"/>
      <c r="B624" s="257"/>
      <c r="C624" s="260" t="s">
        <v>1982</v>
      </c>
      <c r="D624" s="256"/>
      <c r="E624" s="257"/>
      <c r="F624" s="256"/>
      <c r="G624" s="257"/>
      <c r="H624" s="257"/>
      <c r="I624" s="257"/>
      <c r="J624" s="258">
        <f>SUBTOTAL(9,J620:J623)</f>
        <v>16983.07</v>
      </c>
      <c r="K624" s="252"/>
      <c r="L624" s="259"/>
      <c r="M624" s="258">
        <f>SUBTOTAL(9,M620:M623)</f>
        <v>304.27</v>
      </c>
      <c r="N624" s="258">
        <f>SUBTOTAL(9,N620:N623)</f>
        <v>414.39</v>
      </c>
      <c r="O624" s="223"/>
      <c r="P624" s="210"/>
      <c r="Q624" s="263" t="s">
        <v>2097</v>
      </c>
      <c r="R624" s="263" t="s">
        <v>2102</v>
      </c>
    </row>
    <row r="625" spans="1:18" ht="30" outlineLevel="2">
      <c r="A625" s="211" t="s">
        <v>66</v>
      </c>
      <c r="B625" s="212" t="s">
        <v>753</v>
      </c>
      <c r="C625" s="212" t="s">
        <v>754</v>
      </c>
      <c r="D625" s="211" t="s">
        <v>206</v>
      </c>
      <c r="E625" s="212" t="s">
        <v>755</v>
      </c>
      <c r="F625" s="211" t="s">
        <v>97</v>
      </c>
      <c r="G625" s="212" t="s">
        <v>23</v>
      </c>
      <c r="H625" s="212" t="s">
        <v>1530</v>
      </c>
      <c r="I625" s="212">
        <v>201409</v>
      </c>
      <c r="J625" s="213">
        <v>7053.44</v>
      </c>
      <c r="K625" s="171">
        <f>VLOOKUP(I625,$T$9:$U$23,2)</f>
        <v>9</v>
      </c>
      <c r="L625" s="214">
        <v>2.23333E-3</v>
      </c>
      <c r="M625" s="213">
        <f>ROUND(J625*K625*L625,2)</f>
        <v>141.77000000000001</v>
      </c>
      <c r="N625" s="213">
        <f>ROUND(J625*L625*12,2)</f>
        <v>189.03</v>
      </c>
      <c r="O625" s="14"/>
      <c r="P625" s="210" t="str">
        <f>VLOOKUP(C625,'WO Descriptions'!$A$5:$D$345,4)</f>
        <v>Service/Yard Line Replacement (SLRP): Company Crew.  Service/yard line replacement - Material Charges Only  (Lee's Summit - East Region)</v>
      </c>
    </row>
    <row r="626" spans="1:18" ht="30" outlineLevel="2">
      <c r="A626" s="211" t="s">
        <v>66</v>
      </c>
      <c r="B626" s="212" t="s">
        <v>753</v>
      </c>
      <c r="C626" s="212" t="s">
        <v>754</v>
      </c>
      <c r="D626" s="211" t="s">
        <v>206</v>
      </c>
      <c r="E626" s="212" t="s">
        <v>755</v>
      </c>
      <c r="F626" s="211" t="s">
        <v>97</v>
      </c>
      <c r="G626" s="212" t="s">
        <v>23</v>
      </c>
      <c r="H626" s="212" t="s">
        <v>1530</v>
      </c>
      <c r="I626" s="212">
        <v>201410</v>
      </c>
      <c r="J626" s="213">
        <v>6651.75</v>
      </c>
      <c r="K626" s="171">
        <f>VLOOKUP(I626,$T$9:$U$23,2)</f>
        <v>8</v>
      </c>
      <c r="L626" s="214">
        <v>2.23333E-3</v>
      </c>
      <c r="M626" s="213">
        <f>ROUND(J626*K626*L626,2)</f>
        <v>118.84</v>
      </c>
      <c r="N626" s="213">
        <f>ROUND(J626*L626*12,2)</f>
        <v>178.27</v>
      </c>
      <c r="O626" s="14"/>
      <c r="P626" s="210" t="str">
        <f>VLOOKUP(C626,'WO Descriptions'!$A$5:$D$345,4)</f>
        <v>Service/Yard Line Replacement (SLRP): Company Crew.  Service/yard line replacement - Material Charges Only  (Lee's Summit - East Region)</v>
      </c>
    </row>
    <row r="627" spans="1:18" ht="30" outlineLevel="2">
      <c r="A627" s="211" t="s">
        <v>66</v>
      </c>
      <c r="B627" s="212" t="s">
        <v>753</v>
      </c>
      <c r="C627" s="212" t="s">
        <v>754</v>
      </c>
      <c r="D627" s="211" t="s">
        <v>206</v>
      </c>
      <c r="E627" s="212" t="s">
        <v>755</v>
      </c>
      <c r="F627" s="211" t="s">
        <v>97</v>
      </c>
      <c r="G627" s="212" t="s">
        <v>23</v>
      </c>
      <c r="H627" s="212" t="s">
        <v>1530</v>
      </c>
      <c r="I627" s="212">
        <v>201411</v>
      </c>
      <c r="J627" s="213">
        <v>8010.12</v>
      </c>
      <c r="K627" s="171">
        <f>VLOOKUP(I627,$T$9:$U$23,2)</f>
        <v>7</v>
      </c>
      <c r="L627" s="214">
        <v>2.23333E-3</v>
      </c>
      <c r="M627" s="213">
        <f>ROUND(J627*K627*L627,2)</f>
        <v>125.22</v>
      </c>
      <c r="N627" s="213">
        <f>ROUND(J627*L627*12,2)</f>
        <v>214.67</v>
      </c>
      <c r="O627" s="14"/>
      <c r="P627" s="210" t="str">
        <f>VLOOKUP(C627,'WO Descriptions'!$A$5:$D$345,4)</f>
        <v>Service/Yard Line Replacement (SLRP): Company Crew.  Service/yard line replacement - Material Charges Only  (Lee's Summit - East Region)</v>
      </c>
    </row>
    <row r="628" spans="1:18" ht="30" outlineLevel="2">
      <c r="A628" s="211" t="s">
        <v>66</v>
      </c>
      <c r="B628" s="212" t="s">
        <v>753</v>
      </c>
      <c r="C628" s="212" t="s">
        <v>754</v>
      </c>
      <c r="D628" s="211" t="s">
        <v>206</v>
      </c>
      <c r="E628" s="212" t="s">
        <v>755</v>
      </c>
      <c r="F628" s="211" t="s">
        <v>97</v>
      </c>
      <c r="G628" s="212" t="s">
        <v>23</v>
      </c>
      <c r="H628" s="212" t="s">
        <v>1530</v>
      </c>
      <c r="I628" s="212">
        <v>201412</v>
      </c>
      <c r="J628" s="213">
        <v>2824.7</v>
      </c>
      <c r="K628" s="171">
        <f>VLOOKUP(I628,$T$9:$U$23,2)</f>
        <v>6</v>
      </c>
      <c r="L628" s="214">
        <v>2.23333E-3</v>
      </c>
      <c r="M628" s="213">
        <f>ROUND(J628*K628*L628,2)</f>
        <v>37.85</v>
      </c>
      <c r="N628" s="213">
        <f>ROUND(J628*L628*12,2)</f>
        <v>75.7</v>
      </c>
      <c r="O628" s="14"/>
      <c r="P628" s="210" t="str">
        <f>VLOOKUP(C628,'WO Descriptions'!$A$5:$D$345,4)</f>
        <v>Service/Yard Line Replacement (SLRP): Company Crew.  Service/yard line replacement - Material Charges Only  (Lee's Summit - East Region)</v>
      </c>
    </row>
    <row r="629" spans="1:18" outlineLevel="1">
      <c r="A629" s="256"/>
      <c r="B629" s="257"/>
      <c r="C629" s="260" t="s">
        <v>1983</v>
      </c>
      <c r="D629" s="256"/>
      <c r="E629" s="257"/>
      <c r="F629" s="256"/>
      <c r="G629" s="257"/>
      <c r="H629" s="257"/>
      <c r="I629" s="257"/>
      <c r="J629" s="258">
        <f>SUBTOTAL(9,J625:J628)</f>
        <v>24540.01</v>
      </c>
      <c r="K629" s="252"/>
      <c r="L629" s="259"/>
      <c r="M629" s="258">
        <f>SUBTOTAL(9,M625:M628)</f>
        <v>423.68000000000006</v>
      </c>
      <c r="N629" s="258">
        <f>SUBTOTAL(9,N625:N628)</f>
        <v>657.67000000000007</v>
      </c>
      <c r="O629" s="223"/>
      <c r="P629" s="210"/>
      <c r="Q629" s="263" t="s">
        <v>2097</v>
      </c>
      <c r="R629" s="263" t="s">
        <v>2102</v>
      </c>
    </row>
    <row r="630" spans="1:18" ht="45" outlineLevel="2">
      <c r="A630" s="14" t="s">
        <v>17</v>
      </c>
      <c r="B630" s="15" t="s">
        <v>756</v>
      </c>
      <c r="C630" s="15" t="s">
        <v>757</v>
      </c>
      <c r="D630" s="14" t="s">
        <v>758</v>
      </c>
      <c r="E630" s="15" t="s">
        <v>141</v>
      </c>
      <c r="F630" s="14" t="s">
        <v>142</v>
      </c>
      <c r="G630" s="15" t="s">
        <v>23</v>
      </c>
      <c r="H630" s="15" t="s">
        <v>1525</v>
      </c>
      <c r="I630" s="15">
        <v>201409</v>
      </c>
      <c r="J630" s="16">
        <v>-4641.3900000000003</v>
      </c>
      <c r="K630" s="171">
        <f>VLOOKUP(I630,$T$9:$U$23,2)</f>
        <v>9</v>
      </c>
      <c r="L630" s="17">
        <v>1.4833299999999999E-3</v>
      </c>
      <c r="M630" s="16">
        <f>ROUND(J630*K630*L630,2)</f>
        <v>-61.96</v>
      </c>
      <c r="N630" s="16">
        <f>ROUND(J630*L630*12,2)</f>
        <v>-82.62</v>
      </c>
      <c r="O630" s="14"/>
      <c r="P630" s="210" t="str">
        <f>VLOOKUP(C630,'WO Descriptions'!$A$5:$D$345,4)</f>
        <v>Approved by: Rob Hack on 04/30/2013,  ISRS. This work order is necessary to abandon a total of 3391' of cast iron main. LAY 1,316'-6in PE, 714'-4in PE, and 1310' of 8in PE as part of the safety replacement program to meet MPSC requirements.</v>
      </c>
    </row>
    <row r="631" spans="1:18" outlineLevel="1">
      <c r="A631" s="223"/>
      <c r="B631" s="250"/>
      <c r="C631" s="254" t="s">
        <v>1984</v>
      </c>
      <c r="D631" s="223"/>
      <c r="E631" s="250"/>
      <c r="F631" s="223"/>
      <c r="G631" s="250"/>
      <c r="H631" s="250"/>
      <c r="I631" s="250"/>
      <c r="J631" s="251">
        <f>SUBTOTAL(9,J630:J630)</f>
        <v>-4641.3900000000003</v>
      </c>
      <c r="K631" s="252"/>
      <c r="L631" s="253"/>
      <c r="M631" s="251">
        <f>SUBTOTAL(9,M630:M630)</f>
        <v>-61.96</v>
      </c>
      <c r="N631" s="251">
        <f>SUBTOTAL(9,N630:N630)</f>
        <v>-82.62</v>
      </c>
      <c r="O631" s="223"/>
      <c r="P631" s="210"/>
      <c r="Q631" s="263" t="s">
        <v>2097</v>
      </c>
      <c r="R631" s="263" t="s">
        <v>2100</v>
      </c>
    </row>
    <row r="632" spans="1:18" ht="75" outlineLevel="2">
      <c r="A632" s="14" t="s">
        <v>17</v>
      </c>
      <c r="B632" s="15" t="s">
        <v>759</v>
      </c>
      <c r="C632" s="15" t="s">
        <v>760</v>
      </c>
      <c r="D632" s="14" t="s">
        <v>761</v>
      </c>
      <c r="E632" s="15" t="s">
        <v>62</v>
      </c>
      <c r="F632" s="14" t="s">
        <v>22</v>
      </c>
      <c r="G632" s="15" t="s">
        <v>23</v>
      </c>
      <c r="H632" s="15" t="s">
        <v>1525</v>
      </c>
      <c r="I632" s="15">
        <v>201409</v>
      </c>
      <c r="J632" s="16">
        <v>-84.14</v>
      </c>
      <c r="K632" s="171">
        <f>VLOOKUP(I632,$T$9:$U$23,2)</f>
        <v>9</v>
      </c>
      <c r="L632" s="17">
        <v>1.4833299999999999E-3</v>
      </c>
      <c r="M632" s="16">
        <f>ROUND(J632*K632*L632,2)</f>
        <v>-1.1200000000000001</v>
      </c>
      <c r="N632" s="16">
        <f>ROUND(J632*L632*12,2)</f>
        <v>-1.5</v>
      </c>
      <c r="O632" s="14"/>
      <c r="P632" s="210" t="str">
        <f>VLOOKUP(C632,'WO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3" spans="1:18" ht="75" outlineLevel="2">
      <c r="A633" s="14" t="s">
        <v>17</v>
      </c>
      <c r="B633" s="15" t="s">
        <v>759</v>
      </c>
      <c r="C633" s="15" t="s">
        <v>760</v>
      </c>
      <c r="D633" s="14" t="s">
        <v>761</v>
      </c>
      <c r="E633" s="15" t="s">
        <v>62</v>
      </c>
      <c r="F633" s="14" t="s">
        <v>22</v>
      </c>
      <c r="G633" s="15" t="s">
        <v>23</v>
      </c>
      <c r="H633" s="15" t="s">
        <v>1525</v>
      </c>
      <c r="I633" s="15">
        <v>201410</v>
      </c>
      <c r="J633" s="16">
        <v>325.61</v>
      </c>
      <c r="K633" s="171">
        <f>VLOOKUP(I633,$T$9:$U$23,2)</f>
        <v>8</v>
      </c>
      <c r="L633" s="17">
        <v>1.4833299999999999E-3</v>
      </c>
      <c r="M633" s="16">
        <f>ROUND(J633*K633*L633,2)</f>
        <v>3.86</v>
      </c>
      <c r="N633" s="16">
        <f>ROUND(J633*L633*12,2)</f>
        <v>5.8</v>
      </c>
      <c r="O633" s="14"/>
      <c r="P633" s="210" t="str">
        <f>VLOOKUP(C633,'WO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4" spans="1:18" ht="75" outlineLevel="2">
      <c r="A634" s="14" t="s">
        <v>17</v>
      </c>
      <c r="B634" s="15" t="s">
        <v>759</v>
      </c>
      <c r="C634" s="15" t="s">
        <v>760</v>
      </c>
      <c r="D634" s="14" t="s">
        <v>761</v>
      </c>
      <c r="E634" s="15" t="s">
        <v>62</v>
      </c>
      <c r="F634" s="14" t="s">
        <v>22</v>
      </c>
      <c r="G634" s="15" t="s">
        <v>23</v>
      </c>
      <c r="H634" s="15" t="s">
        <v>1525</v>
      </c>
      <c r="I634" s="15">
        <v>201411</v>
      </c>
      <c r="J634" s="16">
        <v>205.63</v>
      </c>
      <c r="K634" s="171">
        <f>VLOOKUP(I634,$T$9:$U$23,2)</f>
        <v>7</v>
      </c>
      <c r="L634" s="17">
        <v>1.4833299999999999E-3</v>
      </c>
      <c r="M634" s="16">
        <f>ROUND(J634*K634*L634,2)</f>
        <v>2.14</v>
      </c>
      <c r="N634" s="16">
        <f>ROUND(J634*L634*12,2)</f>
        <v>3.66</v>
      </c>
      <c r="O634" s="14"/>
      <c r="P634" s="210" t="str">
        <f>VLOOKUP(C634,'WO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5" spans="1:18" ht="75" outlineLevel="2">
      <c r="A635" s="14" t="s">
        <v>17</v>
      </c>
      <c r="B635" s="15" t="s">
        <v>759</v>
      </c>
      <c r="C635" s="15" t="s">
        <v>760</v>
      </c>
      <c r="D635" s="14" t="s">
        <v>761</v>
      </c>
      <c r="E635" s="15" t="s">
        <v>62</v>
      </c>
      <c r="F635" s="14" t="s">
        <v>22</v>
      </c>
      <c r="G635" s="15" t="s">
        <v>23</v>
      </c>
      <c r="H635" s="15" t="s">
        <v>1525</v>
      </c>
      <c r="I635" s="15">
        <v>201412</v>
      </c>
      <c r="J635" s="16">
        <v>-35.33</v>
      </c>
      <c r="K635" s="171">
        <f>VLOOKUP(I635,$T$9:$U$23,2)</f>
        <v>6</v>
      </c>
      <c r="L635" s="17">
        <v>1.4833299999999999E-3</v>
      </c>
      <c r="M635" s="16">
        <f>ROUND(J635*K635*L635,2)</f>
        <v>-0.31</v>
      </c>
      <c r="N635" s="16">
        <f>ROUND(J635*L635*12,2)</f>
        <v>-0.63</v>
      </c>
      <c r="O635" s="14"/>
      <c r="P635" s="210" t="str">
        <f>VLOOKUP(C635,'WO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6" spans="1:18" outlineLevel="1">
      <c r="A636" s="223"/>
      <c r="B636" s="250"/>
      <c r="C636" s="254" t="s">
        <v>1985</v>
      </c>
      <c r="D636" s="223"/>
      <c r="E636" s="250"/>
      <c r="F636" s="223"/>
      <c r="G636" s="250"/>
      <c r="H636" s="250"/>
      <c r="I636" s="250"/>
      <c r="J636" s="251">
        <f>SUBTOTAL(9,J632:J635)</f>
        <v>411.77000000000004</v>
      </c>
      <c r="K636" s="252"/>
      <c r="L636" s="253"/>
      <c r="M636" s="251">
        <f>SUBTOTAL(9,M632:M635)</f>
        <v>4.57</v>
      </c>
      <c r="N636" s="251">
        <f>SUBTOTAL(9,N632:N635)</f>
        <v>7.33</v>
      </c>
      <c r="O636" s="223"/>
      <c r="P636" s="210"/>
      <c r="Q636" s="263" t="s">
        <v>2097</v>
      </c>
      <c r="R636" s="263" t="s">
        <v>2098</v>
      </c>
    </row>
    <row r="637" spans="1:18" ht="105" outlineLevel="2">
      <c r="A637" s="14" t="s">
        <v>238</v>
      </c>
      <c r="B637" s="15" t="s">
        <v>762</v>
      </c>
      <c r="C637" s="15" t="s">
        <v>763</v>
      </c>
      <c r="D637" s="14" t="s">
        <v>764</v>
      </c>
      <c r="E637" s="15" t="s">
        <v>168</v>
      </c>
      <c r="F637" s="14" t="s">
        <v>169</v>
      </c>
      <c r="G637" s="15" t="s">
        <v>23</v>
      </c>
      <c r="H637" s="15" t="s">
        <v>1528</v>
      </c>
      <c r="I637" s="15">
        <v>201409</v>
      </c>
      <c r="J637" s="16">
        <v>-567.96</v>
      </c>
      <c r="K637" s="171">
        <f>VLOOKUP(I637,$T$9:$U$23,2)</f>
        <v>9</v>
      </c>
      <c r="L637" s="17">
        <v>2.3833299999999999E-3</v>
      </c>
      <c r="M637" s="16">
        <f>ROUND(J637*K637*L637,2)</f>
        <v>-12.18</v>
      </c>
      <c r="N637" s="16">
        <f>ROUND(J637*L637*12,2)</f>
        <v>-16.239999999999998</v>
      </c>
      <c r="O637" s="19"/>
      <c r="P637" s="210" t="str">
        <f>VLOOKUP(C637,'WO Descriptions'!$A$5:$D$345,4)</f>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
    </row>
    <row r="638" spans="1:18" outlineLevel="1">
      <c r="A638" s="223"/>
      <c r="B638" s="250"/>
      <c r="C638" s="254" t="s">
        <v>1986</v>
      </c>
      <c r="D638" s="223"/>
      <c r="E638" s="250"/>
      <c r="F638" s="223"/>
      <c r="G638" s="250"/>
      <c r="H638" s="250"/>
      <c r="I638" s="250"/>
      <c r="J638" s="251">
        <f>SUBTOTAL(9,J637:J637)</f>
        <v>-567.96</v>
      </c>
      <c r="K638" s="252"/>
      <c r="L638" s="253"/>
      <c r="M638" s="251">
        <f>SUBTOTAL(9,M637:M637)</f>
        <v>-12.18</v>
      </c>
      <c r="N638" s="251">
        <f>SUBTOTAL(9,N637:N637)</f>
        <v>-16.239999999999998</v>
      </c>
      <c r="O638" s="261"/>
      <c r="P638" s="210"/>
      <c r="Q638" s="263" t="s">
        <v>2097</v>
      </c>
      <c r="R638" s="263" t="s">
        <v>2099</v>
      </c>
    </row>
    <row r="639" spans="1:18" ht="135" outlineLevel="2">
      <c r="A639" s="14" t="s">
        <v>17</v>
      </c>
      <c r="B639" s="15" t="s">
        <v>765</v>
      </c>
      <c r="C639" s="15" t="s">
        <v>766</v>
      </c>
      <c r="D639" s="14" t="s">
        <v>767</v>
      </c>
      <c r="E639" s="15" t="s">
        <v>216</v>
      </c>
      <c r="F639" s="14" t="s">
        <v>22</v>
      </c>
      <c r="G639" s="15" t="s">
        <v>23</v>
      </c>
      <c r="H639" s="15" t="s">
        <v>1525</v>
      </c>
      <c r="I639" s="15">
        <v>201409</v>
      </c>
      <c r="J639" s="16">
        <v>-1384.18</v>
      </c>
      <c r="K639" s="171">
        <f>VLOOKUP(I639,$T$9:$U$23,2)</f>
        <v>9</v>
      </c>
      <c r="L639" s="17">
        <v>1.4833299999999999E-3</v>
      </c>
      <c r="M639" s="16">
        <f>ROUND(J639*K639*L639,2)</f>
        <v>-18.48</v>
      </c>
      <c r="N639" s="16">
        <f>ROUND(J639*L639*12,2)</f>
        <v>-24.64</v>
      </c>
      <c r="O639" s="14"/>
      <c r="P639" s="210" t="str">
        <f>VLOOKUP(C639,'WO Descriptions'!$A$5:$D$345,4)</f>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
    </row>
    <row r="640" spans="1:18" outlineLevel="1">
      <c r="A640" s="223"/>
      <c r="B640" s="250"/>
      <c r="C640" s="254" t="s">
        <v>1987</v>
      </c>
      <c r="D640" s="223"/>
      <c r="E640" s="250"/>
      <c r="F640" s="223"/>
      <c r="G640" s="250"/>
      <c r="H640" s="250"/>
      <c r="I640" s="250"/>
      <c r="J640" s="251">
        <f>SUBTOTAL(9,J639:J639)</f>
        <v>-1384.18</v>
      </c>
      <c r="K640" s="252"/>
      <c r="L640" s="253"/>
      <c r="M640" s="251">
        <f>SUBTOTAL(9,M639:M639)</f>
        <v>-18.48</v>
      </c>
      <c r="N640" s="251">
        <f>SUBTOTAL(9,N639:N639)</f>
        <v>-24.64</v>
      </c>
      <c r="O640" s="223"/>
      <c r="P640" s="210"/>
      <c r="Q640" s="263" t="s">
        <v>2097</v>
      </c>
      <c r="R640" s="263" t="s">
        <v>2098</v>
      </c>
    </row>
    <row r="641" spans="1:18" ht="90" outlineLevel="2">
      <c r="A641" s="14" t="s">
        <v>17</v>
      </c>
      <c r="B641" s="15" t="s">
        <v>768</v>
      </c>
      <c r="C641" s="15" t="s">
        <v>769</v>
      </c>
      <c r="D641" s="14" t="s">
        <v>770</v>
      </c>
      <c r="E641" s="15" t="s">
        <v>104</v>
      </c>
      <c r="F641" s="14" t="s">
        <v>41</v>
      </c>
      <c r="G641" s="15" t="s">
        <v>23</v>
      </c>
      <c r="H641" s="15" t="s">
        <v>1526</v>
      </c>
      <c r="I641" s="15">
        <v>201409</v>
      </c>
      <c r="J641" s="16">
        <v>-630.88</v>
      </c>
      <c r="K641" s="171">
        <f>VLOOKUP(I641,$T$9:$U$23,2)</f>
        <v>9</v>
      </c>
      <c r="L641" s="17">
        <v>1.4833299999999999E-3</v>
      </c>
      <c r="M641" s="16">
        <f>ROUND(J641*K641*L641,2)</f>
        <v>-8.42</v>
      </c>
      <c r="N641" s="16">
        <f>ROUND(J641*L641*12,2)</f>
        <v>-11.23</v>
      </c>
      <c r="O641" s="14"/>
      <c r="P641" s="210" t="str">
        <f>VLOOKUP(C641,'WO Descriptions'!$A$5:$D$345,4)</f>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
    </row>
    <row r="642" spans="1:18" outlineLevel="1">
      <c r="A642" s="223"/>
      <c r="B642" s="250"/>
      <c r="C642" s="254" t="s">
        <v>1988</v>
      </c>
      <c r="D642" s="223"/>
      <c r="E642" s="250"/>
      <c r="F642" s="223"/>
      <c r="G642" s="250"/>
      <c r="H642" s="250"/>
      <c r="I642" s="250"/>
      <c r="J642" s="251">
        <f>SUBTOTAL(9,J641:J641)</f>
        <v>-630.88</v>
      </c>
      <c r="K642" s="252"/>
      <c r="L642" s="253"/>
      <c r="M642" s="251">
        <f>SUBTOTAL(9,M641:M641)</f>
        <v>-8.42</v>
      </c>
      <c r="N642" s="251">
        <f>SUBTOTAL(9,N641:N641)</f>
        <v>-11.23</v>
      </c>
      <c r="O642" s="223"/>
      <c r="P642" s="210"/>
      <c r="Q642" s="263" t="s">
        <v>2096</v>
      </c>
    </row>
    <row r="643" spans="1:18" ht="135" outlineLevel="2">
      <c r="A643" s="14" t="s">
        <v>238</v>
      </c>
      <c r="B643" s="15" t="s">
        <v>771</v>
      </c>
      <c r="C643" s="15" t="s">
        <v>772</v>
      </c>
      <c r="D643" s="14" t="s">
        <v>773</v>
      </c>
      <c r="E643" s="15" t="s">
        <v>168</v>
      </c>
      <c r="F643" s="14" t="s">
        <v>169</v>
      </c>
      <c r="G643" s="15" t="s">
        <v>23</v>
      </c>
      <c r="H643" s="15" t="s">
        <v>1528</v>
      </c>
      <c r="I643" s="15">
        <v>201409</v>
      </c>
      <c r="J643" s="16">
        <v>-212.27</v>
      </c>
      <c r="K643" s="171">
        <f>VLOOKUP(I643,$T$9:$U$23,2)</f>
        <v>9</v>
      </c>
      <c r="L643" s="17">
        <v>2.3833299999999999E-3</v>
      </c>
      <c r="M643" s="16">
        <f>ROUND(J643*K643*L643,2)</f>
        <v>-4.55</v>
      </c>
      <c r="N643" s="16">
        <f>ROUND(J643*L643*12,2)</f>
        <v>-6.07</v>
      </c>
      <c r="O643" s="14"/>
      <c r="P643" s="210" t="str">
        <f>VLOOKUP(C643,'WO Descriptions'!$A$5:$D$345,4)</f>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
    </row>
    <row r="644" spans="1:18" outlineLevel="1">
      <c r="A644" s="223"/>
      <c r="B644" s="250"/>
      <c r="C644" s="254" t="s">
        <v>1989</v>
      </c>
      <c r="D644" s="223"/>
      <c r="E644" s="250"/>
      <c r="F644" s="223"/>
      <c r="G644" s="250"/>
      <c r="H644" s="250"/>
      <c r="I644" s="250"/>
      <c r="J644" s="251">
        <f>SUBTOTAL(9,J643:J643)</f>
        <v>-212.27</v>
      </c>
      <c r="K644" s="252"/>
      <c r="L644" s="253"/>
      <c r="M644" s="251">
        <f>SUBTOTAL(9,M643:M643)</f>
        <v>-4.55</v>
      </c>
      <c r="N644" s="251">
        <f>SUBTOTAL(9,N643:N643)</f>
        <v>-6.07</v>
      </c>
      <c r="O644" s="223"/>
      <c r="P644" s="210"/>
      <c r="Q644" s="263" t="s">
        <v>2097</v>
      </c>
      <c r="R644" s="263" t="s">
        <v>2099</v>
      </c>
    </row>
    <row r="645" spans="1:18" ht="75" outlineLevel="2">
      <c r="A645" s="14" t="s">
        <v>238</v>
      </c>
      <c r="B645" s="15" t="s">
        <v>774</v>
      </c>
      <c r="C645" s="15" t="s">
        <v>775</v>
      </c>
      <c r="D645" s="14" t="s">
        <v>776</v>
      </c>
      <c r="E645" s="15" t="s">
        <v>168</v>
      </c>
      <c r="F645" s="14" t="s">
        <v>169</v>
      </c>
      <c r="G645" s="15" t="s">
        <v>23</v>
      </c>
      <c r="H645" s="15" t="s">
        <v>1528</v>
      </c>
      <c r="I645" s="15">
        <v>201409</v>
      </c>
      <c r="J645" s="16">
        <v>12.14</v>
      </c>
      <c r="K645" s="171">
        <f>VLOOKUP(I645,$T$9:$U$23,2)</f>
        <v>9</v>
      </c>
      <c r="L645" s="17">
        <v>2.3833299999999999E-3</v>
      </c>
      <c r="M645" s="16">
        <f>ROUND(J645*K645*L645,2)</f>
        <v>0.26</v>
      </c>
      <c r="N645" s="16">
        <f>ROUND(J645*L645*12,2)</f>
        <v>0.35</v>
      </c>
      <c r="O645" s="14"/>
      <c r="P645" s="210" t="str">
        <f>VLOOKUP(C645,'WO Descriptions'!$A$5:$D$345,4)</f>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
    </row>
    <row r="646" spans="1:18" outlineLevel="1">
      <c r="A646" s="223"/>
      <c r="B646" s="250"/>
      <c r="C646" s="254" t="s">
        <v>1990</v>
      </c>
      <c r="D646" s="223"/>
      <c r="E646" s="250"/>
      <c r="F646" s="223"/>
      <c r="G646" s="250"/>
      <c r="H646" s="250"/>
      <c r="I646" s="250"/>
      <c r="J646" s="251">
        <f>SUBTOTAL(9,J645:J645)</f>
        <v>12.14</v>
      </c>
      <c r="K646" s="252"/>
      <c r="L646" s="253"/>
      <c r="M646" s="251">
        <f>SUBTOTAL(9,M645:M645)</f>
        <v>0.26</v>
      </c>
      <c r="N646" s="251">
        <f>SUBTOTAL(9,N645:N645)</f>
        <v>0.35</v>
      </c>
      <c r="O646" s="223"/>
      <c r="P646" s="210"/>
      <c r="Q646" s="263" t="s">
        <v>2097</v>
      </c>
      <c r="R646" s="263" t="s">
        <v>2099</v>
      </c>
    </row>
    <row r="647" spans="1:18" ht="120" outlineLevel="2">
      <c r="A647" s="14" t="s">
        <v>17</v>
      </c>
      <c r="B647" s="15" t="s">
        <v>777</v>
      </c>
      <c r="C647" s="15" t="s">
        <v>778</v>
      </c>
      <c r="D647" s="14" t="s">
        <v>779</v>
      </c>
      <c r="E647" s="15" t="s">
        <v>62</v>
      </c>
      <c r="F647" s="14" t="s">
        <v>22</v>
      </c>
      <c r="G647" s="15" t="s">
        <v>23</v>
      </c>
      <c r="H647" s="15" t="s">
        <v>1525</v>
      </c>
      <c r="I647" s="15">
        <v>201409</v>
      </c>
      <c r="J647" s="16">
        <v>-66.150000000000006</v>
      </c>
      <c r="K647" s="171">
        <f>VLOOKUP(I647,$T$9:$U$23,2)</f>
        <v>9</v>
      </c>
      <c r="L647" s="17">
        <v>1.4833299999999999E-3</v>
      </c>
      <c r="M647" s="16">
        <f>ROUND(J647*K647*L647,2)</f>
        <v>-0.88</v>
      </c>
      <c r="N647" s="16">
        <f>ROUND(J647*L647*12,2)</f>
        <v>-1.18</v>
      </c>
      <c r="O647" s="14"/>
      <c r="P647" s="210" t="str">
        <f>VLOOKUP(C647,'WO Descriptions'!$A$5:$D$345,4)</f>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
    </row>
    <row r="648" spans="1:18" outlineLevel="1">
      <c r="A648" s="223"/>
      <c r="B648" s="250"/>
      <c r="C648" s="254" t="s">
        <v>1991</v>
      </c>
      <c r="D648" s="223"/>
      <c r="E648" s="250"/>
      <c r="F648" s="223"/>
      <c r="G648" s="250"/>
      <c r="H648" s="250"/>
      <c r="I648" s="250"/>
      <c r="J648" s="251">
        <f>SUBTOTAL(9,J647:J647)</f>
        <v>-66.150000000000006</v>
      </c>
      <c r="K648" s="252"/>
      <c r="L648" s="253"/>
      <c r="M648" s="251">
        <f>SUBTOTAL(9,M647:M647)</f>
        <v>-0.88</v>
      </c>
      <c r="N648" s="251">
        <f>SUBTOTAL(9,N647:N647)</f>
        <v>-1.18</v>
      </c>
      <c r="O648" s="223"/>
      <c r="P648" s="210"/>
      <c r="Q648" s="263" t="s">
        <v>2097</v>
      </c>
      <c r="R648" s="263" t="s">
        <v>2098</v>
      </c>
    </row>
    <row r="649" spans="1:18" ht="90" outlineLevel="2">
      <c r="A649" s="14" t="s">
        <v>17</v>
      </c>
      <c r="B649" s="15" t="s">
        <v>780</v>
      </c>
      <c r="C649" s="15" t="s">
        <v>781</v>
      </c>
      <c r="D649" s="14" t="s">
        <v>782</v>
      </c>
      <c r="E649" s="15" t="s">
        <v>141</v>
      </c>
      <c r="F649" s="14" t="s">
        <v>142</v>
      </c>
      <c r="G649" s="15" t="s">
        <v>23</v>
      </c>
      <c r="H649" s="15" t="s">
        <v>1525</v>
      </c>
      <c r="I649" s="15">
        <v>201409</v>
      </c>
      <c r="J649" s="16">
        <v>-1734.87</v>
      </c>
      <c r="K649" s="171">
        <f>VLOOKUP(I649,$T$9:$U$23,2)</f>
        <v>9</v>
      </c>
      <c r="L649" s="17">
        <v>1.4833299999999999E-3</v>
      </c>
      <c r="M649" s="16">
        <f>ROUND(J649*K649*L649,2)</f>
        <v>-23.16</v>
      </c>
      <c r="N649" s="16">
        <f>ROUND(J649*L649*12,2)</f>
        <v>-30.88</v>
      </c>
      <c r="O649" s="14"/>
      <c r="P649" s="210" t="str">
        <f>VLOOKUP(C649,'WO Descriptions'!$A$5:$D$345,4)</f>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
    </row>
    <row r="650" spans="1:18" outlineLevel="1">
      <c r="A650" s="223"/>
      <c r="B650" s="250"/>
      <c r="C650" s="254" t="s">
        <v>1992</v>
      </c>
      <c r="D650" s="223"/>
      <c r="E650" s="250"/>
      <c r="F650" s="223"/>
      <c r="G650" s="250"/>
      <c r="H650" s="250"/>
      <c r="I650" s="250"/>
      <c r="J650" s="251">
        <f>SUBTOTAL(9,J649:J649)</f>
        <v>-1734.87</v>
      </c>
      <c r="K650" s="252"/>
      <c r="L650" s="253"/>
      <c r="M650" s="251">
        <f>SUBTOTAL(9,M649:M649)</f>
        <v>-23.16</v>
      </c>
      <c r="N650" s="251">
        <f>SUBTOTAL(9,N649:N649)</f>
        <v>-30.88</v>
      </c>
      <c r="O650" s="223"/>
      <c r="P650" s="210"/>
      <c r="Q650" s="263" t="s">
        <v>2097</v>
      </c>
      <c r="R650" s="263" t="s">
        <v>2100</v>
      </c>
    </row>
    <row r="651" spans="1:18" ht="165" outlineLevel="2">
      <c r="A651" s="14" t="s">
        <v>17</v>
      </c>
      <c r="B651" s="15" t="s">
        <v>783</v>
      </c>
      <c r="C651" s="15" t="s">
        <v>784</v>
      </c>
      <c r="D651" s="14" t="s">
        <v>785</v>
      </c>
      <c r="E651" s="15" t="s">
        <v>141</v>
      </c>
      <c r="F651" s="14" t="s">
        <v>142</v>
      </c>
      <c r="G651" s="15" t="s">
        <v>23</v>
      </c>
      <c r="H651" s="15" t="s">
        <v>1525</v>
      </c>
      <c r="I651" s="15">
        <v>201409</v>
      </c>
      <c r="J651" s="16">
        <v>-2330.69</v>
      </c>
      <c r="K651" s="171">
        <f>VLOOKUP(I651,$T$9:$U$23,2)</f>
        <v>9</v>
      </c>
      <c r="L651" s="17">
        <v>1.4833299999999999E-3</v>
      </c>
      <c r="M651" s="16">
        <f>ROUND(J651*K651*L651,2)</f>
        <v>-31.11</v>
      </c>
      <c r="N651" s="16">
        <f>ROUND(J651*L651*12,2)</f>
        <v>-41.49</v>
      </c>
      <c r="O651" s="14"/>
      <c r="P651" s="210" t="str">
        <f>VLOOKUP(C651,'WO Descriptions'!$A$5:$D$345,4)</f>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
    </row>
    <row r="652" spans="1:18" outlineLevel="1">
      <c r="A652" s="223"/>
      <c r="B652" s="250"/>
      <c r="C652" s="254" t="s">
        <v>1993</v>
      </c>
      <c r="D652" s="223"/>
      <c r="E652" s="250"/>
      <c r="F652" s="223"/>
      <c r="G652" s="250"/>
      <c r="H652" s="250"/>
      <c r="I652" s="250"/>
      <c r="J652" s="251">
        <f>SUBTOTAL(9,J651:J651)</f>
        <v>-2330.69</v>
      </c>
      <c r="K652" s="252"/>
      <c r="L652" s="253"/>
      <c r="M652" s="251">
        <f>SUBTOTAL(9,M651:M651)</f>
        <v>-31.11</v>
      </c>
      <c r="N652" s="251">
        <f>SUBTOTAL(9,N651:N651)</f>
        <v>-41.49</v>
      </c>
      <c r="O652" s="223"/>
      <c r="P652" s="210"/>
      <c r="Q652" s="263" t="s">
        <v>2097</v>
      </c>
      <c r="R652" s="263" t="s">
        <v>2100</v>
      </c>
    </row>
    <row r="653" spans="1:18" ht="165" outlineLevel="2">
      <c r="A653" s="14" t="s">
        <v>17</v>
      </c>
      <c r="B653" s="15" t="s">
        <v>786</v>
      </c>
      <c r="C653" s="15" t="s">
        <v>787</v>
      </c>
      <c r="D653" s="14" t="s">
        <v>788</v>
      </c>
      <c r="E653" s="15" t="s">
        <v>246</v>
      </c>
      <c r="F653" s="14" t="s">
        <v>247</v>
      </c>
      <c r="G653" s="15" t="s">
        <v>23</v>
      </c>
      <c r="H653" s="15" t="s">
        <v>1525</v>
      </c>
      <c r="I653" s="15">
        <v>201409</v>
      </c>
      <c r="J653" s="16">
        <v>-15326.11</v>
      </c>
      <c r="K653" s="171">
        <f>VLOOKUP(I653,$T$9:$U$23,2)</f>
        <v>9</v>
      </c>
      <c r="L653" s="17">
        <v>1.4833299999999999E-3</v>
      </c>
      <c r="M653" s="16">
        <f>ROUND(J653*K653*L653,2)</f>
        <v>-204.6</v>
      </c>
      <c r="N653" s="16">
        <f>ROUND(J653*L653*12,2)</f>
        <v>-272.8</v>
      </c>
      <c r="O653" s="14"/>
      <c r="P653" s="210" t="str">
        <f>VLOOKUP(C653,'WO Descriptions'!$A$5:$D$345,4)</f>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
    </row>
    <row r="654" spans="1:18" outlineLevel="1">
      <c r="A654" s="223"/>
      <c r="B654" s="250"/>
      <c r="C654" s="254" t="s">
        <v>1994</v>
      </c>
      <c r="D654" s="223"/>
      <c r="E654" s="250"/>
      <c r="F654" s="223"/>
      <c r="G654" s="250"/>
      <c r="H654" s="250"/>
      <c r="I654" s="250"/>
      <c r="J654" s="251">
        <f>SUBTOTAL(9,J653:J653)</f>
        <v>-15326.11</v>
      </c>
      <c r="K654" s="252"/>
      <c r="L654" s="253"/>
      <c r="M654" s="251">
        <f>SUBTOTAL(9,M653:M653)</f>
        <v>-204.6</v>
      </c>
      <c r="N654" s="251">
        <f>SUBTOTAL(9,N653:N653)</f>
        <v>-272.8</v>
      </c>
      <c r="O654" s="223"/>
      <c r="P654" s="210"/>
      <c r="Q654" s="263" t="s">
        <v>2097</v>
      </c>
      <c r="R654" s="263" t="s">
        <v>2101</v>
      </c>
    </row>
    <row r="655" spans="1:18" ht="120" outlineLevel="2">
      <c r="A655" s="14" t="s">
        <v>17</v>
      </c>
      <c r="B655" s="15" t="s">
        <v>1036</v>
      </c>
      <c r="C655" s="15" t="s">
        <v>1037</v>
      </c>
      <c r="D655" s="14" t="s">
        <v>1038</v>
      </c>
      <c r="E655" s="15" t="s">
        <v>40</v>
      </c>
      <c r="F655" s="14" t="s">
        <v>41</v>
      </c>
      <c r="G655" s="15" t="s">
        <v>23</v>
      </c>
      <c r="H655" s="15" t="s">
        <v>1526</v>
      </c>
      <c r="I655" s="15">
        <v>201412</v>
      </c>
      <c r="J655" s="16">
        <v>423003.39</v>
      </c>
      <c r="K655" s="171">
        <f>VLOOKUP(I655,$T$9:$U$23,2)</f>
        <v>6</v>
      </c>
      <c r="L655" s="17">
        <v>1.4833299999999999E-3</v>
      </c>
      <c r="M655" s="16">
        <f>ROUND(J655*K655*L655,2)</f>
        <v>3764.72</v>
      </c>
      <c r="N655" s="16">
        <f>ROUND(J655*L655*12,2)</f>
        <v>7529.44</v>
      </c>
      <c r="O655" s="14"/>
      <c r="P655" s="210" t="str">
        <f>VLOOKUP(C655,'WO Descriptions'!$A$5:$D$345,4)</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row>
    <row r="656" spans="1:18" outlineLevel="1">
      <c r="A656" s="223"/>
      <c r="B656" s="250"/>
      <c r="C656" s="254" t="s">
        <v>1995</v>
      </c>
      <c r="D656" s="223"/>
      <c r="E656" s="250"/>
      <c r="F656" s="223"/>
      <c r="G656" s="250"/>
      <c r="H656" s="250"/>
      <c r="I656" s="250"/>
      <c r="J656" s="251">
        <f>SUBTOTAL(9,J655:J655)</f>
        <v>423003.39</v>
      </c>
      <c r="K656" s="252"/>
      <c r="L656" s="253"/>
      <c r="M656" s="251">
        <f>SUBTOTAL(9,M655:M655)</f>
        <v>3764.72</v>
      </c>
      <c r="N656" s="251">
        <f>SUBTOTAL(9,N655:N655)</f>
        <v>7529.44</v>
      </c>
      <c r="O656" s="223"/>
      <c r="P656" s="210"/>
      <c r="Q656" s="263" t="s">
        <v>2096</v>
      </c>
    </row>
    <row r="657" spans="1:18" ht="120" outlineLevel="2">
      <c r="A657" s="14" t="s">
        <v>17</v>
      </c>
      <c r="B657" s="15" t="s">
        <v>789</v>
      </c>
      <c r="C657" s="15" t="s">
        <v>790</v>
      </c>
      <c r="D657" s="14" t="s">
        <v>791</v>
      </c>
      <c r="E657" s="15" t="s">
        <v>246</v>
      </c>
      <c r="F657" s="14" t="s">
        <v>247</v>
      </c>
      <c r="G657" s="15" t="s">
        <v>23</v>
      </c>
      <c r="H657" s="15" t="s">
        <v>1525</v>
      </c>
      <c r="I657" s="15">
        <v>201409</v>
      </c>
      <c r="J657" s="16">
        <v>-1896.12</v>
      </c>
      <c r="K657" s="171">
        <f>VLOOKUP(I657,$T$9:$U$23,2)</f>
        <v>9</v>
      </c>
      <c r="L657" s="17">
        <v>1.4833299999999999E-3</v>
      </c>
      <c r="M657" s="16">
        <f>ROUND(J657*K657*L657,2)</f>
        <v>-25.31</v>
      </c>
      <c r="N657" s="16">
        <f>ROUND(J657*L657*12,2)</f>
        <v>-33.75</v>
      </c>
      <c r="O657" s="14"/>
      <c r="P657" s="210" t="str">
        <f>VLOOKUP(C657,'WO Descriptions'!$A$5:$D$345,4)</f>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
    </row>
    <row r="658" spans="1:18" outlineLevel="1">
      <c r="A658" s="223"/>
      <c r="B658" s="250"/>
      <c r="C658" s="254" t="s">
        <v>1996</v>
      </c>
      <c r="D658" s="223"/>
      <c r="E658" s="250"/>
      <c r="F658" s="223"/>
      <c r="G658" s="250"/>
      <c r="H658" s="250"/>
      <c r="I658" s="250"/>
      <c r="J658" s="251">
        <f>SUBTOTAL(9,J657:J657)</f>
        <v>-1896.12</v>
      </c>
      <c r="K658" s="252"/>
      <c r="L658" s="253"/>
      <c r="M658" s="251">
        <f>SUBTOTAL(9,M657:M657)</f>
        <v>-25.31</v>
      </c>
      <c r="N658" s="251">
        <f>SUBTOTAL(9,N657:N657)</f>
        <v>-33.75</v>
      </c>
      <c r="O658" s="223"/>
      <c r="P658" s="210"/>
      <c r="Q658" s="263" t="s">
        <v>2097</v>
      </c>
      <c r="R658" s="263" t="s">
        <v>2101</v>
      </c>
    </row>
    <row r="659" spans="1:18" ht="60" outlineLevel="2">
      <c r="A659" s="14" t="s">
        <v>54</v>
      </c>
      <c r="B659" s="15" t="s">
        <v>792</v>
      </c>
      <c r="C659" s="15" t="s">
        <v>793</v>
      </c>
      <c r="D659" s="14" t="s">
        <v>794</v>
      </c>
      <c r="E659" s="15" t="s">
        <v>58</v>
      </c>
      <c r="F659" s="14" t="s">
        <v>22</v>
      </c>
      <c r="G659" s="15" t="s">
        <v>23</v>
      </c>
      <c r="H659" s="15" t="s">
        <v>1525</v>
      </c>
      <c r="I659" s="15">
        <v>201409</v>
      </c>
      <c r="J659" s="16">
        <v>-672.99</v>
      </c>
      <c r="K659" s="171">
        <f>VLOOKUP(I659,$T$9:$U$23,2)</f>
        <v>9</v>
      </c>
      <c r="L659" s="17">
        <v>1.4833299999999999E-3</v>
      </c>
      <c r="M659" s="16">
        <f>ROUND(J659*K659*L659,2)</f>
        <v>-8.98</v>
      </c>
      <c r="N659" s="16">
        <f>ROUND(J659*L659*12,2)</f>
        <v>-11.98</v>
      </c>
      <c r="O659" s="14"/>
      <c r="P659" s="210" t="str">
        <f>VLOOKUP(C659,'WO Descriptions'!$A$5:$D$345,4)</f>
        <v>Approved by: Galen Shoemaker on 12/03/2013,  Replace 588' 2" PBS &amp; 15' 2" PE with 645' of 2" PE due to leakage issues.  Project location: Florida Ave between Yuma St. &amp; Windsor St.  Pressure System: C-100.  MOP: 30 PSIG.  MAOP: 30 PSIG.  Design: 58 PSIG.  Test: 100 PSIG.  Price Per Foot: $38.35.</v>
      </c>
    </row>
    <row r="660" spans="1:18" outlineLevel="1">
      <c r="A660" s="223"/>
      <c r="B660" s="250"/>
      <c r="C660" s="254" t="s">
        <v>1997</v>
      </c>
      <c r="D660" s="223"/>
      <c r="E660" s="250"/>
      <c r="F660" s="223"/>
      <c r="G660" s="250"/>
      <c r="H660" s="250"/>
      <c r="I660" s="250"/>
      <c r="J660" s="251">
        <f>SUBTOTAL(9,J659:J659)</f>
        <v>-672.99</v>
      </c>
      <c r="K660" s="252"/>
      <c r="L660" s="253"/>
      <c r="M660" s="251">
        <f>SUBTOTAL(9,M659:M659)</f>
        <v>-8.98</v>
      </c>
      <c r="N660" s="251">
        <f>SUBTOTAL(9,N659:N659)</f>
        <v>-11.98</v>
      </c>
      <c r="O660" s="223"/>
      <c r="P660" s="210"/>
      <c r="Q660" s="263" t="s">
        <v>2097</v>
      </c>
      <c r="R660" s="263" t="s">
        <v>2098</v>
      </c>
    </row>
    <row r="661" spans="1:18" ht="90" outlineLevel="2">
      <c r="A661" s="14" t="s">
        <v>17</v>
      </c>
      <c r="B661" s="15" t="s">
        <v>1039</v>
      </c>
      <c r="C661" s="15" t="s">
        <v>1040</v>
      </c>
      <c r="D661" s="14" t="s">
        <v>1041</v>
      </c>
      <c r="E661" s="15" t="s">
        <v>40</v>
      </c>
      <c r="F661" s="14" t="s">
        <v>41</v>
      </c>
      <c r="G661" s="15" t="s">
        <v>23</v>
      </c>
      <c r="H661" s="15" t="s">
        <v>1526</v>
      </c>
      <c r="I661" s="15">
        <v>201412</v>
      </c>
      <c r="J661" s="16">
        <v>4268934.05</v>
      </c>
      <c r="K661" s="171">
        <f>VLOOKUP(I661,$T$9:$U$23,2)</f>
        <v>6</v>
      </c>
      <c r="L661" s="17">
        <v>1.4833299999999999E-3</v>
      </c>
      <c r="M661" s="16">
        <f>ROUND(J661*K661*L661,2)</f>
        <v>37993.43</v>
      </c>
      <c r="N661" s="16">
        <f>ROUND(J661*L661*12,2)</f>
        <v>75986.86</v>
      </c>
      <c r="O661" s="14"/>
      <c r="P661" s="210" t="str">
        <f>VLOOKUP(C661,'WO Descriptions'!$A$5:$D$345,4)</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row>
    <row r="662" spans="1:18" outlineLevel="1">
      <c r="A662" s="223"/>
      <c r="B662" s="250"/>
      <c r="C662" s="254" t="s">
        <v>1998</v>
      </c>
      <c r="D662" s="223"/>
      <c r="E662" s="250"/>
      <c r="F662" s="223"/>
      <c r="G662" s="250"/>
      <c r="H662" s="250"/>
      <c r="I662" s="250"/>
      <c r="J662" s="251">
        <f>SUBTOTAL(9,J661:J661)</f>
        <v>4268934.05</v>
      </c>
      <c r="K662" s="252"/>
      <c r="L662" s="253"/>
      <c r="M662" s="251">
        <f>SUBTOTAL(9,M661:M661)</f>
        <v>37993.43</v>
      </c>
      <c r="N662" s="251">
        <f>SUBTOTAL(9,N661:N661)</f>
        <v>75986.86</v>
      </c>
      <c r="O662" s="223"/>
      <c r="P662" s="210"/>
      <c r="Q662" s="263" t="s">
        <v>2096</v>
      </c>
    </row>
    <row r="663" spans="1:18" ht="90" outlineLevel="2">
      <c r="A663" s="14" t="s">
        <v>17</v>
      </c>
      <c r="B663" s="15" t="s">
        <v>795</v>
      </c>
      <c r="C663" s="15" t="s">
        <v>796</v>
      </c>
      <c r="D663" s="14" t="s">
        <v>797</v>
      </c>
      <c r="E663" s="15" t="s">
        <v>176</v>
      </c>
      <c r="F663" s="14" t="s">
        <v>28</v>
      </c>
      <c r="G663" s="15" t="s">
        <v>23</v>
      </c>
      <c r="H663" s="15" t="s">
        <v>1525</v>
      </c>
      <c r="I663" s="15">
        <v>201409</v>
      </c>
      <c r="J663" s="16">
        <v>-155.05000000000001</v>
      </c>
      <c r="K663" s="171">
        <f>VLOOKUP(I663,$T$9:$U$23,2)</f>
        <v>9</v>
      </c>
      <c r="L663" s="17">
        <v>1.4833299999999999E-3</v>
      </c>
      <c r="M663" s="16">
        <f>ROUND(J663*K663*L663,2)</f>
        <v>-2.0699999999999998</v>
      </c>
      <c r="N663" s="16">
        <f>ROUND(J663*L663*12,2)</f>
        <v>-2.76</v>
      </c>
      <c r="O663" s="14"/>
      <c r="P663" s="210" t="str">
        <f>VLOOKUP(C663,'WO Descriptions'!$A$5:$D$345,4)</f>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
    </row>
    <row r="664" spans="1:18" outlineLevel="1">
      <c r="A664" s="223"/>
      <c r="B664" s="250"/>
      <c r="C664" s="254" t="s">
        <v>1999</v>
      </c>
      <c r="D664" s="223"/>
      <c r="E664" s="250"/>
      <c r="F664" s="223"/>
      <c r="G664" s="250"/>
      <c r="H664" s="250"/>
      <c r="I664" s="250"/>
      <c r="J664" s="251">
        <f>SUBTOTAL(9,J663:J663)</f>
        <v>-155.05000000000001</v>
      </c>
      <c r="K664" s="252"/>
      <c r="L664" s="253"/>
      <c r="M664" s="251">
        <f>SUBTOTAL(9,M663:M663)</f>
        <v>-2.0699999999999998</v>
      </c>
      <c r="N664" s="251">
        <f>SUBTOTAL(9,N663:N663)</f>
        <v>-2.76</v>
      </c>
      <c r="O664" s="223"/>
      <c r="P664" s="210"/>
      <c r="Q664" s="263" t="s">
        <v>2097</v>
      </c>
      <c r="R664" s="263" t="s">
        <v>2099</v>
      </c>
    </row>
    <row r="665" spans="1:18" ht="75" outlineLevel="2">
      <c r="A665" s="14" t="s">
        <v>17</v>
      </c>
      <c r="B665" s="15" t="s">
        <v>798</v>
      </c>
      <c r="C665" s="15" t="s">
        <v>799</v>
      </c>
      <c r="D665" s="14" t="s">
        <v>800</v>
      </c>
      <c r="E665" s="15" t="s">
        <v>62</v>
      </c>
      <c r="F665" s="14" t="s">
        <v>22</v>
      </c>
      <c r="G665" s="15" t="s">
        <v>23</v>
      </c>
      <c r="H665" s="15" t="s">
        <v>1525</v>
      </c>
      <c r="I665" s="15">
        <v>201409</v>
      </c>
      <c r="J665" s="16">
        <v>-228.89</v>
      </c>
      <c r="K665" s="171">
        <f>VLOOKUP(I665,$T$9:$U$23,2)</f>
        <v>9</v>
      </c>
      <c r="L665" s="17">
        <v>1.4833299999999999E-3</v>
      </c>
      <c r="M665" s="16">
        <f>ROUND(J665*K665*L665,2)</f>
        <v>-3.06</v>
      </c>
      <c r="N665" s="16">
        <f>ROUND(J665*L665*12,2)</f>
        <v>-4.07</v>
      </c>
      <c r="O665" s="14"/>
      <c r="P665" s="210" t="str">
        <f>VLOOKUP(C665,'WO Descriptions'!$A$5:$D$345,4)</f>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
    </row>
    <row r="666" spans="1:18" outlineLevel="1">
      <c r="A666" s="223"/>
      <c r="B666" s="250"/>
      <c r="C666" s="254" t="s">
        <v>2000</v>
      </c>
      <c r="D666" s="223"/>
      <c r="E666" s="250"/>
      <c r="F666" s="223"/>
      <c r="G666" s="250"/>
      <c r="H666" s="250"/>
      <c r="I666" s="250"/>
      <c r="J666" s="251">
        <f>SUBTOTAL(9,J665:J665)</f>
        <v>-228.89</v>
      </c>
      <c r="K666" s="252"/>
      <c r="L666" s="253"/>
      <c r="M666" s="251">
        <f>SUBTOTAL(9,M665:M665)</f>
        <v>-3.06</v>
      </c>
      <c r="N666" s="251">
        <f>SUBTOTAL(9,N665:N665)</f>
        <v>-4.07</v>
      </c>
      <c r="O666" s="223"/>
      <c r="P666" s="210"/>
      <c r="Q666" s="263" t="s">
        <v>2097</v>
      </c>
      <c r="R666" s="263" t="s">
        <v>2098</v>
      </c>
    </row>
    <row r="667" spans="1:18" ht="30" outlineLevel="2">
      <c r="A667" s="14" t="s">
        <v>17</v>
      </c>
      <c r="B667" s="15" t="s">
        <v>801</v>
      </c>
      <c r="C667" s="15" t="s">
        <v>802</v>
      </c>
      <c r="D667" s="14" t="s">
        <v>803</v>
      </c>
      <c r="E667" s="15" t="s">
        <v>440</v>
      </c>
      <c r="F667" s="14" t="s">
        <v>28</v>
      </c>
      <c r="G667" s="15" t="s">
        <v>23</v>
      </c>
      <c r="H667" s="15" t="s">
        <v>1525</v>
      </c>
      <c r="I667" s="15">
        <v>201409</v>
      </c>
      <c r="J667" s="16">
        <v>-553.08000000000004</v>
      </c>
      <c r="K667" s="171">
        <f>VLOOKUP(I667,$T$9:$U$23,2)</f>
        <v>9</v>
      </c>
      <c r="L667" s="17">
        <v>1.4833299999999999E-3</v>
      </c>
      <c r="M667" s="16">
        <f>ROUND(J667*K667*L667,2)</f>
        <v>-7.38</v>
      </c>
      <c r="N667" s="16">
        <f>ROUND(J667*L667*12,2)</f>
        <v>-9.84</v>
      </c>
      <c r="O667" s="14"/>
      <c r="P667" s="210" t="str">
        <f>VLOOKUP(C667,'WO Descriptions'!$A$5:$D$345,4)</f>
        <v>Approved by: Gary Williams on 10/31/2013,  5/5/3 Replace 1235' of 2'' PCS main with 1235' of 2" PE main due to leaks and pipe condition. Original WO# 75-2872.</v>
      </c>
    </row>
    <row r="668" spans="1:18" outlineLevel="1">
      <c r="A668" s="223"/>
      <c r="B668" s="250"/>
      <c r="C668" s="254" t="s">
        <v>2001</v>
      </c>
      <c r="D668" s="223"/>
      <c r="E668" s="250"/>
      <c r="F668" s="223"/>
      <c r="G668" s="250"/>
      <c r="H668" s="250"/>
      <c r="I668" s="250"/>
      <c r="J668" s="251">
        <f>SUBTOTAL(9,J667:J667)</f>
        <v>-553.08000000000004</v>
      </c>
      <c r="K668" s="252"/>
      <c r="L668" s="253"/>
      <c r="M668" s="251">
        <f>SUBTOTAL(9,M667:M667)</f>
        <v>-7.38</v>
      </c>
      <c r="N668" s="251">
        <f>SUBTOTAL(9,N667:N667)</f>
        <v>-9.84</v>
      </c>
      <c r="O668" s="223"/>
      <c r="P668" s="210"/>
      <c r="Q668" s="263" t="s">
        <v>2097</v>
      </c>
      <c r="R668" s="263" t="s">
        <v>2099</v>
      </c>
    </row>
    <row r="669" spans="1:18" ht="60" outlineLevel="2">
      <c r="A669" s="14" t="s">
        <v>17</v>
      </c>
      <c r="B669" s="15" t="s">
        <v>804</v>
      </c>
      <c r="C669" s="15" t="s">
        <v>805</v>
      </c>
      <c r="D669" s="14" t="s">
        <v>806</v>
      </c>
      <c r="E669" s="15" t="s">
        <v>141</v>
      </c>
      <c r="F669" s="14" t="s">
        <v>142</v>
      </c>
      <c r="G669" s="15" t="s">
        <v>23</v>
      </c>
      <c r="H669" s="15" t="s">
        <v>1525</v>
      </c>
      <c r="I669" s="15">
        <v>201409</v>
      </c>
      <c r="J669" s="16">
        <v>-540.4</v>
      </c>
      <c r="K669" s="171">
        <f>VLOOKUP(I669,$T$9:$U$23,2)</f>
        <v>9</v>
      </c>
      <c r="L669" s="17">
        <v>1.4833299999999999E-3</v>
      </c>
      <c r="M669" s="16">
        <f>ROUND(J669*K669*L669,2)</f>
        <v>-7.21</v>
      </c>
      <c r="N669" s="16">
        <f>ROUND(J669*L669*12,2)</f>
        <v>-9.6199999999999992</v>
      </c>
      <c r="O669" s="14"/>
      <c r="P669" s="210" t="str">
        <f>VLOOKUP(C669,'WO Descriptions'!$A$5:$D$345,4)</f>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
    </row>
    <row r="670" spans="1:18" outlineLevel="1">
      <c r="A670" s="223"/>
      <c r="B670" s="250"/>
      <c r="C670" s="254" t="s">
        <v>2002</v>
      </c>
      <c r="D670" s="223"/>
      <c r="E670" s="250"/>
      <c r="F670" s="223"/>
      <c r="G670" s="250"/>
      <c r="H670" s="250"/>
      <c r="I670" s="250"/>
      <c r="J670" s="251">
        <f>SUBTOTAL(9,J669:J669)</f>
        <v>-540.4</v>
      </c>
      <c r="K670" s="252"/>
      <c r="L670" s="253"/>
      <c r="M670" s="251">
        <f>SUBTOTAL(9,M669:M669)</f>
        <v>-7.21</v>
      </c>
      <c r="N670" s="251">
        <f>SUBTOTAL(9,N669:N669)</f>
        <v>-9.6199999999999992</v>
      </c>
      <c r="O670" s="223"/>
      <c r="P670" s="210"/>
      <c r="Q670" s="263" t="s">
        <v>2097</v>
      </c>
      <c r="R670" s="263" t="s">
        <v>2100</v>
      </c>
    </row>
    <row r="671" spans="1:18" ht="30" outlineLevel="2">
      <c r="A671" s="14" t="s">
        <v>17</v>
      </c>
      <c r="B671" s="15" t="s">
        <v>807</v>
      </c>
      <c r="C671" s="15" t="s">
        <v>808</v>
      </c>
      <c r="D671" s="14" t="s">
        <v>809</v>
      </c>
      <c r="E671" s="15" t="s">
        <v>108</v>
      </c>
      <c r="F671" s="14" t="s">
        <v>28</v>
      </c>
      <c r="G671" s="15" t="s">
        <v>23</v>
      </c>
      <c r="H671" s="15" t="s">
        <v>1525</v>
      </c>
      <c r="I671" s="15">
        <v>201409</v>
      </c>
      <c r="J671" s="16">
        <v>27.48</v>
      </c>
      <c r="K671" s="171">
        <f>VLOOKUP(I671,$T$9:$U$23,2)</f>
        <v>9</v>
      </c>
      <c r="L671" s="17">
        <v>1.4833299999999999E-3</v>
      </c>
      <c r="M671" s="16">
        <f>ROUND(J671*K671*L671,2)</f>
        <v>0.37</v>
      </c>
      <c r="N671" s="16">
        <f>ROUND(J671*L671*12,2)</f>
        <v>0.49</v>
      </c>
      <c r="O671" s="14"/>
      <c r="P671" s="210" t="str">
        <f>VLOOKUP(C671,'WO Descriptions'!$A$5:$D$345,4)</f>
        <v>Approved by: Kevin Driskell on 10/31/2013,  Replace 2in PCS with 15'-2in PE due to hit main.  Work done by MGE crew.</v>
      </c>
    </row>
    <row r="672" spans="1:18" outlineLevel="1">
      <c r="A672" s="223"/>
      <c r="B672" s="250"/>
      <c r="C672" s="254" t="s">
        <v>2003</v>
      </c>
      <c r="D672" s="223"/>
      <c r="E672" s="250"/>
      <c r="F672" s="223"/>
      <c r="G672" s="250"/>
      <c r="H672" s="250"/>
      <c r="I672" s="250"/>
      <c r="J672" s="251">
        <f>SUBTOTAL(9,J671:J671)</f>
        <v>27.48</v>
      </c>
      <c r="K672" s="252"/>
      <c r="L672" s="253"/>
      <c r="M672" s="251">
        <f>SUBTOTAL(9,M671:M671)</f>
        <v>0.37</v>
      </c>
      <c r="N672" s="251">
        <f>SUBTOTAL(9,N671:N671)</f>
        <v>0.49</v>
      </c>
      <c r="O672" s="223"/>
      <c r="P672" s="210"/>
      <c r="Q672" s="263" t="s">
        <v>2097</v>
      </c>
      <c r="R672" s="263" t="s">
        <v>2099</v>
      </c>
    </row>
    <row r="673" spans="1:18" ht="90" outlineLevel="2">
      <c r="A673" s="14" t="s">
        <v>17</v>
      </c>
      <c r="B673" s="15" t="s">
        <v>810</v>
      </c>
      <c r="C673" s="15" t="s">
        <v>811</v>
      </c>
      <c r="D673" s="14" t="s">
        <v>812</v>
      </c>
      <c r="E673" s="15" t="s">
        <v>104</v>
      </c>
      <c r="F673" s="14" t="s">
        <v>41</v>
      </c>
      <c r="G673" s="15" t="s">
        <v>23</v>
      </c>
      <c r="H673" s="15" t="s">
        <v>1526</v>
      </c>
      <c r="I673" s="15">
        <v>201409</v>
      </c>
      <c r="J673" s="16">
        <v>-22637.86</v>
      </c>
      <c r="K673" s="171">
        <f>VLOOKUP(I673,$T$9:$U$23,2)</f>
        <v>9</v>
      </c>
      <c r="L673" s="17">
        <v>1.4833299999999999E-3</v>
      </c>
      <c r="M673" s="16">
        <f>ROUND(J673*K673*L673,2)</f>
        <v>-302.20999999999998</v>
      </c>
      <c r="N673" s="16">
        <f>ROUND(J673*L673*12,2)</f>
        <v>-402.95</v>
      </c>
      <c r="O673" s="14"/>
      <c r="P673" s="210" t="str">
        <f>VLOOKUP(C673,'WO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674" spans="1:18" ht="90" outlineLevel="2">
      <c r="A674" s="14" t="s">
        <v>54</v>
      </c>
      <c r="B674" s="15" t="s">
        <v>810</v>
      </c>
      <c r="C674" s="15" t="s">
        <v>811</v>
      </c>
      <c r="D674" s="14" t="s">
        <v>812</v>
      </c>
      <c r="E674" s="15" t="s">
        <v>104</v>
      </c>
      <c r="F674" s="14" t="s">
        <v>41</v>
      </c>
      <c r="G674" s="15" t="s">
        <v>23</v>
      </c>
      <c r="H674" s="15" t="s">
        <v>1526</v>
      </c>
      <c r="I674" s="15">
        <v>201409</v>
      </c>
      <c r="J674" s="16">
        <v>22317.37</v>
      </c>
      <c r="K674" s="171">
        <f>VLOOKUP(I674,$T$9:$U$23,2)</f>
        <v>9</v>
      </c>
      <c r="L674" s="17">
        <v>1.4833299999999999E-3</v>
      </c>
      <c r="M674" s="16">
        <f>ROUND(J674*K674*L674,2)</f>
        <v>297.94</v>
      </c>
      <c r="N674" s="16">
        <f>ROUND(J674*L674*12,2)</f>
        <v>397.25</v>
      </c>
      <c r="O674" s="14"/>
      <c r="P674" s="210" t="str">
        <f>VLOOKUP(C674,'WO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675" spans="1:18" outlineLevel="1">
      <c r="A675" s="223"/>
      <c r="B675" s="250"/>
      <c r="C675" s="254" t="s">
        <v>2004</v>
      </c>
      <c r="D675" s="223"/>
      <c r="E675" s="250"/>
      <c r="F675" s="223"/>
      <c r="G675" s="250"/>
      <c r="H675" s="250"/>
      <c r="I675" s="250"/>
      <c r="J675" s="251">
        <f>SUBTOTAL(9,J673:J674)</f>
        <v>-320.4900000000016</v>
      </c>
      <c r="K675" s="252"/>
      <c r="L675" s="253"/>
      <c r="M675" s="251">
        <f>SUBTOTAL(9,M673:M674)</f>
        <v>-4.2699999999999818</v>
      </c>
      <c r="N675" s="251">
        <f>SUBTOTAL(9,N673:N674)</f>
        <v>-5.6999999999999886</v>
      </c>
      <c r="O675" s="223"/>
      <c r="P675" s="210"/>
      <c r="Q675" s="263" t="s">
        <v>2096</v>
      </c>
    </row>
    <row r="676" spans="1:18" ht="210" outlineLevel="2">
      <c r="A676" s="14" t="s">
        <v>54</v>
      </c>
      <c r="B676" s="15" t="s">
        <v>813</v>
      </c>
      <c r="C676" s="15" t="s">
        <v>814</v>
      </c>
      <c r="D676" s="14" t="s">
        <v>815</v>
      </c>
      <c r="E676" s="15" t="s">
        <v>62</v>
      </c>
      <c r="F676" s="14" t="s">
        <v>22</v>
      </c>
      <c r="G676" s="15" t="s">
        <v>23</v>
      </c>
      <c r="H676" s="15" t="s">
        <v>1525</v>
      </c>
      <c r="I676" s="15">
        <v>201411</v>
      </c>
      <c r="J676" s="16">
        <v>611627.82999999996</v>
      </c>
      <c r="K676" s="171">
        <f>VLOOKUP(I676,$T$9:$U$23,2)</f>
        <v>7</v>
      </c>
      <c r="L676" s="17">
        <v>1.4833299999999999E-3</v>
      </c>
      <c r="M676" s="16">
        <f>ROUND(J676*K676*L676,2)</f>
        <v>6350.72</v>
      </c>
      <c r="N676" s="16">
        <f>ROUND(J676*L676*12,2)</f>
        <v>10886.95</v>
      </c>
      <c r="O676" s="14"/>
      <c r="P676" s="210" t="str">
        <f>VLOOKUP(C676,'WO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77" spans="1:18" ht="210" outlineLevel="2">
      <c r="A677" s="14" t="s">
        <v>54</v>
      </c>
      <c r="B677" s="15" t="s">
        <v>813</v>
      </c>
      <c r="C677" s="15" t="s">
        <v>814</v>
      </c>
      <c r="D677" s="14" t="s">
        <v>815</v>
      </c>
      <c r="E677" s="15" t="s">
        <v>62</v>
      </c>
      <c r="F677" s="14" t="s">
        <v>22</v>
      </c>
      <c r="G677" s="15" t="s">
        <v>23</v>
      </c>
      <c r="H677" s="15" t="s">
        <v>1525</v>
      </c>
      <c r="I677" s="15">
        <v>201412</v>
      </c>
      <c r="J677" s="16">
        <v>14879.8</v>
      </c>
      <c r="K677" s="171">
        <f>VLOOKUP(I677,$T$9:$U$23,2)</f>
        <v>6</v>
      </c>
      <c r="L677" s="17">
        <v>1.4833299999999999E-3</v>
      </c>
      <c r="M677" s="16">
        <f>ROUND(J677*K677*L677,2)</f>
        <v>132.43</v>
      </c>
      <c r="N677" s="16">
        <f>ROUND(J677*L677*12,2)</f>
        <v>264.86</v>
      </c>
      <c r="O677" s="14"/>
      <c r="P677" s="210" t="str">
        <f>VLOOKUP(C677,'WO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78" spans="1:18" outlineLevel="1">
      <c r="A678" s="223"/>
      <c r="B678" s="250"/>
      <c r="C678" s="254" t="s">
        <v>2005</v>
      </c>
      <c r="D678" s="223"/>
      <c r="E678" s="250"/>
      <c r="F678" s="223"/>
      <c r="G678" s="250"/>
      <c r="H678" s="250"/>
      <c r="I678" s="250"/>
      <c r="J678" s="251">
        <f>SUBTOTAL(9,J676:J677)</f>
        <v>626507.63</v>
      </c>
      <c r="K678" s="252"/>
      <c r="L678" s="253"/>
      <c r="M678" s="251">
        <f>SUBTOTAL(9,M676:M677)</f>
        <v>6483.1500000000005</v>
      </c>
      <c r="N678" s="251">
        <f>SUBTOTAL(9,N676:N677)</f>
        <v>11151.810000000001</v>
      </c>
      <c r="O678" s="223"/>
      <c r="P678" s="210"/>
      <c r="Q678" s="263" t="s">
        <v>2097</v>
      </c>
      <c r="R678" s="263" t="s">
        <v>2098</v>
      </c>
    </row>
    <row r="679" spans="1:18" ht="75" outlineLevel="2">
      <c r="A679" s="14" t="s">
        <v>54</v>
      </c>
      <c r="B679" s="15" t="s">
        <v>816</v>
      </c>
      <c r="C679" s="15" t="s">
        <v>817</v>
      </c>
      <c r="D679" s="14" t="s">
        <v>818</v>
      </c>
      <c r="E679" s="15" t="s">
        <v>62</v>
      </c>
      <c r="F679" s="14" t="s">
        <v>22</v>
      </c>
      <c r="G679" s="15" t="s">
        <v>23</v>
      </c>
      <c r="H679" s="15" t="s">
        <v>1525</v>
      </c>
      <c r="I679" s="15">
        <v>201409</v>
      </c>
      <c r="J679" s="16">
        <v>-900.72</v>
      </c>
      <c r="K679" s="171">
        <f>VLOOKUP(I679,$T$9:$U$23,2)</f>
        <v>9</v>
      </c>
      <c r="L679" s="17">
        <v>1.4833299999999999E-3</v>
      </c>
      <c r="M679" s="16">
        <f>ROUND(J679*K679*L679,2)</f>
        <v>-12.02</v>
      </c>
      <c r="N679" s="16">
        <f>ROUND(J679*L679*12,2)</f>
        <v>-16.03</v>
      </c>
      <c r="O679" s="14"/>
      <c r="P679" s="210" t="str">
        <f>VLOOKUP(C679,'WO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680" spans="1:18" ht="75" outlineLevel="2">
      <c r="A680" s="14" t="s">
        <v>54</v>
      </c>
      <c r="B680" s="15" t="s">
        <v>816</v>
      </c>
      <c r="C680" s="15" t="s">
        <v>817</v>
      </c>
      <c r="D680" s="14" t="s">
        <v>818</v>
      </c>
      <c r="E680" s="15" t="s">
        <v>62</v>
      </c>
      <c r="F680" s="14" t="s">
        <v>22</v>
      </c>
      <c r="G680" s="15" t="s">
        <v>23</v>
      </c>
      <c r="H680" s="15" t="s">
        <v>1525</v>
      </c>
      <c r="I680" s="15">
        <v>201410</v>
      </c>
      <c r="J680" s="16">
        <v>-119.09</v>
      </c>
      <c r="K680" s="171">
        <f>VLOOKUP(I680,$T$9:$U$23,2)</f>
        <v>8</v>
      </c>
      <c r="L680" s="17">
        <v>1.4833299999999999E-3</v>
      </c>
      <c r="M680" s="16">
        <f>ROUND(J680*K680*L680,2)</f>
        <v>-1.41</v>
      </c>
      <c r="N680" s="16">
        <f>ROUND(J680*L680*12,2)</f>
        <v>-2.12</v>
      </c>
      <c r="O680" s="14"/>
      <c r="P680" s="210" t="str">
        <f>VLOOKUP(C680,'WO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681" spans="1:18" outlineLevel="1">
      <c r="A681" s="223"/>
      <c r="B681" s="250"/>
      <c r="C681" s="254" t="s">
        <v>2006</v>
      </c>
      <c r="D681" s="223"/>
      <c r="E681" s="250"/>
      <c r="F681" s="223"/>
      <c r="G681" s="250"/>
      <c r="H681" s="250"/>
      <c r="I681" s="250"/>
      <c r="J681" s="251">
        <f>SUBTOTAL(9,J679:J680)</f>
        <v>-1019.8100000000001</v>
      </c>
      <c r="K681" s="252"/>
      <c r="L681" s="253"/>
      <c r="M681" s="251">
        <f>SUBTOTAL(9,M679:M680)</f>
        <v>-13.43</v>
      </c>
      <c r="N681" s="251">
        <f>SUBTOTAL(9,N679:N680)</f>
        <v>-18.150000000000002</v>
      </c>
      <c r="O681" s="223"/>
      <c r="P681" s="210"/>
      <c r="Q681" s="263" t="s">
        <v>2097</v>
      </c>
      <c r="R681" s="263" t="s">
        <v>2098</v>
      </c>
    </row>
    <row r="682" spans="1:18" ht="150" outlineLevel="2">
      <c r="A682" s="14" t="s">
        <v>17</v>
      </c>
      <c r="B682" s="15" t="s">
        <v>819</v>
      </c>
      <c r="C682" s="15" t="s">
        <v>820</v>
      </c>
      <c r="D682" s="14" t="s">
        <v>821</v>
      </c>
      <c r="E682" s="15" t="s">
        <v>822</v>
      </c>
      <c r="F682" s="14" t="s">
        <v>823</v>
      </c>
      <c r="G682" s="15" t="s">
        <v>23</v>
      </c>
      <c r="H682" s="15" t="s">
        <v>1526</v>
      </c>
      <c r="I682" s="15">
        <v>201409</v>
      </c>
      <c r="J682" s="16">
        <v>-1563.62</v>
      </c>
      <c r="K682" s="171">
        <f>VLOOKUP(I682,$T$9:$U$23,2)</f>
        <v>9</v>
      </c>
      <c r="L682" s="17">
        <v>1.4833299999999999E-3</v>
      </c>
      <c r="M682" s="16">
        <f>ROUND(J682*K682*L682,2)</f>
        <v>-20.87</v>
      </c>
      <c r="N682" s="16">
        <f>ROUND(J682*L682*12,2)</f>
        <v>-27.83</v>
      </c>
      <c r="O682" s="14"/>
      <c r="P682" s="210" t="str">
        <f>VLOOKUP(C682,'WO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3" spans="1:18" ht="150" outlineLevel="2">
      <c r="A683" s="14" t="s">
        <v>17</v>
      </c>
      <c r="B683" s="15" t="s">
        <v>819</v>
      </c>
      <c r="C683" s="15" t="s">
        <v>820</v>
      </c>
      <c r="D683" s="14" t="s">
        <v>821</v>
      </c>
      <c r="E683" s="15" t="s">
        <v>822</v>
      </c>
      <c r="F683" s="14" t="s">
        <v>823</v>
      </c>
      <c r="G683" s="15" t="s">
        <v>23</v>
      </c>
      <c r="H683" s="15" t="s">
        <v>1526</v>
      </c>
      <c r="I683" s="15">
        <v>201410</v>
      </c>
      <c r="J683" s="16">
        <v>-165.61</v>
      </c>
      <c r="K683" s="171">
        <f>VLOOKUP(I683,$T$9:$U$23,2)</f>
        <v>8</v>
      </c>
      <c r="L683" s="17">
        <v>1.4833299999999999E-3</v>
      </c>
      <c r="M683" s="16">
        <f>ROUND(J683*K683*L683,2)</f>
        <v>-1.97</v>
      </c>
      <c r="N683" s="16">
        <f>ROUND(J683*L683*12,2)</f>
        <v>-2.95</v>
      </c>
      <c r="O683" s="14"/>
      <c r="P683" s="210" t="str">
        <f>VLOOKUP(C683,'WO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4" spans="1:18" ht="150" outlineLevel="2">
      <c r="A684" s="14" t="s">
        <v>17</v>
      </c>
      <c r="B684" s="15" t="s">
        <v>819</v>
      </c>
      <c r="C684" s="15" t="s">
        <v>820</v>
      </c>
      <c r="D684" s="14" t="s">
        <v>821</v>
      </c>
      <c r="E684" s="15" t="s">
        <v>822</v>
      </c>
      <c r="F684" s="14" t="s">
        <v>823</v>
      </c>
      <c r="G684" s="15" t="s">
        <v>23</v>
      </c>
      <c r="H684" s="15" t="s">
        <v>1526</v>
      </c>
      <c r="I684" s="15">
        <v>201411</v>
      </c>
      <c r="J684" s="16">
        <v>1769.72</v>
      </c>
      <c r="K684" s="171">
        <f>VLOOKUP(I684,$T$9:$U$23,2)</f>
        <v>7</v>
      </c>
      <c r="L684" s="17">
        <v>1.4833299999999999E-3</v>
      </c>
      <c r="M684" s="16">
        <f>ROUND(J684*K684*L684,2)</f>
        <v>18.38</v>
      </c>
      <c r="N684" s="16">
        <f>ROUND(J684*L684*12,2)</f>
        <v>31.5</v>
      </c>
      <c r="O684" s="14"/>
      <c r="P684" s="210" t="str">
        <f>VLOOKUP(C684,'WO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5" spans="1:18" ht="150" outlineLevel="2">
      <c r="A685" s="14" t="s">
        <v>17</v>
      </c>
      <c r="B685" s="15" t="s">
        <v>819</v>
      </c>
      <c r="C685" s="15" t="s">
        <v>820</v>
      </c>
      <c r="D685" s="14" t="s">
        <v>821</v>
      </c>
      <c r="E685" s="15" t="s">
        <v>822</v>
      </c>
      <c r="F685" s="14" t="s">
        <v>823</v>
      </c>
      <c r="G685" s="15" t="s">
        <v>23</v>
      </c>
      <c r="H685" s="15" t="s">
        <v>1526</v>
      </c>
      <c r="I685" s="15">
        <v>201412</v>
      </c>
      <c r="J685" s="16">
        <v>-166.27</v>
      </c>
      <c r="K685" s="171">
        <f>VLOOKUP(I685,$T$9:$U$23,2)</f>
        <v>6</v>
      </c>
      <c r="L685" s="17">
        <v>1.4833299999999999E-3</v>
      </c>
      <c r="M685" s="16">
        <f>ROUND(J685*K685*L685,2)</f>
        <v>-1.48</v>
      </c>
      <c r="N685" s="16">
        <f>ROUND(J685*L685*12,2)</f>
        <v>-2.96</v>
      </c>
      <c r="O685" s="14"/>
      <c r="P685" s="210" t="str">
        <f>VLOOKUP(C685,'WO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6" spans="1:18" outlineLevel="1">
      <c r="A686" s="223"/>
      <c r="B686" s="250"/>
      <c r="C686" s="254" t="s">
        <v>2007</v>
      </c>
      <c r="D686" s="223"/>
      <c r="E686" s="250"/>
      <c r="F686" s="223"/>
      <c r="G686" s="250"/>
      <c r="H686" s="250"/>
      <c r="I686" s="250"/>
      <c r="J686" s="251">
        <f>SUBTOTAL(9,J682:J685)</f>
        <v>-125.78</v>
      </c>
      <c r="K686" s="252"/>
      <c r="L686" s="253"/>
      <c r="M686" s="251">
        <f>SUBTOTAL(9,M682:M685)</f>
        <v>-5.9400000000000013</v>
      </c>
      <c r="N686" s="251">
        <f>SUBTOTAL(9,N682:N685)</f>
        <v>-2.2399999999999975</v>
      </c>
      <c r="O686" s="223"/>
      <c r="P686" s="210"/>
      <c r="Q686" s="263" t="s">
        <v>2096</v>
      </c>
    </row>
    <row r="687" spans="1:18" ht="60" outlineLevel="2">
      <c r="A687" s="14" t="s">
        <v>54</v>
      </c>
      <c r="B687" s="15" t="s">
        <v>824</v>
      </c>
      <c r="C687" s="15" t="s">
        <v>825</v>
      </c>
      <c r="D687" s="14" t="s">
        <v>826</v>
      </c>
      <c r="E687" s="15" t="s">
        <v>136</v>
      </c>
      <c r="F687" s="14" t="s">
        <v>137</v>
      </c>
      <c r="G687" s="15" t="s">
        <v>23</v>
      </c>
      <c r="H687" s="15" t="s">
        <v>1526</v>
      </c>
      <c r="I687" s="15">
        <v>201410</v>
      </c>
      <c r="J687" s="16">
        <v>6203.97</v>
      </c>
      <c r="K687" s="171">
        <f>VLOOKUP(I687,$T$9:$U$23,2)</f>
        <v>8</v>
      </c>
      <c r="L687" s="17">
        <v>1.4833299999999999E-3</v>
      </c>
      <c r="M687" s="16">
        <f>ROUND(J687*K687*L687,2)</f>
        <v>73.62</v>
      </c>
      <c r="N687" s="16">
        <f>ROUND(J687*L687*12,2)</f>
        <v>110.43</v>
      </c>
      <c r="O687" s="14"/>
      <c r="P687" s="210" t="str">
        <f>VLOOKUP(C687,'WO Descriptions'!$A$5:$D$345,4)</f>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
    </row>
    <row r="688" spans="1:18" outlineLevel="1">
      <c r="A688" s="223"/>
      <c r="B688" s="250"/>
      <c r="C688" s="254" t="s">
        <v>2008</v>
      </c>
      <c r="D688" s="223"/>
      <c r="E688" s="250"/>
      <c r="F688" s="223"/>
      <c r="G688" s="250"/>
      <c r="H688" s="250"/>
      <c r="I688" s="250"/>
      <c r="J688" s="251">
        <f>SUBTOTAL(9,J687:J687)</f>
        <v>6203.97</v>
      </c>
      <c r="K688" s="252"/>
      <c r="L688" s="253"/>
      <c r="M688" s="251">
        <f>SUBTOTAL(9,M687:M687)</f>
        <v>73.62</v>
      </c>
      <c r="N688" s="251">
        <f>SUBTOTAL(9,N687:N687)</f>
        <v>110.43</v>
      </c>
      <c r="O688" s="223"/>
      <c r="P688" s="210"/>
      <c r="Q688" s="263" t="s">
        <v>2096</v>
      </c>
    </row>
    <row r="689" spans="1:18" ht="45" outlineLevel="2">
      <c r="A689" s="14" t="s">
        <v>54</v>
      </c>
      <c r="B689" s="15" t="s">
        <v>827</v>
      </c>
      <c r="C689" s="15" t="s">
        <v>828</v>
      </c>
      <c r="D689" s="14" t="s">
        <v>829</v>
      </c>
      <c r="E689" s="15" t="s">
        <v>62</v>
      </c>
      <c r="F689" s="14" t="s">
        <v>22</v>
      </c>
      <c r="G689" s="15" t="s">
        <v>23</v>
      </c>
      <c r="H689" s="15" t="s">
        <v>1525</v>
      </c>
      <c r="I689" s="15">
        <v>201409</v>
      </c>
      <c r="J689" s="16">
        <v>-72.66</v>
      </c>
      <c r="K689" s="171">
        <f>VLOOKUP(I689,$T$9:$U$23,2)</f>
        <v>9</v>
      </c>
      <c r="L689" s="17">
        <v>1.4833299999999999E-3</v>
      </c>
      <c r="M689" s="16">
        <f>ROUND(J689*K689*L689,2)</f>
        <v>-0.97</v>
      </c>
      <c r="N689" s="16">
        <f>ROUND(J689*L689*12,2)</f>
        <v>-1.29</v>
      </c>
      <c r="O689" s="14"/>
      <c r="P689" s="210" t="str">
        <f>VLOOKUP(C689,'WO Descriptions'!$A$5:$D$345,4)</f>
        <v>Approved by: Ralph Janes on 04/04/2014,  Replace and abandon 520' - 2" pbs main (Work order unknown 1940) by installing 130' - 2" pe to clear 2 active leaks and due to condition of pipe.  (ISRS)</v>
      </c>
    </row>
    <row r="690" spans="1:18" ht="45" outlineLevel="2">
      <c r="A690" s="14" t="s">
        <v>54</v>
      </c>
      <c r="B690" s="15" t="s">
        <v>827</v>
      </c>
      <c r="C690" s="15" t="s">
        <v>828</v>
      </c>
      <c r="D690" s="14" t="s">
        <v>829</v>
      </c>
      <c r="E690" s="15" t="s">
        <v>62</v>
      </c>
      <c r="F690" s="14" t="s">
        <v>22</v>
      </c>
      <c r="G690" s="15" t="s">
        <v>23</v>
      </c>
      <c r="H690" s="15" t="s">
        <v>1525</v>
      </c>
      <c r="I690" s="15">
        <v>201410</v>
      </c>
      <c r="J690" s="16">
        <v>0</v>
      </c>
      <c r="K690" s="171">
        <f>VLOOKUP(I690,$T$9:$U$23,2)</f>
        <v>8</v>
      </c>
      <c r="L690" s="17">
        <v>1.4833299999999999E-3</v>
      </c>
      <c r="M690" s="16">
        <f>ROUND(J690*K690*L690,2)</f>
        <v>0</v>
      </c>
      <c r="N690" s="16">
        <f>ROUND(J690*L690*12,2)</f>
        <v>0</v>
      </c>
      <c r="O690" s="14"/>
      <c r="P690" s="210" t="str">
        <f>VLOOKUP(C690,'WO Descriptions'!$A$5:$D$345,4)</f>
        <v>Approved by: Ralph Janes on 04/04/2014,  Replace and abandon 520' - 2" pbs main (Work order unknown 1940) by installing 130' - 2" pe to clear 2 active leaks and due to condition of pipe.  (ISRS)</v>
      </c>
    </row>
    <row r="691" spans="1:18" outlineLevel="1">
      <c r="A691" s="223"/>
      <c r="B691" s="250"/>
      <c r="C691" s="254" t="s">
        <v>2009</v>
      </c>
      <c r="D691" s="223"/>
      <c r="E691" s="250"/>
      <c r="F691" s="223"/>
      <c r="G691" s="250"/>
      <c r="H691" s="250"/>
      <c r="I691" s="250"/>
      <c r="J691" s="251">
        <f>SUBTOTAL(9,J689:J690)</f>
        <v>-72.66</v>
      </c>
      <c r="K691" s="252"/>
      <c r="L691" s="253"/>
      <c r="M691" s="251">
        <f>SUBTOTAL(9,M689:M690)</f>
        <v>-0.97</v>
      </c>
      <c r="N691" s="251">
        <f>SUBTOTAL(9,N689:N690)</f>
        <v>-1.29</v>
      </c>
      <c r="O691" s="223"/>
      <c r="P691" s="210"/>
      <c r="Q691" s="263" t="s">
        <v>2097</v>
      </c>
      <c r="R691" s="263" t="s">
        <v>2098</v>
      </c>
    </row>
    <row r="692" spans="1:18" ht="60" outlineLevel="2">
      <c r="A692" s="14" t="s">
        <v>54</v>
      </c>
      <c r="B692" s="15" t="s">
        <v>830</v>
      </c>
      <c r="C692" s="15" t="s">
        <v>831</v>
      </c>
      <c r="D692" s="14" t="s">
        <v>832</v>
      </c>
      <c r="E692" s="15" t="s">
        <v>62</v>
      </c>
      <c r="F692" s="14" t="s">
        <v>22</v>
      </c>
      <c r="G692" s="15" t="s">
        <v>23</v>
      </c>
      <c r="H692" s="15" t="s">
        <v>1525</v>
      </c>
      <c r="I692" s="15">
        <v>201411</v>
      </c>
      <c r="J692" s="16">
        <v>35798.080000000002</v>
      </c>
      <c r="K692" s="171">
        <f>VLOOKUP(I692,$T$9:$U$23,2)</f>
        <v>7</v>
      </c>
      <c r="L692" s="17">
        <v>1.4833299999999999E-3</v>
      </c>
      <c r="M692" s="16">
        <f>ROUND(J692*K692*L692,2)</f>
        <v>371.7</v>
      </c>
      <c r="N692" s="16">
        <f>ROUND(J692*L692*12,2)</f>
        <v>637.20000000000005</v>
      </c>
      <c r="O692" s="14"/>
      <c r="P692" s="210" t="str">
        <f>VLOOKUP(C692,'WO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693" spans="1:18" ht="60" outlineLevel="2">
      <c r="A693" s="14" t="s">
        <v>54</v>
      </c>
      <c r="B693" s="15" t="s">
        <v>830</v>
      </c>
      <c r="C693" s="15" t="s">
        <v>831</v>
      </c>
      <c r="D693" s="14" t="s">
        <v>832</v>
      </c>
      <c r="E693" s="15" t="s">
        <v>62</v>
      </c>
      <c r="F693" s="14" t="s">
        <v>22</v>
      </c>
      <c r="G693" s="15" t="s">
        <v>23</v>
      </c>
      <c r="H693" s="15" t="s">
        <v>1525</v>
      </c>
      <c r="I693" s="15">
        <v>201412</v>
      </c>
      <c r="J693" s="16">
        <v>-96.51</v>
      </c>
      <c r="K693" s="171">
        <f>VLOOKUP(I693,$T$9:$U$23,2)</f>
        <v>6</v>
      </c>
      <c r="L693" s="17">
        <v>1.4833299999999999E-3</v>
      </c>
      <c r="M693" s="16">
        <f>ROUND(J693*K693*L693,2)</f>
        <v>-0.86</v>
      </c>
      <c r="N693" s="16">
        <f>ROUND(J693*L693*12,2)</f>
        <v>-1.72</v>
      </c>
      <c r="O693" s="14"/>
      <c r="P693" s="210" t="str">
        <f>VLOOKUP(C693,'WO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694" spans="1:18" outlineLevel="1">
      <c r="A694" s="223"/>
      <c r="B694" s="250"/>
      <c r="C694" s="254" t="s">
        <v>2010</v>
      </c>
      <c r="D694" s="223"/>
      <c r="E694" s="250"/>
      <c r="F694" s="223"/>
      <c r="G694" s="250"/>
      <c r="H694" s="250"/>
      <c r="I694" s="250"/>
      <c r="J694" s="251">
        <f>SUBTOTAL(9,J692:J693)</f>
        <v>35701.57</v>
      </c>
      <c r="K694" s="252"/>
      <c r="L694" s="253"/>
      <c r="M694" s="251">
        <f>SUBTOTAL(9,M692:M693)</f>
        <v>370.84</v>
      </c>
      <c r="N694" s="251">
        <f>SUBTOTAL(9,N692:N693)</f>
        <v>635.48</v>
      </c>
      <c r="O694" s="223"/>
      <c r="P694" s="210"/>
      <c r="Q694" s="263" t="s">
        <v>2097</v>
      </c>
      <c r="R694" s="263" t="s">
        <v>2098</v>
      </c>
    </row>
    <row r="695" spans="1:18" ht="45" outlineLevel="2">
      <c r="A695" s="14" t="s">
        <v>66</v>
      </c>
      <c r="B695" s="15" t="s">
        <v>833</v>
      </c>
      <c r="C695" s="15" t="s">
        <v>834</v>
      </c>
      <c r="D695" s="14" t="s">
        <v>835</v>
      </c>
      <c r="E695" s="15" t="s">
        <v>40</v>
      </c>
      <c r="F695" s="14" t="s">
        <v>41</v>
      </c>
      <c r="G695" s="15" t="s">
        <v>23</v>
      </c>
      <c r="H695" s="15" t="s">
        <v>1526</v>
      </c>
      <c r="I695" s="15">
        <v>201409</v>
      </c>
      <c r="J695" s="16">
        <v>-307.58</v>
      </c>
      <c r="K695" s="171">
        <f>VLOOKUP(I695,$T$9:$U$23,2)</f>
        <v>9</v>
      </c>
      <c r="L695" s="17">
        <v>2.23333E-3</v>
      </c>
      <c r="M695" s="16">
        <f>ROUND(J695*K695*L695,2)</f>
        <v>-6.18</v>
      </c>
      <c r="N695" s="16">
        <f>ROUND(J695*L695*12,2)</f>
        <v>-8.24</v>
      </c>
      <c r="O695" s="14"/>
      <c r="P695" s="210" t="str">
        <f>VLOOKUP(C695,'WO Descriptions'!$A$5:$D$345,4)</f>
        <v>Approved by: Kevin Driskell on 04/04/2014,  (ISRS)  Replace and extend 8in steel service for 911 Main Street to new main location on WO 13-2400 (Streetcar Phase 2).  Location of valve for service to be determined in field.</v>
      </c>
    </row>
    <row r="696" spans="1:18" outlineLevel="1">
      <c r="A696" s="223"/>
      <c r="B696" s="250"/>
      <c r="C696" s="254" t="s">
        <v>2011</v>
      </c>
      <c r="D696" s="223"/>
      <c r="E696" s="250"/>
      <c r="F696" s="223"/>
      <c r="G696" s="250"/>
      <c r="H696" s="250"/>
      <c r="I696" s="250"/>
      <c r="J696" s="251">
        <f>SUBTOTAL(9,J695:J695)</f>
        <v>-307.58</v>
      </c>
      <c r="K696" s="252"/>
      <c r="L696" s="253"/>
      <c r="M696" s="251">
        <f>SUBTOTAL(9,M695:M695)</f>
        <v>-6.18</v>
      </c>
      <c r="N696" s="251">
        <f>SUBTOTAL(9,N695:N695)</f>
        <v>-8.24</v>
      </c>
      <c r="O696" s="223"/>
      <c r="P696" s="210"/>
      <c r="Q696" s="263" t="s">
        <v>2096</v>
      </c>
    </row>
    <row r="697" spans="1:18" ht="60" outlineLevel="2">
      <c r="A697" s="14" t="s">
        <v>54</v>
      </c>
      <c r="B697" s="15" t="s">
        <v>836</v>
      </c>
      <c r="C697" s="15" t="s">
        <v>837</v>
      </c>
      <c r="D697" s="14" t="s">
        <v>838</v>
      </c>
      <c r="E697" s="15" t="s">
        <v>21</v>
      </c>
      <c r="F697" s="14" t="s">
        <v>22</v>
      </c>
      <c r="G697" s="15" t="s">
        <v>23</v>
      </c>
      <c r="H697" s="15" t="s">
        <v>1525</v>
      </c>
      <c r="I697" s="15">
        <v>201409</v>
      </c>
      <c r="J697" s="16">
        <v>-828.96</v>
      </c>
      <c r="K697" s="171">
        <f>VLOOKUP(I697,$T$9:$U$23,2)</f>
        <v>9</v>
      </c>
      <c r="L697" s="17">
        <v>1.4833299999999999E-3</v>
      </c>
      <c r="M697" s="16">
        <f>ROUND(J697*K697*L697,2)</f>
        <v>-11.07</v>
      </c>
      <c r="N697" s="16">
        <f>ROUND(J697*L697*12,2)</f>
        <v>-14.76</v>
      </c>
      <c r="O697" s="14"/>
      <c r="P697" s="210" t="str">
        <f>VLOOKUP(C697,'WO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698" spans="1:18" ht="60" outlineLevel="2">
      <c r="A698" s="14" t="s">
        <v>54</v>
      </c>
      <c r="B698" s="15" t="s">
        <v>836</v>
      </c>
      <c r="C698" s="15" t="s">
        <v>837</v>
      </c>
      <c r="D698" s="14" t="s">
        <v>838</v>
      </c>
      <c r="E698" s="15" t="s">
        <v>21</v>
      </c>
      <c r="F698" s="14" t="s">
        <v>22</v>
      </c>
      <c r="G698" s="15" t="s">
        <v>23</v>
      </c>
      <c r="H698" s="15" t="s">
        <v>1525</v>
      </c>
      <c r="I698" s="15">
        <v>201410</v>
      </c>
      <c r="J698" s="16">
        <v>-81.62</v>
      </c>
      <c r="K698" s="171">
        <f>VLOOKUP(I698,$T$9:$U$23,2)</f>
        <v>8</v>
      </c>
      <c r="L698" s="17">
        <v>1.4833299999999999E-3</v>
      </c>
      <c r="M698" s="16">
        <f>ROUND(J698*K698*L698,2)</f>
        <v>-0.97</v>
      </c>
      <c r="N698" s="16">
        <f>ROUND(J698*L698*12,2)</f>
        <v>-1.45</v>
      </c>
      <c r="O698" s="14"/>
      <c r="P698" s="210" t="str">
        <f>VLOOKUP(C698,'WO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699" spans="1:18" outlineLevel="1">
      <c r="A699" s="223"/>
      <c r="B699" s="250"/>
      <c r="C699" s="254" t="s">
        <v>2012</v>
      </c>
      <c r="D699" s="223"/>
      <c r="E699" s="250"/>
      <c r="F699" s="223"/>
      <c r="G699" s="250"/>
      <c r="H699" s="250"/>
      <c r="I699" s="250"/>
      <c r="J699" s="251">
        <f>SUBTOTAL(9,J697:J698)</f>
        <v>-910.58</v>
      </c>
      <c r="K699" s="252"/>
      <c r="L699" s="253"/>
      <c r="M699" s="251">
        <f>SUBTOTAL(9,M697:M698)</f>
        <v>-12.040000000000001</v>
      </c>
      <c r="N699" s="251">
        <f>SUBTOTAL(9,N697:N698)</f>
        <v>-16.21</v>
      </c>
      <c r="O699" s="223"/>
      <c r="P699" s="210"/>
      <c r="Q699" s="263" t="s">
        <v>2097</v>
      </c>
      <c r="R699" s="263" t="s">
        <v>2098</v>
      </c>
    </row>
    <row r="700" spans="1:18" ht="30" outlineLevel="2">
      <c r="A700" s="14" t="s">
        <v>66</v>
      </c>
      <c r="B700" s="15" t="s">
        <v>839</v>
      </c>
      <c r="C700" s="15" t="s">
        <v>840</v>
      </c>
      <c r="D700" s="14" t="s">
        <v>841</v>
      </c>
      <c r="E700" s="15" t="s">
        <v>842</v>
      </c>
      <c r="F700" s="14" t="s">
        <v>624</v>
      </c>
      <c r="G700" s="15" t="s">
        <v>23</v>
      </c>
      <c r="H700" s="15" t="s">
        <v>1527</v>
      </c>
      <c r="I700" s="15">
        <v>201409</v>
      </c>
      <c r="J700" s="16">
        <v>-113.44</v>
      </c>
      <c r="K700" s="171">
        <f>VLOOKUP(I700,$T$9:$U$23,2)</f>
        <v>9</v>
      </c>
      <c r="L700" s="17">
        <v>2.23333E-3</v>
      </c>
      <c r="M700" s="16">
        <f>ROUND(J700*K700*L700,2)</f>
        <v>-2.2799999999999998</v>
      </c>
      <c r="N700" s="16">
        <f>ROUND(J700*L700*12,2)</f>
        <v>-3.04</v>
      </c>
      <c r="O700" s="14"/>
      <c r="P700" s="210" t="str">
        <f>VLOOKUP(C700,'WO Descriptions'!$A$5:$D$345,4)</f>
        <v>Approved by: Kevin Driskell on 04/08/2014,  REPLACING 160ft-2in cs service line with 2in pe service line. Due to leak on service line.</v>
      </c>
    </row>
    <row r="701" spans="1:18" outlineLevel="1">
      <c r="A701" s="223"/>
      <c r="B701" s="250"/>
      <c r="C701" s="254" t="s">
        <v>2013</v>
      </c>
      <c r="D701" s="223"/>
      <c r="E701" s="250"/>
      <c r="F701" s="223"/>
      <c r="G701" s="250"/>
      <c r="H701" s="250"/>
      <c r="I701" s="250"/>
      <c r="J701" s="251">
        <f>SUBTOTAL(9,J700:J700)</f>
        <v>-113.44</v>
      </c>
      <c r="K701" s="252"/>
      <c r="L701" s="253"/>
      <c r="M701" s="251">
        <f>SUBTOTAL(9,M700:M700)</f>
        <v>-2.2799999999999998</v>
      </c>
      <c r="N701" s="251">
        <f>SUBTOTAL(9,N700:N700)</f>
        <v>-3.04</v>
      </c>
      <c r="O701" s="223"/>
      <c r="P701" s="210"/>
      <c r="Q701" s="263" t="s">
        <v>2097</v>
      </c>
      <c r="R701" s="263" t="s">
        <v>2104</v>
      </c>
    </row>
    <row r="702" spans="1:18" ht="30" outlineLevel="2">
      <c r="A702" s="14" t="s">
        <v>17</v>
      </c>
      <c r="B702" s="15" t="s">
        <v>843</v>
      </c>
      <c r="C702" s="15" t="s">
        <v>844</v>
      </c>
      <c r="D702" s="14" t="s">
        <v>845</v>
      </c>
      <c r="E702" s="15" t="s">
        <v>45</v>
      </c>
      <c r="F702" s="14" t="s">
        <v>22</v>
      </c>
      <c r="G702" s="15" t="s">
        <v>23</v>
      </c>
      <c r="H702" s="15" t="s">
        <v>1525</v>
      </c>
      <c r="I702" s="15">
        <v>201409</v>
      </c>
      <c r="J702" s="16">
        <v>149.26</v>
      </c>
      <c r="K702" s="171">
        <f>VLOOKUP(I702,$T$9:$U$23,2)</f>
        <v>9</v>
      </c>
      <c r="L702" s="17">
        <v>1.4833299999999999E-3</v>
      </c>
      <c r="M702" s="16">
        <f>ROUND(J702*K702*L702,2)</f>
        <v>1.99</v>
      </c>
      <c r="N702" s="16">
        <f>ROUND(J702*L702*12,2)</f>
        <v>2.66</v>
      </c>
      <c r="O702" s="14"/>
      <c r="P702" s="210" t="str">
        <f>VLOOKUP(C702,'WO Descriptions'!$A$5:$D$345,4)</f>
        <v>Approved by: Kevin Driskell on 04/07/2014,  Replace 3in and 2in PBS due to leak.  Lay 10'-3in thin film and 14'-2in thin film.  Work done by MGE crew.Original JO 7740C &amp; 7740B, year 1949</v>
      </c>
    </row>
    <row r="703" spans="1:18" ht="30" outlineLevel="2">
      <c r="A703" s="14" t="s">
        <v>17</v>
      </c>
      <c r="B703" s="15" t="s">
        <v>843</v>
      </c>
      <c r="C703" s="15" t="s">
        <v>844</v>
      </c>
      <c r="D703" s="14" t="s">
        <v>845</v>
      </c>
      <c r="E703" s="15" t="s">
        <v>45</v>
      </c>
      <c r="F703" s="14" t="s">
        <v>22</v>
      </c>
      <c r="G703" s="15" t="s">
        <v>23</v>
      </c>
      <c r="H703" s="15" t="s">
        <v>1525</v>
      </c>
      <c r="I703" s="15">
        <v>201410</v>
      </c>
      <c r="J703" s="16">
        <v>1828.42</v>
      </c>
      <c r="K703" s="171">
        <f>VLOOKUP(I703,$T$9:$U$23,2)</f>
        <v>8</v>
      </c>
      <c r="L703" s="17">
        <v>1.4833299999999999E-3</v>
      </c>
      <c r="M703" s="16">
        <f>ROUND(J703*K703*L703,2)</f>
        <v>21.7</v>
      </c>
      <c r="N703" s="16">
        <f>ROUND(J703*L703*12,2)</f>
        <v>32.549999999999997</v>
      </c>
      <c r="O703" s="14"/>
      <c r="P703" s="210" t="str">
        <f>VLOOKUP(C703,'WO Descriptions'!$A$5:$D$345,4)</f>
        <v>Approved by: Kevin Driskell on 04/07/2014,  Replace 3in and 2in PBS due to leak.  Lay 10'-3in thin film and 14'-2in thin film.  Work done by MGE crew.Original JO 7740C &amp; 7740B, year 1949</v>
      </c>
    </row>
    <row r="704" spans="1:18" ht="30" outlineLevel="2">
      <c r="A704" s="14" t="s">
        <v>17</v>
      </c>
      <c r="B704" s="15" t="s">
        <v>843</v>
      </c>
      <c r="C704" s="15" t="s">
        <v>844</v>
      </c>
      <c r="D704" s="14" t="s">
        <v>845</v>
      </c>
      <c r="E704" s="15" t="s">
        <v>45</v>
      </c>
      <c r="F704" s="14" t="s">
        <v>22</v>
      </c>
      <c r="G704" s="15" t="s">
        <v>23</v>
      </c>
      <c r="H704" s="15" t="s">
        <v>1525</v>
      </c>
      <c r="I704" s="15">
        <v>201411</v>
      </c>
      <c r="J704" s="16">
        <v>-85.84</v>
      </c>
      <c r="K704" s="171">
        <f>VLOOKUP(I704,$T$9:$U$23,2)</f>
        <v>7</v>
      </c>
      <c r="L704" s="17">
        <v>1.4833299999999999E-3</v>
      </c>
      <c r="M704" s="16">
        <f>ROUND(J704*K704*L704,2)</f>
        <v>-0.89</v>
      </c>
      <c r="N704" s="16">
        <f>ROUND(J704*L704*12,2)</f>
        <v>-1.53</v>
      </c>
      <c r="O704" s="14"/>
      <c r="P704" s="210" t="str">
        <f>VLOOKUP(C704,'WO Descriptions'!$A$5:$D$345,4)</f>
        <v>Approved by: Kevin Driskell on 04/07/2014,  Replace 3in and 2in PBS due to leak.  Lay 10'-3in thin film and 14'-2in thin film.  Work done by MGE crew.Original JO 7740C &amp; 7740B, year 1949</v>
      </c>
    </row>
    <row r="705" spans="1:18" ht="30" outlineLevel="2">
      <c r="A705" s="14" t="s">
        <v>17</v>
      </c>
      <c r="B705" s="15" t="s">
        <v>843</v>
      </c>
      <c r="C705" s="15" t="s">
        <v>844</v>
      </c>
      <c r="D705" s="14" t="s">
        <v>845</v>
      </c>
      <c r="E705" s="15" t="s">
        <v>45</v>
      </c>
      <c r="F705" s="14" t="s">
        <v>22</v>
      </c>
      <c r="G705" s="15" t="s">
        <v>23</v>
      </c>
      <c r="H705" s="15" t="s">
        <v>1525</v>
      </c>
      <c r="I705" s="15">
        <v>201412</v>
      </c>
      <c r="J705" s="16">
        <v>-122.95</v>
      </c>
      <c r="K705" s="171">
        <f>VLOOKUP(I705,$T$9:$U$23,2)</f>
        <v>6</v>
      </c>
      <c r="L705" s="17">
        <v>1.4833299999999999E-3</v>
      </c>
      <c r="M705" s="16">
        <f>ROUND(J705*K705*L705,2)</f>
        <v>-1.0900000000000001</v>
      </c>
      <c r="N705" s="16">
        <f>ROUND(J705*L705*12,2)</f>
        <v>-2.19</v>
      </c>
      <c r="O705" s="14"/>
      <c r="P705" s="210" t="str">
        <f>VLOOKUP(C705,'WO Descriptions'!$A$5:$D$345,4)</f>
        <v>Approved by: Kevin Driskell on 04/07/2014,  Replace 3in and 2in PBS due to leak.  Lay 10'-3in thin film and 14'-2in thin film.  Work done by MGE crew.Original JO 7740C &amp; 7740B, year 1949</v>
      </c>
    </row>
    <row r="706" spans="1:18" outlineLevel="1">
      <c r="A706" s="223"/>
      <c r="B706" s="250"/>
      <c r="C706" s="254" t="s">
        <v>2014</v>
      </c>
      <c r="D706" s="223"/>
      <c r="E706" s="250"/>
      <c r="F706" s="223"/>
      <c r="G706" s="250"/>
      <c r="H706" s="250"/>
      <c r="I706" s="250"/>
      <c r="J706" s="251">
        <f>SUBTOTAL(9,J702:J705)</f>
        <v>1768.89</v>
      </c>
      <c r="K706" s="252"/>
      <c r="L706" s="253"/>
      <c r="M706" s="251">
        <f>SUBTOTAL(9,M702:M705)</f>
        <v>21.709999999999997</v>
      </c>
      <c r="N706" s="251">
        <f>SUBTOTAL(9,N702:N705)</f>
        <v>31.489999999999991</v>
      </c>
      <c r="O706" s="223"/>
      <c r="P706" s="210"/>
      <c r="Q706" s="263" t="s">
        <v>2097</v>
      </c>
      <c r="R706" s="263" t="s">
        <v>2098</v>
      </c>
    </row>
    <row r="707" spans="1:18" ht="135" outlineLevel="2">
      <c r="A707" s="14" t="s">
        <v>54</v>
      </c>
      <c r="B707" s="15" t="s">
        <v>846</v>
      </c>
      <c r="C707" s="15" t="s">
        <v>847</v>
      </c>
      <c r="D707" s="14" t="s">
        <v>848</v>
      </c>
      <c r="E707" s="15" t="s">
        <v>141</v>
      </c>
      <c r="F707" s="14" t="s">
        <v>142</v>
      </c>
      <c r="G707" s="15" t="s">
        <v>23</v>
      </c>
      <c r="H707" s="15" t="s">
        <v>1525</v>
      </c>
      <c r="I707" s="15">
        <v>201409</v>
      </c>
      <c r="J707" s="16">
        <v>1253310.78</v>
      </c>
      <c r="K707" s="171">
        <f>VLOOKUP(I707,$T$9:$U$23,2)</f>
        <v>9</v>
      </c>
      <c r="L707" s="17">
        <v>1.4833299999999999E-3</v>
      </c>
      <c r="M707" s="16">
        <f>ROUND(J707*K707*L707,2)</f>
        <v>16731.66</v>
      </c>
      <c r="N707" s="16">
        <f>ROUND(J707*L707*12,2)</f>
        <v>22308.880000000001</v>
      </c>
      <c r="O707" s="14"/>
      <c r="P707" s="210" t="str">
        <f>VLOOKUP(C707,'WO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08" spans="1:18" ht="135" outlineLevel="2">
      <c r="A708" s="14" t="s">
        <v>54</v>
      </c>
      <c r="B708" s="15" t="s">
        <v>846</v>
      </c>
      <c r="C708" s="15" t="s">
        <v>847</v>
      </c>
      <c r="D708" s="14" t="s">
        <v>848</v>
      </c>
      <c r="E708" s="15" t="s">
        <v>141</v>
      </c>
      <c r="F708" s="14" t="s">
        <v>142</v>
      </c>
      <c r="G708" s="15" t="s">
        <v>23</v>
      </c>
      <c r="H708" s="15" t="s">
        <v>1525</v>
      </c>
      <c r="I708" s="15">
        <v>201410</v>
      </c>
      <c r="J708" s="16">
        <v>15539.61</v>
      </c>
      <c r="K708" s="171">
        <f>VLOOKUP(I708,$T$9:$U$23,2)</f>
        <v>8</v>
      </c>
      <c r="L708" s="17">
        <v>1.4833299999999999E-3</v>
      </c>
      <c r="M708" s="16">
        <f>ROUND(J708*K708*L708,2)</f>
        <v>184.4</v>
      </c>
      <c r="N708" s="16">
        <f>ROUND(J708*L708*12,2)</f>
        <v>276.60000000000002</v>
      </c>
      <c r="O708" s="14"/>
      <c r="P708" s="210" t="str">
        <f>VLOOKUP(C708,'WO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09" spans="1:18" ht="135" outlineLevel="2">
      <c r="A709" s="14" t="s">
        <v>54</v>
      </c>
      <c r="B709" s="15" t="s">
        <v>846</v>
      </c>
      <c r="C709" s="15" t="s">
        <v>847</v>
      </c>
      <c r="D709" s="14" t="s">
        <v>848</v>
      </c>
      <c r="E709" s="15" t="s">
        <v>141</v>
      </c>
      <c r="F709" s="14" t="s">
        <v>142</v>
      </c>
      <c r="G709" s="15" t="s">
        <v>23</v>
      </c>
      <c r="H709" s="15" t="s">
        <v>1525</v>
      </c>
      <c r="I709" s="15">
        <v>201411</v>
      </c>
      <c r="J709" s="16">
        <v>11927.86</v>
      </c>
      <c r="K709" s="171">
        <f>VLOOKUP(I709,$T$9:$U$23,2)</f>
        <v>7</v>
      </c>
      <c r="L709" s="17">
        <v>1.4833299999999999E-3</v>
      </c>
      <c r="M709" s="16">
        <f>ROUND(J709*K709*L709,2)</f>
        <v>123.85</v>
      </c>
      <c r="N709" s="16">
        <f>ROUND(J709*L709*12,2)</f>
        <v>212.32</v>
      </c>
      <c r="O709" s="14"/>
      <c r="P709" s="210" t="str">
        <f>VLOOKUP(C709,'WO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10" spans="1:18" ht="135" outlineLevel="2">
      <c r="A710" s="14" t="s">
        <v>54</v>
      </c>
      <c r="B710" s="15" t="s">
        <v>846</v>
      </c>
      <c r="C710" s="15" t="s">
        <v>847</v>
      </c>
      <c r="D710" s="14" t="s">
        <v>848</v>
      </c>
      <c r="E710" s="15" t="s">
        <v>141</v>
      </c>
      <c r="F710" s="14" t="s">
        <v>142</v>
      </c>
      <c r="G710" s="15" t="s">
        <v>23</v>
      </c>
      <c r="H710" s="15" t="s">
        <v>1525</v>
      </c>
      <c r="I710" s="15">
        <v>201412</v>
      </c>
      <c r="J710" s="16">
        <v>-1373.08</v>
      </c>
      <c r="K710" s="171">
        <f>VLOOKUP(I710,$T$9:$U$23,2)</f>
        <v>6</v>
      </c>
      <c r="L710" s="17">
        <v>1.4833299999999999E-3</v>
      </c>
      <c r="M710" s="16">
        <f>ROUND(J710*K710*L710,2)</f>
        <v>-12.22</v>
      </c>
      <c r="N710" s="16">
        <f>ROUND(J710*L710*12,2)</f>
        <v>-24.44</v>
      </c>
      <c r="O710" s="14"/>
      <c r="P710" s="210" t="str">
        <f>VLOOKUP(C710,'WO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11" spans="1:18" outlineLevel="1">
      <c r="A711" s="223"/>
      <c r="B711" s="250"/>
      <c r="C711" s="254" t="s">
        <v>2015</v>
      </c>
      <c r="D711" s="223"/>
      <c r="E711" s="250"/>
      <c r="F711" s="223"/>
      <c r="G711" s="250"/>
      <c r="H711" s="250"/>
      <c r="I711" s="250"/>
      <c r="J711" s="251">
        <f>SUBTOTAL(9,J707:J710)</f>
        <v>1279405.1700000002</v>
      </c>
      <c r="K711" s="252"/>
      <c r="L711" s="253"/>
      <c r="M711" s="251">
        <f>SUBTOTAL(9,M707:M710)</f>
        <v>17027.689999999999</v>
      </c>
      <c r="N711" s="251">
        <f>SUBTOTAL(9,N707:N710)</f>
        <v>22773.360000000001</v>
      </c>
      <c r="O711" s="223"/>
      <c r="P711" s="210"/>
      <c r="Q711" s="263" t="s">
        <v>2097</v>
      </c>
      <c r="R711" s="263" t="s">
        <v>2100</v>
      </c>
    </row>
    <row r="712" spans="1:18" ht="60" outlineLevel="2">
      <c r="A712" s="14" t="s">
        <v>17</v>
      </c>
      <c r="B712" s="15" t="s">
        <v>849</v>
      </c>
      <c r="C712" s="15" t="s">
        <v>850</v>
      </c>
      <c r="D712" s="14" t="s">
        <v>851</v>
      </c>
      <c r="E712" s="15" t="s">
        <v>27</v>
      </c>
      <c r="F712" s="14" t="s">
        <v>28</v>
      </c>
      <c r="G712" s="15" t="s">
        <v>23</v>
      </c>
      <c r="H712" s="15" t="s">
        <v>1525</v>
      </c>
      <c r="I712" s="15">
        <v>201409</v>
      </c>
      <c r="J712" s="16">
        <v>-269.87</v>
      </c>
      <c r="K712" s="171">
        <f>VLOOKUP(I712,$T$9:$U$23,2)</f>
        <v>9</v>
      </c>
      <c r="L712" s="17">
        <v>1.4833299999999999E-3</v>
      </c>
      <c r="M712" s="16">
        <f>ROUND(J712*K712*L712,2)</f>
        <v>-3.6</v>
      </c>
      <c r="N712" s="16">
        <f>ROUND(J712*L712*12,2)</f>
        <v>-4.8</v>
      </c>
      <c r="O712" s="14"/>
      <c r="P712" s="210" t="str">
        <f>VLOOKUP(C712,'WO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713" spans="1:18" ht="60" outlineLevel="2">
      <c r="A713" s="14" t="s">
        <v>17</v>
      </c>
      <c r="B713" s="15" t="s">
        <v>849</v>
      </c>
      <c r="C713" s="15" t="s">
        <v>850</v>
      </c>
      <c r="D713" s="14" t="s">
        <v>851</v>
      </c>
      <c r="E713" s="15" t="s">
        <v>27</v>
      </c>
      <c r="F713" s="14" t="s">
        <v>28</v>
      </c>
      <c r="G713" s="15" t="s">
        <v>23</v>
      </c>
      <c r="H713" s="15" t="s">
        <v>1525</v>
      </c>
      <c r="I713" s="15">
        <v>201412</v>
      </c>
      <c r="J713" s="16">
        <v>58.38</v>
      </c>
      <c r="K713" s="171">
        <f>VLOOKUP(I713,$T$9:$U$23,2)</f>
        <v>6</v>
      </c>
      <c r="L713" s="17">
        <v>1.4833299999999999E-3</v>
      </c>
      <c r="M713" s="16">
        <f>ROUND(J713*K713*L713,2)</f>
        <v>0.52</v>
      </c>
      <c r="N713" s="16">
        <f>ROUND(J713*L713*12,2)</f>
        <v>1.04</v>
      </c>
      <c r="O713" s="14"/>
      <c r="P713" s="210" t="str">
        <f>VLOOKUP(C713,'WO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714" spans="1:18" outlineLevel="1">
      <c r="A714" s="223"/>
      <c r="B714" s="250"/>
      <c r="C714" s="254" t="s">
        <v>2016</v>
      </c>
      <c r="D714" s="223"/>
      <c r="E714" s="250"/>
      <c r="F714" s="223"/>
      <c r="G714" s="250"/>
      <c r="H714" s="250"/>
      <c r="I714" s="250"/>
      <c r="J714" s="251">
        <f>SUBTOTAL(9,J712:J713)</f>
        <v>-211.49</v>
      </c>
      <c r="K714" s="252"/>
      <c r="L714" s="253"/>
      <c r="M714" s="251">
        <f>SUBTOTAL(9,M712:M713)</f>
        <v>-3.08</v>
      </c>
      <c r="N714" s="251">
        <f>SUBTOTAL(9,N712:N713)</f>
        <v>-3.76</v>
      </c>
      <c r="O714" s="223"/>
      <c r="P714" s="210"/>
      <c r="Q714" s="263" t="s">
        <v>2097</v>
      </c>
      <c r="R714" s="263" t="s">
        <v>2099</v>
      </c>
    </row>
    <row r="715" spans="1:18" ht="75" outlineLevel="2">
      <c r="A715" s="14" t="s">
        <v>54</v>
      </c>
      <c r="B715" s="15" t="s">
        <v>852</v>
      </c>
      <c r="C715" s="15" t="s">
        <v>853</v>
      </c>
      <c r="D715" s="14" t="s">
        <v>854</v>
      </c>
      <c r="E715" s="15" t="s">
        <v>62</v>
      </c>
      <c r="F715" s="14" t="s">
        <v>22</v>
      </c>
      <c r="G715" s="15" t="s">
        <v>23</v>
      </c>
      <c r="H715" s="15" t="s">
        <v>1525</v>
      </c>
      <c r="I715" s="15">
        <v>201410</v>
      </c>
      <c r="J715" s="16">
        <v>27394.7</v>
      </c>
      <c r="K715" s="171">
        <f>VLOOKUP(I715,$T$9:$U$23,2)</f>
        <v>8</v>
      </c>
      <c r="L715" s="17">
        <v>1.4833299999999999E-3</v>
      </c>
      <c r="M715" s="16">
        <f>ROUND(J715*K715*L715,2)</f>
        <v>325.08</v>
      </c>
      <c r="N715" s="16">
        <f>ROUND(J715*L715*12,2)</f>
        <v>487.62</v>
      </c>
      <c r="O715" s="14"/>
      <c r="P715" s="210" t="str">
        <f>VLOOKUP(C715,'WO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6" spans="1:18" ht="75" outlineLevel="2">
      <c r="A716" s="14" t="s">
        <v>54</v>
      </c>
      <c r="B716" s="15" t="s">
        <v>852</v>
      </c>
      <c r="C716" s="15" t="s">
        <v>853</v>
      </c>
      <c r="D716" s="14" t="s">
        <v>854</v>
      </c>
      <c r="E716" s="15" t="s">
        <v>62</v>
      </c>
      <c r="F716" s="14" t="s">
        <v>22</v>
      </c>
      <c r="G716" s="15" t="s">
        <v>23</v>
      </c>
      <c r="H716" s="15" t="s">
        <v>1525</v>
      </c>
      <c r="I716" s="15">
        <v>201411</v>
      </c>
      <c r="J716" s="16">
        <v>2279.85</v>
      </c>
      <c r="K716" s="171">
        <f>VLOOKUP(I716,$T$9:$U$23,2)</f>
        <v>7</v>
      </c>
      <c r="L716" s="17">
        <v>1.4833299999999999E-3</v>
      </c>
      <c r="M716" s="16">
        <f>ROUND(J716*K716*L716,2)</f>
        <v>23.67</v>
      </c>
      <c r="N716" s="16">
        <f>ROUND(J716*L716*12,2)</f>
        <v>40.58</v>
      </c>
      <c r="O716" s="14"/>
      <c r="P716" s="210" t="str">
        <f>VLOOKUP(C716,'WO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7" spans="1:18" ht="75" outlineLevel="2">
      <c r="A717" s="14" t="s">
        <v>54</v>
      </c>
      <c r="B717" s="15" t="s">
        <v>852</v>
      </c>
      <c r="C717" s="15" t="s">
        <v>853</v>
      </c>
      <c r="D717" s="14" t="s">
        <v>854</v>
      </c>
      <c r="E717" s="15" t="s">
        <v>62</v>
      </c>
      <c r="F717" s="14" t="s">
        <v>22</v>
      </c>
      <c r="G717" s="15" t="s">
        <v>23</v>
      </c>
      <c r="H717" s="15" t="s">
        <v>1525</v>
      </c>
      <c r="I717" s="15">
        <v>201412</v>
      </c>
      <c r="J717" s="16">
        <v>-428.47</v>
      </c>
      <c r="K717" s="171">
        <f>VLOOKUP(I717,$T$9:$U$23,2)</f>
        <v>6</v>
      </c>
      <c r="L717" s="17">
        <v>1.4833299999999999E-3</v>
      </c>
      <c r="M717" s="16">
        <f>ROUND(J717*K717*L717,2)</f>
        <v>-3.81</v>
      </c>
      <c r="N717" s="16">
        <f>ROUND(J717*L717*12,2)</f>
        <v>-7.63</v>
      </c>
      <c r="O717" s="14"/>
      <c r="P717" s="210" t="str">
        <f>VLOOKUP(C717,'WO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8" spans="1:18" outlineLevel="1">
      <c r="A718" s="223"/>
      <c r="B718" s="250"/>
      <c r="C718" s="254" t="s">
        <v>2017</v>
      </c>
      <c r="D718" s="223"/>
      <c r="E718" s="250"/>
      <c r="F718" s="223"/>
      <c r="G718" s="250"/>
      <c r="H718" s="250"/>
      <c r="I718" s="250"/>
      <c r="J718" s="251">
        <f>SUBTOTAL(9,J715:J717)</f>
        <v>29246.079999999998</v>
      </c>
      <c r="K718" s="252"/>
      <c r="L718" s="253"/>
      <c r="M718" s="251">
        <f>SUBTOTAL(9,M715:M717)</f>
        <v>344.94</v>
      </c>
      <c r="N718" s="251">
        <f>SUBTOTAL(9,N715:N717)</f>
        <v>520.57000000000005</v>
      </c>
      <c r="O718" s="223"/>
      <c r="P718" s="210"/>
      <c r="Q718" s="263" t="s">
        <v>2097</v>
      </c>
      <c r="R718" s="263" t="s">
        <v>2098</v>
      </c>
    </row>
    <row r="719" spans="1:18" ht="45" outlineLevel="2">
      <c r="A719" s="14" t="s">
        <v>54</v>
      </c>
      <c r="B719" s="15" t="s">
        <v>855</v>
      </c>
      <c r="C719" s="15" t="s">
        <v>856</v>
      </c>
      <c r="D719" s="14" t="s">
        <v>857</v>
      </c>
      <c r="E719" s="15" t="s">
        <v>62</v>
      </c>
      <c r="F719" s="14" t="s">
        <v>22</v>
      </c>
      <c r="G719" s="15" t="s">
        <v>23</v>
      </c>
      <c r="H719" s="15" t="s">
        <v>1525</v>
      </c>
      <c r="I719" s="15">
        <v>201409</v>
      </c>
      <c r="J719" s="16">
        <v>1326.56</v>
      </c>
      <c r="K719" s="171">
        <f>VLOOKUP(I719,$T$9:$U$23,2)</f>
        <v>9</v>
      </c>
      <c r="L719" s="17">
        <v>1.4833299999999999E-3</v>
      </c>
      <c r="M719" s="16">
        <f>ROUND(J719*K719*L719,2)</f>
        <v>17.71</v>
      </c>
      <c r="N719" s="16">
        <f>ROUND(J719*L719*12,2)</f>
        <v>23.61</v>
      </c>
      <c r="O719" s="14"/>
      <c r="P719" s="210" t="str">
        <f>VLOOKUP(C719,'WO Descriptions'!$A$5:$D$345,4)</f>
        <v>Approved by: Ralph Janes on 04/18/2014,  Replace 436' - 4" PBS (WO# 202) with 440' - 4" PE. The existing main is actively leaking and is isolated bare steel. Price per ft = $65.38 due to 12 tie-overs and anticipated paving repairs. (ISRS)</v>
      </c>
    </row>
    <row r="720" spans="1:18" ht="45" outlineLevel="2">
      <c r="A720" s="14" t="s">
        <v>54</v>
      </c>
      <c r="B720" s="15" t="s">
        <v>855</v>
      </c>
      <c r="C720" s="15" t="s">
        <v>856</v>
      </c>
      <c r="D720" s="14" t="s">
        <v>857</v>
      </c>
      <c r="E720" s="15" t="s">
        <v>62</v>
      </c>
      <c r="F720" s="14" t="s">
        <v>22</v>
      </c>
      <c r="G720" s="15" t="s">
        <v>23</v>
      </c>
      <c r="H720" s="15" t="s">
        <v>1525</v>
      </c>
      <c r="I720" s="15">
        <v>201410</v>
      </c>
      <c r="J720" s="16">
        <v>-19.38</v>
      </c>
      <c r="K720" s="171">
        <f>VLOOKUP(I720,$T$9:$U$23,2)</f>
        <v>8</v>
      </c>
      <c r="L720" s="17">
        <v>1.4833299999999999E-3</v>
      </c>
      <c r="M720" s="16">
        <f>ROUND(J720*K720*L720,2)</f>
        <v>-0.23</v>
      </c>
      <c r="N720" s="16">
        <f>ROUND(J720*L720*12,2)</f>
        <v>-0.34</v>
      </c>
      <c r="O720" s="14"/>
      <c r="P720" s="210" t="str">
        <f>VLOOKUP(C720,'WO Descriptions'!$A$5:$D$345,4)</f>
        <v>Approved by: Ralph Janes on 04/18/2014,  Replace 436' - 4" PBS (WO# 202) with 440' - 4" PE. The existing main is actively leaking and is isolated bare steel. Price per ft = $65.38 due to 12 tie-overs and anticipated paving repairs. (ISRS)</v>
      </c>
    </row>
    <row r="721" spans="1:18" outlineLevel="1">
      <c r="A721" s="223"/>
      <c r="B721" s="250"/>
      <c r="C721" s="254" t="s">
        <v>2018</v>
      </c>
      <c r="D721" s="223"/>
      <c r="E721" s="250"/>
      <c r="F721" s="223"/>
      <c r="G721" s="250"/>
      <c r="H721" s="250"/>
      <c r="I721" s="250"/>
      <c r="J721" s="251">
        <f>SUBTOTAL(9,J719:J720)</f>
        <v>1307.1799999999998</v>
      </c>
      <c r="K721" s="252"/>
      <c r="L721" s="253"/>
      <c r="M721" s="251">
        <f>SUBTOTAL(9,M719:M720)</f>
        <v>17.48</v>
      </c>
      <c r="N721" s="251">
        <f>SUBTOTAL(9,N719:N720)</f>
        <v>23.27</v>
      </c>
      <c r="O721" s="223"/>
      <c r="P721" s="210"/>
      <c r="Q721" s="263" t="s">
        <v>2097</v>
      </c>
      <c r="R721" s="263" t="s">
        <v>2098</v>
      </c>
    </row>
    <row r="722" spans="1:18" ht="180" outlineLevel="2">
      <c r="A722" s="14" t="s">
        <v>54</v>
      </c>
      <c r="B722" s="15" t="s">
        <v>858</v>
      </c>
      <c r="C722" s="15" t="s">
        <v>859</v>
      </c>
      <c r="D722" s="14" t="s">
        <v>860</v>
      </c>
      <c r="E722" s="15" t="s">
        <v>62</v>
      </c>
      <c r="F722" s="14" t="s">
        <v>22</v>
      </c>
      <c r="G722" s="15" t="s">
        <v>23</v>
      </c>
      <c r="H722" s="15" t="s">
        <v>1525</v>
      </c>
      <c r="I722" s="15">
        <v>201409</v>
      </c>
      <c r="J722" s="16">
        <v>89949.2</v>
      </c>
      <c r="K722" s="171">
        <f>VLOOKUP(I722,$T$9:$U$23,2)</f>
        <v>9</v>
      </c>
      <c r="L722" s="17">
        <v>1.4833299999999999E-3</v>
      </c>
      <c r="M722" s="16">
        <f>ROUND(J722*K722*L722,2)</f>
        <v>1200.82</v>
      </c>
      <c r="N722" s="16">
        <f>ROUND(J722*L722*12,2)</f>
        <v>1601.09</v>
      </c>
      <c r="O722" s="14"/>
      <c r="P722" s="210" t="str">
        <f>VLOOKUP(C722,'WO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3" spans="1:18" ht="180" outlineLevel="2">
      <c r="A723" s="14" t="s">
        <v>54</v>
      </c>
      <c r="B723" s="15" t="s">
        <v>858</v>
      </c>
      <c r="C723" s="15" t="s">
        <v>859</v>
      </c>
      <c r="D723" s="14" t="s">
        <v>860</v>
      </c>
      <c r="E723" s="15" t="s">
        <v>62</v>
      </c>
      <c r="F723" s="14" t="s">
        <v>22</v>
      </c>
      <c r="G723" s="15" t="s">
        <v>23</v>
      </c>
      <c r="H723" s="15" t="s">
        <v>1525</v>
      </c>
      <c r="I723" s="15">
        <v>201410</v>
      </c>
      <c r="J723" s="16">
        <v>3048.22</v>
      </c>
      <c r="K723" s="171">
        <f>VLOOKUP(I723,$T$9:$U$23,2)</f>
        <v>8</v>
      </c>
      <c r="L723" s="17">
        <v>1.4833299999999999E-3</v>
      </c>
      <c r="M723" s="16">
        <f>ROUND(J723*K723*L723,2)</f>
        <v>36.17</v>
      </c>
      <c r="N723" s="16">
        <f>ROUND(J723*L723*12,2)</f>
        <v>54.26</v>
      </c>
      <c r="O723" s="14"/>
      <c r="P723" s="210" t="str">
        <f>VLOOKUP(C723,'WO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4" spans="1:18" ht="180" outlineLevel="2">
      <c r="A724" s="14" t="s">
        <v>54</v>
      </c>
      <c r="B724" s="15" t="s">
        <v>858</v>
      </c>
      <c r="C724" s="15" t="s">
        <v>859</v>
      </c>
      <c r="D724" s="14" t="s">
        <v>860</v>
      </c>
      <c r="E724" s="15" t="s">
        <v>62</v>
      </c>
      <c r="F724" s="14" t="s">
        <v>22</v>
      </c>
      <c r="G724" s="15" t="s">
        <v>23</v>
      </c>
      <c r="H724" s="15" t="s">
        <v>1525</v>
      </c>
      <c r="I724" s="15">
        <v>201411</v>
      </c>
      <c r="J724" s="16">
        <v>-3013.95</v>
      </c>
      <c r="K724" s="171">
        <f>VLOOKUP(I724,$T$9:$U$23,2)</f>
        <v>7</v>
      </c>
      <c r="L724" s="17">
        <v>1.4833299999999999E-3</v>
      </c>
      <c r="M724" s="16">
        <f>ROUND(J724*K724*L724,2)</f>
        <v>-31.29</v>
      </c>
      <c r="N724" s="16">
        <f>ROUND(J724*L724*12,2)</f>
        <v>-53.65</v>
      </c>
      <c r="O724" s="14"/>
      <c r="P724" s="210" t="str">
        <f>VLOOKUP(C724,'WO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5" spans="1:18" ht="180" outlineLevel="2">
      <c r="A725" s="14" t="s">
        <v>54</v>
      </c>
      <c r="B725" s="15" t="s">
        <v>858</v>
      </c>
      <c r="C725" s="15" t="s">
        <v>859</v>
      </c>
      <c r="D725" s="14" t="s">
        <v>860</v>
      </c>
      <c r="E725" s="15" t="s">
        <v>62</v>
      </c>
      <c r="F725" s="14" t="s">
        <v>22</v>
      </c>
      <c r="G725" s="15" t="s">
        <v>23</v>
      </c>
      <c r="H725" s="15" t="s">
        <v>1525</v>
      </c>
      <c r="I725" s="15">
        <v>201412</v>
      </c>
      <c r="J725" s="16">
        <v>45.84</v>
      </c>
      <c r="K725" s="171">
        <f>VLOOKUP(I725,$T$9:$U$23,2)</f>
        <v>6</v>
      </c>
      <c r="L725" s="17">
        <v>1.4833299999999999E-3</v>
      </c>
      <c r="M725" s="16">
        <f>ROUND(J725*K725*L725,2)</f>
        <v>0.41</v>
      </c>
      <c r="N725" s="16">
        <f>ROUND(J725*L725*12,2)</f>
        <v>0.82</v>
      </c>
      <c r="O725" s="14"/>
      <c r="P725" s="210" t="str">
        <f>VLOOKUP(C725,'WO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6" spans="1:18" outlineLevel="1">
      <c r="A726" s="223"/>
      <c r="B726" s="250"/>
      <c r="C726" s="254" t="s">
        <v>2019</v>
      </c>
      <c r="D726" s="223"/>
      <c r="E726" s="250"/>
      <c r="F726" s="223"/>
      <c r="G726" s="250"/>
      <c r="H726" s="250"/>
      <c r="I726" s="250"/>
      <c r="J726" s="251">
        <f>SUBTOTAL(9,J722:J725)</f>
        <v>90029.31</v>
      </c>
      <c r="K726" s="252"/>
      <c r="L726" s="253"/>
      <c r="M726" s="251">
        <f>SUBTOTAL(9,M722:M725)</f>
        <v>1206.1100000000001</v>
      </c>
      <c r="N726" s="251">
        <f>SUBTOTAL(9,N722:N725)</f>
        <v>1602.5199999999998</v>
      </c>
      <c r="O726" s="223"/>
      <c r="P726" s="210"/>
      <c r="Q726" s="263" t="s">
        <v>2097</v>
      </c>
      <c r="R726" s="263" t="s">
        <v>2098</v>
      </c>
    </row>
    <row r="727" spans="1:18" ht="30" outlineLevel="2">
      <c r="A727" s="14" t="s">
        <v>54</v>
      </c>
      <c r="B727" s="15" t="s">
        <v>861</v>
      </c>
      <c r="C727" s="15" t="s">
        <v>862</v>
      </c>
      <c r="D727" s="14" t="s">
        <v>863</v>
      </c>
      <c r="E727" s="15" t="s">
        <v>45</v>
      </c>
      <c r="F727" s="14" t="s">
        <v>22</v>
      </c>
      <c r="G727" s="15" t="s">
        <v>23</v>
      </c>
      <c r="H727" s="15" t="s">
        <v>1525</v>
      </c>
      <c r="I727" s="15">
        <v>201409</v>
      </c>
      <c r="J727" s="16">
        <v>-304.48</v>
      </c>
      <c r="K727" s="171">
        <f>VLOOKUP(I727,$T$9:$U$23,2)</f>
        <v>9</v>
      </c>
      <c r="L727" s="17">
        <v>1.4833299999999999E-3</v>
      </c>
      <c r="M727" s="16">
        <f>ROUND(J727*K727*L727,2)</f>
        <v>-4.0599999999999996</v>
      </c>
      <c r="N727" s="16">
        <f>ROUND(J727*L727*12,2)</f>
        <v>-5.42</v>
      </c>
      <c r="O727" s="14"/>
      <c r="P727" s="210" t="str">
        <f>VLOOKUP(C727,'WO Descriptions'!$A$5:$D$345,4)</f>
        <v>Approved by: Gary Williams on 04/22/2014,  Replace 4'' PBS that is leaking with 4'' PE. Tie in 58' NNC Franklin and 30' SSC Franklin. Ensure north side is 4'WEC. Pressure System - C-001.</v>
      </c>
    </row>
    <row r="728" spans="1:18" ht="30" outlineLevel="2">
      <c r="A728" s="14" t="s">
        <v>54</v>
      </c>
      <c r="B728" s="15" t="s">
        <v>861</v>
      </c>
      <c r="C728" s="15" t="s">
        <v>862</v>
      </c>
      <c r="D728" s="14" t="s">
        <v>863</v>
      </c>
      <c r="E728" s="15" t="s">
        <v>45</v>
      </c>
      <c r="F728" s="14" t="s">
        <v>22</v>
      </c>
      <c r="G728" s="15" t="s">
        <v>23</v>
      </c>
      <c r="H728" s="15" t="s">
        <v>1525</v>
      </c>
      <c r="I728" s="15">
        <v>201410</v>
      </c>
      <c r="J728" s="16">
        <v>-40.68</v>
      </c>
      <c r="K728" s="171">
        <f>VLOOKUP(I728,$T$9:$U$23,2)</f>
        <v>8</v>
      </c>
      <c r="L728" s="17">
        <v>1.4833299999999999E-3</v>
      </c>
      <c r="M728" s="16">
        <f>ROUND(J728*K728*L728,2)</f>
        <v>-0.48</v>
      </c>
      <c r="N728" s="16">
        <f>ROUND(J728*L728*12,2)</f>
        <v>-0.72</v>
      </c>
      <c r="O728" s="14"/>
      <c r="P728" s="210" t="str">
        <f>VLOOKUP(C728,'WO Descriptions'!$A$5:$D$345,4)</f>
        <v>Approved by: Gary Williams on 04/22/2014,  Replace 4'' PBS that is leaking with 4'' PE. Tie in 58' NNC Franklin and 30' SSC Franklin. Ensure north side is 4'WEC. Pressure System - C-001.</v>
      </c>
    </row>
    <row r="729" spans="1:18" outlineLevel="1">
      <c r="A729" s="223"/>
      <c r="B729" s="250"/>
      <c r="C729" s="254" t="s">
        <v>2020</v>
      </c>
      <c r="D729" s="223"/>
      <c r="E729" s="250"/>
      <c r="F729" s="223"/>
      <c r="G729" s="250"/>
      <c r="H729" s="250"/>
      <c r="I729" s="250"/>
      <c r="J729" s="251">
        <f>SUBTOTAL(9,J727:J728)</f>
        <v>-345.16</v>
      </c>
      <c r="K729" s="252"/>
      <c r="L729" s="253"/>
      <c r="M729" s="251">
        <f>SUBTOTAL(9,M727:M728)</f>
        <v>-4.5399999999999991</v>
      </c>
      <c r="N729" s="251">
        <f>SUBTOTAL(9,N727:N728)</f>
        <v>-6.14</v>
      </c>
      <c r="O729" s="223"/>
      <c r="P729" s="210"/>
      <c r="Q729" s="263" t="s">
        <v>2097</v>
      </c>
      <c r="R729" s="263" t="s">
        <v>2098</v>
      </c>
    </row>
    <row r="730" spans="1:18" ht="60" outlineLevel="2">
      <c r="A730" s="14" t="s">
        <v>238</v>
      </c>
      <c r="B730" s="15" t="s">
        <v>1042</v>
      </c>
      <c r="C730" s="15" t="s">
        <v>1043</v>
      </c>
      <c r="D730" s="14" t="s">
        <v>1044</v>
      </c>
      <c r="E730" s="15" t="s">
        <v>168</v>
      </c>
      <c r="F730" s="14" t="s">
        <v>169</v>
      </c>
      <c r="G730" s="15" t="s">
        <v>23</v>
      </c>
      <c r="H730" s="15" t="s">
        <v>1528</v>
      </c>
      <c r="I730" s="15">
        <v>201412</v>
      </c>
      <c r="J730" s="16">
        <v>32263.57</v>
      </c>
      <c r="K730" s="171">
        <f>VLOOKUP(I730,$T$9:$U$23,2)</f>
        <v>6</v>
      </c>
      <c r="L730" s="17">
        <v>2.3833299999999999E-3</v>
      </c>
      <c r="M730" s="16">
        <f>ROUND(J730*K730*L730,2)</f>
        <v>461.37</v>
      </c>
      <c r="N730" s="16">
        <f>ROUND(J730*L730*12,2)</f>
        <v>922.74</v>
      </c>
      <c r="O730" s="14"/>
      <c r="P730" s="210" t="str">
        <f>VLOOKUP(C730,'WO Descriptions'!$A$5:$D$345,4)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731" spans="1:18" outlineLevel="1">
      <c r="A731" s="223"/>
      <c r="B731" s="250"/>
      <c r="C731" s="254" t="s">
        <v>2021</v>
      </c>
      <c r="D731" s="223"/>
      <c r="E731" s="250"/>
      <c r="F731" s="223"/>
      <c r="G731" s="250"/>
      <c r="H731" s="250"/>
      <c r="I731" s="250"/>
      <c r="J731" s="251">
        <f>SUBTOTAL(9,J730:J730)</f>
        <v>32263.57</v>
      </c>
      <c r="K731" s="252"/>
      <c r="L731" s="253"/>
      <c r="M731" s="251">
        <f>SUBTOTAL(9,M730:M730)</f>
        <v>461.37</v>
      </c>
      <c r="N731" s="251">
        <f>SUBTOTAL(9,N730:N730)</f>
        <v>922.74</v>
      </c>
      <c r="O731" s="223"/>
      <c r="P731" s="210"/>
      <c r="Q731" s="263" t="s">
        <v>2097</v>
      </c>
      <c r="R731" s="263" t="s">
        <v>2099</v>
      </c>
    </row>
    <row r="732" spans="1:18" ht="45" outlineLevel="2">
      <c r="A732" s="14" t="s">
        <v>54</v>
      </c>
      <c r="B732" s="15" t="s">
        <v>864</v>
      </c>
      <c r="C732" s="15" t="s">
        <v>865</v>
      </c>
      <c r="D732" s="14" t="s">
        <v>866</v>
      </c>
      <c r="E732" s="15" t="s">
        <v>141</v>
      </c>
      <c r="F732" s="14" t="s">
        <v>142</v>
      </c>
      <c r="G732" s="15" t="s">
        <v>23</v>
      </c>
      <c r="H732" s="15" t="s">
        <v>1525</v>
      </c>
      <c r="I732" s="15">
        <v>201409</v>
      </c>
      <c r="J732" s="16">
        <v>-738.77</v>
      </c>
      <c r="K732" s="171">
        <f>VLOOKUP(I732,$T$9:$U$23,2)</f>
        <v>9</v>
      </c>
      <c r="L732" s="17">
        <v>1.4833299999999999E-3</v>
      </c>
      <c r="M732" s="16">
        <f>ROUND(J732*K732*L732,2)</f>
        <v>-9.86</v>
      </c>
      <c r="N732" s="16">
        <f>ROUND(J732*L732*12,2)</f>
        <v>-13.15</v>
      </c>
      <c r="O732" s="14"/>
      <c r="P732" s="210" t="str">
        <f>VLOOKUP(C732,'WO Descriptions'!$A$5:$D$345,4)</f>
        <v>Approved by: Gary Williams on 04/28/2014,  TO LAY 542FT -6IN PE MAIN,REPLACE 542FT-10IN CI MAIN (WO#94-0724 330FT,WO#77-1701 73FT,WO#06-0843 110FT). THIS WORK ORDER IS NECESSARY DUE TO LEAKAGE</v>
      </c>
    </row>
    <row r="733" spans="1:18" ht="45" outlineLevel="2">
      <c r="A733" s="14" t="s">
        <v>54</v>
      </c>
      <c r="B733" s="15" t="s">
        <v>864</v>
      </c>
      <c r="C733" s="15" t="s">
        <v>865</v>
      </c>
      <c r="D733" s="14" t="s">
        <v>866</v>
      </c>
      <c r="E733" s="15" t="s">
        <v>141</v>
      </c>
      <c r="F733" s="14" t="s">
        <v>142</v>
      </c>
      <c r="G733" s="15" t="s">
        <v>23</v>
      </c>
      <c r="H733" s="15" t="s">
        <v>1525</v>
      </c>
      <c r="I733" s="15">
        <v>201410</v>
      </c>
      <c r="J733" s="16">
        <v>-89.02</v>
      </c>
      <c r="K733" s="171">
        <f>VLOOKUP(I733,$T$9:$U$23,2)</f>
        <v>8</v>
      </c>
      <c r="L733" s="17">
        <v>1.4833299999999999E-3</v>
      </c>
      <c r="M733" s="16">
        <f>ROUND(J733*K733*L733,2)</f>
        <v>-1.06</v>
      </c>
      <c r="N733" s="16">
        <f>ROUND(J733*L733*12,2)</f>
        <v>-1.58</v>
      </c>
      <c r="O733" s="14"/>
      <c r="P733" s="210" t="str">
        <f>VLOOKUP(C733,'WO Descriptions'!$A$5:$D$345,4)</f>
        <v>Approved by: Gary Williams on 04/28/2014,  TO LAY 542FT -6IN PE MAIN,REPLACE 542FT-10IN CI MAIN (WO#94-0724 330FT,WO#77-1701 73FT,WO#06-0843 110FT). THIS WORK ORDER IS NECESSARY DUE TO LEAKAGE</v>
      </c>
    </row>
    <row r="734" spans="1:18" outlineLevel="1">
      <c r="A734" s="223"/>
      <c r="B734" s="250"/>
      <c r="C734" s="254" t="s">
        <v>2022</v>
      </c>
      <c r="D734" s="223"/>
      <c r="E734" s="250"/>
      <c r="F734" s="223"/>
      <c r="G734" s="250"/>
      <c r="H734" s="250"/>
      <c r="I734" s="250"/>
      <c r="J734" s="251">
        <f>SUBTOTAL(9,J732:J733)</f>
        <v>-827.79</v>
      </c>
      <c r="K734" s="252"/>
      <c r="L734" s="253"/>
      <c r="M734" s="251">
        <f>SUBTOTAL(9,M732:M733)</f>
        <v>-10.92</v>
      </c>
      <c r="N734" s="251">
        <f>SUBTOTAL(9,N732:N733)</f>
        <v>-14.73</v>
      </c>
      <c r="O734" s="223"/>
      <c r="P734" s="210"/>
      <c r="Q734" s="263" t="s">
        <v>2097</v>
      </c>
      <c r="R734" s="263" t="s">
        <v>2100</v>
      </c>
    </row>
    <row r="735" spans="1:18" ht="45" outlineLevel="2">
      <c r="A735" s="14" t="s">
        <v>54</v>
      </c>
      <c r="B735" s="15" t="s">
        <v>867</v>
      </c>
      <c r="C735" s="15" t="s">
        <v>868</v>
      </c>
      <c r="D735" s="14" t="s">
        <v>869</v>
      </c>
      <c r="E735" s="15" t="s">
        <v>36</v>
      </c>
      <c r="F735" s="14" t="s">
        <v>22</v>
      </c>
      <c r="G735" s="15" t="s">
        <v>23</v>
      </c>
      <c r="H735" s="15" t="s">
        <v>1525</v>
      </c>
      <c r="I735" s="15">
        <v>201409</v>
      </c>
      <c r="J735" s="16">
        <v>-73.569999999999993</v>
      </c>
      <c r="K735" s="171">
        <f>VLOOKUP(I735,$T$9:$U$23,2)</f>
        <v>9</v>
      </c>
      <c r="L735" s="17">
        <v>1.4833299999999999E-3</v>
      </c>
      <c r="M735" s="16">
        <f>ROUND(J735*K735*L735,2)</f>
        <v>-0.98</v>
      </c>
      <c r="N735" s="16">
        <f>ROUND(J735*L735*12,2)</f>
        <v>-1.31</v>
      </c>
      <c r="O735" s="14"/>
      <c r="P735" s="210" t="str">
        <f>VLOOKUP(C735,'WO Descriptions'!$A$5:$D$345,4)</f>
        <v>Approved by: Gary Williams on 04/28/2014,  To lay 450' of 4"PE main to replace 450' of 4" bare steel main due to down project. Pressure System: C-O1: MOP : .88oz MAOP: .88oz Design MAOP: .88oz Pressure Test: 100 PSIG.</v>
      </c>
    </row>
    <row r="736" spans="1:18" ht="45" outlineLevel="2">
      <c r="A736" s="14" t="s">
        <v>54</v>
      </c>
      <c r="B736" s="15" t="s">
        <v>867</v>
      </c>
      <c r="C736" s="15" t="s">
        <v>868</v>
      </c>
      <c r="D736" s="14" t="s">
        <v>869</v>
      </c>
      <c r="E736" s="15" t="s">
        <v>36</v>
      </c>
      <c r="F736" s="14" t="s">
        <v>22</v>
      </c>
      <c r="G736" s="15" t="s">
        <v>23</v>
      </c>
      <c r="H736" s="15" t="s">
        <v>1525</v>
      </c>
      <c r="I736" s="15">
        <v>201410</v>
      </c>
      <c r="J736" s="16">
        <v>-21.63</v>
      </c>
      <c r="K736" s="171">
        <f>VLOOKUP(I736,$T$9:$U$23,2)</f>
        <v>8</v>
      </c>
      <c r="L736" s="17">
        <v>1.4833299999999999E-3</v>
      </c>
      <c r="M736" s="16">
        <f>ROUND(J736*K736*L736,2)</f>
        <v>-0.26</v>
      </c>
      <c r="N736" s="16">
        <f>ROUND(J736*L736*12,2)</f>
        <v>-0.39</v>
      </c>
      <c r="O736" s="14"/>
      <c r="P736" s="210" t="str">
        <f>VLOOKUP(C736,'WO Descriptions'!$A$5:$D$345,4)</f>
        <v>Approved by: Gary Williams on 04/28/2014,  To lay 450' of 4"PE main to replace 450' of 4" bare steel main due to down project. Pressure System: C-O1: MOP : .88oz MAOP: .88oz Design MAOP: .88oz Pressure Test: 100 PSIG.</v>
      </c>
    </row>
    <row r="737" spans="1:18" outlineLevel="1">
      <c r="A737" s="223"/>
      <c r="B737" s="250"/>
      <c r="C737" s="254" t="s">
        <v>2023</v>
      </c>
      <c r="D737" s="223"/>
      <c r="E737" s="250"/>
      <c r="F737" s="223"/>
      <c r="G737" s="250"/>
      <c r="H737" s="250"/>
      <c r="I737" s="250"/>
      <c r="J737" s="251">
        <f>SUBTOTAL(9,J735:J736)</f>
        <v>-95.199999999999989</v>
      </c>
      <c r="K737" s="252"/>
      <c r="L737" s="253"/>
      <c r="M737" s="251">
        <f>SUBTOTAL(9,M735:M736)</f>
        <v>-1.24</v>
      </c>
      <c r="N737" s="251">
        <f>SUBTOTAL(9,N735:N736)</f>
        <v>-1.7000000000000002</v>
      </c>
      <c r="O737" s="223"/>
      <c r="P737" s="210"/>
      <c r="Q737" s="263" t="s">
        <v>2097</v>
      </c>
      <c r="R737" s="263" t="s">
        <v>2098</v>
      </c>
    </row>
    <row r="738" spans="1:18" ht="30" outlineLevel="2">
      <c r="A738" s="14" t="s">
        <v>54</v>
      </c>
      <c r="B738" s="15" t="s">
        <v>870</v>
      </c>
      <c r="C738" s="15" t="s">
        <v>871</v>
      </c>
      <c r="D738" s="14" t="s">
        <v>872</v>
      </c>
      <c r="E738" s="15" t="s">
        <v>108</v>
      </c>
      <c r="F738" s="14" t="s">
        <v>28</v>
      </c>
      <c r="G738" s="15" t="s">
        <v>23</v>
      </c>
      <c r="H738" s="15" t="s">
        <v>1525</v>
      </c>
      <c r="I738" s="15">
        <v>201409</v>
      </c>
      <c r="J738" s="16">
        <v>-159.66</v>
      </c>
      <c r="K738" s="171">
        <f>VLOOKUP(I738,$T$9:$U$23,2)</f>
        <v>9</v>
      </c>
      <c r="L738" s="17">
        <v>1.4833299999999999E-3</v>
      </c>
      <c r="M738" s="16">
        <f>ROUND(J738*K738*L738,2)</f>
        <v>-2.13</v>
      </c>
      <c r="N738" s="16">
        <f>ROUND(J738*L738*12,2)</f>
        <v>-2.84</v>
      </c>
      <c r="O738" s="14"/>
      <c r="P738" s="210" t="str">
        <f>VLOOKUP(C738,'WO Descriptions'!$A$5:$D$345,4)</f>
        <v>Approved by: Gary Williams on 04/28/2014,  TO LAY 103FT-2IN PE MAIN TO REPLACE 103FT-1 1/8 PE (WO#74-2599). Due to increased load.</v>
      </c>
    </row>
    <row r="739" spans="1:18" ht="30" outlineLevel="2">
      <c r="A739" s="14" t="s">
        <v>54</v>
      </c>
      <c r="B739" s="15" t="s">
        <v>870</v>
      </c>
      <c r="C739" s="15" t="s">
        <v>871</v>
      </c>
      <c r="D739" s="14" t="s">
        <v>872</v>
      </c>
      <c r="E739" s="15" t="s">
        <v>108</v>
      </c>
      <c r="F739" s="14" t="s">
        <v>28</v>
      </c>
      <c r="G739" s="15" t="s">
        <v>23</v>
      </c>
      <c r="H739" s="15" t="s">
        <v>1525</v>
      </c>
      <c r="I739" s="15">
        <v>201410</v>
      </c>
      <c r="J739" s="16">
        <v>-10.32</v>
      </c>
      <c r="K739" s="171">
        <f>VLOOKUP(I739,$T$9:$U$23,2)</f>
        <v>8</v>
      </c>
      <c r="L739" s="17">
        <v>1.4833299999999999E-3</v>
      </c>
      <c r="M739" s="16">
        <f>ROUND(J739*K739*L739,2)</f>
        <v>-0.12</v>
      </c>
      <c r="N739" s="16">
        <f>ROUND(J739*L739*12,2)</f>
        <v>-0.18</v>
      </c>
      <c r="O739" s="14"/>
      <c r="P739" s="210" t="str">
        <f>VLOOKUP(C739,'WO Descriptions'!$A$5:$D$345,4)</f>
        <v>Approved by: Gary Williams on 04/28/2014,  TO LAY 103FT-2IN PE MAIN TO REPLACE 103FT-1 1/8 PE (WO#74-2599). Due to increased load.</v>
      </c>
    </row>
    <row r="740" spans="1:18" outlineLevel="1">
      <c r="A740" s="223"/>
      <c r="B740" s="250"/>
      <c r="C740" s="254" t="s">
        <v>2024</v>
      </c>
      <c r="D740" s="223"/>
      <c r="E740" s="250"/>
      <c r="F740" s="223"/>
      <c r="G740" s="250"/>
      <c r="H740" s="250"/>
      <c r="I740" s="250"/>
      <c r="J740" s="251">
        <f>SUBTOTAL(9,J738:J739)</f>
        <v>-169.98</v>
      </c>
      <c r="K740" s="252"/>
      <c r="L740" s="253"/>
      <c r="M740" s="251">
        <f>SUBTOTAL(9,M738:M739)</f>
        <v>-2.25</v>
      </c>
      <c r="N740" s="251">
        <f>SUBTOTAL(9,N738:N739)</f>
        <v>-3.02</v>
      </c>
      <c r="O740" s="223"/>
      <c r="P740" s="210"/>
      <c r="Q740" s="263" t="s">
        <v>2097</v>
      </c>
      <c r="R740" s="263" t="s">
        <v>2099</v>
      </c>
    </row>
    <row r="741" spans="1:18" ht="45" outlineLevel="2">
      <c r="A741" s="14" t="s">
        <v>54</v>
      </c>
      <c r="B741" s="15" t="s">
        <v>873</v>
      </c>
      <c r="C741" s="15" t="s">
        <v>874</v>
      </c>
      <c r="D741" s="14" t="s">
        <v>875</v>
      </c>
      <c r="E741" s="15" t="s">
        <v>36</v>
      </c>
      <c r="F741" s="14" t="s">
        <v>22</v>
      </c>
      <c r="G741" s="15" t="s">
        <v>23</v>
      </c>
      <c r="H741" s="15" t="s">
        <v>1525</v>
      </c>
      <c r="I741" s="15">
        <v>201409</v>
      </c>
      <c r="J741" s="16">
        <v>-132.54</v>
      </c>
      <c r="K741" s="171">
        <f>VLOOKUP(I741,$T$9:$U$23,2)</f>
        <v>9</v>
      </c>
      <c r="L741" s="17">
        <v>1.4833299999999999E-3</v>
      </c>
      <c r="M741" s="16">
        <f>ROUND(J741*K741*L741,2)</f>
        <v>-1.77</v>
      </c>
      <c r="N741" s="16">
        <f>ROUND(J741*L741*12,2)</f>
        <v>-2.36</v>
      </c>
      <c r="O741" s="14"/>
      <c r="P741" s="210" t="str">
        <f>VLOOKUP(C741,'WO Descriptions'!$A$5:$D$345,4)</f>
        <v>Approved by: Gary Williams on 04/28/2014,  To lay 150' of 4"PE main to replace 150' of 4" bare steel main due to down project. System: C-O1: MOP :14oz MAOP : .88oz Design MAOP : .88oz Pressure Test: 100 PSIG.</v>
      </c>
    </row>
    <row r="742" spans="1:18" ht="45" outlineLevel="2">
      <c r="A742" s="14" t="s">
        <v>54</v>
      </c>
      <c r="B742" s="15" t="s">
        <v>873</v>
      </c>
      <c r="C742" s="15" t="s">
        <v>874</v>
      </c>
      <c r="D742" s="14" t="s">
        <v>875</v>
      </c>
      <c r="E742" s="15" t="s">
        <v>36</v>
      </c>
      <c r="F742" s="14" t="s">
        <v>22</v>
      </c>
      <c r="G742" s="15" t="s">
        <v>23</v>
      </c>
      <c r="H742" s="15" t="s">
        <v>1525</v>
      </c>
      <c r="I742" s="15">
        <v>201410</v>
      </c>
      <c r="J742" s="16">
        <v>-14.44</v>
      </c>
      <c r="K742" s="171">
        <f>VLOOKUP(I742,$T$9:$U$23,2)</f>
        <v>8</v>
      </c>
      <c r="L742" s="17">
        <v>1.4833299999999999E-3</v>
      </c>
      <c r="M742" s="16">
        <f>ROUND(J742*K742*L742,2)</f>
        <v>-0.17</v>
      </c>
      <c r="N742" s="16">
        <f>ROUND(J742*L742*12,2)</f>
        <v>-0.26</v>
      </c>
      <c r="O742" s="14"/>
      <c r="P742" s="210" t="str">
        <f>VLOOKUP(C742,'WO Descriptions'!$A$5:$D$345,4)</f>
        <v>Approved by: Gary Williams on 04/28/2014,  To lay 150' of 4"PE main to replace 150' of 4" bare steel main due to down project. System: C-O1: MOP :14oz MAOP : .88oz Design MAOP : .88oz Pressure Test: 100 PSIG.</v>
      </c>
    </row>
    <row r="743" spans="1:18" outlineLevel="1">
      <c r="A743" s="223"/>
      <c r="B743" s="250"/>
      <c r="C743" s="254" t="s">
        <v>2025</v>
      </c>
      <c r="D743" s="223"/>
      <c r="E743" s="250"/>
      <c r="F743" s="223"/>
      <c r="G743" s="250"/>
      <c r="H743" s="250"/>
      <c r="I743" s="250"/>
      <c r="J743" s="251">
        <f>SUBTOTAL(9,J741:J742)</f>
        <v>-146.97999999999999</v>
      </c>
      <c r="K743" s="252"/>
      <c r="L743" s="253"/>
      <c r="M743" s="251">
        <f>SUBTOTAL(9,M741:M742)</f>
        <v>-1.94</v>
      </c>
      <c r="N743" s="251">
        <f>SUBTOTAL(9,N741:N742)</f>
        <v>-2.62</v>
      </c>
      <c r="O743" s="223"/>
      <c r="P743" s="210"/>
      <c r="Q743" s="263" t="s">
        <v>2097</v>
      </c>
      <c r="R743" s="263" t="s">
        <v>2098</v>
      </c>
    </row>
    <row r="744" spans="1:18" ht="60" outlineLevel="2">
      <c r="A744" s="14" t="s">
        <v>54</v>
      </c>
      <c r="B744" s="15" t="s">
        <v>876</v>
      </c>
      <c r="C744" s="15" t="s">
        <v>877</v>
      </c>
      <c r="D744" s="14" t="s">
        <v>878</v>
      </c>
      <c r="E744" s="15" t="s">
        <v>62</v>
      </c>
      <c r="F744" s="14" t="s">
        <v>22</v>
      </c>
      <c r="G744" s="15" t="s">
        <v>23</v>
      </c>
      <c r="H744" s="15" t="s">
        <v>1525</v>
      </c>
      <c r="I744" s="15">
        <v>201410</v>
      </c>
      <c r="J744" s="16">
        <v>40690.879999999997</v>
      </c>
      <c r="K744" s="171">
        <f>VLOOKUP(I744,$T$9:$U$23,2)</f>
        <v>8</v>
      </c>
      <c r="L744" s="17">
        <v>1.4833299999999999E-3</v>
      </c>
      <c r="M744" s="16">
        <f>ROUND(J744*K744*L744,2)</f>
        <v>482.86</v>
      </c>
      <c r="N744" s="16">
        <f>ROUND(J744*L744*12,2)</f>
        <v>724.3</v>
      </c>
      <c r="O744" s="14"/>
      <c r="P744" s="210" t="str">
        <f>VLOOKUP(C744,'WO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5" spans="1:18" ht="60" outlineLevel="2">
      <c r="A745" s="14" t="s">
        <v>54</v>
      </c>
      <c r="B745" s="15" t="s">
        <v>876</v>
      </c>
      <c r="C745" s="15" t="s">
        <v>877</v>
      </c>
      <c r="D745" s="14" t="s">
        <v>878</v>
      </c>
      <c r="E745" s="15" t="s">
        <v>62</v>
      </c>
      <c r="F745" s="14" t="s">
        <v>22</v>
      </c>
      <c r="G745" s="15" t="s">
        <v>23</v>
      </c>
      <c r="H745" s="15" t="s">
        <v>1525</v>
      </c>
      <c r="I745" s="15">
        <v>201411</v>
      </c>
      <c r="J745" s="16">
        <v>8478.08</v>
      </c>
      <c r="K745" s="171">
        <f>VLOOKUP(I745,$T$9:$U$23,2)</f>
        <v>7</v>
      </c>
      <c r="L745" s="17">
        <v>1.4833299999999999E-3</v>
      </c>
      <c r="M745" s="16">
        <f>ROUND(J745*K745*L745,2)</f>
        <v>88.03</v>
      </c>
      <c r="N745" s="16">
        <f>ROUND(J745*L745*12,2)</f>
        <v>150.91</v>
      </c>
      <c r="O745" s="14"/>
      <c r="P745" s="210" t="str">
        <f>VLOOKUP(C745,'WO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6" spans="1:18" ht="60" outlineLevel="2">
      <c r="A746" s="14" t="s">
        <v>54</v>
      </c>
      <c r="B746" s="15" t="s">
        <v>876</v>
      </c>
      <c r="C746" s="15" t="s">
        <v>877</v>
      </c>
      <c r="D746" s="14" t="s">
        <v>878</v>
      </c>
      <c r="E746" s="15" t="s">
        <v>62</v>
      </c>
      <c r="F746" s="14" t="s">
        <v>22</v>
      </c>
      <c r="G746" s="15" t="s">
        <v>23</v>
      </c>
      <c r="H746" s="15" t="s">
        <v>1525</v>
      </c>
      <c r="I746" s="15">
        <v>201412</v>
      </c>
      <c r="J746" s="16">
        <v>-865.92</v>
      </c>
      <c r="K746" s="171">
        <f>VLOOKUP(I746,$T$9:$U$23,2)</f>
        <v>6</v>
      </c>
      <c r="L746" s="17">
        <v>1.4833299999999999E-3</v>
      </c>
      <c r="M746" s="16">
        <f>ROUND(J746*K746*L746,2)</f>
        <v>-7.71</v>
      </c>
      <c r="N746" s="16">
        <f>ROUND(J746*L746*12,2)</f>
        <v>-15.41</v>
      </c>
      <c r="O746" s="14"/>
      <c r="P746" s="210" t="str">
        <f>VLOOKUP(C746,'WO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7" spans="1:18" outlineLevel="1">
      <c r="A747" s="223"/>
      <c r="B747" s="250"/>
      <c r="C747" s="254" t="s">
        <v>2026</v>
      </c>
      <c r="D747" s="223"/>
      <c r="E747" s="250"/>
      <c r="F747" s="223"/>
      <c r="G747" s="250"/>
      <c r="H747" s="250"/>
      <c r="I747" s="250"/>
      <c r="J747" s="251">
        <f>SUBTOTAL(9,J744:J746)</f>
        <v>48303.040000000001</v>
      </c>
      <c r="K747" s="252"/>
      <c r="L747" s="253"/>
      <c r="M747" s="251">
        <f>SUBTOTAL(9,M744:M746)</f>
        <v>563.17999999999995</v>
      </c>
      <c r="N747" s="251">
        <f>SUBTOTAL(9,N744:N746)</f>
        <v>859.8</v>
      </c>
      <c r="O747" s="223"/>
      <c r="P747" s="210"/>
      <c r="Q747" s="263" t="s">
        <v>2097</v>
      </c>
      <c r="R747" s="263" t="s">
        <v>2098</v>
      </c>
    </row>
    <row r="748" spans="1:18" ht="30" outlineLevel="2">
      <c r="A748" s="14" t="s">
        <v>54</v>
      </c>
      <c r="B748" s="15" t="s">
        <v>1045</v>
      </c>
      <c r="C748" s="15" t="s">
        <v>1046</v>
      </c>
      <c r="D748" s="14" t="s">
        <v>1047</v>
      </c>
      <c r="E748" s="15" t="s">
        <v>462</v>
      </c>
      <c r="F748" s="14" t="s">
        <v>142</v>
      </c>
      <c r="G748" s="15" t="s">
        <v>23</v>
      </c>
      <c r="H748" s="15" t="s">
        <v>1525</v>
      </c>
      <c r="I748" s="15">
        <v>201412</v>
      </c>
      <c r="J748" s="16">
        <v>5321.09</v>
      </c>
      <c r="K748" s="171">
        <f>VLOOKUP(I748,$T$9:$U$23,2)</f>
        <v>6</v>
      </c>
      <c r="L748" s="17">
        <v>1.4833299999999999E-3</v>
      </c>
      <c r="M748" s="16">
        <f>ROUND(J748*K748*L748,2)</f>
        <v>47.36</v>
      </c>
      <c r="N748" s="16">
        <f>ROUND(J748*L748*12,2)</f>
        <v>94.72</v>
      </c>
      <c r="O748" s="14"/>
      <c r="P748" s="210" t="str">
        <f>VLOOKUP(C748,'WO Descriptions'!$A$5:$D$345,4)</f>
        <v>Approved by: Kevin Driskell on 03/28/2014,  Replace 4in CI w/ 190'-4in PE due to leak.  Tie-over 3 services and replace 1 service.</v>
      </c>
    </row>
    <row r="749" spans="1:18" outlineLevel="1">
      <c r="A749" s="223"/>
      <c r="B749" s="250"/>
      <c r="C749" s="254" t="s">
        <v>2027</v>
      </c>
      <c r="D749" s="223"/>
      <c r="E749" s="250"/>
      <c r="F749" s="223"/>
      <c r="G749" s="250"/>
      <c r="H749" s="250"/>
      <c r="I749" s="250"/>
      <c r="J749" s="251">
        <f>SUBTOTAL(9,J748:J748)</f>
        <v>5321.09</v>
      </c>
      <c r="K749" s="252"/>
      <c r="L749" s="253"/>
      <c r="M749" s="251">
        <f>SUBTOTAL(9,M748:M748)</f>
        <v>47.36</v>
      </c>
      <c r="N749" s="251">
        <f>SUBTOTAL(9,N748:N748)</f>
        <v>94.72</v>
      </c>
      <c r="O749" s="223"/>
      <c r="P749" s="210"/>
      <c r="Q749" s="263" t="s">
        <v>2097</v>
      </c>
      <c r="R749" s="263" t="s">
        <v>2100</v>
      </c>
    </row>
    <row r="750" spans="1:18" ht="60" outlineLevel="2">
      <c r="A750" s="14" t="s">
        <v>54</v>
      </c>
      <c r="B750" s="15" t="s">
        <v>879</v>
      </c>
      <c r="C750" s="15" t="s">
        <v>880</v>
      </c>
      <c r="D750" s="14" t="s">
        <v>881</v>
      </c>
      <c r="E750" s="15" t="s">
        <v>53</v>
      </c>
      <c r="F750" s="14" t="s">
        <v>41</v>
      </c>
      <c r="G750" s="15" t="s">
        <v>23</v>
      </c>
      <c r="H750" s="15" t="s">
        <v>1526</v>
      </c>
      <c r="I750" s="15">
        <v>201409</v>
      </c>
      <c r="J750" s="16">
        <v>-421.12</v>
      </c>
      <c r="K750" s="171">
        <f>VLOOKUP(I750,$T$9:$U$23,2)</f>
        <v>9</v>
      </c>
      <c r="L750" s="17">
        <v>1.4833299999999999E-3</v>
      </c>
      <c r="M750" s="16">
        <f>ROUND(J750*K750*L750,2)</f>
        <v>-5.62</v>
      </c>
      <c r="N750" s="16">
        <f>ROUND(J750*L750*12,2)</f>
        <v>-7.5</v>
      </c>
      <c r="O750" s="14"/>
      <c r="P750" s="210" t="str">
        <f>VLOOKUP(C750,'WO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1" spans="1:18" ht="60" outlineLevel="2">
      <c r="A751" s="14" t="s">
        <v>54</v>
      </c>
      <c r="B751" s="15" t="s">
        <v>879</v>
      </c>
      <c r="C751" s="15" t="s">
        <v>880</v>
      </c>
      <c r="D751" s="14" t="s">
        <v>881</v>
      </c>
      <c r="E751" s="15" t="s">
        <v>53</v>
      </c>
      <c r="F751" s="14" t="s">
        <v>41</v>
      </c>
      <c r="G751" s="15" t="s">
        <v>23</v>
      </c>
      <c r="H751" s="15" t="s">
        <v>1526</v>
      </c>
      <c r="I751" s="15">
        <v>201410</v>
      </c>
      <c r="J751" s="16">
        <v>-7153.05</v>
      </c>
      <c r="K751" s="171">
        <f>VLOOKUP(I751,$T$9:$U$23,2)</f>
        <v>8</v>
      </c>
      <c r="L751" s="17">
        <v>1.4833299999999999E-3</v>
      </c>
      <c r="M751" s="16">
        <f>ROUND(J751*K751*L751,2)</f>
        <v>-84.88</v>
      </c>
      <c r="N751" s="16">
        <f>ROUND(J751*L751*12,2)</f>
        <v>-127.32</v>
      </c>
      <c r="O751" s="14"/>
      <c r="P751" s="210" t="str">
        <f>VLOOKUP(C751,'WO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2" spans="1:18" ht="60" outlineLevel="2">
      <c r="A752" s="14" t="s">
        <v>54</v>
      </c>
      <c r="B752" s="15" t="s">
        <v>879</v>
      </c>
      <c r="C752" s="15" t="s">
        <v>880</v>
      </c>
      <c r="D752" s="14" t="s">
        <v>881</v>
      </c>
      <c r="E752" s="15" t="s">
        <v>53</v>
      </c>
      <c r="F752" s="14" t="s">
        <v>41</v>
      </c>
      <c r="G752" s="15" t="s">
        <v>23</v>
      </c>
      <c r="H752" s="15" t="s">
        <v>1526</v>
      </c>
      <c r="I752" s="15">
        <v>201411</v>
      </c>
      <c r="J752" s="16">
        <v>195.47</v>
      </c>
      <c r="K752" s="171">
        <f>VLOOKUP(I752,$T$9:$U$23,2)</f>
        <v>7</v>
      </c>
      <c r="L752" s="17">
        <v>1.4833299999999999E-3</v>
      </c>
      <c r="M752" s="16">
        <f>ROUND(J752*K752*L752,2)</f>
        <v>2.0299999999999998</v>
      </c>
      <c r="N752" s="16">
        <f>ROUND(J752*L752*12,2)</f>
        <v>3.48</v>
      </c>
      <c r="O752" s="14"/>
      <c r="P752" s="210" t="str">
        <f>VLOOKUP(C752,'WO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3" spans="1:18" ht="60" outlineLevel="2">
      <c r="A753" s="14" t="s">
        <v>54</v>
      </c>
      <c r="B753" s="15" t="s">
        <v>879</v>
      </c>
      <c r="C753" s="15" t="s">
        <v>880</v>
      </c>
      <c r="D753" s="14" t="s">
        <v>881</v>
      </c>
      <c r="E753" s="15" t="s">
        <v>53</v>
      </c>
      <c r="F753" s="14" t="s">
        <v>41</v>
      </c>
      <c r="G753" s="15" t="s">
        <v>23</v>
      </c>
      <c r="H753" s="15" t="s">
        <v>1526</v>
      </c>
      <c r="I753" s="15">
        <v>201412</v>
      </c>
      <c r="J753" s="16">
        <v>544.26</v>
      </c>
      <c r="K753" s="171">
        <f>VLOOKUP(I753,$T$9:$U$23,2)</f>
        <v>6</v>
      </c>
      <c r="L753" s="17">
        <v>1.4833299999999999E-3</v>
      </c>
      <c r="M753" s="16">
        <f>ROUND(J753*K753*L753,2)</f>
        <v>4.84</v>
      </c>
      <c r="N753" s="16">
        <f>ROUND(J753*L753*12,2)</f>
        <v>9.69</v>
      </c>
      <c r="O753" s="14"/>
      <c r="P753" s="210" t="str">
        <f>VLOOKUP(C753,'WO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4" spans="1:18" outlineLevel="1">
      <c r="A754" s="223"/>
      <c r="B754" s="250"/>
      <c r="C754" s="254" t="s">
        <v>2028</v>
      </c>
      <c r="D754" s="223"/>
      <c r="E754" s="250"/>
      <c r="F754" s="223"/>
      <c r="G754" s="250"/>
      <c r="H754" s="250"/>
      <c r="I754" s="250"/>
      <c r="J754" s="251">
        <f>SUBTOTAL(9,J750:J753)</f>
        <v>-6834.44</v>
      </c>
      <c r="K754" s="252"/>
      <c r="L754" s="253"/>
      <c r="M754" s="251">
        <f>SUBTOTAL(9,M750:M753)</f>
        <v>-83.63</v>
      </c>
      <c r="N754" s="251">
        <f>SUBTOTAL(9,N750:N753)</f>
        <v>-121.65</v>
      </c>
      <c r="O754" s="223"/>
      <c r="P754" s="210"/>
      <c r="Q754" s="263" t="s">
        <v>2096</v>
      </c>
    </row>
    <row r="755" spans="1:18" ht="75" outlineLevel="2">
      <c r="A755" s="14" t="s">
        <v>54</v>
      </c>
      <c r="B755" s="15" t="s">
        <v>1048</v>
      </c>
      <c r="C755" s="15" t="s">
        <v>1049</v>
      </c>
      <c r="D755" s="14" t="s">
        <v>1050</v>
      </c>
      <c r="E755" s="15" t="s">
        <v>925</v>
      </c>
      <c r="F755" s="14" t="s">
        <v>41</v>
      </c>
      <c r="G755" s="15" t="s">
        <v>23</v>
      </c>
      <c r="H755" s="15" t="s">
        <v>1526</v>
      </c>
      <c r="I755" s="15">
        <v>201412</v>
      </c>
      <c r="J755" s="16">
        <v>310904.90000000002</v>
      </c>
      <c r="K755" s="171">
        <f>VLOOKUP(I755,$T$9:$U$23,2)</f>
        <v>6</v>
      </c>
      <c r="L755" s="17">
        <v>1.4833299999999999E-3</v>
      </c>
      <c r="M755" s="16">
        <f>ROUND(J755*K755*L755,2)</f>
        <v>2767.05</v>
      </c>
      <c r="N755" s="16">
        <f>ROUND(J755*L755*12,2)</f>
        <v>5534.09</v>
      </c>
      <c r="O755" s="14"/>
      <c r="P755" s="210" t="str">
        <f>VLOOKUP(C755,'WO Descriptions'!$A$5:$D$345,4)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756" spans="1:18" outlineLevel="1">
      <c r="A756" s="223"/>
      <c r="B756" s="250"/>
      <c r="C756" s="254" t="s">
        <v>2029</v>
      </c>
      <c r="D756" s="223"/>
      <c r="E756" s="250"/>
      <c r="F756" s="223"/>
      <c r="G756" s="250"/>
      <c r="H756" s="250"/>
      <c r="I756" s="250"/>
      <c r="J756" s="251">
        <f>SUBTOTAL(9,J755:J755)</f>
        <v>310904.90000000002</v>
      </c>
      <c r="K756" s="252"/>
      <c r="L756" s="253"/>
      <c r="M756" s="251">
        <f>SUBTOTAL(9,M755:M755)</f>
        <v>2767.05</v>
      </c>
      <c r="N756" s="251">
        <f>SUBTOTAL(9,N755:N755)</f>
        <v>5534.09</v>
      </c>
      <c r="O756" s="223"/>
      <c r="P756" s="210"/>
      <c r="Q756" s="263" t="s">
        <v>2096</v>
      </c>
    </row>
    <row r="757" spans="1:18" ht="60" outlineLevel="2">
      <c r="A757" s="14" t="s">
        <v>17</v>
      </c>
      <c r="B757" s="15" t="s">
        <v>882</v>
      </c>
      <c r="C757" s="15" t="s">
        <v>883</v>
      </c>
      <c r="D757" s="14" t="s">
        <v>884</v>
      </c>
      <c r="E757" s="15" t="s">
        <v>216</v>
      </c>
      <c r="F757" s="14" t="s">
        <v>22</v>
      </c>
      <c r="G757" s="15" t="s">
        <v>23</v>
      </c>
      <c r="H757" s="15" t="s">
        <v>1525</v>
      </c>
      <c r="I757" s="15">
        <v>201409</v>
      </c>
      <c r="J757" s="16">
        <v>-0.43</v>
      </c>
      <c r="K757" s="171">
        <f>VLOOKUP(I757,$T$9:$U$23,2)</f>
        <v>9</v>
      </c>
      <c r="L757" s="17">
        <v>1.4833299999999999E-3</v>
      </c>
      <c r="M757" s="16">
        <f>ROUND(J757*K757*L757,2)</f>
        <v>-0.01</v>
      </c>
      <c r="N757" s="16">
        <f>ROUND(J757*L757*12,2)</f>
        <v>-0.01</v>
      </c>
      <c r="O757" s="14"/>
      <c r="P757" s="210" t="str">
        <f>VLOOKUP(C757,'WO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58" spans="1:18" ht="60" outlineLevel="2">
      <c r="A758" s="14" t="s">
        <v>17</v>
      </c>
      <c r="B758" s="15" t="s">
        <v>882</v>
      </c>
      <c r="C758" s="15" t="s">
        <v>883</v>
      </c>
      <c r="D758" s="14" t="s">
        <v>884</v>
      </c>
      <c r="E758" s="15" t="s">
        <v>216</v>
      </c>
      <c r="F758" s="14" t="s">
        <v>22</v>
      </c>
      <c r="G758" s="15" t="s">
        <v>23</v>
      </c>
      <c r="H758" s="15" t="s">
        <v>1525</v>
      </c>
      <c r="I758" s="15">
        <v>201410</v>
      </c>
      <c r="J758" s="16">
        <v>-23.54</v>
      </c>
      <c r="K758" s="171">
        <f>VLOOKUP(I758,$T$9:$U$23,2)</f>
        <v>8</v>
      </c>
      <c r="L758" s="17">
        <v>1.4833299999999999E-3</v>
      </c>
      <c r="M758" s="16">
        <f>ROUND(J758*K758*L758,2)</f>
        <v>-0.28000000000000003</v>
      </c>
      <c r="N758" s="16">
        <f>ROUND(J758*L758*12,2)</f>
        <v>-0.42</v>
      </c>
      <c r="O758" s="14"/>
      <c r="P758" s="210" t="str">
        <f>VLOOKUP(C758,'WO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59" spans="1:18" ht="60" outlineLevel="2">
      <c r="A759" s="14" t="s">
        <v>54</v>
      </c>
      <c r="B759" s="15" t="s">
        <v>882</v>
      </c>
      <c r="C759" s="15" t="s">
        <v>883</v>
      </c>
      <c r="D759" s="14" t="s">
        <v>884</v>
      </c>
      <c r="E759" s="15" t="s">
        <v>216</v>
      </c>
      <c r="F759" s="14" t="s">
        <v>22</v>
      </c>
      <c r="G759" s="15" t="s">
        <v>23</v>
      </c>
      <c r="H759" s="15" t="s">
        <v>1525</v>
      </c>
      <c r="I759" s="15">
        <v>201409</v>
      </c>
      <c r="J759" s="16">
        <v>-114.88</v>
      </c>
      <c r="K759" s="171">
        <f>VLOOKUP(I759,$T$9:$U$23,2)</f>
        <v>9</v>
      </c>
      <c r="L759" s="17">
        <v>1.4833299999999999E-3</v>
      </c>
      <c r="M759" s="16">
        <f>ROUND(J759*K759*L759,2)</f>
        <v>-1.53</v>
      </c>
      <c r="N759" s="16">
        <f>ROUND(J759*L759*12,2)</f>
        <v>-2.04</v>
      </c>
      <c r="O759" s="14"/>
      <c r="P759" s="210" t="str">
        <f>VLOOKUP(C759,'WO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60" spans="1:18" ht="60" outlineLevel="2">
      <c r="A760" s="14" t="s">
        <v>54</v>
      </c>
      <c r="B760" s="15" t="s">
        <v>882</v>
      </c>
      <c r="C760" s="15" t="s">
        <v>883</v>
      </c>
      <c r="D760" s="14" t="s">
        <v>884</v>
      </c>
      <c r="E760" s="15" t="s">
        <v>216</v>
      </c>
      <c r="F760" s="14" t="s">
        <v>22</v>
      </c>
      <c r="G760" s="15" t="s">
        <v>23</v>
      </c>
      <c r="H760" s="15" t="s">
        <v>1525</v>
      </c>
      <c r="I760" s="15">
        <v>201410</v>
      </c>
      <c r="J760" s="16">
        <v>5.81</v>
      </c>
      <c r="K760" s="171">
        <f>VLOOKUP(I760,$T$9:$U$23,2)</f>
        <v>8</v>
      </c>
      <c r="L760" s="17">
        <v>1.4833299999999999E-3</v>
      </c>
      <c r="M760" s="16">
        <f>ROUND(J760*K760*L760,2)</f>
        <v>7.0000000000000007E-2</v>
      </c>
      <c r="N760" s="16">
        <f>ROUND(J760*L760*12,2)</f>
        <v>0.1</v>
      </c>
      <c r="O760" s="14"/>
      <c r="P760" s="210" t="str">
        <f>VLOOKUP(C760,'WO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61" spans="1:18" outlineLevel="1">
      <c r="A761" s="223"/>
      <c r="B761" s="250"/>
      <c r="C761" s="254" t="s">
        <v>2030</v>
      </c>
      <c r="D761" s="223"/>
      <c r="E761" s="250"/>
      <c r="F761" s="223"/>
      <c r="G761" s="250"/>
      <c r="H761" s="250"/>
      <c r="I761" s="250"/>
      <c r="J761" s="251">
        <f>SUBTOTAL(9,J757:J760)</f>
        <v>-133.04</v>
      </c>
      <c r="K761" s="252"/>
      <c r="L761" s="253"/>
      <c r="M761" s="251">
        <f>SUBTOTAL(9,M757:M760)</f>
        <v>-1.75</v>
      </c>
      <c r="N761" s="251">
        <f>SUBTOTAL(9,N757:N760)</f>
        <v>-2.37</v>
      </c>
      <c r="O761" s="223"/>
      <c r="P761" s="210"/>
      <c r="Q761" s="263" t="s">
        <v>2097</v>
      </c>
      <c r="R761" s="263" t="s">
        <v>2098</v>
      </c>
    </row>
    <row r="762" spans="1:18" ht="30" outlineLevel="2">
      <c r="A762" s="14" t="s">
        <v>54</v>
      </c>
      <c r="B762" s="15" t="s">
        <v>885</v>
      </c>
      <c r="C762" s="15" t="s">
        <v>886</v>
      </c>
      <c r="D762" s="14" t="s">
        <v>887</v>
      </c>
      <c r="E762" s="15" t="s">
        <v>141</v>
      </c>
      <c r="F762" s="14" t="s">
        <v>142</v>
      </c>
      <c r="G762" s="15" t="s">
        <v>23</v>
      </c>
      <c r="H762" s="15" t="s">
        <v>1525</v>
      </c>
      <c r="I762" s="15">
        <v>201409</v>
      </c>
      <c r="J762" s="16">
        <v>45.46</v>
      </c>
      <c r="K762" s="171">
        <f>VLOOKUP(I762,$T$9:$U$23,2)</f>
        <v>9</v>
      </c>
      <c r="L762" s="17">
        <v>1.4833299999999999E-3</v>
      </c>
      <c r="M762" s="16">
        <f>ROUND(J762*K762*L762,2)</f>
        <v>0.61</v>
      </c>
      <c r="N762" s="16">
        <f>ROUND(J762*L762*12,2)</f>
        <v>0.81</v>
      </c>
      <c r="O762" s="14"/>
      <c r="P762" s="210" t="str">
        <f>VLOOKUP(C762,'WO Descriptions'!$A$5:$D$345,4)</f>
        <v>Approved by: Kevin Driskell on 05/13/2014,  6'' CI was replaced with 6'' PE. Pressure system - C-001</v>
      </c>
    </row>
    <row r="763" spans="1:18" ht="30" outlineLevel="2">
      <c r="A763" s="14" t="s">
        <v>54</v>
      </c>
      <c r="B763" s="15" t="s">
        <v>885</v>
      </c>
      <c r="C763" s="15" t="s">
        <v>886</v>
      </c>
      <c r="D763" s="14" t="s">
        <v>887</v>
      </c>
      <c r="E763" s="15" t="s">
        <v>141</v>
      </c>
      <c r="F763" s="14" t="s">
        <v>142</v>
      </c>
      <c r="G763" s="15" t="s">
        <v>23</v>
      </c>
      <c r="H763" s="15" t="s">
        <v>1525</v>
      </c>
      <c r="I763" s="15">
        <v>201410</v>
      </c>
      <c r="J763" s="16">
        <v>9.77</v>
      </c>
      <c r="K763" s="171">
        <f>VLOOKUP(I763,$T$9:$U$23,2)</f>
        <v>8</v>
      </c>
      <c r="L763" s="17">
        <v>1.4833299999999999E-3</v>
      </c>
      <c r="M763" s="16">
        <f>ROUND(J763*K763*L763,2)</f>
        <v>0.12</v>
      </c>
      <c r="N763" s="16">
        <f>ROUND(J763*L763*12,2)</f>
        <v>0.17</v>
      </c>
      <c r="O763" s="14"/>
      <c r="P763" s="210" t="str">
        <f>VLOOKUP(C763,'WO Descriptions'!$A$5:$D$345,4)</f>
        <v>Approved by: Kevin Driskell on 05/13/2014,  6'' CI was replaced with 6'' PE. Pressure system - C-001</v>
      </c>
    </row>
    <row r="764" spans="1:18" outlineLevel="1">
      <c r="A764" s="223"/>
      <c r="B764" s="250"/>
      <c r="C764" s="254" t="s">
        <v>2031</v>
      </c>
      <c r="D764" s="223"/>
      <c r="E764" s="250"/>
      <c r="F764" s="223"/>
      <c r="G764" s="250"/>
      <c r="H764" s="250"/>
      <c r="I764" s="250"/>
      <c r="J764" s="251">
        <f>SUBTOTAL(9,J762:J763)</f>
        <v>55.230000000000004</v>
      </c>
      <c r="K764" s="252"/>
      <c r="L764" s="253"/>
      <c r="M764" s="251">
        <f>SUBTOTAL(9,M762:M763)</f>
        <v>0.73</v>
      </c>
      <c r="N764" s="251">
        <f>SUBTOTAL(9,N762:N763)</f>
        <v>0.98000000000000009</v>
      </c>
      <c r="O764" s="223"/>
      <c r="P764" s="210"/>
      <c r="Q764" s="263" t="s">
        <v>2097</v>
      </c>
      <c r="R764" s="263" t="s">
        <v>2100</v>
      </c>
    </row>
    <row r="765" spans="1:18" ht="60" outlineLevel="2">
      <c r="A765" s="14" t="s">
        <v>54</v>
      </c>
      <c r="B765" s="15" t="s">
        <v>1051</v>
      </c>
      <c r="C765" s="15" t="s">
        <v>1052</v>
      </c>
      <c r="D765" s="14" t="s">
        <v>1053</v>
      </c>
      <c r="E765" s="15" t="s">
        <v>45</v>
      </c>
      <c r="F765" s="14" t="s">
        <v>22</v>
      </c>
      <c r="G765" s="15" t="s">
        <v>23</v>
      </c>
      <c r="H765" s="15" t="s">
        <v>1525</v>
      </c>
      <c r="I765" s="15">
        <v>201412</v>
      </c>
      <c r="J765" s="16">
        <v>74180.240000000005</v>
      </c>
      <c r="K765" s="171">
        <f>VLOOKUP(I765,$T$9:$U$23,2)</f>
        <v>6</v>
      </c>
      <c r="L765" s="17">
        <v>1.4833299999999999E-3</v>
      </c>
      <c r="M765" s="16">
        <f>ROUND(J765*K765*L765,2)</f>
        <v>660.2</v>
      </c>
      <c r="N765" s="16">
        <f>ROUND(J765*L765*12,2)</f>
        <v>1320.41</v>
      </c>
      <c r="O765" s="14"/>
      <c r="P765" s="210" t="str">
        <f>VLOOKUP(C765,'WO Descriptions'!$A$5:$D$345,4)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766" spans="1:18" outlineLevel="1">
      <c r="A766" s="223"/>
      <c r="B766" s="250"/>
      <c r="C766" s="254" t="s">
        <v>2032</v>
      </c>
      <c r="D766" s="223"/>
      <c r="E766" s="250"/>
      <c r="F766" s="223"/>
      <c r="G766" s="250"/>
      <c r="H766" s="250"/>
      <c r="I766" s="250"/>
      <c r="J766" s="251">
        <f>SUBTOTAL(9,J765:J765)</f>
        <v>74180.240000000005</v>
      </c>
      <c r="K766" s="252"/>
      <c r="L766" s="253"/>
      <c r="M766" s="251">
        <f>SUBTOTAL(9,M765:M765)</f>
        <v>660.2</v>
      </c>
      <c r="N766" s="251">
        <f>SUBTOTAL(9,N765:N765)</f>
        <v>1320.41</v>
      </c>
      <c r="O766" s="223"/>
      <c r="P766" s="210"/>
      <c r="Q766" s="263" t="s">
        <v>2097</v>
      </c>
      <c r="R766" s="263" t="s">
        <v>2098</v>
      </c>
    </row>
    <row r="767" spans="1:18" ht="75" outlineLevel="2">
      <c r="A767" s="14" t="s">
        <v>54</v>
      </c>
      <c r="B767" s="15" t="s">
        <v>888</v>
      </c>
      <c r="C767" s="15" t="s">
        <v>889</v>
      </c>
      <c r="D767" s="14" t="s">
        <v>890</v>
      </c>
      <c r="E767" s="15" t="s">
        <v>32</v>
      </c>
      <c r="F767" s="14" t="s">
        <v>22</v>
      </c>
      <c r="G767" s="15" t="s">
        <v>23</v>
      </c>
      <c r="H767" s="15" t="s">
        <v>1525</v>
      </c>
      <c r="I767" s="15">
        <v>201409</v>
      </c>
      <c r="J767" s="16">
        <v>-1910.67</v>
      </c>
      <c r="K767" s="171">
        <f>VLOOKUP(I767,$T$9:$U$23,2)</f>
        <v>9</v>
      </c>
      <c r="L767" s="17">
        <v>1.4833299999999999E-3</v>
      </c>
      <c r="M767" s="16">
        <f>ROUND(J767*K767*L767,2)</f>
        <v>-25.51</v>
      </c>
      <c r="N767" s="16">
        <f>ROUND(J767*L767*12,2)</f>
        <v>-34.01</v>
      </c>
      <c r="O767" s="14"/>
      <c r="P767" s="210" t="str">
        <f>VLOOKUP(C767,'WO Descriptions'!$A$5:$D$345,4)</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row>
    <row r="768" spans="1:18" outlineLevel="1">
      <c r="A768" s="223"/>
      <c r="B768" s="250"/>
      <c r="C768" s="254" t="s">
        <v>2033</v>
      </c>
      <c r="D768" s="223"/>
      <c r="E768" s="250"/>
      <c r="F768" s="223"/>
      <c r="G768" s="250"/>
      <c r="H768" s="250"/>
      <c r="I768" s="250"/>
      <c r="J768" s="251">
        <f>SUBTOTAL(9,J767:J767)</f>
        <v>-1910.67</v>
      </c>
      <c r="K768" s="252"/>
      <c r="L768" s="253"/>
      <c r="M768" s="251">
        <f>SUBTOTAL(9,M767:M767)</f>
        <v>-25.51</v>
      </c>
      <c r="N768" s="251">
        <f>SUBTOTAL(9,N767:N767)</f>
        <v>-34.01</v>
      </c>
      <c r="O768" s="223"/>
      <c r="P768" s="210"/>
      <c r="Q768" s="263" t="s">
        <v>2097</v>
      </c>
      <c r="R768" s="263" t="s">
        <v>2098</v>
      </c>
    </row>
    <row r="769" spans="1:18" ht="45" outlineLevel="2">
      <c r="A769" s="14" t="s">
        <v>66</v>
      </c>
      <c r="B769" s="15" t="s">
        <v>1102</v>
      </c>
      <c r="C769" s="15" t="s">
        <v>1103</v>
      </c>
      <c r="D769" s="14" t="s">
        <v>1104</v>
      </c>
      <c r="E769" s="15" t="s">
        <v>466</v>
      </c>
      <c r="F769" s="14" t="s">
        <v>467</v>
      </c>
      <c r="G769" s="15" t="s">
        <v>23</v>
      </c>
      <c r="H769" s="15" t="s">
        <v>1527</v>
      </c>
      <c r="I769" s="15">
        <v>201409</v>
      </c>
      <c r="J769" s="16">
        <v>4582.03</v>
      </c>
      <c r="K769" s="171">
        <f>VLOOKUP(I769,$T$9:$U$23,2)</f>
        <v>9</v>
      </c>
      <c r="L769" s="17">
        <v>2.23333E-3</v>
      </c>
      <c r="M769" s="16">
        <f>ROUND(J769*K769*L769,2)</f>
        <v>92.1</v>
      </c>
      <c r="N769" s="16">
        <f>ROUND(J769*L769*12,2)</f>
        <v>122.8</v>
      </c>
      <c r="O769" s="14"/>
      <c r="P769" s="210" t="str">
        <f>VLOOKUP(C769,'WO Descriptions'!$A$5:$D$345,4)</f>
        <v>Approved by: Kevin Driskell on 05/18/2014,  Repl 120ft-1 1/4in pe service line WITH 120ft-2in pe service line due to increase in load (17,900 cfh). Tie-in 4in cs (wo#89-6994). ECONOMIC EVALUATION WILL COVER THIS PROJECT.</v>
      </c>
    </row>
    <row r="770" spans="1:18" ht="45" outlineLevel="2">
      <c r="A770" s="14" t="s">
        <v>66</v>
      </c>
      <c r="B770" s="15" t="s">
        <v>1102</v>
      </c>
      <c r="C770" s="15" t="s">
        <v>1103</v>
      </c>
      <c r="D770" s="14" t="s">
        <v>1104</v>
      </c>
      <c r="E770" s="15" t="s">
        <v>466</v>
      </c>
      <c r="F770" s="14" t="s">
        <v>467</v>
      </c>
      <c r="G770" s="15" t="s">
        <v>23</v>
      </c>
      <c r="H770" s="15" t="s">
        <v>1527</v>
      </c>
      <c r="I770" s="15">
        <v>201410</v>
      </c>
      <c r="J770" s="16">
        <v>-0.01</v>
      </c>
      <c r="K770" s="171">
        <f>VLOOKUP(I770,$T$9:$U$23,2)</f>
        <v>8</v>
      </c>
      <c r="L770" s="17">
        <v>2.23333E-3</v>
      </c>
      <c r="M770" s="16">
        <f>ROUND(J770*K770*L770,2)</f>
        <v>0</v>
      </c>
      <c r="N770" s="16">
        <f>ROUND(J770*L770*12,2)</f>
        <v>0</v>
      </c>
      <c r="O770" s="14"/>
      <c r="P770" s="210" t="str">
        <f>VLOOKUP(C770,'WO Descriptions'!$A$5:$D$345,4)</f>
        <v>Approved by: Kevin Driskell on 05/18/2014,  Repl 120ft-1 1/4in pe service line WITH 120ft-2in pe service line due to increase in load (17,900 cfh). Tie-in 4in cs (wo#89-6994). ECONOMIC EVALUATION WILL COVER THIS PROJECT.</v>
      </c>
    </row>
    <row r="771" spans="1:18" outlineLevel="1">
      <c r="A771" s="223"/>
      <c r="B771" s="250"/>
      <c r="C771" s="254" t="s">
        <v>2034</v>
      </c>
      <c r="D771" s="223"/>
      <c r="E771" s="250"/>
      <c r="F771" s="223"/>
      <c r="G771" s="250"/>
      <c r="H771" s="250"/>
      <c r="I771" s="250"/>
      <c r="J771" s="251">
        <f>SUBTOTAL(9,J769:J770)</f>
        <v>4582.0199999999995</v>
      </c>
      <c r="K771" s="252"/>
      <c r="L771" s="253"/>
      <c r="M771" s="251">
        <f>SUBTOTAL(9,M769:M770)</f>
        <v>92.1</v>
      </c>
      <c r="N771" s="251">
        <f>SUBTOTAL(9,N769:N770)</f>
        <v>122.8</v>
      </c>
      <c r="O771" s="223"/>
      <c r="P771" s="210"/>
      <c r="Q771" s="263" t="s">
        <v>2097</v>
      </c>
      <c r="R771" s="263" t="s">
        <v>2104</v>
      </c>
    </row>
    <row r="772" spans="1:18" ht="135" outlineLevel="2">
      <c r="A772" s="14" t="s">
        <v>17</v>
      </c>
      <c r="B772" s="15" t="s">
        <v>891</v>
      </c>
      <c r="C772" s="15" t="s">
        <v>892</v>
      </c>
      <c r="D772" s="14" t="s">
        <v>893</v>
      </c>
      <c r="E772" s="15" t="s">
        <v>32</v>
      </c>
      <c r="F772" s="14" t="s">
        <v>22</v>
      </c>
      <c r="G772" s="15" t="s">
        <v>23</v>
      </c>
      <c r="H772" s="15" t="s">
        <v>1525</v>
      </c>
      <c r="I772" s="15">
        <v>201409</v>
      </c>
      <c r="J772" s="16">
        <v>946.06</v>
      </c>
      <c r="K772" s="171">
        <f>VLOOKUP(I772,$T$9:$U$23,2)</f>
        <v>9</v>
      </c>
      <c r="L772" s="17">
        <v>1.4833299999999999E-3</v>
      </c>
      <c r="M772" s="16">
        <f>ROUND(J772*K772*L772,2)</f>
        <v>12.63</v>
      </c>
      <c r="N772" s="16">
        <f>ROUND(J772*L772*12,2)</f>
        <v>16.84</v>
      </c>
      <c r="O772" s="14"/>
      <c r="P772" s="210" t="str">
        <f>VLOOKUP(C772,'WO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3" spans="1:18" ht="135" outlineLevel="2">
      <c r="A773" s="14" t="s">
        <v>17</v>
      </c>
      <c r="B773" s="15" t="s">
        <v>891</v>
      </c>
      <c r="C773" s="15" t="s">
        <v>892</v>
      </c>
      <c r="D773" s="14" t="s">
        <v>893</v>
      </c>
      <c r="E773" s="15" t="s">
        <v>32</v>
      </c>
      <c r="F773" s="14" t="s">
        <v>22</v>
      </c>
      <c r="G773" s="15" t="s">
        <v>23</v>
      </c>
      <c r="H773" s="15" t="s">
        <v>1525</v>
      </c>
      <c r="I773" s="15">
        <v>201412</v>
      </c>
      <c r="J773" s="16">
        <v>-568.53</v>
      </c>
      <c r="K773" s="171">
        <f>VLOOKUP(I773,$T$9:$U$23,2)</f>
        <v>6</v>
      </c>
      <c r="L773" s="17">
        <v>1.4833299999999999E-3</v>
      </c>
      <c r="M773" s="16">
        <f>ROUND(J773*K773*L773,2)</f>
        <v>-5.0599999999999996</v>
      </c>
      <c r="N773" s="16">
        <f>ROUND(J773*L773*12,2)</f>
        <v>-10.119999999999999</v>
      </c>
      <c r="O773" s="14"/>
      <c r="P773" s="210" t="str">
        <f>VLOOKUP(C773,'WO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4" spans="1:18" ht="135" outlineLevel="2">
      <c r="A774" s="14" t="s">
        <v>54</v>
      </c>
      <c r="B774" s="15" t="s">
        <v>891</v>
      </c>
      <c r="C774" s="15" t="s">
        <v>892</v>
      </c>
      <c r="D774" s="14" t="s">
        <v>893</v>
      </c>
      <c r="E774" s="15" t="s">
        <v>32</v>
      </c>
      <c r="F774" s="14" t="s">
        <v>22</v>
      </c>
      <c r="G774" s="15" t="s">
        <v>23</v>
      </c>
      <c r="H774" s="15" t="s">
        <v>1525</v>
      </c>
      <c r="I774" s="15">
        <v>201412</v>
      </c>
      <c r="J774" s="16">
        <v>446.02</v>
      </c>
      <c r="K774" s="171">
        <f>VLOOKUP(I774,$T$9:$U$23,2)</f>
        <v>6</v>
      </c>
      <c r="L774" s="17">
        <v>1.4833299999999999E-3</v>
      </c>
      <c r="M774" s="16">
        <f>ROUND(J774*K774*L774,2)</f>
        <v>3.97</v>
      </c>
      <c r="N774" s="16">
        <f>ROUND(J774*L774*12,2)</f>
        <v>7.94</v>
      </c>
      <c r="O774" s="14"/>
      <c r="P774" s="210" t="str">
        <f>VLOOKUP(C774,'WO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5" spans="1:18" outlineLevel="1">
      <c r="A775" s="223"/>
      <c r="B775" s="250"/>
      <c r="C775" s="254" t="s">
        <v>2035</v>
      </c>
      <c r="D775" s="223"/>
      <c r="E775" s="250"/>
      <c r="F775" s="223"/>
      <c r="G775" s="250"/>
      <c r="H775" s="250"/>
      <c r="I775" s="250"/>
      <c r="J775" s="251">
        <f>SUBTOTAL(9,J772:J774)</f>
        <v>823.55</v>
      </c>
      <c r="K775" s="252"/>
      <c r="L775" s="253"/>
      <c r="M775" s="251">
        <f>SUBTOTAL(9,M772:M774)</f>
        <v>11.540000000000001</v>
      </c>
      <c r="N775" s="251">
        <f>SUBTOTAL(9,N772:N774)</f>
        <v>14.66</v>
      </c>
      <c r="O775" s="223"/>
      <c r="P775" s="210"/>
      <c r="Q775" s="263" t="s">
        <v>2097</v>
      </c>
      <c r="R775" s="263" t="s">
        <v>2098</v>
      </c>
    </row>
    <row r="776" spans="1:18" ht="30" outlineLevel="2">
      <c r="A776" s="14" t="s">
        <v>17</v>
      </c>
      <c r="B776" s="15" t="s">
        <v>894</v>
      </c>
      <c r="C776" s="15" t="s">
        <v>895</v>
      </c>
      <c r="D776" s="14" t="s">
        <v>896</v>
      </c>
      <c r="E776" s="15" t="s">
        <v>440</v>
      </c>
      <c r="F776" s="14" t="s">
        <v>28</v>
      </c>
      <c r="G776" s="15" t="s">
        <v>23</v>
      </c>
      <c r="H776" s="15" t="s">
        <v>1525</v>
      </c>
      <c r="I776" s="15">
        <v>201409</v>
      </c>
      <c r="J776" s="16">
        <v>-159.26</v>
      </c>
      <c r="K776" s="171">
        <f>VLOOKUP(I776,$T$9:$U$23,2)</f>
        <v>9</v>
      </c>
      <c r="L776" s="17">
        <v>1.4833299999999999E-3</v>
      </c>
      <c r="M776" s="16">
        <f>ROUND(J776*K776*L776,2)</f>
        <v>-2.13</v>
      </c>
      <c r="N776" s="16">
        <f>ROUND(J776*L776*12,2)</f>
        <v>-2.83</v>
      </c>
      <c r="O776" s="14"/>
      <c r="P776" s="210" t="str">
        <f>VLOOKUP(C776,'WO Descriptions'!$A$5:$D$345,4)</f>
        <v>Approved by: Kevin Driskell on 05/28/2014,  Replace 16ft of 8'' PCS due to 3rd party damage. Pressure system C-041 Ret 16'-8in coated steel, year 1967, wo 67-1440.</v>
      </c>
    </row>
    <row r="777" spans="1:18" ht="30" outlineLevel="2">
      <c r="A777" s="14" t="s">
        <v>17</v>
      </c>
      <c r="B777" s="15" t="s">
        <v>894</v>
      </c>
      <c r="C777" s="15" t="s">
        <v>895</v>
      </c>
      <c r="D777" s="14" t="s">
        <v>896</v>
      </c>
      <c r="E777" s="15" t="s">
        <v>440</v>
      </c>
      <c r="F777" s="14" t="s">
        <v>28</v>
      </c>
      <c r="G777" s="15" t="s">
        <v>23</v>
      </c>
      <c r="H777" s="15" t="s">
        <v>1525</v>
      </c>
      <c r="I777" s="15">
        <v>201410</v>
      </c>
      <c r="J777" s="16">
        <v>0</v>
      </c>
      <c r="K777" s="171">
        <f>VLOOKUP(I777,$T$9:$U$23,2)</f>
        <v>8</v>
      </c>
      <c r="L777" s="17">
        <v>1.4833299999999999E-3</v>
      </c>
      <c r="M777" s="16">
        <f>ROUND(J777*K777*L777,2)</f>
        <v>0</v>
      </c>
      <c r="N777" s="16">
        <f>ROUND(J777*L777*12,2)</f>
        <v>0</v>
      </c>
      <c r="O777" s="14"/>
      <c r="P777" s="210" t="str">
        <f>VLOOKUP(C777,'WO Descriptions'!$A$5:$D$345,4)</f>
        <v>Approved by: Kevin Driskell on 05/28/2014,  Replace 16ft of 8'' PCS due to 3rd party damage. Pressure system C-041 Ret 16'-8in coated steel, year 1967, wo 67-1440.</v>
      </c>
    </row>
    <row r="778" spans="1:18" ht="30" outlineLevel="2">
      <c r="A778" s="14" t="s">
        <v>17</v>
      </c>
      <c r="B778" s="15" t="s">
        <v>894</v>
      </c>
      <c r="C778" s="15" t="s">
        <v>895</v>
      </c>
      <c r="D778" s="14" t="s">
        <v>896</v>
      </c>
      <c r="E778" s="15" t="s">
        <v>440</v>
      </c>
      <c r="F778" s="14" t="s">
        <v>28</v>
      </c>
      <c r="G778" s="15" t="s">
        <v>23</v>
      </c>
      <c r="H778" s="15" t="s">
        <v>1525</v>
      </c>
      <c r="I778" s="15">
        <v>201411</v>
      </c>
      <c r="J778" s="16">
        <v>63.81</v>
      </c>
      <c r="K778" s="171">
        <f>VLOOKUP(I778,$T$9:$U$23,2)</f>
        <v>7</v>
      </c>
      <c r="L778" s="17">
        <v>1.4833299999999999E-3</v>
      </c>
      <c r="M778" s="16">
        <f>ROUND(J778*K778*L778,2)</f>
        <v>0.66</v>
      </c>
      <c r="N778" s="16">
        <f>ROUND(J778*L778*12,2)</f>
        <v>1.1399999999999999</v>
      </c>
      <c r="O778" s="14"/>
      <c r="P778" s="210" t="str">
        <f>VLOOKUP(C778,'WO Descriptions'!$A$5:$D$345,4)</f>
        <v>Approved by: Kevin Driskell on 05/28/2014,  Replace 16ft of 8'' PCS due to 3rd party damage. Pressure system C-041 Ret 16'-8in coated steel, year 1967, wo 67-1440.</v>
      </c>
    </row>
    <row r="779" spans="1:18" outlineLevel="1">
      <c r="A779" s="223"/>
      <c r="B779" s="250"/>
      <c r="C779" s="254" t="s">
        <v>2036</v>
      </c>
      <c r="D779" s="223"/>
      <c r="E779" s="250"/>
      <c r="F779" s="223"/>
      <c r="G779" s="250"/>
      <c r="H779" s="250"/>
      <c r="I779" s="250"/>
      <c r="J779" s="251">
        <f>SUBTOTAL(9,J776:J778)</f>
        <v>-95.449999999999989</v>
      </c>
      <c r="K779" s="252"/>
      <c r="L779" s="253"/>
      <c r="M779" s="251">
        <f>SUBTOTAL(9,M776:M778)</f>
        <v>-1.4699999999999998</v>
      </c>
      <c r="N779" s="251">
        <f>SUBTOTAL(9,N776:N778)</f>
        <v>-1.6900000000000002</v>
      </c>
      <c r="O779" s="223"/>
      <c r="P779" s="210"/>
      <c r="Q779" s="263" t="s">
        <v>2097</v>
      </c>
      <c r="R779" s="263" t="s">
        <v>2099</v>
      </c>
    </row>
    <row r="780" spans="1:18" ht="30" outlineLevel="2">
      <c r="A780" s="14" t="s">
        <v>54</v>
      </c>
      <c r="B780" s="15" t="s">
        <v>897</v>
      </c>
      <c r="C780" s="15" t="s">
        <v>898</v>
      </c>
      <c r="D780" s="14" t="s">
        <v>899</v>
      </c>
      <c r="E780" s="15" t="s">
        <v>45</v>
      </c>
      <c r="F780" s="14" t="s">
        <v>22</v>
      </c>
      <c r="G780" s="15" t="s">
        <v>23</v>
      </c>
      <c r="H780" s="15" t="s">
        <v>1525</v>
      </c>
      <c r="I780" s="15">
        <v>201409</v>
      </c>
      <c r="J780" s="16">
        <v>-4885.22</v>
      </c>
      <c r="K780" s="171">
        <f>VLOOKUP(I780,$T$9:$U$23,2)</f>
        <v>9</v>
      </c>
      <c r="L780" s="17">
        <v>1.4833299999999999E-3</v>
      </c>
      <c r="M780" s="16">
        <f>ROUND(J780*K780*L780,2)</f>
        <v>-65.22</v>
      </c>
      <c r="N780" s="16">
        <f>ROUND(J780*L780*12,2)</f>
        <v>-86.96</v>
      </c>
      <c r="O780" s="14"/>
      <c r="P780" s="210" t="str">
        <f>VLOOKUP(C780,'WO Descriptions'!$A$5:$D$345,4)</f>
        <v>Approved by: Steve Holcomb on 05/28/2014,  Replace 4'' PBS, 4'' PCS, and 3'' PCS with 2" and 4" PE due to down project. Pressure System - C-02</v>
      </c>
    </row>
    <row r="781" spans="1:18" ht="30" outlineLevel="2">
      <c r="A781" s="14" t="s">
        <v>54</v>
      </c>
      <c r="B781" s="15" t="s">
        <v>897</v>
      </c>
      <c r="C781" s="15" t="s">
        <v>898</v>
      </c>
      <c r="D781" s="14" t="s">
        <v>899</v>
      </c>
      <c r="E781" s="15" t="s">
        <v>45</v>
      </c>
      <c r="F781" s="14" t="s">
        <v>22</v>
      </c>
      <c r="G781" s="15" t="s">
        <v>23</v>
      </c>
      <c r="H781" s="15" t="s">
        <v>1525</v>
      </c>
      <c r="I781" s="15">
        <v>201410</v>
      </c>
      <c r="J781" s="16">
        <v>422.88</v>
      </c>
      <c r="K781" s="171">
        <f>VLOOKUP(I781,$T$9:$U$23,2)</f>
        <v>8</v>
      </c>
      <c r="L781" s="17">
        <v>1.4833299999999999E-3</v>
      </c>
      <c r="M781" s="16">
        <f>ROUND(J781*K781*L781,2)</f>
        <v>5.0199999999999996</v>
      </c>
      <c r="N781" s="16">
        <f>ROUND(J781*L781*12,2)</f>
        <v>7.53</v>
      </c>
      <c r="O781" s="14"/>
      <c r="P781" s="210" t="str">
        <f>VLOOKUP(C781,'WO Descriptions'!$A$5:$D$345,4)</f>
        <v>Approved by: Steve Holcomb on 05/28/2014,  Replace 4'' PBS, 4'' PCS, and 3'' PCS with 2" and 4" PE due to down project. Pressure System - C-02</v>
      </c>
    </row>
    <row r="782" spans="1:18" outlineLevel="1">
      <c r="A782" s="223"/>
      <c r="B782" s="250"/>
      <c r="C782" s="254" t="s">
        <v>2037</v>
      </c>
      <c r="D782" s="223"/>
      <c r="E782" s="250"/>
      <c r="F782" s="223"/>
      <c r="G782" s="250"/>
      <c r="H782" s="250"/>
      <c r="I782" s="250"/>
      <c r="J782" s="251">
        <f>SUBTOTAL(9,J780:J781)</f>
        <v>-4462.34</v>
      </c>
      <c r="K782" s="252"/>
      <c r="L782" s="253"/>
      <c r="M782" s="251">
        <f>SUBTOTAL(9,M780:M781)</f>
        <v>-60.2</v>
      </c>
      <c r="N782" s="251">
        <f>SUBTOTAL(9,N780:N781)</f>
        <v>-79.429999999999993</v>
      </c>
      <c r="O782" s="223"/>
      <c r="P782" s="210"/>
      <c r="Q782" s="263" t="s">
        <v>2097</v>
      </c>
      <c r="R782" s="263" t="s">
        <v>2098</v>
      </c>
    </row>
    <row r="783" spans="1:18" ht="120" outlineLevel="2">
      <c r="A783" s="14" t="s">
        <v>54</v>
      </c>
      <c r="B783" s="15" t="s">
        <v>1054</v>
      </c>
      <c r="C783" s="15" t="s">
        <v>1055</v>
      </c>
      <c r="D783" s="14" t="s">
        <v>1056</v>
      </c>
      <c r="E783" s="15" t="s">
        <v>141</v>
      </c>
      <c r="F783" s="14" t="s">
        <v>142</v>
      </c>
      <c r="G783" s="15" t="s">
        <v>23</v>
      </c>
      <c r="H783" s="15" t="s">
        <v>1525</v>
      </c>
      <c r="I783" s="15">
        <v>201412</v>
      </c>
      <c r="J783" s="16">
        <v>887506.89</v>
      </c>
      <c r="K783" s="171">
        <f>VLOOKUP(I783,$T$9:$U$23,2)</f>
        <v>6</v>
      </c>
      <c r="L783" s="17">
        <v>1.4833299999999999E-3</v>
      </c>
      <c r="M783" s="16">
        <f>ROUND(J783*K783*L783,2)</f>
        <v>7898.79</v>
      </c>
      <c r="N783" s="16">
        <f>ROUND(J783*L783*12,2)</f>
        <v>15797.59</v>
      </c>
      <c r="O783" s="14"/>
      <c r="P783" s="210" t="str">
        <f>VLOOKUP(C783,'WO Descriptions'!$A$5:$D$345,4)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784" spans="1:18" outlineLevel="1">
      <c r="A784" s="223"/>
      <c r="B784" s="250"/>
      <c r="C784" s="254" t="s">
        <v>2038</v>
      </c>
      <c r="D784" s="223"/>
      <c r="E784" s="250"/>
      <c r="F784" s="223"/>
      <c r="G784" s="250"/>
      <c r="H784" s="250"/>
      <c r="I784" s="250"/>
      <c r="J784" s="251">
        <f>SUBTOTAL(9,J783:J783)</f>
        <v>887506.89</v>
      </c>
      <c r="K784" s="252"/>
      <c r="L784" s="253"/>
      <c r="M784" s="251">
        <f>SUBTOTAL(9,M783:M783)</f>
        <v>7898.79</v>
      </c>
      <c r="N784" s="251">
        <f>SUBTOTAL(9,N783:N783)</f>
        <v>15797.59</v>
      </c>
      <c r="O784" s="223"/>
      <c r="P784" s="210"/>
      <c r="Q784" s="263" t="s">
        <v>2097</v>
      </c>
      <c r="R784" s="263" t="s">
        <v>2100</v>
      </c>
    </row>
    <row r="785" spans="1:18" ht="45" outlineLevel="2">
      <c r="A785" s="14" t="s">
        <v>54</v>
      </c>
      <c r="B785" s="15" t="s">
        <v>900</v>
      </c>
      <c r="C785" s="15" t="s">
        <v>901</v>
      </c>
      <c r="D785" s="14" t="s">
        <v>902</v>
      </c>
      <c r="E785" s="15" t="s">
        <v>462</v>
      </c>
      <c r="F785" s="14" t="s">
        <v>142</v>
      </c>
      <c r="G785" s="15" t="s">
        <v>23</v>
      </c>
      <c r="H785" s="15" t="s">
        <v>1525</v>
      </c>
      <c r="I785" s="15">
        <v>201409</v>
      </c>
      <c r="J785" s="16">
        <v>1294.2</v>
      </c>
      <c r="K785" s="171">
        <f>VLOOKUP(I785,$T$9:$U$23,2)</f>
        <v>9</v>
      </c>
      <c r="L785" s="17">
        <v>1.4833299999999999E-3</v>
      </c>
      <c r="M785" s="16">
        <f>ROUND(J785*K785*L785,2)</f>
        <v>17.28</v>
      </c>
      <c r="N785" s="16">
        <f>ROUND(J785*L785*12,2)</f>
        <v>23.04</v>
      </c>
      <c r="O785" s="14"/>
      <c r="P785" s="210" t="str">
        <f>VLOOKUP(C785,'WO Descriptions'!$A$5:$D$345,4)</f>
        <v>Approved by: Kevin Driskell on 06/05/2014,  ISRS LAY 101' - 4" PE DUE TO LEAK ON EXISTING 4" CI MAIN ON EAST SIDE OF BROOKLYN AVE.  ABANDON 112'-4" CI (UNKNOWN W.O.).  ONE WAY FEED.</v>
      </c>
    </row>
    <row r="786" spans="1:18" ht="45" outlineLevel="2">
      <c r="A786" s="14" t="s">
        <v>54</v>
      </c>
      <c r="B786" s="15" t="s">
        <v>900</v>
      </c>
      <c r="C786" s="15" t="s">
        <v>901</v>
      </c>
      <c r="D786" s="14" t="s">
        <v>902</v>
      </c>
      <c r="E786" s="15" t="s">
        <v>462</v>
      </c>
      <c r="F786" s="14" t="s">
        <v>142</v>
      </c>
      <c r="G786" s="15" t="s">
        <v>23</v>
      </c>
      <c r="H786" s="15" t="s">
        <v>1525</v>
      </c>
      <c r="I786" s="15">
        <v>201410</v>
      </c>
      <c r="J786" s="16">
        <v>8.59</v>
      </c>
      <c r="K786" s="171">
        <f>VLOOKUP(I786,$T$9:$U$23,2)</f>
        <v>8</v>
      </c>
      <c r="L786" s="17">
        <v>1.4833299999999999E-3</v>
      </c>
      <c r="M786" s="16">
        <f>ROUND(J786*K786*L786,2)</f>
        <v>0.1</v>
      </c>
      <c r="N786" s="16">
        <f>ROUND(J786*L786*12,2)</f>
        <v>0.15</v>
      </c>
      <c r="O786" s="14"/>
      <c r="P786" s="210" t="str">
        <f>VLOOKUP(C786,'WO Descriptions'!$A$5:$D$345,4)</f>
        <v>Approved by: Kevin Driskell on 06/05/2014,  ISRS LAY 101' - 4" PE DUE TO LEAK ON EXISTING 4" CI MAIN ON EAST SIDE OF BROOKLYN AVE.  ABANDON 112'-4" CI (UNKNOWN W.O.).  ONE WAY FEED.</v>
      </c>
    </row>
    <row r="787" spans="1:18" outlineLevel="1">
      <c r="A787" s="223"/>
      <c r="B787" s="250"/>
      <c r="C787" s="254" t="s">
        <v>2039</v>
      </c>
      <c r="D787" s="223"/>
      <c r="E787" s="250"/>
      <c r="F787" s="223"/>
      <c r="G787" s="250"/>
      <c r="H787" s="250"/>
      <c r="I787" s="250"/>
      <c r="J787" s="251">
        <f>SUBTOTAL(9,J785:J786)</f>
        <v>1302.79</v>
      </c>
      <c r="K787" s="252"/>
      <c r="L787" s="253"/>
      <c r="M787" s="251">
        <f>SUBTOTAL(9,M785:M786)</f>
        <v>17.380000000000003</v>
      </c>
      <c r="N787" s="251">
        <f>SUBTOTAL(9,N785:N786)</f>
        <v>23.189999999999998</v>
      </c>
      <c r="O787" s="223"/>
      <c r="P787" s="210"/>
      <c r="Q787" s="263" t="s">
        <v>2097</v>
      </c>
      <c r="R787" s="263" t="s">
        <v>2100</v>
      </c>
    </row>
    <row r="788" spans="1:18" ht="60" outlineLevel="2">
      <c r="A788" s="14" t="s">
        <v>17</v>
      </c>
      <c r="B788" s="15" t="s">
        <v>903</v>
      </c>
      <c r="C788" s="15" t="s">
        <v>904</v>
      </c>
      <c r="D788" s="14" t="s">
        <v>905</v>
      </c>
      <c r="E788" s="15" t="s">
        <v>49</v>
      </c>
      <c r="F788" s="14" t="s">
        <v>22</v>
      </c>
      <c r="G788" s="15" t="s">
        <v>23</v>
      </c>
      <c r="H788" s="15" t="s">
        <v>1525</v>
      </c>
      <c r="I788" s="15">
        <v>201409</v>
      </c>
      <c r="J788" s="16">
        <v>2797.11</v>
      </c>
      <c r="K788" s="171">
        <f>VLOOKUP(I788,$T$9:$U$23,2)</f>
        <v>9</v>
      </c>
      <c r="L788" s="17">
        <v>1.4833299999999999E-3</v>
      </c>
      <c r="M788" s="16">
        <f>ROUND(J788*K788*L788,2)</f>
        <v>37.340000000000003</v>
      </c>
      <c r="N788" s="16">
        <f>ROUND(J788*L788*12,2)</f>
        <v>49.79</v>
      </c>
      <c r="O788" s="14"/>
      <c r="P788" s="210" t="str">
        <f>VLOOKUP(C788,'WO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89" spans="1:18" ht="60" outlineLevel="2">
      <c r="A789" s="14" t="s">
        <v>17</v>
      </c>
      <c r="B789" s="15" t="s">
        <v>903</v>
      </c>
      <c r="C789" s="15" t="s">
        <v>904</v>
      </c>
      <c r="D789" s="14" t="s">
        <v>905</v>
      </c>
      <c r="E789" s="15" t="s">
        <v>49</v>
      </c>
      <c r="F789" s="14" t="s">
        <v>22</v>
      </c>
      <c r="G789" s="15" t="s">
        <v>23</v>
      </c>
      <c r="H789" s="15" t="s">
        <v>1525</v>
      </c>
      <c r="I789" s="15">
        <v>201410</v>
      </c>
      <c r="J789" s="16">
        <v>343.32</v>
      </c>
      <c r="K789" s="171">
        <f>VLOOKUP(I789,$T$9:$U$23,2)</f>
        <v>8</v>
      </c>
      <c r="L789" s="17">
        <v>1.4833299999999999E-3</v>
      </c>
      <c r="M789" s="16">
        <f>ROUND(J789*K789*L789,2)</f>
        <v>4.07</v>
      </c>
      <c r="N789" s="16">
        <f>ROUND(J789*L789*12,2)</f>
        <v>6.11</v>
      </c>
      <c r="O789" s="14"/>
      <c r="P789" s="210" t="str">
        <f>VLOOKUP(C789,'WO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0" spans="1:18" ht="60" outlineLevel="2">
      <c r="A790" s="14" t="s">
        <v>17</v>
      </c>
      <c r="B790" s="15" t="s">
        <v>903</v>
      </c>
      <c r="C790" s="15" t="s">
        <v>904</v>
      </c>
      <c r="D790" s="14" t="s">
        <v>905</v>
      </c>
      <c r="E790" s="15" t="s">
        <v>49</v>
      </c>
      <c r="F790" s="14" t="s">
        <v>22</v>
      </c>
      <c r="G790" s="15" t="s">
        <v>23</v>
      </c>
      <c r="H790" s="15" t="s">
        <v>1525</v>
      </c>
      <c r="I790" s="15">
        <v>201411</v>
      </c>
      <c r="J790" s="16">
        <v>-25.51</v>
      </c>
      <c r="K790" s="171">
        <f>VLOOKUP(I790,$T$9:$U$23,2)</f>
        <v>7</v>
      </c>
      <c r="L790" s="17">
        <v>1.4833299999999999E-3</v>
      </c>
      <c r="M790" s="16">
        <f>ROUND(J790*K790*L790,2)</f>
        <v>-0.26</v>
      </c>
      <c r="N790" s="16">
        <f>ROUND(J790*L790*12,2)</f>
        <v>-0.45</v>
      </c>
      <c r="O790" s="14"/>
      <c r="P790" s="210" t="str">
        <f>VLOOKUP(C790,'WO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1" spans="1:18" ht="60" outlineLevel="2">
      <c r="A791" s="14" t="s">
        <v>17</v>
      </c>
      <c r="B791" s="15" t="s">
        <v>903</v>
      </c>
      <c r="C791" s="15" t="s">
        <v>904</v>
      </c>
      <c r="D791" s="14" t="s">
        <v>905</v>
      </c>
      <c r="E791" s="15" t="s">
        <v>49</v>
      </c>
      <c r="F791" s="14" t="s">
        <v>22</v>
      </c>
      <c r="G791" s="15" t="s">
        <v>23</v>
      </c>
      <c r="H791" s="15" t="s">
        <v>1525</v>
      </c>
      <c r="I791" s="15">
        <v>201412</v>
      </c>
      <c r="J791" s="16">
        <v>-20.71</v>
      </c>
      <c r="K791" s="171">
        <f>VLOOKUP(I791,$T$9:$U$23,2)</f>
        <v>6</v>
      </c>
      <c r="L791" s="17">
        <v>1.4833299999999999E-3</v>
      </c>
      <c r="M791" s="16">
        <f>ROUND(J791*K791*L791,2)</f>
        <v>-0.18</v>
      </c>
      <c r="N791" s="16">
        <f>ROUND(J791*L791*12,2)</f>
        <v>-0.37</v>
      </c>
      <c r="O791" s="14"/>
      <c r="P791" s="210" t="str">
        <f>VLOOKUP(C791,'WO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2" spans="1:18" outlineLevel="1">
      <c r="A792" s="223"/>
      <c r="B792" s="250"/>
      <c r="C792" s="254" t="s">
        <v>2040</v>
      </c>
      <c r="D792" s="223"/>
      <c r="E792" s="250"/>
      <c r="F792" s="223"/>
      <c r="G792" s="250"/>
      <c r="H792" s="250"/>
      <c r="I792" s="250"/>
      <c r="J792" s="251">
        <f>SUBTOTAL(9,J788:J791)</f>
        <v>3094.21</v>
      </c>
      <c r="K792" s="252"/>
      <c r="L792" s="253"/>
      <c r="M792" s="251">
        <f>SUBTOTAL(9,M788:M791)</f>
        <v>40.970000000000006</v>
      </c>
      <c r="N792" s="251">
        <f>SUBTOTAL(9,N788:N791)</f>
        <v>55.08</v>
      </c>
      <c r="O792" s="223"/>
      <c r="P792" s="210"/>
      <c r="Q792" s="263" t="s">
        <v>2097</v>
      </c>
      <c r="R792" s="263" t="s">
        <v>2098</v>
      </c>
    </row>
    <row r="793" spans="1:18" ht="30" outlineLevel="2">
      <c r="A793" s="14" t="s">
        <v>54</v>
      </c>
      <c r="B793" s="15" t="s">
        <v>906</v>
      </c>
      <c r="C793" s="15" t="s">
        <v>907</v>
      </c>
      <c r="D793" s="14" t="s">
        <v>908</v>
      </c>
      <c r="E793" s="15" t="s">
        <v>909</v>
      </c>
      <c r="F793" s="14" t="s">
        <v>22</v>
      </c>
      <c r="G793" s="15" t="s">
        <v>23</v>
      </c>
      <c r="H793" s="15" t="s">
        <v>1525</v>
      </c>
      <c r="I793" s="15">
        <v>201409</v>
      </c>
      <c r="J793" s="16">
        <v>-193.96</v>
      </c>
      <c r="K793" s="171">
        <f>VLOOKUP(I793,$T$9:$U$23,2)</f>
        <v>9</v>
      </c>
      <c r="L793" s="17">
        <v>1.4833299999999999E-3</v>
      </c>
      <c r="M793" s="16">
        <f>ROUND(J793*K793*L793,2)</f>
        <v>-2.59</v>
      </c>
      <c r="N793" s="16">
        <f>ROUND(J793*L793*12,2)</f>
        <v>-3.45</v>
      </c>
      <c r="O793" s="14"/>
      <c r="P793" s="210" t="str">
        <f>VLOOKUP(C793,'WO Descriptions'!$A$5:$D$345,4)</f>
        <v>Approved by: Gary Williams on 06/10/2014,  Replace PBS due to down project. Pressure system C-01</v>
      </c>
    </row>
    <row r="794" spans="1:18" ht="30" outlineLevel="2">
      <c r="A794" s="14" t="s">
        <v>54</v>
      </c>
      <c r="B794" s="15" t="s">
        <v>906</v>
      </c>
      <c r="C794" s="15" t="s">
        <v>907</v>
      </c>
      <c r="D794" s="14" t="s">
        <v>908</v>
      </c>
      <c r="E794" s="15" t="s">
        <v>909</v>
      </c>
      <c r="F794" s="14" t="s">
        <v>22</v>
      </c>
      <c r="G794" s="15" t="s">
        <v>23</v>
      </c>
      <c r="H794" s="15" t="s">
        <v>1525</v>
      </c>
      <c r="I794" s="15">
        <v>201411</v>
      </c>
      <c r="J794" s="16">
        <v>0</v>
      </c>
      <c r="K794" s="171">
        <f>VLOOKUP(I794,$T$9:$U$23,2)</f>
        <v>7</v>
      </c>
      <c r="L794" s="17">
        <v>1.4833299999999999E-3</v>
      </c>
      <c r="M794" s="16">
        <f>ROUND(J794*K794*L794,2)</f>
        <v>0</v>
      </c>
      <c r="N794" s="16">
        <f>ROUND(J794*L794*12,2)</f>
        <v>0</v>
      </c>
      <c r="O794" s="14"/>
      <c r="P794" s="210" t="str">
        <f>VLOOKUP(C794,'WO Descriptions'!$A$5:$D$345,4)</f>
        <v>Approved by: Gary Williams on 06/10/2014,  Replace PBS due to down project. Pressure system C-01</v>
      </c>
    </row>
    <row r="795" spans="1:18" ht="30" outlineLevel="2">
      <c r="A795" s="14" t="s">
        <v>54</v>
      </c>
      <c r="B795" s="15" t="s">
        <v>906</v>
      </c>
      <c r="C795" s="15" t="s">
        <v>907</v>
      </c>
      <c r="D795" s="14" t="s">
        <v>908</v>
      </c>
      <c r="E795" s="15" t="s">
        <v>909</v>
      </c>
      <c r="F795" s="14" t="s">
        <v>22</v>
      </c>
      <c r="G795" s="15" t="s">
        <v>23</v>
      </c>
      <c r="H795" s="15" t="s">
        <v>1525</v>
      </c>
      <c r="I795" s="15">
        <v>201412</v>
      </c>
      <c r="J795" s="16">
        <v>1.08</v>
      </c>
      <c r="K795" s="171">
        <f>VLOOKUP(I795,$T$9:$U$23,2)</f>
        <v>6</v>
      </c>
      <c r="L795" s="17">
        <v>1.4833299999999999E-3</v>
      </c>
      <c r="M795" s="16">
        <f>ROUND(J795*K795*L795,2)</f>
        <v>0.01</v>
      </c>
      <c r="N795" s="16">
        <f>ROUND(J795*L795*12,2)</f>
        <v>0.02</v>
      </c>
      <c r="O795" s="14"/>
      <c r="P795" s="210" t="str">
        <f>VLOOKUP(C795,'WO Descriptions'!$A$5:$D$345,4)</f>
        <v>Approved by: Gary Williams on 06/10/2014,  Replace PBS due to down project. Pressure system C-01</v>
      </c>
    </row>
    <row r="796" spans="1:18" outlineLevel="1">
      <c r="A796" s="223"/>
      <c r="B796" s="250"/>
      <c r="C796" s="254" t="s">
        <v>2041</v>
      </c>
      <c r="D796" s="223"/>
      <c r="E796" s="250"/>
      <c r="F796" s="223"/>
      <c r="G796" s="250"/>
      <c r="H796" s="250"/>
      <c r="I796" s="250"/>
      <c r="J796" s="251">
        <f>SUBTOTAL(9,J793:J795)</f>
        <v>-192.88</v>
      </c>
      <c r="K796" s="252"/>
      <c r="L796" s="253"/>
      <c r="M796" s="251">
        <f>SUBTOTAL(9,M793:M795)</f>
        <v>-2.58</v>
      </c>
      <c r="N796" s="251">
        <f>SUBTOTAL(9,N793:N795)</f>
        <v>-3.43</v>
      </c>
      <c r="O796" s="223"/>
      <c r="P796" s="210"/>
      <c r="Q796" s="263" t="s">
        <v>2097</v>
      </c>
      <c r="R796" s="263" t="s">
        <v>2098</v>
      </c>
    </row>
    <row r="797" spans="1:18" ht="45" outlineLevel="2">
      <c r="A797" s="14" t="s">
        <v>17</v>
      </c>
      <c r="B797" s="15" t="s">
        <v>910</v>
      </c>
      <c r="C797" s="15" t="s">
        <v>911</v>
      </c>
      <c r="D797" s="14" t="s">
        <v>912</v>
      </c>
      <c r="E797" s="15" t="s">
        <v>362</v>
      </c>
      <c r="F797" s="14" t="s">
        <v>41</v>
      </c>
      <c r="G797" s="15" t="s">
        <v>23</v>
      </c>
      <c r="H797" s="15" t="s">
        <v>1526</v>
      </c>
      <c r="I797" s="15">
        <v>201409</v>
      </c>
      <c r="J797" s="16">
        <v>-58.71</v>
      </c>
      <c r="K797" s="171">
        <f>VLOOKUP(I797,$T$9:$U$23,2)</f>
        <v>9</v>
      </c>
      <c r="L797" s="17">
        <v>1.4833299999999999E-3</v>
      </c>
      <c r="M797" s="16">
        <f>ROUND(J797*K797*L797,2)</f>
        <v>-0.78</v>
      </c>
      <c r="N797" s="16">
        <f>ROUND(J797*L797*12,2)</f>
        <v>-1.05</v>
      </c>
      <c r="O797" s="14"/>
      <c r="P797" s="210" t="str">
        <f>VLOOKUP(C797,'WO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98" spans="1:18" ht="45" outlineLevel="2">
      <c r="A798" s="14" t="s">
        <v>17</v>
      </c>
      <c r="B798" s="15" t="s">
        <v>910</v>
      </c>
      <c r="C798" s="15" t="s">
        <v>911</v>
      </c>
      <c r="D798" s="14" t="s">
        <v>912</v>
      </c>
      <c r="E798" s="15" t="s">
        <v>362</v>
      </c>
      <c r="F798" s="14" t="s">
        <v>41</v>
      </c>
      <c r="G798" s="15" t="s">
        <v>23</v>
      </c>
      <c r="H798" s="15" t="s">
        <v>1526</v>
      </c>
      <c r="I798" s="15">
        <v>201410</v>
      </c>
      <c r="J798" s="16">
        <v>0</v>
      </c>
      <c r="K798" s="171">
        <f>VLOOKUP(I798,$T$9:$U$23,2)</f>
        <v>8</v>
      </c>
      <c r="L798" s="17">
        <v>1.4833299999999999E-3</v>
      </c>
      <c r="M798" s="16">
        <f>ROUND(J798*K798*L798,2)</f>
        <v>0</v>
      </c>
      <c r="N798" s="16">
        <f>ROUND(J798*L798*12,2)</f>
        <v>0</v>
      </c>
      <c r="O798" s="14"/>
      <c r="P798" s="210" t="str">
        <f>VLOOKUP(C798,'WO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99" spans="1:18" ht="45" outlineLevel="2">
      <c r="A799" s="14" t="s">
        <v>17</v>
      </c>
      <c r="B799" s="15" t="s">
        <v>910</v>
      </c>
      <c r="C799" s="15" t="s">
        <v>911</v>
      </c>
      <c r="D799" s="14" t="s">
        <v>912</v>
      </c>
      <c r="E799" s="15" t="s">
        <v>362</v>
      </c>
      <c r="F799" s="14" t="s">
        <v>41</v>
      </c>
      <c r="G799" s="15" t="s">
        <v>23</v>
      </c>
      <c r="H799" s="15" t="s">
        <v>1526</v>
      </c>
      <c r="I799" s="15">
        <v>201411</v>
      </c>
      <c r="J799" s="16">
        <v>0.95</v>
      </c>
      <c r="K799" s="171">
        <f>VLOOKUP(I799,$T$9:$U$23,2)</f>
        <v>7</v>
      </c>
      <c r="L799" s="17">
        <v>1.4833299999999999E-3</v>
      </c>
      <c r="M799" s="16">
        <f>ROUND(J799*K799*L799,2)</f>
        <v>0.01</v>
      </c>
      <c r="N799" s="16">
        <f>ROUND(J799*L799*12,2)</f>
        <v>0.02</v>
      </c>
      <c r="O799" s="14"/>
      <c r="P799" s="210" t="str">
        <f>VLOOKUP(C799,'WO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800" spans="1:18" outlineLevel="1">
      <c r="A800" s="223"/>
      <c r="B800" s="250"/>
      <c r="C800" s="254" t="s">
        <v>2042</v>
      </c>
      <c r="D800" s="223"/>
      <c r="E800" s="250"/>
      <c r="F800" s="223"/>
      <c r="G800" s="250"/>
      <c r="H800" s="250"/>
      <c r="I800" s="250"/>
      <c r="J800" s="251">
        <f>SUBTOTAL(9,J797:J799)</f>
        <v>-57.76</v>
      </c>
      <c r="K800" s="252"/>
      <c r="L800" s="253"/>
      <c r="M800" s="251">
        <f>SUBTOTAL(9,M797:M799)</f>
        <v>-0.77</v>
      </c>
      <c r="N800" s="251">
        <f>SUBTOTAL(9,N797:N799)</f>
        <v>-1.03</v>
      </c>
      <c r="O800" s="223"/>
      <c r="P800" s="210"/>
      <c r="Q800" s="263" t="s">
        <v>2096</v>
      </c>
    </row>
    <row r="801" spans="1:18" outlineLevel="2">
      <c r="A801" s="14" t="s">
        <v>54</v>
      </c>
      <c r="B801" s="15" t="s">
        <v>913</v>
      </c>
      <c r="C801" s="15" t="s">
        <v>914</v>
      </c>
      <c r="D801" s="14" t="s">
        <v>915</v>
      </c>
      <c r="E801" s="15" t="s">
        <v>36</v>
      </c>
      <c r="F801" s="14" t="s">
        <v>22</v>
      </c>
      <c r="G801" s="15" t="s">
        <v>23</v>
      </c>
      <c r="H801" s="15" t="s">
        <v>1525</v>
      </c>
      <c r="I801" s="15">
        <v>201409</v>
      </c>
      <c r="J801" s="16">
        <v>10702.77</v>
      </c>
      <c r="K801" s="171">
        <f>VLOOKUP(I801,$T$9:$U$23,2)</f>
        <v>9</v>
      </c>
      <c r="L801" s="17">
        <v>1.4833299999999999E-3</v>
      </c>
      <c r="M801" s="16">
        <f>ROUND(J801*K801*L801,2)</f>
        <v>142.88</v>
      </c>
      <c r="N801" s="16">
        <f>ROUND(J801*L801*12,2)</f>
        <v>190.51</v>
      </c>
      <c r="O801" s="14"/>
      <c r="P801" s="210" t="str">
        <f>VLOOKUP(C801,'WO Descriptions'!$A$5:$D$345,4)</f>
        <v>Approved by: Gary Williams on 06/10/2014,  Replace PBS due to down project</v>
      </c>
    </row>
    <row r="802" spans="1:18" outlineLevel="2">
      <c r="A802" s="14" t="s">
        <v>54</v>
      </c>
      <c r="B802" s="15" t="s">
        <v>913</v>
      </c>
      <c r="C802" s="15" t="s">
        <v>914</v>
      </c>
      <c r="D802" s="14" t="s">
        <v>915</v>
      </c>
      <c r="E802" s="15" t="s">
        <v>36</v>
      </c>
      <c r="F802" s="14" t="s">
        <v>22</v>
      </c>
      <c r="G802" s="15" t="s">
        <v>23</v>
      </c>
      <c r="H802" s="15" t="s">
        <v>1525</v>
      </c>
      <c r="I802" s="15">
        <v>201410</v>
      </c>
      <c r="J802" s="16">
        <v>38.01</v>
      </c>
      <c r="K802" s="171">
        <f>VLOOKUP(I802,$T$9:$U$23,2)</f>
        <v>8</v>
      </c>
      <c r="L802" s="17">
        <v>1.4833299999999999E-3</v>
      </c>
      <c r="M802" s="16">
        <f>ROUND(J802*K802*L802,2)</f>
        <v>0.45</v>
      </c>
      <c r="N802" s="16">
        <f>ROUND(J802*L802*12,2)</f>
        <v>0.68</v>
      </c>
      <c r="O802" s="14"/>
      <c r="P802" s="210" t="str">
        <f>VLOOKUP(C802,'WO Descriptions'!$A$5:$D$345,4)</f>
        <v>Approved by: Gary Williams on 06/10/2014,  Replace PBS due to down project</v>
      </c>
    </row>
    <row r="803" spans="1:18" outlineLevel="2">
      <c r="A803" s="14" t="s">
        <v>54</v>
      </c>
      <c r="B803" s="15" t="s">
        <v>913</v>
      </c>
      <c r="C803" s="15" t="s">
        <v>914</v>
      </c>
      <c r="D803" s="14" t="s">
        <v>915</v>
      </c>
      <c r="E803" s="15" t="s">
        <v>36</v>
      </c>
      <c r="F803" s="14" t="s">
        <v>22</v>
      </c>
      <c r="G803" s="15" t="s">
        <v>23</v>
      </c>
      <c r="H803" s="15" t="s">
        <v>1525</v>
      </c>
      <c r="I803" s="15">
        <v>201411</v>
      </c>
      <c r="J803" s="16">
        <v>-1080.8800000000001</v>
      </c>
      <c r="K803" s="171">
        <f>VLOOKUP(I803,$T$9:$U$23,2)</f>
        <v>7</v>
      </c>
      <c r="L803" s="17">
        <v>1.4833299999999999E-3</v>
      </c>
      <c r="M803" s="16">
        <f>ROUND(J803*K803*L803,2)</f>
        <v>-11.22</v>
      </c>
      <c r="N803" s="16">
        <f>ROUND(J803*L803*12,2)</f>
        <v>-19.239999999999998</v>
      </c>
      <c r="O803" s="14"/>
      <c r="P803" s="210" t="str">
        <f>VLOOKUP(C803,'WO Descriptions'!$A$5:$D$345,4)</f>
        <v>Approved by: Gary Williams on 06/10/2014,  Replace PBS due to down project</v>
      </c>
    </row>
    <row r="804" spans="1:18" outlineLevel="2">
      <c r="A804" s="14" t="s">
        <v>54</v>
      </c>
      <c r="B804" s="15" t="s">
        <v>913</v>
      </c>
      <c r="C804" s="15" t="s">
        <v>914</v>
      </c>
      <c r="D804" s="14" t="s">
        <v>915</v>
      </c>
      <c r="E804" s="15" t="s">
        <v>36</v>
      </c>
      <c r="F804" s="14" t="s">
        <v>22</v>
      </c>
      <c r="G804" s="15" t="s">
        <v>23</v>
      </c>
      <c r="H804" s="15" t="s">
        <v>1525</v>
      </c>
      <c r="I804" s="15">
        <v>201412</v>
      </c>
      <c r="J804" s="16">
        <v>136.69</v>
      </c>
      <c r="K804" s="171">
        <f>VLOOKUP(I804,$T$9:$U$23,2)</f>
        <v>6</v>
      </c>
      <c r="L804" s="17">
        <v>1.4833299999999999E-3</v>
      </c>
      <c r="M804" s="16">
        <f>ROUND(J804*K804*L804,2)</f>
        <v>1.22</v>
      </c>
      <c r="N804" s="16">
        <f>ROUND(J804*L804*12,2)</f>
        <v>2.4300000000000002</v>
      </c>
      <c r="O804" s="14"/>
      <c r="P804" s="210" t="str">
        <f>VLOOKUP(C804,'WO Descriptions'!$A$5:$D$345,4)</f>
        <v>Approved by: Gary Williams on 06/10/2014,  Replace PBS due to down project</v>
      </c>
    </row>
    <row r="805" spans="1:18" outlineLevel="1">
      <c r="A805" s="223"/>
      <c r="B805" s="250"/>
      <c r="C805" s="254" t="s">
        <v>2043</v>
      </c>
      <c r="D805" s="223"/>
      <c r="E805" s="250"/>
      <c r="F805" s="223"/>
      <c r="G805" s="250"/>
      <c r="H805" s="250"/>
      <c r="I805" s="250"/>
      <c r="J805" s="251">
        <f>SUBTOTAL(9,J801:J804)</f>
        <v>9796.590000000002</v>
      </c>
      <c r="K805" s="252"/>
      <c r="L805" s="253"/>
      <c r="M805" s="251">
        <f>SUBTOTAL(9,M801:M804)</f>
        <v>133.32999999999998</v>
      </c>
      <c r="N805" s="251">
        <f>SUBTOTAL(9,N801:N804)</f>
        <v>174.38</v>
      </c>
      <c r="O805" s="223"/>
      <c r="P805" s="210"/>
      <c r="Q805" s="263" t="s">
        <v>2097</v>
      </c>
      <c r="R805" s="263" t="s">
        <v>2098</v>
      </c>
    </row>
    <row r="806" spans="1:18" ht="30" outlineLevel="2">
      <c r="A806" s="14" t="s">
        <v>54</v>
      </c>
      <c r="B806" s="15" t="s">
        <v>916</v>
      </c>
      <c r="C806" s="15" t="s">
        <v>917</v>
      </c>
      <c r="D806" s="14" t="s">
        <v>918</v>
      </c>
      <c r="E806" s="15" t="s">
        <v>909</v>
      </c>
      <c r="F806" s="14" t="s">
        <v>22</v>
      </c>
      <c r="G806" s="15" t="s">
        <v>23</v>
      </c>
      <c r="H806" s="15" t="s">
        <v>1525</v>
      </c>
      <c r="I806" s="15">
        <v>201409</v>
      </c>
      <c r="J806" s="16">
        <v>6119.67</v>
      </c>
      <c r="K806" s="171">
        <f>VLOOKUP(I806,$T$9:$U$23,2)</f>
        <v>9</v>
      </c>
      <c r="L806" s="17">
        <v>1.4833299999999999E-3</v>
      </c>
      <c r="M806" s="16">
        <f>ROUND(J806*K806*L806,2)</f>
        <v>81.7</v>
      </c>
      <c r="N806" s="16">
        <f>ROUND(J806*L806*12,2)</f>
        <v>108.93</v>
      </c>
      <c r="O806" s="14"/>
      <c r="P806" s="210" t="str">
        <f>VLOOKUP(C806,'WO Descriptions'!$A$5:$D$345,4)</f>
        <v>Approved by: Gary Williams on 06/10/2014,  Replace PBS due to down project. Pressure system C-01</v>
      </c>
    </row>
    <row r="807" spans="1:18" ht="30" outlineLevel="2">
      <c r="A807" s="14" t="s">
        <v>54</v>
      </c>
      <c r="B807" s="15" t="s">
        <v>916</v>
      </c>
      <c r="C807" s="15" t="s">
        <v>917</v>
      </c>
      <c r="D807" s="14" t="s">
        <v>918</v>
      </c>
      <c r="E807" s="15" t="s">
        <v>909</v>
      </c>
      <c r="F807" s="14" t="s">
        <v>22</v>
      </c>
      <c r="G807" s="15" t="s">
        <v>23</v>
      </c>
      <c r="H807" s="15" t="s">
        <v>1525</v>
      </c>
      <c r="I807" s="15">
        <v>201410</v>
      </c>
      <c r="J807" s="16">
        <v>0.82</v>
      </c>
      <c r="K807" s="171">
        <f>VLOOKUP(I807,$T$9:$U$23,2)</f>
        <v>8</v>
      </c>
      <c r="L807" s="17">
        <v>1.4833299999999999E-3</v>
      </c>
      <c r="M807" s="16">
        <f>ROUND(J807*K807*L807,2)</f>
        <v>0.01</v>
      </c>
      <c r="N807" s="16">
        <f>ROUND(J807*L807*12,2)</f>
        <v>0.01</v>
      </c>
      <c r="O807" s="14"/>
      <c r="P807" s="210" t="str">
        <f>VLOOKUP(C807,'WO Descriptions'!$A$5:$D$345,4)</f>
        <v>Approved by: Gary Williams on 06/10/2014,  Replace PBS due to down project. Pressure system C-01</v>
      </c>
    </row>
    <row r="808" spans="1:18" outlineLevel="1">
      <c r="A808" s="223"/>
      <c r="B808" s="250"/>
      <c r="C808" s="254" t="s">
        <v>2044</v>
      </c>
      <c r="D808" s="223"/>
      <c r="E808" s="250"/>
      <c r="F808" s="223"/>
      <c r="G808" s="250"/>
      <c r="H808" s="250"/>
      <c r="I808" s="250"/>
      <c r="J808" s="251">
        <f>SUBTOTAL(9,J806:J807)</f>
        <v>6120.49</v>
      </c>
      <c r="K808" s="252"/>
      <c r="L808" s="253"/>
      <c r="M808" s="251">
        <f>SUBTOTAL(9,M806:M807)</f>
        <v>81.710000000000008</v>
      </c>
      <c r="N808" s="251">
        <f>SUBTOTAL(9,N806:N807)</f>
        <v>108.94000000000001</v>
      </c>
      <c r="O808" s="223"/>
      <c r="P808" s="210"/>
      <c r="Q808" s="263" t="s">
        <v>2097</v>
      </c>
      <c r="R808" s="263" t="s">
        <v>2098</v>
      </c>
    </row>
    <row r="809" spans="1:18" ht="120" outlineLevel="2">
      <c r="A809" s="14" t="s">
        <v>54</v>
      </c>
      <c r="B809" s="15" t="s">
        <v>919</v>
      </c>
      <c r="C809" s="15" t="s">
        <v>920</v>
      </c>
      <c r="D809" s="14" t="s">
        <v>921</v>
      </c>
      <c r="E809" s="15" t="s">
        <v>362</v>
      </c>
      <c r="F809" s="14" t="s">
        <v>41</v>
      </c>
      <c r="G809" s="15" t="s">
        <v>23</v>
      </c>
      <c r="H809" s="15" t="s">
        <v>1526</v>
      </c>
      <c r="I809" s="15">
        <v>201411</v>
      </c>
      <c r="J809" s="16">
        <v>156809.47</v>
      </c>
      <c r="K809" s="171">
        <f>VLOOKUP(I809,$T$9:$U$23,2)</f>
        <v>7</v>
      </c>
      <c r="L809" s="17">
        <v>1.4833299999999999E-3</v>
      </c>
      <c r="M809" s="16">
        <f>ROUND(J809*K809*L809,2)</f>
        <v>1628.2</v>
      </c>
      <c r="N809" s="16">
        <f>ROUND(J809*L809*12,2)</f>
        <v>2791.2</v>
      </c>
      <c r="O809" s="14"/>
      <c r="P809" s="210" t="str">
        <f>VLOOKUP(C809,'WO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10" spans="1:18" ht="120" outlineLevel="2">
      <c r="A810" s="14" t="s">
        <v>54</v>
      </c>
      <c r="B810" s="15" t="s">
        <v>919</v>
      </c>
      <c r="C810" s="15" t="s">
        <v>920</v>
      </c>
      <c r="D810" s="14" t="s">
        <v>921</v>
      </c>
      <c r="E810" s="15" t="s">
        <v>362</v>
      </c>
      <c r="F810" s="14" t="s">
        <v>41</v>
      </c>
      <c r="G810" s="15" t="s">
        <v>23</v>
      </c>
      <c r="H810" s="15" t="s">
        <v>1526</v>
      </c>
      <c r="I810" s="15">
        <v>201412</v>
      </c>
      <c r="J810" s="16">
        <v>-653.91</v>
      </c>
      <c r="K810" s="171">
        <f>VLOOKUP(I810,$T$9:$U$23,2)</f>
        <v>6</v>
      </c>
      <c r="L810" s="17">
        <v>1.4833299999999999E-3</v>
      </c>
      <c r="M810" s="16">
        <f>ROUND(J810*K810*L810,2)</f>
        <v>-5.82</v>
      </c>
      <c r="N810" s="16">
        <f>ROUND(J810*L810*12,2)</f>
        <v>-11.64</v>
      </c>
      <c r="O810" s="14"/>
      <c r="P810" s="210" t="str">
        <f>VLOOKUP(C810,'WO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11" spans="1:18" outlineLevel="1">
      <c r="A811" s="223"/>
      <c r="B811" s="250"/>
      <c r="C811" s="254" t="s">
        <v>2045</v>
      </c>
      <c r="D811" s="223"/>
      <c r="E811" s="250"/>
      <c r="F811" s="223"/>
      <c r="G811" s="250"/>
      <c r="H811" s="250"/>
      <c r="I811" s="250"/>
      <c r="J811" s="251">
        <f>SUBTOTAL(9,J809:J810)</f>
        <v>156155.56</v>
      </c>
      <c r="K811" s="252"/>
      <c r="L811" s="253"/>
      <c r="M811" s="251">
        <f>SUBTOTAL(9,M809:M810)</f>
        <v>1622.38</v>
      </c>
      <c r="N811" s="251">
        <f>SUBTOTAL(9,N809:N810)</f>
        <v>2779.56</v>
      </c>
      <c r="O811" s="223"/>
      <c r="P811" s="210"/>
      <c r="Q811" s="263" t="s">
        <v>2096</v>
      </c>
    </row>
    <row r="812" spans="1:18" ht="45" outlineLevel="2">
      <c r="A812" s="14" t="s">
        <v>17</v>
      </c>
      <c r="B812" s="15" t="s">
        <v>1057</v>
      </c>
      <c r="C812" s="15" t="s">
        <v>1058</v>
      </c>
      <c r="D812" s="14" t="s">
        <v>1059</v>
      </c>
      <c r="E812" s="15" t="s">
        <v>925</v>
      </c>
      <c r="F812" s="14" t="s">
        <v>41</v>
      </c>
      <c r="G812" s="15" t="s">
        <v>23</v>
      </c>
      <c r="H812" s="15" t="s">
        <v>1526</v>
      </c>
      <c r="I812" s="15">
        <v>201412</v>
      </c>
      <c r="J812" s="16">
        <v>37991.93</v>
      </c>
      <c r="K812" s="171">
        <f>VLOOKUP(I812,$T$9:$U$23,2)</f>
        <v>6</v>
      </c>
      <c r="L812" s="17">
        <v>1.4833299999999999E-3</v>
      </c>
      <c r="M812" s="16">
        <f>ROUND(J812*K812*L812,2)</f>
        <v>338.13</v>
      </c>
      <c r="N812" s="16">
        <f>ROUND(J812*L812*12,2)</f>
        <v>676.25</v>
      </c>
      <c r="O812" s="14"/>
      <c r="P812" s="210" t="str">
        <f>VLOOKUP(C812,'WO Descriptions'!$A$5:$D$345,4)</f>
        <v>Approved by: Gary Williams on 06/13/2014,  (ISRS)  Lay 325'-6in thin film for MODOT project J4I3005 under I-35.  Main needs to be 12' deep under the highway due to cuts.  No services to tie-over.  Retire 325'-10in PCS, WO 67-5537, Year 1967.  COST PER FOOT $132.92</v>
      </c>
    </row>
    <row r="813" spans="1:18" outlineLevel="1">
      <c r="A813" s="223"/>
      <c r="B813" s="250"/>
      <c r="C813" s="254" t="s">
        <v>2046</v>
      </c>
      <c r="D813" s="223"/>
      <c r="E813" s="250"/>
      <c r="F813" s="223"/>
      <c r="G813" s="250"/>
      <c r="H813" s="250"/>
      <c r="I813" s="250"/>
      <c r="J813" s="251">
        <f>SUBTOTAL(9,J812:J812)</f>
        <v>37991.93</v>
      </c>
      <c r="K813" s="252"/>
      <c r="L813" s="253"/>
      <c r="M813" s="251">
        <f>SUBTOTAL(9,M812:M812)</f>
        <v>338.13</v>
      </c>
      <c r="N813" s="251">
        <f>SUBTOTAL(9,N812:N812)</f>
        <v>676.25</v>
      </c>
      <c r="O813" s="223"/>
      <c r="P813" s="210"/>
      <c r="Q813" s="263" t="s">
        <v>2096</v>
      </c>
    </row>
    <row r="814" spans="1:18" ht="75" outlineLevel="2">
      <c r="A814" s="14" t="s">
        <v>54</v>
      </c>
      <c r="B814" s="15" t="s">
        <v>922</v>
      </c>
      <c r="C814" s="15" t="s">
        <v>923</v>
      </c>
      <c r="D814" s="14" t="s">
        <v>924</v>
      </c>
      <c r="E814" s="15" t="s">
        <v>925</v>
      </c>
      <c r="F814" s="14" t="s">
        <v>41</v>
      </c>
      <c r="G814" s="15" t="s">
        <v>23</v>
      </c>
      <c r="H814" s="15" t="s">
        <v>1526</v>
      </c>
      <c r="I814" s="15">
        <v>201411</v>
      </c>
      <c r="J814" s="16">
        <v>100429.48</v>
      </c>
      <c r="K814" s="171">
        <f>VLOOKUP(I814,$T$9:$U$23,2)</f>
        <v>7</v>
      </c>
      <c r="L814" s="17">
        <v>1.4833299999999999E-3</v>
      </c>
      <c r="M814" s="16">
        <f>ROUND(J814*K814*L814,2)</f>
        <v>1042.79</v>
      </c>
      <c r="N814" s="16">
        <f>ROUND(J814*L814*12,2)</f>
        <v>1787.64</v>
      </c>
      <c r="O814" s="14"/>
      <c r="P814" s="210" t="str">
        <f>VLOOKUP(C814,'WO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15" spans="1:18" ht="75" outlineLevel="2">
      <c r="A815" s="14" t="s">
        <v>54</v>
      </c>
      <c r="B815" s="15" t="s">
        <v>922</v>
      </c>
      <c r="C815" s="15" t="s">
        <v>923</v>
      </c>
      <c r="D815" s="14" t="s">
        <v>924</v>
      </c>
      <c r="E815" s="15" t="s">
        <v>925</v>
      </c>
      <c r="F815" s="14" t="s">
        <v>41</v>
      </c>
      <c r="G815" s="15" t="s">
        <v>23</v>
      </c>
      <c r="H815" s="15" t="s">
        <v>1526</v>
      </c>
      <c r="I815" s="15">
        <v>201412</v>
      </c>
      <c r="J815" s="16">
        <v>1865.84</v>
      </c>
      <c r="K815" s="171">
        <f>VLOOKUP(I815,$T$9:$U$23,2)</f>
        <v>6</v>
      </c>
      <c r="L815" s="17">
        <v>1.4833299999999999E-3</v>
      </c>
      <c r="M815" s="16">
        <f>ROUND(J815*K815*L815,2)</f>
        <v>16.61</v>
      </c>
      <c r="N815" s="16">
        <f>ROUND(J815*L815*12,2)</f>
        <v>33.21</v>
      </c>
      <c r="O815" s="14"/>
      <c r="P815" s="210" t="str">
        <f>VLOOKUP(C815,'WO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16" spans="1:18" outlineLevel="1">
      <c r="A816" s="223"/>
      <c r="B816" s="250"/>
      <c r="C816" s="254" t="s">
        <v>2047</v>
      </c>
      <c r="D816" s="223"/>
      <c r="E816" s="250"/>
      <c r="F816" s="223"/>
      <c r="G816" s="250"/>
      <c r="H816" s="250"/>
      <c r="I816" s="250"/>
      <c r="J816" s="251">
        <f>SUBTOTAL(9,J814:J815)</f>
        <v>102295.31999999999</v>
      </c>
      <c r="K816" s="252"/>
      <c r="L816" s="253"/>
      <c r="M816" s="251">
        <f>SUBTOTAL(9,M814:M815)</f>
        <v>1059.3999999999999</v>
      </c>
      <c r="N816" s="251">
        <f>SUBTOTAL(9,N814:N815)</f>
        <v>1820.8500000000001</v>
      </c>
      <c r="O816" s="223"/>
      <c r="P816" s="210"/>
      <c r="Q816" s="263" t="s">
        <v>2096</v>
      </c>
    </row>
    <row r="817" spans="1:18" ht="45" outlineLevel="2">
      <c r="A817" s="14" t="s">
        <v>54</v>
      </c>
      <c r="B817" s="15" t="s">
        <v>926</v>
      </c>
      <c r="C817" s="15" t="s">
        <v>927</v>
      </c>
      <c r="D817" s="14" t="s">
        <v>928</v>
      </c>
      <c r="E817" s="15" t="s">
        <v>141</v>
      </c>
      <c r="F817" s="14" t="s">
        <v>142</v>
      </c>
      <c r="G817" s="15" t="s">
        <v>23</v>
      </c>
      <c r="H817" s="15" t="s">
        <v>1525</v>
      </c>
      <c r="I817" s="15">
        <v>201409</v>
      </c>
      <c r="J817" s="16">
        <v>10991.12</v>
      </c>
      <c r="K817" s="171">
        <f>VLOOKUP(I817,$T$9:$U$23,2)</f>
        <v>9</v>
      </c>
      <c r="L817" s="17">
        <v>1.4833299999999999E-3</v>
      </c>
      <c r="M817" s="16">
        <f>ROUND(J817*K817*L817,2)</f>
        <v>146.72999999999999</v>
      </c>
      <c r="N817" s="16">
        <f>ROUND(J817*L817*12,2)</f>
        <v>195.64</v>
      </c>
      <c r="O817" s="14"/>
      <c r="P817" s="210" t="str">
        <f>VLOOKUP(C817,'WO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818" spans="1:18" ht="45" outlineLevel="2">
      <c r="A818" s="14" t="s">
        <v>54</v>
      </c>
      <c r="B818" s="15" t="s">
        <v>926</v>
      </c>
      <c r="C818" s="15" t="s">
        <v>927</v>
      </c>
      <c r="D818" s="14" t="s">
        <v>928</v>
      </c>
      <c r="E818" s="15" t="s">
        <v>141</v>
      </c>
      <c r="F818" s="14" t="s">
        <v>142</v>
      </c>
      <c r="G818" s="15" t="s">
        <v>23</v>
      </c>
      <c r="H818" s="15" t="s">
        <v>1525</v>
      </c>
      <c r="I818" s="15">
        <v>201410</v>
      </c>
      <c r="J818" s="16">
        <v>129.80000000000001</v>
      </c>
      <c r="K818" s="171">
        <f>VLOOKUP(I818,$T$9:$U$23,2)</f>
        <v>8</v>
      </c>
      <c r="L818" s="17">
        <v>1.4833299999999999E-3</v>
      </c>
      <c r="M818" s="16">
        <f>ROUND(J818*K818*L818,2)</f>
        <v>1.54</v>
      </c>
      <c r="N818" s="16">
        <f>ROUND(J818*L818*12,2)</f>
        <v>2.31</v>
      </c>
      <c r="O818" s="14"/>
      <c r="P818" s="210" t="str">
        <f>VLOOKUP(C818,'WO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819" spans="1:18" outlineLevel="1">
      <c r="A819" s="223"/>
      <c r="B819" s="250"/>
      <c r="C819" s="254" t="s">
        <v>2048</v>
      </c>
      <c r="D819" s="223"/>
      <c r="E819" s="250"/>
      <c r="F819" s="223"/>
      <c r="G819" s="250"/>
      <c r="H819" s="250"/>
      <c r="I819" s="250"/>
      <c r="J819" s="251">
        <f>SUBTOTAL(9,J817:J818)</f>
        <v>11120.92</v>
      </c>
      <c r="K819" s="252"/>
      <c r="L819" s="253"/>
      <c r="M819" s="251">
        <f>SUBTOTAL(9,M817:M818)</f>
        <v>148.26999999999998</v>
      </c>
      <c r="N819" s="251">
        <f>SUBTOTAL(9,N817:N818)</f>
        <v>197.95</v>
      </c>
      <c r="O819" s="223"/>
      <c r="P819" s="210"/>
      <c r="Q819" s="263" t="s">
        <v>2097</v>
      </c>
      <c r="R819" s="263" t="s">
        <v>2100</v>
      </c>
    </row>
    <row r="820" spans="1:18" ht="90" outlineLevel="2">
      <c r="A820" s="14" t="s">
        <v>54</v>
      </c>
      <c r="B820" s="15" t="s">
        <v>929</v>
      </c>
      <c r="C820" s="15" t="s">
        <v>930</v>
      </c>
      <c r="D820" s="14" t="s">
        <v>931</v>
      </c>
      <c r="E820" s="15" t="s">
        <v>394</v>
      </c>
      <c r="F820" s="14" t="s">
        <v>137</v>
      </c>
      <c r="G820" s="15" t="s">
        <v>23</v>
      </c>
      <c r="H820" s="15" t="s">
        <v>1526</v>
      </c>
      <c r="I820" s="15">
        <v>201411</v>
      </c>
      <c r="J820" s="16">
        <v>37016.21</v>
      </c>
      <c r="K820" s="171">
        <f>VLOOKUP(I820,$T$9:$U$23,2)</f>
        <v>7</v>
      </c>
      <c r="L820" s="17">
        <v>1.4833299999999999E-3</v>
      </c>
      <c r="M820" s="16">
        <f>ROUND(J820*K820*L820,2)</f>
        <v>384.35</v>
      </c>
      <c r="N820" s="16">
        <f>ROUND(J820*L820*12,2)</f>
        <v>658.89</v>
      </c>
      <c r="O820" s="14"/>
      <c r="P820" s="210" t="str">
        <f>VLOOKUP(C820,'WO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21" spans="1:18" ht="90" outlineLevel="2">
      <c r="A821" s="14" t="s">
        <v>54</v>
      </c>
      <c r="B821" s="15" t="s">
        <v>929</v>
      </c>
      <c r="C821" s="15" t="s">
        <v>930</v>
      </c>
      <c r="D821" s="14" t="s">
        <v>931</v>
      </c>
      <c r="E821" s="15" t="s">
        <v>394</v>
      </c>
      <c r="F821" s="14" t="s">
        <v>137</v>
      </c>
      <c r="G821" s="15" t="s">
        <v>23</v>
      </c>
      <c r="H821" s="15" t="s">
        <v>1526</v>
      </c>
      <c r="I821" s="15">
        <v>201412</v>
      </c>
      <c r="J821" s="16">
        <v>237.88</v>
      </c>
      <c r="K821" s="171">
        <f>VLOOKUP(I821,$T$9:$U$23,2)</f>
        <v>6</v>
      </c>
      <c r="L821" s="17">
        <v>1.4833299999999999E-3</v>
      </c>
      <c r="M821" s="16">
        <f>ROUND(J821*K821*L821,2)</f>
        <v>2.12</v>
      </c>
      <c r="N821" s="16">
        <f>ROUND(J821*L821*12,2)</f>
        <v>4.2300000000000004</v>
      </c>
      <c r="O821" s="14"/>
      <c r="P821" s="210" t="str">
        <f>VLOOKUP(C821,'WO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22" spans="1:18" outlineLevel="1">
      <c r="A822" s="223"/>
      <c r="B822" s="250"/>
      <c r="C822" s="254" t="s">
        <v>2049</v>
      </c>
      <c r="D822" s="223"/>
      <c r="E822" s="250"/>
      <c r="F822" s="223"/>
      <c r="G822" s="250"/>
      <c r="H822" s="250"/>
      <c r="I822" s="250"/>
      <c r="J822" s="251">
        <f>SUBTOTAL(9,J820:J821)</f>
        <v>37254.089999999997</v>
      </c>
      <c r="K822" s="252"/>
      <c r="L822" s="253"/>
      <c r="M822" s="251">
        <f>SUBTOTAL(9,M820:M821)</f>
        <v>386.47</v>
      </c>
      <c r="N822" s="251">
        <f>SUBTOTAL(9,N820:N821)</f>
        <v>663.12</v>
      </c>
      <c r="O822" s="223"/>
      <c r="P822" s="210"/>
      <c r="Q822" s="263" t="s">
        <v>2096</v>
      </c>
    </row>
    <row r="823" spans="1:18" ht="90" outlineLevel="2">
      <c r="A823" s="14" t="s">
        <v>54</v>
      </c>
      <c r="B823" s="15" t="s">
        <v>1060</v>
      </c>
      <c r="C823" s="15" t="s">
        <v>1061</v>
      </c>
      <c r="D823" s="14" t="s">
        <v>1062</v>
      </c>
      <c r="E823" s="15" t="s">
        <v>53</v>
      </c>
      <c r="F823" s="14" t="s">
        <v>41</v>
      </c>
      <c r="G823" s="15" t="s">
        <v>23</v>
      </c>
      <c r="H823" s="15" t="s">
        <v>1526</v>
      </c>
      <c r="I823" s="15">
        <v>201412</v>
      </c>
      <c r="J823" s="16">
        <v>116872.01</v>
      </c>
      <c r="K823" s="171">
        <f>VLOOKUP(I823,$T$9:$U$23,2)</f>
        <v>6</v>
      </c>
      <c r="L823" s="17">
        <v>1.4833299999999999E-3</v>
      </c>
      <c r="M823" s="16">
        <f>ROUND(J823*K823*L823,2)</f>
        <v>1040.1600000000001</v>
      </c>
      <c r="N823" s="16">
        <f>ROUND(J823*L823*12,2)</f>
        <v>2080.3200000000002</v>
      </c>
      <c r="O823" s="14"/>
      <c r="P823" s="210" t="str">
        <f>VLOOKUP(C823,'WO Descriptions'!$A$5:$D$345,4)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row>
    <row r="824" spans="1:18" outlineLevel="1">
      <c r="A824" s="223"/>
      <c r="B824" s="250"/>
      <c r="C824" s="254" t="s">
        <v>2050</v>
      </c>
      <c r="D824" s="223"/>
      <c r="E824" s="250"/>
      <c r="F824" s="223"/>
      <c r="G824" s="250"/>
      <c r="H824" s="250"/>
      <c r="I824" s="250"/>
      <c r="J824" s="251">
        <f>SUBTOTAL(9,J823:J823)</f>
        <v>116872.01</v>
      </c>
      <c r="K824" s="252"/>
      <c r="L824" s="253"/>
      <c r="M824" s="251">
        <f>SUBTOTAL(9,M823:M823)</f>
        <v>1040.1600000000001</v>
      </c>
      <c r="N824" s="251">
        <f>SUBTOTAL(9,N823:N823)</f>
        <v>2080.3200000000002</v>
      </c>
      <c r="O824" s="223"/>
      <c r="P824" s="210"/>
      <c r="Q824" s="263" t="s">
        <v>2096</v>
      </c>
    </row>
    <row r="825" spans="1:18" ht="45" outlineLevel="2">
      <c r="A825" s="14" t="s">
        <v>17</v>
      </c>
      <c r="B825" s="15" t="s">
        <v>932</v>
      </c>
      <c r="C825" s="15" t="s">
        <v>933</v>
      </c>
      <c r="D825" s="14" t="s">
        <v>934</v>
      </c>
      <c r="E825" s="15" t="s">
        <v>925</v>
      </c>
      <c r="F825" s="14" t="s">
        <v>41</v>
      </c>
      <c r="G825" s="15" t="s">
        <v>23</v>
      </c>
      <c r="H825" s="15" t="s">
        <v>1526</v>
      </c>
      <c r="I825" s="15">
        <v>201409</v>
      </c>
      <c r="J825" s="16">
        <v>72544.160000000003</v>
      </c>
      <c r="K825" s="171">
        <f>VLOOKUP(I825,$T$9:$U$23,2)</f>
        <v>9</v>
      </c>
      <c r="L825" s="17">
        <v>1.4833299999999999E-3</v>
      </c>
      <c r="M825" s="16">
        <f>ROUND(J825*K825*L825,2)</f>
        <v>968.46</v>
      </c>
      <c r="N825" s="16">
        <f>ROUND(J825*L825*12,2)</f>
        <v>1291.28</v>
      </c>
      <c r="O825" s="14"/>
      <c r="P825" s="210" t="str">
        <f>VLOOKUP(C825,'WO Descriptions'!$A$5:$D$345,4)</f>
        <v>Approved by: Steve Holcomb on 06/25/2014,  (ISRS).  Relocate 8in PBS &amp; PCS with 410'-8in PCS due to public improvement project. City is cutting in a new street on an old vacant right of way. Tie over 3 services.  MODOT permit needed for project.</v>
      </c>
    </row>
    <row r="826" spans="1:18" ht="45" outlineLevel="2">
      <c r="A826" s="14" t="s">
        <v>17</v>
      </c>
      <c r="B826" s="15" t="s">
        <v>932</v>
      </c>
      <c r="C826" s="15" t="s">
        <v>933</v>
      </c>
      <c r="D826" s="14" t="s">
        <v>934</v>
      </c>
      <c r="E826" s="15" t="s">
        <v>925</v>
      </c>
      <c r="F826" s="14" t="s">
        <v>41</v>
      </c>
      <c r="G826" s="15" t="s">
        <v>23</v>
      </c>
      <c r="H826" s="15" t="s">
        <v>1526</v>
      </c>
      <c r="I826" s="15">
        <v>201410</v>
      </c>
      <c r="J826" s="16">
        <v>163.34</v>
      </c>
      <c r="K826" s="171">
        <f>VLOOKUP(I826,$T$9:$U$23,2)</f>
        <v>8</v>
      </c>
      <c r="L826" s="17">
        <v>1.4833299999999999E-3</v>
      </c>
      <c r="M826" s="16">
        <f>ROUND(J826*K826*L826,2)</f>
        <v>1.94</v>
      </c>
      <c r="N826" s="16">
        <f>ROUND(J826*L826*12,2)</f>
        <v>2.91</v>
      </c>
      <c r="O826" s="14"/>
      <c r="P826" s="210" t="str">
        <f>VLOOKUP(C826,'WO Descriptions'!$A$5:$D$345,4)</f>
        <v>Approved by: Steve Holcomb on 06/25/2014,  (ISRS).  Relocate 8in PBS &amp; PCS with 410'-8in PCS due to public improvement project. City is cutting in a new street on an old vacant right of way. Tie over 3 services.  MODOT permit needed for project.</v>
      </c>
    </row>
    <row r="827" spans="1:18" outlineLevel="1">
      <c r="A827" s="223"/>
      <c r="B827" s="250"/>
      <c r="C827" s="254" t="s">
        <v>2051</v>
      </c>
      <c r="D827" s="223"/>
      <c r="E827" s="250"/>
      <c r="F827" s="223"/>
      <c r="G827" s="250"/>
      <c r="H827" s="250"/>
      <c r="I827" s="250"/>
      <c r="J827" s="251">
        <f>SUBTOTAL(9,J825:J826)</f>
        <v>72707.5</v>
      </c>
      <c r="K827" s="252"/>
      <c r="L827" s="253"/>
      <c r="M827" s="251">
        <f>SUBTOTAL(9,M825:M826)</f>
        <v>970.40000000000009</v>
      </c>
      <c r="N827" s="251">
        <f>SUBTOTAL(9,N825:N826)</f>
        <v>1294.19</v>
      </c>
      <c r="O827" s="223"/>
      <c r="P827" s="210"/>
      <c r="Q827" s="263" t="s">
        <v>2096</v>
      </c>
    </row>
    <row r="828" spans="1:18" ht="75" outlineLevel="2">
      <c r="A828" s="14" t="s">
        <v>17</v>
      </c>
      <c r="B828" s="15" t="s">
        <v>935</v>
      </c>
      <c r="C828" s="15" t="s">
        <v>936</v>
      </c>
      <c r="D828" s="14" t="s">
        <v>937</v>
      </c>
      <c r="E828" s="15" t="s">
        <v>53</v>
      </c>
      <c r="F828" s="14" t="s">
        <v>41</v>
      </c>
      <c r="G828" s="15" t="s">
        <v>23</v>
      </c>
      <c r="H828" s="15" t="s">
        <v>1526</v>
      </c>
      <c r="I828" s="15">
        <v>201409</v>
      </c>
      <c r="J828" s="16">
        <v>319.49</v>
      </c>
      <c r="K828" s="171">
        <f>VLOOKUP(I828,$T$9:$U$23,2)</f>
        <v>9</v>
      </c>
      <c r="L828" s="17">
        <v>1.4833299999999999E-3</v>
      </c>
      <c r="M828" s="16">
        <f>ROUND(J828*K828*L828,2)</f>
        <v>4.2699999999999996</v>
      </c>
      <c r="N828" s="16">
        <f>ROUND(J828*L828*12,2)</f>
        <v>5.69</v>
      </c>
      <c r="O828" s="14"/>
      <c r="P828" s="210" t="str">
        <f>VLOOKUP(C828,'WO Descriptions'!$A$5:$D$345,4)</f>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
    </row>
    <row r="829" spans="1:18" outlineLevel="1">
      <c r="A829" s="223"/>
      <c r="B829" s="250"/>
      <c r="C829" s="254" t="s">
        <v>2052</v>
      </c>
      <c r="D829" s="223"/>
      <c r="E829" s="250"/>
      <c r="F829" s="223"/>
      <c r="G829" s="250"/>
      <c r="H829" s="250"/>
      <c r="I829" s="250"/>
      <c r="J829" s="251">
        <f>SUBTOTAL(9,J828:J828)</f>
        <v>319.49</v>
      </c>
      <c r="K829" s="252"/>
      <c r="L829" s="253"/>
      <c r="M829" s="251">
        <f>SUBTOTAL(9,M828:M828)</f>
        <v>4.2699999999999996</v>
      </c>
      <c r="N829" s="251">
        <f>SUBTOTAL(9,N828:N828)</f>
        <v>5.69</v>
      </c>
      <c r="O829" s="223"/>
      <c r="P829" s="210"/>
      <c r="Q829" s="263" t="s">
        <v>2096</v>
      </c>
    </row>
    <row r="830" spans="1:18" ht="30" outlineLevel="2">
      <c r="A830" s="14" t="s">
        <v>54</v>
      </c>
      <c r="B830" s="15" t="s">
        <v>938</v>
      </c>
      <c r="C830" s="15" t="s">
        <v>939</v>
      </c>
      <c r="D830" s="14" t="s">
        <v>940</v>
      </c>
      <c r="E830" s="15" t="s">
        <v>141</v>
      </c>
      <c r="F830" s="14" t="s">
        <v>142</v>
      </c>
      <c r="G830" s="15" t="s">
        <v>23</v>
      </c>
      <c r="H830" s="15" t="s">
        <v>1525</v>
      </c>
      <c r="I830" s="15">
        <v>201409</v>
      </c>
      <c r="J830" s="16">
        <v>32210.09</v>
      </c>
      <c r="K830" s="171">
        <f>VLOOKUP(I830,$T$9:$U$23,2)</f>
        <v>9</v>
      </c>
      <c r="L830" s="17">
        <v>1.4833299999999999E-3</v>
      </c>
      <c r="M830" s="16">
        <f>ROUND(J830*K830*L830,2)</f>
        <v>430</v>
      </c>
      <c r="N830" s="16">
        <f>ROUND(J830*L830*12,2)</f>
        <v>573.34</v>
      </c>
      <c r="O830" s="14"/>
      <c r="P830" s="210" t="str">
        <f>VLOOKUP(C830,'WO Descriptions'!$A$5:$D$345,4)</f>
        <v>Approved by: Steve Holcomb on 06/30/2014,  Replace 8'' CI WITH 6'' PE DUE TO LEAKS. PRESSURE SYSTEM C-01</v>
      </c>
    </row>
    <row r="831" spans="1:18" ht="30" outlineLevel="2">
      <c r="A831" s="14" t="s">
        <v>54</v>
      </c>
      <c r="B831" s="15" t="s">
        <v>938</v>
      </c>
      <c r="C831" s="15" t="s">
        <v>939</v>
      </c>
      <c r="D831" s="14" t="s">
        <v>940</v>
      </c>
      <c r="E831" s="15" t="s">
        <v>141</v>
      </c>
      <c r="F831" s="14" t="s">
        <v>142</v>
      </c>
      <c r="G831" s="15" t="s">
        <v>23</v>
      </c>
      <c r="H831" s="15" t="s">
        <v>1525</v>
      </c>
      <c r="I831" s="15">
        <v>201410</v>
      </c>
      <c r="J831" s="16">
        <v>9145.27</v>
      </c>
      <c r="K831" s="171">
        <f>VLOOKUP(I831,$T$9:$U$23,2)</f>
        <v>8</v>
      </c>
      <c r="L831" s="17">
        <v>1.4833299999999999E-3</v>
      </c>
      <c r="M831" s="16">
        <f>ROUND(J831*K831*L831,2)</f>
        <v>108.52</v>
      </c>
      <c r="N831" s="16">
        <f>ROUND(J831*L831*12,2)</f>
        <v>162.79</v>
      </c>
      <c r="O831" s="14"/>
      <c r="P831" s="210" t="str">
        <f>VLOOKUP(C831,'WO Descriptions'!$A$5:$D$345,4)</f>
        <v>Approved by: Steve Holcomb on 06/30/2014,  Replace 8'' CI WITH 6'' PE DUE TO LEAKS. PRESSURE SYSTEM C-01</v>
      </c>
    </row>
    <row r="832" spans="1:18" ht="30" outlineLevel="2">
      <c r="A832" s="14" t="s">
        <v>54</v>
      </c>
      <c r="B832" s="15" t="s">
        <v>938</v>
      </c>
      <c r="C832" s="15" t="s">
        <v>939</v>
      </c>
      <c r="D832" s="14" t="s">
        <v>940</v>
      </c>
      <c r="E832" s="15" t="s">
        <v>141</v>
      </c>
      <c r="F832" s="14" t="s">
        <v>142</v>
      </c>
      <c r="G832" s="15" t="s">
        <v>23</v>
      </c>
      <c r="H832" s="15" t="s">
        <v>1525</v>
      </c>
      <c r="I832" s="15">
        <v>201411</v>
      </c>
      <c r="J832" s="16">
        <v>-767.04</v>
      </c>
      <c r="K832" s="171">
        <f>VLOOKUP(I832,$T$9:$U$23,2)</f>
        <v>7</v>
      </c>
      <c r="L832" s="17">
        <v>1.4833299999999999E-3</v>
      </c>
      <c r="M832" s="16">
        <f>ROUND(J832*K832*L832,2)</f>
        <v>-7.96</v>
      </c>
      <c r="N832" s="16">
        <f>ROUND(J832*L832*12,2)</f>
        <v>-13.65</v>
      </c>
      <c r="O832" s="14"/>
      <c r="P832" s="210" t="str">
        <f>VLOOKUP(C832,'WO Descriptions'!$A$5:$D$345,4)</f>
        <v>Approved by: Steve Holcomb on 06/30/2014,  Replace 8'' CI WITH 6'' PE DUE TO LEAKS. PRESSURE SYSTEM C-01</v>
      </c>
    </row>
    <row r="833" spans="1:18" ht="30" outlineLevel="2">
      <c r="A833" s="14" t="s">
        <v>54</v>
      </c>
      <c r="B833" s="15" t="s">
        <v>938</v>
      </c>
      <c r="C833" s="15" t="s">
        <v>939</v>
      </c>
      <c r="D833" s="14" t="s">
        <v>940</v>
      </c>
      <c r="E833" s="15" t="s">
        <v>141</v>
      </c>
      <c r="F833" s="14" t="s">
        <v>142</v>
      </c>
      <c r="G833" s="15" t="s">
        <v>23</v>
      </c>
      <c r="H833" s="15" t="s">
        <v>1525</v>
      </c>
      <c r="I833" s="15">
        <v>201412</v>
      </c>
      <c r="J833" s="16">
        <v>-683.61</v>
      </c>
      <c r="K833" s="171">
        <f>VLOOKUP(I833,$T$9:$U$23,2)</f>
        <v>6</v>
      </c>
      <c r="L833" s="17">
        <v>1.4833299999999999E-3</v>
      </c>
      <c r="M833" s="16">
        <f>ROUND(J833*K833*L833,2)</f>
        <v>-6.08</v>
      </c>
      <c r="N833" s="16">
        <f>ROUND(J833*L833*12,2)</f>
        <v>-12.17</v>
      </c>
      <c r="O833" s="14"/>
      <c r="P833" s="210" t="str">
        <f>VLOOKUP(C833,'WO Descriptions'!$A$5:$D$345,4)</f>
        <v>Approved by: Steve Holcomb on 06/30/2014,  Replace 8'' CI WITH 6'' PE DUE TO LEAKS. PRESSURE SYSTEM C-01</v>
      </c>
    </row>
    <row r="834" spans="1:18" outlineLevel="1">
      <c r="A834" s="223"/>
      <c r="B834" s="250"/>
      <c r="C834" s="254" t="s">
        <v>2053</v>
      </c>
      <c r="D834" s="223"/>
      <c r="E834" s="250"/>
      <c r="F834" s="223"/>
      <c r="G834" s="250"/>
      <c r="H834" s="250"/>
      <c r="I834" s="250"/>
      <c r="J834" s="251">
        <f>SUBTOTAL(9,J830:J833)</f>
        <v>39904.71</v>
      </c>
      <c r="K834" s="252"/>
      <c r="L834" s="253"/>
      <c r="M834" s="251">
        <f>SUBTOTAL(9,M830:M833)</f>
        <v>524.4799999999999</v>
      </c>
      <c r="N834" s="251">
        <f>SUBTOTAL(9,N830:N833)</f>
        <v>710.31000000000006</v>
      </c>
      <c r="O834" s="223"/>
      <c r="P834" s="210"/>
      <c r="Q834" s="263" t="s">
        <v>2097</v>
      </c>
      <c r="R834" s="263" t="s">
        <v>2100</v>
      </c>
    </row>
    <row r="835" spans="1:18" ht="45" outlineLevel="2">
      <c r="A835" s="14" t="s">
        <v>66</v>
      </c>
      <c r="B835" s="15" t="s">
        <v>941</v>
      </c>
      <c r="C835" s="15" t="s">
        <v>942</v>
      </c>
      <c r="D835" s="14" t="s">
        <v>943</v>
      </c>
      <c r="E835" s="15" t="s">
        <v>369</v>
      </c>
      <c r="F835" s="14" t="s">
        <v>41</v>
      </c>
      <c r="G835" s="15" t="s">
        <v>23</v>
      </c>
      <c r="H835" s="15" t="s">
        <v>1526</v>
      </c>
      <c r="I835" s="15">
        <v>201409</v>
      </c>
      <c r="J835" s="16">
        <v>-49.67</v>
      </c>
      <c r="K835" s="171">
        <f>VLOOKUP(I835,$T$9:$U$23,2)</f>
        <v>9</v>
      </c>
      <c r="L835" s="17">
        <v>2.23333E-3</v>
      </c>
      <c r="M835" s="16">
        <f>ROUND(J835*K835*L835,2)</f>
        <v>-1</v>
      </c>
      <c r="N835" s="16">
        <f>ROUND(J835*L835*12,2)</f>
        <v>-1.33</v>
      </c>
      <c r="O835" s="14"/>
      <c r="P835" s="210" t="str">
        <f>VLOOKUP(C835,'WO Descriptions'!$A$5:$D$345,4)</f>
        <v>Approved by: Ralph Janes on 06/23/2014,  Relocate and retire 120' - 2" pe service line (work order 05-8339) by installing 135' - 2" pe service line to allow the Holden School District to build a new Childhood Development Center.</v>
      </c>
    </row>
    <row r="836" spans="1:18" outlineLevel="1">
      <c r="A836" s="223"/>
      <c r="B836" s="250"/>
      <c r="C836" s="254" t="s">
        <v>2054</v>
      </c>
      <c r="D836" s="223"/>
      <c r="E836" s="250"/>
      <c r="F836" s="223"/>
      <c r="G836" s="250"/>
      <c r="H836" s="250"/>
      <c r="I836" s="250"/>
      <c r="J836" s="251">
        <f>SUBTOTAL(9,J835:J835)</f>
        <v>-49.67</v>
      </c>
      <c r="K836" s="252"/>
      <c r="L836" s="253"/>
      <c r="M836" s="251">
        <f>SUBTOTAL(9,M835:M835)</f>
        <v>-1</v>
      </c>
      <c r="N836" s="251">
        <f>SUBTOTAL(9,N835:N835)</f>
        <v>-1.33</v>
      </c>
      <c r="O836" s="223"/>
      <c r="P836" s="210"/>
      <c r="Q836" s="263" t="s">
        <v>2096</v>
      </c>
    </row>
    <row r="837" spans="1:18" ht="30" outlineLevel="2">
      <c r="A837" s="14" t="s">
        <v>17</v>
      </c>
      <c r="B837" s="15" t="s">
        <v>944</v>
      </c>
      <c r="C837" s="15" t="s">
        <v>945</v>
      </c>
      <c r="D837" s="14" t="s">
        <v>946</v>
      </c>
      <c r="E837" s="15" t="s">
        <v>104</v>
      </c>
      <c r="F837" s="14" t="s">
        <v>41</v>
      </c>
      <c r="G837" s="15" t="s">
        <v>23</v>
      </c>
      <c r="H837" s="15" t="s">
        <v>1526</v>
      </c>
      <c r="I837" s="15">
        <v>201409</v>
      </c>
      <c r="J837" s="16">
        <v>3364.94</v>
      </c>
      <c r="K837" s="171">
        <f>VLOOKUP(I837,$T$9:$U$23,2)</f>
        <v>9</v>
      </c>
      <c r="L837" s="17">
        <v>1.4833299999999999E-3</v>
      </c>
      <c r="M837" s="16">
        <f>ROUND(J837*K837*L837,2)</f>
        <v>44.92</v>
      </c>
      <c r="N837" s="16">
        <f>ROUND(J837*L837*12,2)</f>
        <v>59.9</v>
      </c>
      <c r="O837" s="14"/>
      <c r="P837" s="210" t="str">
        <f>VLOOKUP(C837,'WO Descriptions'!$A$5:$D$345,4)</f>
        <v>Approved by: Ralph Janes on 07/02/2014,  Relocate and abandon 8' - 6" pcs main (work order 132741) by installing 16' - 6" pcs main to allow City to install new strom sewer structure. (ISRS)</v>
      </c>
    </row>
    <row r="838" spans="1:18" ht="30" outlineLevel="2">
      <c r="A838" s="14" t="s">
        <v>17</v>
      </c>
      <c r="B838" s="15" t="s">
        <v>944</v>
      </c>
      <c r="C838" s="15" t="s">
        <v>945</v>
      </c>
      <c r="D838" s="14" t="s">
        <v>946</v>
      </c>
      <c r="E838" s="15" t="s">
        <v>104</v>
      </c>
      <c r="F838" s="14" t="s">
        <v>41</v>
      </c>
      <c r="G838" s="15" t="s">
        <v>23</v>
      </c>
      <c r="H838" s="15" t="s">
        <v>1526</v>
      </c>
      <c r="I838" s="15">
        <v>201410</v>
      </c>
      <c r="J838" s="16">
        <v>904.96</v>
      </c>
      <c r="K838" s="171">
        <f>VLOOKUP(I838,$T$9:$U$23,2)</f>
        <v>8</v>
      </c>
      <c r="L838" s="17">
        <v>1.4833299999999999E-3</v>
      </c>
      <c r="M838" s="16">
        <f>ROUND(J838*K838*L838,2)</f>
        <v>10.74</v>
      </c>
      <c r="N838" s="16">
        <f>ROUND(J838*L838*12,2)</f>
        <v>16.11</v>
      </c>
      <c r="O838" s="14"/>
      <c r="P838" s="210" t="str">
        <f>VLOOKUP(C838,'WO Descriptions'!$A$5:$D$345,4)</f>
        <v>Approved by: Ralph Janes on 07/02/2014,  Relocate and abandon 8' - 6" pcs main (work order 132741) by installing 16' - 6" pcs main to allow City to install new strom sewer structure. (ISRS)</v>
      </c>
    </row>
    <row r="839" spans="1:18" ht="30" outlineLevel="2">
      <c r="A839" s="14" t="s">
        <v>17</v>
      </c>
      <c r="B839" s="15" t="s">
        <v>944</v>
      </c>
      <c r="C839" s="15" t="s">
        <v>945</v>
      </c>
      <c r="D839" s="14" t="s">
        <v>946</v>
      </c>
      <c r="E839" s="15" t="s">
        <v>104</v>
      </c>
      <c r="F839" s="14" t="s">
        <v>41</v>
      </c>
      <c r="G839" s="15" t="s">
        <v>23</v>
      </c>
      <c r="H839" s="15" t="s">
        <v>1526</v>
      </c>
      <c r="I839" s="15">
        <v>201411</v>
      </c>
      <c r="J839" s="16">
        <v>-42.39</v>
      </c>
      <c r="K839" s="171">
        <f>VLOOKUP(I839,$T$9:$U$23,2)</f>
        <v>7</v>
      </c>
      <c r="L839" s="17">
        <v>1.4833299999999999E-3</v>
      </c>
      <c r="M839" s="16">
        <f>ROUND(J839*K839*L839,2)</f>
        <v>-0.44</v>
      </c>
      <c r="N839" s="16">
        <f>ROUND(J839*L839*12,2)</f>
        <v>-0.75</v>
      </c>
      <c r="O839" s="14"/>
      <c r="P839" s="210" t="str">
        <f>VLOOKUP(C839,'WO Descriptions'!$A$5:$D$345,4)</f>
        <v>Approved by: Ralph Janes on 07/02/2014,  Relocate and abandon 8' - 6" pcs main (work order 132741) by installing 16' - 6" pcs main to allow City to install new strom sewer structure. (ISRS)</v>
      </c>
    </row>
    <row r="840" spans="1:18" ht="30" outlineLevel="2">
      <c r="A840" s="14" t="s">
        <v>17</v>
      </c>
      <c r="B840" s="15" t="s">
        <v>944</v>
      </c>
      <c r="C840" s="15" t="s">
        <v>945</v>
      </c>
      <c r="D840" s="14" t="s">
        <v>946</v>
      </c>
      <c r="E840" s="15" t="s">
        <v>104</v>
      </c>
      <c r="F840" s="14" t="s">
        <v>41</v>
      </c>
      <c r="G840" s="15" t="s">
        <v>23</v>
      </c>
      <c r="H840" s="15" t="s">
        <v>1526</v>
      </c>
      <c r="I840" s="15">
        <v>201412</v>
      </c>
      <c r="J840" s="16">
        <v>-69.72</v>
      </c>
      <c r="K840" s="171">
        <f>VLOOKUP(I840,$T$9:$U$23,2)</f>
        <v>6</v>
      </c>
      <c r="L840" s="17">
        <v>1.4833299999999999E-3</v>
      </c>
      <c r="M840" s="16">
        <f>ROUND(J840*K840*L840,2)</f>
        <v>-0.62</v>
      </c>
      <c r="N840" s="16">
        <f>ROUND(J840*L840*12,2)</f>
        <v>-1.24</v>
      </c>
      <c r="O840" s="14"/>
      <c r="P840" s="210" t="str">
        <f>VLOOKUP(C840,'WO Descriptions'!$A$5:$D$345,4)</f>
        <v>Approved by: Ralph Janes on 07/02/2014,  Relocate and abandon 8' - 6" pcs main (work order 132741) by installing 16' - 6" pcs main to allow City to install new strom sewer structure. (ISRS)</v>
      </c>
    </row>
    <row r="841" spans="1:18" outlineLevel="1">
      <c r="A841" s="223"/>
      <c r="B841" s="250"/>
      <c r="C841" s="254" t="s">
        <v>2055</v>
      </c>
      <c r="D841" s="223"/>
      <c r="E841" s="250"/>
      <c r="F841" s="223"/>
      <c r="G841" s="250"/>
      <c r="H841" s="250"/>
      <c r="I841" s="250"/>
      <c r="J841" s="251">
        <f>SUBTOTAL(9,J837:J840)</f>
        <v>4157.7899999999991</v>
      </c>
      <c r="K841" s="252"/>
      <c r="L841" s="253"/>
      <c r="M841" s="251">
        <f>SUBTOTAL(9,M837:M840)</f>
        <v>54.600000000000009</v>
      </c>
      <c r="N841" s="251">
        <f>SUBTOTAL(9,N837:N840)</f>
        <v>74.02</v>
      </c>
      <c r="O841" s="223"/>
      <c r="P841" s="210"/>
      <c r="Q841" s="263" t="s">
        <v>2096</v>
      </c>
    </row>
    <row r="842" spans="1:18" ht="75" outlineLevel="2">
      <c r="A842" s="14" t="s">
        <v>54</v>
      </c>
      <c r="B842" s="15" t="s">
        <v>947</v>
      </c>
      <c r="C842" s="15" t="s">
        <v>948</v>
      </c>
      <c r="D842" s="14" t="s">
        <v>949</v>
      </c>
      <c r="E842" s="15" t="s">
        <v>141</v>
      </c>
      <c r="F842" s="14" t="s">
        <v>142</v>
      </c>
      <c r="G842" s="15" t="s">
        <v>23</v>
      </c>
      <c r="H842" s="15" t="s">
        <v>1525</v>
      </c>
      <c r="I842" s="15">
        <v>201410</v>
      </c>
      <c r="J842" s="16">
        <v>110798.91</v>
      </c>
      <c r="K842" s="171">
        <f>VLOOKUP(I842,$T$9:$U$23,2)</f>
        <v>8</v>
      </c>
      <c r="L842" s="17">
        <v>1.4833299999999999E-3</v>
      </c>
      <c r="M842" s="16">
        <f>ROUND(J842*K842*L842,2)</f>
        <v>1314.81</v>
      </c>
      <c r="N842" s="16">
        <f>ROUND(J842*L842*12,2)</f>
        <v>1972.22</v>
      </c>
      <c r="O842" s="14"/>
      <c r="P842" s="210" t="str">
        <f>VLOOKUP(C842,'WO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3" spans="1:18" ht="75" outlineLevel="2">
      <c r="A843" s="14" t="s">
        <v>54</v>
      </c>
      <c r="B843" s="15" t="s">
        <v>947</v>
      </c>
      <c r="C843" s="15" t="s">
        <v>948</v>
      </c>
      <c r="D843" s="14" t="s">
        <v>949</v>
      </c>
      <c r="E843" s="15" t="s">
        <v>141</v>
      </c>
      <c r="F843" s="14" t="s">
        <v>142</v>
      </c>
      <c r="G843" s="15" t="s">
        <v>23</v>
      </c>
      <c r="H843" s="15" t="s">
        <v>1525</v>
      </c>
      <c r="I843" s="15">
        <v>201411</v>
      </c>
      <c r="J843" s="16">
        <v>88675.88</v>
      </c>
      <c r="K843" s="171">
        <f>VLOOKUP(I843,$T$9:$U$23,2)</f>
        <v>7</v>
      </c>
      <c r="L843" s="17">
        <v>1.4833299999999999E-3</v>
      </c>
      <c r="M843" s="16">
        <f>ROUND(J843*K843*L843,2)</f>
        <v>920.75</v>
      </c>
      <c r="N843" s="16">
        <f>ROUND(J843*L843*12,2)</f>
        <v>1578.43</v>
      </c>
      <c r="O843" s="14"/>
      <c r="P843" s="210" t="str">
        <f>VLOOKUP(C843,'WO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4" spans="1:18" ht="75" outlineLevel="2">
      <c r="A844" s="14" t="s">
        <v>54</v>
      </c>
      <c r="B844" s="15" t="s">
        <v>947</v>
      </c>
      <c r="C844" s="15" t="s">
        <v>948</v>
      </c>
      <c r="D844" s="14" t="s">
        <v>949</v>
      </c>
      <c r="E844" s="15" t="s">
        <v>141</v>
      </c>
      <c r="F844" s="14" t="s">
        <v>142</v>
      </c>
      <c r="G844" s="15" t="s">
        <v>23</v>
      </c>
      <c r="H844" s="15" t="s">
        <v>1525</v>
      </c>
      <c r="I844" s="15">
        <v>201412</v>
      </c>
      <c r="J844" s="16">
        <v>18827.39</v>
      </c>
      <c r="K844" s="171">
        <f>VLOOKUP(I844,$T$9:$U$23,2)</f>
        <v>6</v>
      </c>
      <c r="L844" s="17">
        <v>1.4833299999999999E-3</v>
      </c>
      <c r="M844" s="16">
        <f>ROUND(J844*K844*L844,2)</f>
        <v>167.56</v>
      </c>
      <c r="N844" s="16">
        <f>ROUND(J844*L844*12,2)</f>
        <v>335.13</v>
      </c>
      <c r="O844" s="14"/>
      <c r="P844" s="210" t="str">
        <f>VLOOKUP(C844,'WO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5" spans="1:18" outlineLevel="1">
      <c r="A845" s="223"/>
      <c r="B845" s="250"/>
      <c r="C845" s="254" t="s">
        <v>2056</v>
      </c>
      <c r="D845" s="223"/>
      <c r="E845" s="250"/>
      <c r="F845" s="223"/>
      <c r="G845" s="250"/>
      <c r="H845" s="250"/>
      <c r="I845" s="250"/>
      <c r="J845" s="251">
        <f>SUBTOTAL(9,J842:J844)</f>
        <v>218302.18</v>
      </c>
      <c r="K845" s="252"/>
      <c r="L845" s="253"/>
      <c r="M845" s="251">
        <f>SUBTOTAL(9,M842:M844)</f>
        <v>2403.12</v>
      </c>
      <c r="N845" s="251">
        <f>SUBTOTAL(9,N842:N844)</f>
        <v>3885.78</v>
      </c>
      <c r="O845" s="223"/>
      <c r="P845" s="210"/>
      <c r="Q845" s="263" t="s">
        <v>2097</v>
      </c>
      <c r="R845" s="263" t="s">
        <v>2100</v>
      </c>
    </row>
    <row r="846" spans="1:18" ht="45" outlineLevel="2">
      <c r="A846" s="14" t="s">
        <v>54</v>
      </c>
      <c r="B846" s="15" t="s">
        <v>950</v>
      </c>
      <c r="C846" s="15" t="s">
        <v>951</v>
      </c>
      <c r="D846" s="14" t="s">
        <v>952</v>
      </c>
      <c r="E846" s="15" t="s">
        <v>141</v>
      </c>
      <c r="F846" s="14" t="s">
        <v>142</v>
      </c>
      <c r="G846" s="15" t="s">
        <v>23</v>
      </c>
      <c r="H846" s="15" t="s">
        <v>1525</v>
      </c>
      <c r="I846" s="15">
        <v>201409</v>
      </c>
      <c r="J846" s="16">
        <v>84619.839999999997</v>
      </c>
      <c r="K846" s="171">
        <f>VLOOKUP(I846,$T$9:$U$23,2)</f>
        <v>9</v>
      </c>
      <c r="L846" s="17">
        <v>1.4833299999999999E-3</v>
      </c>
      <c r="M846" s="16">
        <f>ROUND(J846*K846*L846,2)</f>
        <v>1129.67</v>
      </c>
      <c r="N846" s="16">
        <f>ROUND(J846*L846*12,2)</f>
        <v>1506.23</v>
      </c>
      <c r="O846" s="14"/>
      <c r="P846" s="210" t="str">
        <f>VLOOKUP(C846,'WO Descriptions'!$A$5:$D$345,4)</f>
        <v>Approved by: Steve Holcomb on 07/09/2014,  Replace 4'' and 6'' CI main due to graphitization. CI break 12-1018 - 122' NNC of 50th St and 4' EEC of highland. Due 09-28-2014. Pressure System C-001</v>
      </c>
    </row>
    <row r="847" spans="1:18" ht="45" outlineLevel="2">
      <c r="A847" s="14" t="s">
        <v>54</v>
      </c>
      <c r="B847" s="15" t="s">
        <v>950</v>
      </c>
      <c r="C847" s="15" t="s">
        <v>951</v>
      </c>
      <c r="D847" s="14" t="s">
        <v>952</v>
      </c>
      <c r="E847" s="15" t="s">
        <v>141</v>
      </c>
      <c r="F847" s="14" t="s">
        <v>142</v>
      </c>
      <c r="G847" s="15" t="s">
        <v>23</v>
      </c>
      <c r="H847" s="15" t="s">
        <v>1525</v>
      </c>
      <c r="I847" s="15">
        <v>201410</v>
      </c>
      <c r="J847" s="16">
        <v>15389.95</v>
      </c>
      <c r="K847" s="171">
        <f>VLOOKUP(I847,$T$9:$U$23,2)</f>
        <v>8</v>
      </c>
      <c r="L847" s="17">
        <v>1.4833299999999999E-3</v>
      </c>
      <c r="M847" s="16">
        <f>ROUND(J847*K847*L847,2)</f>
        <v>182.63</v>
      </c>
      <c r="N847" s="16">
        <f>ROUND(J847*L847*12,2)</f>
        <v>273.94</v>
      </c>
      <c r="O847" s="14"/>
      <c r="P847" s="210" t="str">
        <f>VLOOKUP(C847,'WO Descriptions'!$A$5:$D$345,4)</f>
        <v>Approved by: Steve Holcomb on 07/09/2014,  Replace 4'' and 6'' CI main due to graphitization. CI break 12-1018 - 122' NNC of 50th St and 4' EEC of highland. Due 09-28-2014. Pressure System C-001</v>
      </c>
    </row>
    <row r="848" spans="1:18" ht="45" outlineLevel="2">
      <c r="A848" s="14" t="s">
        <v>54</v>
      </c>
      <c r="B848" s="15" t="s">
        <v>950</v>
      </c>
      <c r="C848" s="15" t="s">
        <v>951</v>
      </c>
      <c r="D848" s="14" t="s">
        <v>952</v>
      </c>
      <c r="E848" s="15" t="s">
        <v>141</v>
      </c>
      <c r="F848" s="14" t="s">
        <v>142</v>
      </c>
      <c r="G848" s="15" t="s">
        <v>23</v>
      </c>
      <c r="H848" s="15" t="s">
        <v>1525</v>
      </c>
      <c r="I848" s="15">
        <v>201411</v>
      </c>
      <c r="J848" s="16">
        <v>11910.35</v>
      </c>
      <c r="K848" s="171">
        <f>VLOOKUP(I848,$T$9:$U$23,2)</f>
        <v>7</v>
      </c>
      <c r="L848" s="17">
        <v>1.4833299999999999E-3</v>
      </c>
      <c r="M848" s="16">
        <f>ROUND(J848*K848*L848,2)</f>
        <v>123.67</v>
      </c>
      <c r="N848" s="16">
        <f>ROUND(J848*L848*12,2)</f>
        <v>212</v>
      </c>
      <c r="O848" s="14"/>
      <c r="P848" s="210" t="str">
        <f>VLOOKUP(C848,'WO Descriptions'!$A$5:$D$345,4)</f>
        <v>Approved by: Steve Holcomb on 07/09/2014,  Replace 4'' and 6'' CI main due to graphitization. CI break 12-1018 - 122' NNC of 50th St and 4' EEC of highland. Due 09-28-2014. Pressure System C-001</v>
      </c>
    </row>
    <row r="849" spans="1:18" ht="45" outlineLevel="2">
      <c r="A849" s="14" t="s">
        <v>54</v>
      </c>
      <c r="B849" s="15" t="s">
        <v>950</v>
      </c>
      <c r="C849" s="15" t="s">
        <v>951</v>
      </c>
      <c r="D849" s="14" t="s">
        <v>952</v>
      </c>
      <c r="E849" s="15" t="s">
        <v>141</v>
      </c>
      <c r="F849" s="14" t="s">
        <v>142</v>
      </c>
      <c r="G849" s="15" t="s">
        <v>23</v>
      </c>
      <c r="H849" s="15" t="s">
        <v>1525</v>
      </c>
      <c r="I849" s="15">
        <v>201412</v>
      </c>
      <c r="J849" s="16">
        <v>-2384.0100000000002</v>
      </c>
      <c r="K849" s="171">
        <f>VLOOKUP(I849,$T$9:$U$23,2)</f>
        <v>6</v>
      </c>
      <c r="L849" s="17">
        <v>1.4833299999999999E-3</v>
      </c>
      <c r="M849" s="16">
        <f>ROUND(J849*K849*L849,2)</f>
        <v>-21.22</v>
      </c>
      <c r="N849" s="16">
        <f>ROUND(J849*L849*12,2)</f>
        <v>-42.44</v>
      </c>
      <c r="O849" s="14"/>
      <c r="P849" s="210" t="str">
        <f>VLOOKUP(C849,'WO Descriptions'!$A$5:$D$345,4)</f>
        <v>Approved by: Steve Holcomb on 07/09/2014,  Replace 4'' and 6'' CI main due to graphitization. CI break 12-1018 - 122' NNC of 50th St and 4' EEC of highland. Due 09-28-2014. Pressure System C-001</v>
      </c>
    </row>
    <row r="850" spans="1:18" outlineLevel="1">
      <c r="A850" s="223"/>
      <c r="B850" s="250"/>
      <c r="C850" s="254" t="s">
        <v>2057</v>
      </c>
      <c r="D850" s="223"/>
      <c r="E850" s="250"/>
      <c r="F850" s="223"/>
      <c r="G850" s="250"/>
      <c r="H850" s="250"/>
      <c r="I850" s="250"/>
      <c r="J850" s="251">
        <f>SUBTOTAL(9,J846:J849)</f>
        <v>109536.13</v>
      </c>
      <c r="K850" s="252"/>
      <c r="L850" s="253"/>
      <c r="M850" s="251">
        <f>SUBTOTAL(9,M846:M849)</f>
        <v>1414.7500000000002</v>
      </c>
      <c r="N850" s="251">
        <f>SUBTOTAL(9,N846:N849)</f>
        <v>1949.73</v>
      </c>
      <c r="O850" s="223"/>
      <c r="P850" s="210"/>
      <c r="Q850" s="263" t="s">
        <v>2097</v>
      </c>
      <c r="R850" s="263" t="s">
        <v>2100</v>
      </c>
    </row>
    <row r="851" spans="1:18" ht="45" outlineLevel="2">
      <c r="A851" s="14" t="s">
        <v>17</v>
      </c>
      <c r="B851" s="15" t="s">
        <v>953</v>
      </c>
      <c r="C851" s="15" t="s">
        <v>954</v>
      </c>
      <c r="D851" s="14" t="s">
        <v>955</v>
      </c>
      <c r="E851" s="15" t="s">
        <v>40</v>
      </c>
      <c r="F851" s="14" t="s">
        <v>41</v>
      </c>
      <c r="G851" s="15" t="s">
        <v>23</v>
      </c>
      <c r="H851" s="15" t="s">
        <v>1526</v>
      </c>
      <c r="I851" s="15">
        <v>201409</v>
      </c>
      <c r="J851" s="16">
        <v>-925.65</v>
      </c>
      <c r="K851" s="171">
        <f>VLOOKUP(I851,$T$9:$U$23,2)</f>
        <v>9</v>
      </c>
      <c r="L851" s="17">
        <v>1.4833299999999999E-3</v>
      </c>
      <c r="M851" s="16">
        <f>ROUND(J851*K851*L851,2)</f>
        <v>-12.36</v>
      </c>
      <c r="N851" s="16">
        <f>ROUND(J851*L851*12,2)</f>
        <v>-16.48</v>
      </c>
      <c r="O851" s="14"/>
      <c r="P851" s="210" t="str">
        <f>VLOOKUP(C851,'WO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2" spans="1:18" ht="45" outlineLevel="2">
      <c r="A852" s="14" t="s">
        <v>17</v>
      </c>
      <c r="B852" s="15" t="s">
        <v>953</v>
      </c>
      <c r="C852" s="15" t="s">
        <v>954</v>
      </c>
      <c r="D852" s="14" t="s">
        <v>955</v>
      </c>
      <c r="E852" s="15" t="s">
        <v>40</v>
      </c>
      <c r="F852" s="14" t="s">
        <v>41</v>
      </c>
      <c r="G852" s="15" t="s">
        <v>23</v>
      </c>
      <c r="H852" s="15" t="s">
        <v>1526</v>
      </c>
      <c r="I852" s="15">
        <v>201411</v>
      </c>
      <c r="J852" s="16">
        <v>0</v>
      </c>
      <c r="K852" s="171">
        <f>VLOOKUP(I852,$T$9:$U$23,2)</f>
        <v>7</v>
      </c>
      <c r="L852" s="17">
        <v>1.4833299999999999E-3</v>
      </c>
      <c r="M852" s="16">
        <f>ROUND(J852*K852*L852,2)</f>
        <v>0</v>
      </c>
      <c r="N852" s="16">
        <f>ROUND(J852*L852*12,2)</f>
        <v>0</v>
      </c>
      <c r="O852" s="14"/>
      <c r="P852" s="210" t="str">
        <f>VLOOKUP(C852,'WO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3" spans="1:18" ht="45" outlineLevel="2">
      <c r="A853" s="14" t="s">
        <v>17</v>
      </c>
      <c r="B853" s="15" t="s">
        <v>953</v>
      </c>
      <c r="C853" s="15" t="s">
        <v>954</v>
      </c>
      <c r="D853" s="14" t="s">
        <v>955</v>
      </c>
      <c r="E853" s="15" t="s">
        <v>40</v>
      </c>
      <c r="F853" s="14" t="s">
        <v>41</v>
      </c>
      <c r="G853" s="15" t="s">
        <v>23</v>
      </c>
      <c r="H853" s="15" t="s">
        <v>1526</v>
      </c>
      <c r="I853" s="15">
        <v>201412</v>
      </c>
      <c r="J853" s="16">
        <v>73.510000000000005</v>
      </c>
      <c r="K853" s="171">
        <f>VLOOKUP(I853,$T$9:$U$23,2)</f>
        <v>6</v>
      </c>
      <c r="L853" s="17">
        <v>1.4833299999999999E-3</v>
      </c>
      <c r="M853" s="16">
        <f>ROUND(J853*K853*L853,2)</f>
        <v>0.65</v>
      </c>
      <c r="N853" s="16">
        <f>ROUND(J853*L853*12,2)</f>
        <v>1.31</v>
      </c>
      <c r="O853" s="14"/>
      <c r="P853" s="210" t="str">
        <f>VLOOKUP(C853,'WO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4" spans="1:18" outlineLevel="1">
      <c r="A854" s="223"/>
      <c r="B854" s="250"/>
      <c r="C854" s="254" t="s">
        <v>2058</v>
      </c>
      <c r="D854" s="223"/>
      <c r="E854" s="250"/>
      <c r="F854" s="223"/>
      <c r="G854" s="250"/>
      <c r="H854" s="250"/>
      <c r="I854" s="250"/>
      <c r="J854" s="251">
        <f>SUBTOTAL(9,J851:J853)</f>
        <v>-852.14</v>
      </c>
      <c r="K854" s="252"/>
      <c r="L854" s="253"/>
      <c r="M854" s="251">
        <f>SUBTOTAL(9,M851:M853)</f>
        <v>-11.709999999999999</v>
      </c>
      <c r="N854" s="251">
        <f>SUBTOTAL(9,N851:N853)</f>
        <v>-15.17</v>
      </c>
      <c r="O854" s="223"/>
      <c r="P854" s="210"/>
      <c r="Q854" s="263" t="s">
        <v>2096</v>
      </c>
    </row>
    <row r="855" spans="1:18" ht="30" outlineLevel="2">
      <c r="A855" s="14" t="s">
        <v>17</v>
      </c>
      <c r="B855" s="15" t="s">
        <v>956</v>
      </c>
      <c r="C855" s="15" t="s">
        <v>957</v>
      </c>
      <c r="D855" s="14" t="s">
        <v>958</v>
      </c>
      <c r="E855" s="15" t="s">
        <v>40</v>
      </c>
      <c r="F855" s="14" t="s">
        <v>41</v>
      </c>
      <c r="G855" s="15" t="s">
        <v>23</v>
      </c>
      <c r="H855" s="15" t="s">
        <v>1526</v>
      </c>
      <c r="I855" s="15">
        <v>201409</v>
      </c>
      <c r="J855" s="16">
        <v>2817.01</v>
      </c>
      <c r="K855" s="171">
        <f>VLOOKUP(I855,$T$9:$U$23,2)</f>
        <v>9</v>
      </c>
      <c r="L855" s="17">
        <v>1.4833299999999999E-3</v>
      </c>
      <c r="M855" s="16">
        <f>ROUND(J855*K855*L855,2)</f>
        <v>37.61</v>
      </c>
      <c r="N855" s="16">
        <f>ROUND(J855*L855*12,2)</f>
        <v>50.14</v>
      </c>
      <c r="O855" s="14"/>
      <c r="P855" s="210" t="str">
        <f>VLOOKUP(C855,'WO Descriptions'!$A$5:$D$345,4)</f>
        <v>Approved by: Kevin Driskell on 07/11/2014,  ISRS Relocate main for public improvement project. Pressure System C-006. Coordinate with Engineering prior to construction.</v>
      </c>
    </row>
    <row r="856" spans="1:18" ht="30" outlineLevel="2">
      <c r="A856" s="14" t="s">
        <v>17</v>
      </c>
      <c r="B856" s="15" t="s">
        <v>956</v>
      </c>
      <c r="C856" s="15" t="s">
        <v>957</v>
      </c>
      <c r="D856" s="14" t="s">
        <v>958</v>
      </c>
      <c r="E856" s="15" t="s">
        <v>40</v>
      </c>
      <c r="F856" s="14" t="s">
        <v>41</v>
      </c>
      <c r="G856" s="15" t="s">
        <v>23</v>
      </c>
      <c r="H856" s="15" t="s">
        <v>1526</v>
      </c>
      <c r="I856" s="15">
        <v>201410</v>
      </c>
      <c r="J856" s="16">
        <v>977.06</v>
      </c>
      <c r="K856" s="171">
        <f>VLOOKUP(I856,$T$9:$U$23,2)</f>
        <v>8</v>
      </c>
      <c r="L856" s="17">
        <v>1.4833299999999999E-3</v>
      </c>
      <c r="M856" s="16">
        <f>ROUND(J856*K856*L856,2)</f>
        <v>11.59</v>
      </c>
      <c r="N856" s="16">
        <f>ROUND(J856*L856*12,2)</f>
        <v>17.39</v>
      </c>
      <c r="O856" s="14"/>
      <c r="P856" s="210" t="str">
        <f>VLOOKUP(C856,'WO Descriptions'!$A$5:$D$345,4)</f>
        <v>Approved by: Kevin Driskell on 07/11/2014,  ISRS Relocate main for public improvement project. Pressure System C-006. Coordinate with Engineering prior to construction.</v>
      </c>
    </row>
    <row r="857" spans="1:18" ht="30" outlineLevel="2">
      <c r="A857" s="14" t="s">
        <v>17</v>
      </c>
      <c r="B857" s="15" t="s">
        <v>956</v>
      </c>
      <c r="C857" s="15" t="s">
        <v>957</v>
      </c>
      <c r="D857" s="14" t="s">
        <v>958</v>
      </c>
      <c r="E857" s="15" t="s">
        <v>40</v>
      </c>
      <c r="F857" s="14" t="s">
        <v>41</v>
      </c>
      <c r="G857" s="15" t="s">
        <v>23</v>
      </c>
      <c r="H857" s="15" t="s">
        <v>1526</v>
      </c>
      <c r="I857" s="15">
        <v>201411</v>
      </c>
      <c r="J857" s="16">
        <v>-45.74</v>
      </c>
      <c r="K857" s="171">
        <f>VLOOKUP(I857,$T$9:$U$23,2)</f>
        <v>7</v>
      </c>
      <c r="L857" s="17">
        <v>1.4833299999999999E-3</v>
      </c>
      <c r="M857" s="16">
        <f>ROUND(J857*K857*L857,2)</f>
        <v>-0.47</v>
      </c>
      <c r="N857" s="16">
        <f>ROUND(J857*L857*12,2)</f>
        <v>-0.81</v>
      </c>
      <c r="O857" s="14"/>
      <c r="P857" s="210" t="str">
        <f>VLOOKUP(C857,'WO Descriptions'!$A$5:$D$345,4)</f>
        <v>Approved by: Kevin Driskell on 07/11/2014,  ISRS Relocate main for public improvement project. Pressure System C-006. Coordinate with Engineering prior to construction.</v>
      </c>
    </row>
    <row r="858" spans="1:18" ht="30" outlineLevel="2">
      <c r="A858" s="14" t="s">
        <v>17</v>
      </c>
      <c r="B858" s="15" t="s">
        <v>956</v>
      </c>
      <c r="C858" s="15" t="s">
        <v>957</v>
      </c>
      <c r="D858" s="14" t="s">
        <v>958</v>
      </c>
      <c r="E858" s="15" t="s">
        <v>40</v>
      </c>
      <c r="F858" s="14" t="s">
        <v>41</v>
      </c>
      <c r="G858" s="15" t="s">
        <v>23</v>
      </c>
      <c r="H858" s="15" t="s">
        <v>1526</v>
      </c>
      <c r="I858" s="15">
        <v>201412</v>
      </c>
      <c r="J858" s="16">
        <v>-75.260000000000005</v>
      </c>
      <c r="K858" s="171">
        <f>VLOOKUP(I858,$T$9:$U$23,2)</f>
        <v>6</v>
      </c>
      <c r="L858" s="17">
        <v>1.4833299999999999E-3</v>
      </c>
      <c r="M858" s="16">
        <f>ROUND(J858*K858*L858,2)</f>
        <v>-0.67</v>
      </c>
      <c r="N858" s="16">
        <f>ROUND(J858*L858*12,2)</f>
        <v>-1.34</v>
      </c>
      <c r="O858" s="14"/>
      <c r="P858" s="210" t="str">
        <f>VLOOKUP(C858,'WO Descriptions'!$A$5:$D$345,4)</f>
        <v>Approved by: Kevin Driskell on 07/11/2014,  ISRS Relocate main for public improvement project. Pressure System C-006. Coordinate with Engineering prior to construction.</v>
      </c>
    </row>
    <row r="859" spans="1:18" outlineLevel="1">
      <c r="A859" s="223"/>
      <c r="B859" s="250"/>
      <c r="C859" s="254" t="s">
        <v>2059</v>
      </c>
      <c r="D859" s="223"/>
      <c r="E859" s="250"/>
      <c r="F859" s="223"/>
      <c r="G859" s="250"/>
      <c r="H859" s="250"/>
      <c r="I859" s="250"/>
      <c r="J859" s="251">
        <f>SUBTOTAL(9,J855:J858)</f>
        <v>3673.07</v>
      </c>
      <c r="K859" s="252"/>
      <c r="L859" s="253"/>
      <c r="M859" s="251">
        <f>SUBTOTAL(9,M855:M858)</f>
        <v>48.06</v>
      </c>
      <c r="N859" s="251">
        <f>SUBTOTAL(9,N855:N858)</f>
        <v>65.38</v>
      </c>
      <c r="O859" s="223"/>
      <c r="P859" s="210"/>
      <c r="Q859" s="263" t="s">
        <v>2096</v>
      </c>
    </row>
    <row r="860" spans="1:18" ht="60" outlineLevel="2">
      <c r="A860" s="14" t="s">
        <v>17</v>
      </c>
      <c r="B860" s="15" t="s">
        <v>959</v>
      </c>
      <c r="C860" s="15" t="s">
        <v>960</v>
      </c>
      <c r="D860" s="14" t="s">
        <v>961</v>
      </c>
      <c r="E860" s="15" t="s">
        <v>40</v>
      </c>
      <c r="F860" s="14" t="s">
        <v>41</v>
      </c>
      <c r="G860" s="15" t="s">
        <v>23</v>
      </c>
      <c r="H860" s="15" t="s">
        <v>1526</v>
      </c>
      <c r="I860" s="15">
        <v>201409</v>
      </c>
      <c r="J860" s="16">
        <v>94.14</v>
      </c>
      <c r="K860" s="171">
        <f>VLOOKUP(I860,$T$9:$U$23,2)</f>
        <v>9</v>
      </c>
      <c r="L860" s="17">
        <v>1.4833299999999999E-3</v>
      </c>
      <c r="M860" s="16">
        <f>ROUND(J860*K860*L860,2)</f>
        <v>1.26</v>
      </c>
      <c r="N860" s="16">
        <f>ROUND(J860*L860*12,2)</f>
        <v>1.68</v>
      </c>
      <c r="O860" s="14"/>
      <c r="P860" s="210" t="str">
        <f>VLOOKUP(C860,'WO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861" spans="1:18" ht="60" outlineLevel="2">
      <c r="A861" s="14" t="s">
        <v>17</v>
      </c>
      <c r="B861" s="15" t="s">
        <v>959</v>
      </c>
      <c r="C861" s="15" t="s">
        <v>960</v>
      </c>
      <c r="D861" s="14" t="s">
        <v>961</v>
      </c>
      <c r="E861" s="15" t="s">
        <v>40</v>
      </c>
      <c r="F861" s="14" t="s">
        <v>41</v>
      </c>
      <c r="G861" s="15" t="s">
        <v>23</v>
      </c>
      <c r="H861" s="15" t="s">
        <v>1526</v>
      </c>
      <c r="I861" s="15">
        <v>201410</v>
      </c>
      <c r="J861" s="16">
        <v>-0.49</v>
      </c>
      <c r="K861" s="171">
        <f>VLOOKUP(I861,$T$9:$U$23,2)</f>
        <v>8</v>
      </c>
      <c r="L861" s="17">
        <v>1.4833299999999999E-3</v>
      </c>
      <c r="M861" s="16">
        <f>ROUND(J861*K861*L861,2)</f>
        <v>-0.01</v>
      </c>
      <c r="N861" s="16">
        <f>ROUND(J861*L861*12,2)</f>
        <v>-0.01</v>
      </c>
      <c r="O861" s="14"/>
      <c r="P861" s="210" t="str">
        <f>VLOOKUP(C861,'WO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862" spans="1:18" outlineLevel="1">
      <c r="A862" s="223"/>
      <c r="B862" s="250"/>
      <c r="C862" s="254" t="s">
        <v>2060</v>
      </c>
      <c r="D862" s="223"/>
      <c r="E862" s="250"/>
      <c r="F862" s="223"/>
      <c r="G862" s="250"/>
      <c r="H862" s="250"/>
      <c r="I862" s="250"/>
      <c r="J862" s="251">
        <f>SUBTOTAL(9,J860:J861)</f>
        <v>93.65</v>
      </c>
      <c r="K862" s="252"/>
      <c r="L862" s="253"/>
      <c r="M862" s="251">
        <f>SUBTOTAL(9,M860:M861)</f>
        <v>1.25</v>
      </c>
      <c r="N862" s="251">
        <f>SUBTOTAL(9,N860:N861)</f>
        <v>1.67</v>
      </c>
      <c r="O862" s="223"/>
      <c r="P862" s="210"/>
      <c r="Q862" s="263" t="s">
        <v>2096</v>
      </c>
    </row>
    <row r="863" spans="1:18" ht="90" outlineLevel="2">
      <c r="A863" s="14" t="s">
        <v>54</v>
      </c>
      <c r="B863" s="15" t="s">
        <v>962</v>
      </c>
      <c r="C863" s="15" t="s">
        <v>963</v>
      </c>
      <c r="D863" s="14" t="s">
        <v>964</v>
      </c>
      <c r="E863" s="15" t="s">
        <v>40</v>
      </c>
      <c r="F863" s="14" t="s">
        <v>41</v>
      </c>
      <c r="G863" s="15" t="s">
        <v>23</v>
      </c>
      <c r="H863" s="15" t="s">
        <v>1526</v>
      </c>
      <c r="I863" s="15">
        <v>201409</v>
      </c>
      <c r="J863" s="16">
        <v>77244.5</v>
      </c>
      <c r="K863" s="171">
        <f>VLOOKUP(I863,$T$9:$U$23,2)</f>
        <v>9</v>
      </c>
      <c r="L863" s="17">
        <v>1.4833299999999999E-3</v>
      </c>
      <c r="M863" s="16">
        <f>ROUND(J863*K863*L863,2)</f>
        <v>1031.21</v>
      </c>
      <c r="N863" s="16">
        <f>ROUND(J863*L863*12,2)</f>
        <v>1374.95</v>
      </c>
      <c r="O863" s="14"/>
      <c r="P863" s="210" t="str">
        <f>VLOOKUP(C863,'WO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4" spans="1:18" ht="90" outlineLevel="2">
      <c r="A864" s="14" t="s">
        <v>54</v>
      </c>
      <c r="B864" s="15" t="s">
        <v>962</v>
      </c>
      <c r="C864" s="15" t="s">
        <v>963</v>
      </c>
      <c r="D864" s="14" t="s">
        <v>964</v>
      </c>
      <c r="E864" s="15" t="s">
        <v>40</v>
      </c>
      <c r="F864" s="14" t="s">
        <v>41</v>
      </c>
      <c r="G864" s="15" t="s">
        <v>23</v>
      </c>
      <c r="H864" s="15" t="s">
        <v>1526</v>
      </c>
      <c r="I864" s="15">
        <v>201410</v>
      </c>
      <c r="J864" s="16">
        <v>190.86</v>
      </c>
      <c r="K864" s="171">
        <f>VLOOKUP(I864,$T$9:$U$23,2)</f>
        <v>8</v>
      </c>
      <c r="L864" s="17">
        <v>1.4833299999999999E-3</v>
      </c>
      <c r="M864" s="16">
        <f>ROUND(J864*K864*L864,2)</f>
        <v>2.2599999999999998</v>
      </c>
      <c r="N864" s="16">
        <f>ROUND(J864*L864*12,2)</f>
        <v>3.4</v>
      </c>
      <c r="O864" s="14"/>
      <c r="P864" s="210" t="str">
        <f>VLOOKUP(C864,'WO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5" spans="1:18" ht="90" outlineLevel="2">
      <c r="A865" s="14" t="s">
        <v>54</v>
      </c>
      <c r="B865" s="15" t="s">
        <v>962</v>
      </c>
      <c r="C865" s="15" t="s">
        <v>963</v>
      </c>
      <c r="D865" s="14" t="s">
        <v>964</v>
      </c>
      <c r="E865" s="15" t="s">
        <v>40</v>
      </c>
      <c r="F865" s="14" t="s">
        <v>41</v>
      </c>
      <c r="G865" s="15" t="s">
        <v>23</v>
      </c>
      <c r="H865" s="15" t="s">
        <v>1526</v>
      </c>
      <c r="I865" s="15">
        <v>201411</v>
      </c>
      <c r="J865" s="16">
        <v>1379.28</v>
      </c>
      <c r="K865" s="171">
        <f>VLOOKUP(I865,$T$9:$U$23,2)</f>
        <v>7</v>
      </c>
      <c r="L865" s="17">
        <v>1.4833299999999999E-3</v>
      </c>
      <c r="M865" s="16">
        <f>ROUND(J865*K865*L865,2)</f>
        <v>14.32</v>
      </c>
      <c r="N865" s="16">
        <f>ROUND(J865*L865*12,2)</f>
        <v>24.55</v>
      </c>
      <c r="O865" s="14"/>
      <c r="P865" s="210" t="str">
        <f>VLOOKUP(C865,'WO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6" spans="1:18" ht="90" outlineLevel="2">
      <c r="A866" s="14" t="s">
        <v>54</v>
      </c>
      <c r="B866" s="15" t="s">
        <v>962</v>
      </c>
      <c r="C866" s="15" t="s">
        <v>963</v>
      </c>
      <c r="D866" s="14" t="s">
        <v>964</v>
      </c>
      <c r="E866" s="15" t="s">
        <v>40</v>
      </c>
      <c r="F866" s="14" t="s">
        <v>41</v>
      </c>
      <c r="G866" s="15" t="s">
        <v>23</v>
      </c>
      <c r="H866" s="15" t="s">
        <v>1526</v>
      </c>
      <c r="I866" s="15">
        <v>201412</v>
      </c>
      <c r="J866" s="16">
        <v>-145.08000000000001</v>
      </c>
      <c r="K866" s="171">
        <f>VLOOKUP(I866,$T$9:$U$23,2)</f>
        <v>6</v>
      </c>
      <c r="L866" s="17">
        <v>1.4833299999999999E-3</v>
      </c>
      <c r="M866" s="16">
        <f>ROUND(J866*K866*L866,2)</f>
        <v>-1.29</v>
      </c>
      <c r="N866" s="16">
        <f>ROUND(J866*L866*12,2)</f>
        <v>-2.58</v>
      </c>
      <c r="O866" s="14"/>
      <c r="P866" s="210" t="str">
        <f>VLOOKUP(C866,'WO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7" spans="1:18" outlineLevel="1">
      <c r="A867" s="223"/>
      <c r="B867" s="250"/>
      <c r="C867" s="254" t="s">
        <v>2061</v>
      </c>
      <c r="D867" s="223"/>
      <c r="E867" s="250"/>
      <c r="F867" s="223"/>
      <c r="G867" s="250"/>
      <c r="H867" s="250"/>
      <c r="I867" s="250"/>
      <c r="J867" s="251">
        <f>SUBTOTAL(9,J863:J866)</f>
        <v>78669.56</v>
      </c>
      <c r="K867" s="252"/>
      <c r="L867" s="253"/>
      <c r="M867" s="251">
        <f>SUBTOTAL(9,M863:M866)</f>
        <v>1046.5</v>
      </c>
      <c r="N867" s="251">
        <f>SUBTOTAL(9,N863:N866)</f>
        <v>1400.3200000000002</v>
      </c>
      <c r="O867" s="223"/>
      <c r="P867" s="210"/>
      <c r="Q867" s="263" t="s">
        <v>2096</v>
      </c>
    </row>
    <row r="868" spans="1:18" ht="105" outlineLevel="2">
      <c r="A868" s="14" t="s">
        <v>54</v>
      </c>
      <c r="B868" s="15" t="s">
        <v>965</v>
      </c>
      <c r="C868" s="15" t="s">
        <v>966</v>
      </c>
      <c r="D868" s="14" t="s">
        <v>967</v>
      </c>
      <c r="E868" s="15" t="s">
        <v>53</v>
      </c>
      <c r="F868" s="14" t="s">
        <v>41</v>
      </c>
      <c r="G868" s="15" t="s">
        <v>23</v>
      </c>
      <c r="H868" s="15" t="s">
        <v>1526</v>
      </c>
      <c r="I868" s="15">
        <v>201409</v>
      </c>
      <c r="J868" s="16">
        <v>8672.4699999999993</v>
      </c>
      <c r="K868" s="171">
        <f>VLOOKUP(I868,$T$9:$U$23,2)</f>
        <v>9</v>
      </c>
      <c r="L868" s="17">
        <v>1.4833299999999999E-3</v>
      </c>
      <c r="M868" s="16">
        <f>ROUND(J868*K868*L868,2)</f>
        <v>115.78</v>
      </c>
      <c r="N868" s="16">
        <f>ROUND(J868*L868*12,2)</f>
        <v>154.37</v>
      </c>
      <c r="O868" s="14"/>
      <c r="P868" s="210" t="str">
        <f>VLOOKUP(C868,'WO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69" spans="1:18" ht="105" outlineLevel="2">
      <c r="A869" s="14" t="s">
        <v>54</v>
      </c>
      <c r="B869" s="15" t="s">
        <v>965</v>
      </c>
      <c r="C869" s="15" t="s">
        <v>966</v>
      </c>
      <c r="D869" s="14" t="s">
        <v>967</v>
      </c>
      <c r="E869" s="15" t="s">
        <v>53</v>
      </c>
      <c r="F869" s="14" t="s">
        <v>41</v>
      </c>
      <c r="G869" s="15" t="s">
        <v>23</v>
      </c>
      <c r="H869" s="15" t="s">
        <v>1526</v>
      </c>
      <c r="I869" s="15">
        <v>201410</v>
      </c>
      <c r="J869" s="16">
        <v>-9961.83</v>
      </c>
      <c r="K869" s="171">
        <f>VLOOKUP(I869,$T$9:$U$23,2)</f>
        <v>8</v>
      </c>
      <c r="L869" s="17">
        <v>1.4833299999999999E-3</v>
      </c>
      <c r="M869" s="16">
        <f>ROUND(J869*K869*L869,2)</f>
        <v>-118.21</v>
      </c>
      <c r="N869" s="16">
        <f>ROUND(J869*L869*12,2)</f>
        <v>-177.32</v>
      </c>
      <c r="O869" s="14"/>
      <c r="P869" s="210" t="str">
        <f>VLOOKUP(C869,'WO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0" spans="1:18" ht="105" outlineLevel="2">
      <c r="A870" s="14" t="s">
        <v>54</v>
      </c>
      <c r="B870" s="15" t="s">
        <v>965</v>
      </c>
      <c r="C870" s="15" t="s">
        <v>966</v>
      </c>
      <c r="D870" s="14" t="s">
        <v>967</v>
      </c>
      <c r="E870" s="15" t="s">
        <v>53</v>
      </c>
      <c r="F870" s="14" t="s">
        <v>41</v>
      </c>
      <c r="G870" s="15" t="s">
        <v>23</v>
      </c>
      <c r="H870" s="15" t="s">
        <v>1526</v>
      </c>
      <c r="I870" s="15">
        <v>201411</v>
      </c>
      <c r="J870" s="16">
        <v>-10648.99</v>
      </c>
      <c r="K870" s="171">
        <f>VLOOKUP(I870,$T$9:$U$23,2)</f>
        <v>7</v>
      </c>
      <c r="L870" s="17">
        <v>1.4833299999999999E-3</v>
      </c>
      <c r="M870" s="16">
        <f>ROUND(J870*K870*L870,2)</f>
        <v>-110.57</v>
      </c>
      <c r="N870" s="16">
        <f>ROUND(J870*L870*12,2)</f>
        <v>-189.55</v>
      </c>
      <c r="O870" s="14"/>
      <c r="P870" s="210" t="str">
        <f>VLOOKUP(C870,'WO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1" spans="1:18" ht="105" outlineLevel="2">
      <c r="A871" s="14" t="s">
        <v>54</v>
      </c>
      <c r="B871" s="15" t="s">
        <v>965</v>
      </c>
      <c r="C871" s="15" t="s">
        <v>966</v>
      </c>
      <c r="D871" s="14" t="s">
        <v>967</v>
      </c>
      <c r="E871" s="15" t="s">
        <v>53</v>
      </c>
      <c r="F871" s="14" t="s">
        <v>41</v>
      </c>
      <c r="G871" s="15" t="s">
        <v>23</v>
      </c>
      <c r="H871" s="15" t="s">
        <v>1526</v>
      </c>
      <c r="I871" s="15">
        <v>201412</v>
      </c>
      <c r="J871" s="16">
        <v>1538.04</v>
      </c>
      <c r="K871" s="171">
        <f>VLOOKUP(I871,$T$9:$U$23,2)</f>
        <v>6</v>
      </c>
      <c r="L871" s="17">
        <v>1.4833299999999999E-3</v>
      </c>
      <c r="M871" s="16">
        <f>ROUND(J871*K871*L871,2)</f>
        <v>13.69</v>
      </c>
      <c r="N871" s="16">
        <f>ROUND(J871*L871*12,2)</f>
        <v>27.38</v>
      </c>
      <c r="O871" s="14"/>
      <c r="P871" s="210" t="str">
        <f>VLOOKUP(C871,'WO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2" spans="1:18" outlineLevel="1">
      <c r="A872" s="223"/>
      <c r="B872" s="250"/>
      <c r="C872" s="254" t="s">
        <v>2062</v>
      </c>
      <c r="D872" s="223"/>
      <c r="E872" s="250"/>
      <c r="F872" s="223"/>
      <c r="G872" s="250"/>
      <c r="H872" s="250"/>
      <c r="I872" s="250"/>
      <c r="J872" s="251">
        <f>SUBTOTAL(9,J868:J871)</f>
        <v>-10400.310000000001</v>
      </c>
      <c r="K872" s="252"/>
      <c r="L872" s="253"/>
      <c r="M872" s="251">
        <f>SUBTOTAL(9,M868:M871)</f>
        <v>-99.309999999999988</v>
      </c>
      <c r="N872" s="251">
        <f>SUBTOTAL(9,N868:N871)</f>
        <v>-185.12</v>
      </c>
      <c r="O872" s="223"/>
      <c r="P872" s="210"/>
      <c r="Q872" s="263" t="s">
        <v>2096</v>
      </c>
    </row>
    <row r="873" spans="1:18" ht="90" outlineLevel="2">
      <c r="A873" s="14" t="s">
        <v>54</v>
      </c>
      <c r="B873" s="15" t="s">
        <v>968</v>
      </c>
      <c r="C873" s="15" t="s">
        <v>969</v>
      </c>
      <c r="D873" s="14" t="s">
        <v>970</v>
      </c>
      <c r="E873" s="15" t="s">
        <v>394</v>
      </c>
      <c r="F873" s="14" t="s">
        <v>137</v>
      </c>
      <c r="G873" s="15" t="s">
        <v>23</v>
      </c>
      <c r="H873" s="15" t="s">
        <v>1526</v>
      </c>
      <c r="I873" s="15">
        <v>201411</v>
      </c>
      <c r="J873" s="16">
        <v>46130.239999999998</v>
      </c>
      <c r="K873" s="171">
        <f>VLOOKUP(I873,$T$9:$U$23,2)</f>
        <v>7</v>
      </c>
      <c r="L873" s="17">
        <v>1.4833299999999999E-3</v>
      </c>
      <c r="M873" s="16">
        <f>ROUND(J873*K873*L873,2)</f>
        <v>478.98</v>
      </c>
      <c r="N873" s="16">
        <f>ROUND(J873*L873*12,2)</f>
        <v>821.12</v>
      </c>
      <c r="O873" s="14"/>
      <c r="P873" s="210" t="str">
        <f>VLOOKUP(C873,'WO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row>
    <row r="874" spans="1:18" s="243" customFormat="1" ht="90" outlineLevel="2">
      <c r="A874" s="14" t="s">
        <v>54</v>
      </c>
      <c r="B874" s="15" t="s">
        <v>968</v>
      </c>
      <c r="C874" s="15" t="s">
        <v>969</v>
      </c>
      <c r="D874" s="14" t="s">
        <v>970</v>
      </c>
      <c r="E874" s="15" t="s">
        <v>394</v>
      </c>
      <c r="F874" s="14" t="s">
        <v>137</v>
      </c>
      <c r="G874" s="15" t="s">
        <v>23</v>
      </c>
      <c r="H874" s="15" t="s">
        <v>1526</v>
      </c>
      <c r="I874" s="15">
        <v>201412</v>
      </c>
      <c r="J874" s="16">
        <v>-820.13</v>
      </c>
      <c r="K874" s="171">
        <f>VLOOKUP(I874,$T$9:$U$23,2)</f>
        <v>6</v>
      </c>
      <c r="L874" s="17">
        <v>1.4833299999999999E-3</v>
      </c>
      <c r="M874" s="16">
        <f>ROUND(J874*K874*L874,2)</f>
        <v>-7.3</v>
      </c>
      <c r="N874" s="16">
        <f>ROUND(J874*L874*12,2)</f>
        <v>-14.6</v>
      </c>
      <c r="O874" s="14"/>
      <c r="P874" s="210" t="str">
        <f>VLOOKUP(C874,'WO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Q874" s="3"/>
      <c r="R874" s="3"/>
    </row>
    <row r="875" spans="1:18" s="243" customFormat="1" outlineLevel="1">
      <c r="A875" s="223"/>
      <c r="B875" s="250"/>
      <c r="C875" s="254" t="s">
        <v>2063</v>
      </c>
      <c r="D875" s="223"/>
      <c r="E875" s="250"/>
      <c r="F875" s="223"/>
      <c r="G875" s="250"/>
      <c r="H875" s="250"/>
      <c r="I875" s="250"/>
      <c r="J875" s="251">
        <f>SUBTOTAL(9,J873:J874)</f>
        <v>45310.11</v>
      </c>
      <c r="K875" s="252"/>
      <c r="L875" s="253"/>
      <c r="M875" s="251">
        <f>SUBTOTAL(9,M873:M874)</f>
        <v>471.68</v>
      </c>
      <c r="N875" s="251">
        <f>SUBTOTAL(9,N873:N874)</f>
        <v>806.52</v>
      </c>
      <c r="O875" s="223"/>
      <c r="P875" s="210"/>
      <c r="Q875" s="263" t="s">
        <v>2096</v>
      </c>
      <c r="R875" s="3"/>
    </row>
    <row r="876" spans="1:18" ht="45" outlineLevel="2">
      <c r="A876" s="14" t="s">
        <v>54</v>
      </c>
      <c r="B876" s="15" t="s">
        <v>971</v>
      </c>
      <c r="C876" s="15" t="s">
        <v>972</v>
      </c>
      <c r="D876" s="14" t="s">
        <v>973</v>
      </c>
      <c r="E876" s="15" t="s">
        <v>567</v>
      </c>
      <c r="F876" s="14" t="s">
        <v>137</v>
      </c>
      <c r="G876" s="15" t="s">
        <v>23</v>
      </c>
      <c r="H876" s="15" t="s">
        <v>1526</v>
      </c>
      <c r="I876" s="15">
        <v>201411</v>
      </c>
      <c r="J876" s="16">
        <v>35042.230000000003</v>
      </c>
      <c r="K876" s="171">
        <f>VLOOKUP(I876,$T$9:$U$23,2)</f>
        <v>7</v>
      </c>
      <c r="L876" s="17">
        <v>1.4833299999999999E-3</v>
      </c>
      <c r="M876" s="16">
        <f>ROUND(J876*K876*L876,2)</f>
        <v>363.85</v>
      </c>
      <c r="N876" s="16">
        <f>ROUND(J876*L876*12,2)</f>
        <v>623.75</v>
      </c>
      <c r="O876" s="14"/>
      <c r="P876" s="210" t="str">
        <f>VLOOKUP(C876,'WO Descriptions'!$A$5:$D$345,4)</f>
        <v>Approved by: Gary Williams on 07/23/2014,  (ISRS)  Replace 100'-4in PBS with 4in thin film and 2" PCS with 275'-2in PE.  New 4in main needs to be 8' below existing grade due to new storm sewer.  Dead end 2" PE main at 2307 NE 44th Terr. Tie over 3 services.</v>
      </c>
    </row>
    <row r="877" spans="1:18" ht="45" outlineLevel="2">
      <c r="A877" s="14" t="s">
        <v>54</v>
      </c>
      <c r="B877" s="15" t="s">
        <v>971</v>
      </c>
      <c r="C877" s="15" t="s">
        <v>972</v>
      </c>
      <c r="D877" s="14" t="s">
        <v>973</v>
      </c>
      <c r="E877" s="15" t="s">
        <v>567</v>
      </c>
      <c r="F877" s="14" t="s">
        <v>137</v>
      </c>
      <c r="G877" s="15" t="s">
        <v>23</v>
      </c>
      <c r="H877" s="15" t="s">
        <v>1526</v>
      </c>
      <c r="I877" s="15">
        <v>201412</v>
      </c>
      <c r="J877" s="16">
        <v>3488.6</v>
      </c>
      <c r="K877" s="171">
        <f>VLOOKUP(I877,$T$9:$U$23,2)</f>
        <v>6</v>
      </c>
      <c r="L877" s="17">
        <v>1.4833299999999999E-3</v>
      </c>
      <c r="M877" s="16">
        <f>ROUND(J877*K877*L877,2)</f>
        <v>31.05</v>
      </c>
      <c r="N877" s="16">
        <f>ROUND(J877*L877*12,2)</f>
        <v>62.1</v>
      </c>
      <c r="O877" s="14"/>
      <c r="P877" s="210" t="str">
        <f>VLOOKUP(C877,'WO Descriptions'!$A$5:$D$345,4)</f>
        <v>Approved by: Gary Williams on 07/23/2014,  (ISRS)  Replace 100'-4in PBS with 4in thin film and 2" PCS with 275'-2in PE.  New 4in main needs to be 8' below existing grade due to new storm sewer.  Dead end 2" PE main at 2307 NE 44th Terr. Tie over 3 services.</v>
      </c>
    </row>
    <row r="878" spans="1:18" outlineLevel="1">
      <c r="A878" s="223"/>
      <c r="B878" s="250"/>
      <c r="C878" s="254" t="s">
        <v>2064</v>
      </c>
      <c r="D878" s="223"/>
      <c r="E878" s="250"/>
      <c r="F878" s="223"/>
      <c r="G878" s="250"/>
      <c r="H878" s="250"/>
      <c r="I878" s="250"/>
      <c r="J878" s="251">
        <f>SUBTOTAL(9,J876:J877)</f>
        <v>38530.83</v>
      </c>
      <c r="K878" s="252"/>
      <c r="L878" s="253"/>
      <c r="M878" s="251">
        <f>SUBTOTAL(9,M876:M877)</f>
        <v>394.90000000000003</v>
      </c>
      <c r="N878" s="251">
        <f>SUBTOTAL(9,N876:N877)</f>
        <v>685.85</v>
      </c>
      <c r="O878" s="223"/>
      <c r="P878" s="210"/>
      <c r="Q878" s="263" t="s">
        <v>2096</v>
      </c>
    </row>
    <row r="879" spans="1:18" ht="45" outlineLevel="2">
      <c r="A879" s="14" t="s">
        <v>54</v>
      </c>
      <c r="B879" s="15" t="s">
        <v>974</v>
      </c>
      <c r="C879" s="15" t="s">
        <v>975</v>
      </c>
      <c r="D879" s="14" t="s">
        <v>976</v>
      </c>
      <c r="E879" s="15" t="s">
        <v>141</v>
      </c>
      <c r="F879" s="14" t="s">
        <v>142</v>
      </c>
      <c r="G879" s="15" t="s">
        <v>23</v>
      </c>
      <c r="H879" s="15" t="s">
        <v>1525</v>
      </c>
      <c r="I879" s="15">
        <v>201409</v>
      </c>
      <c r="J879" s="16">
        <v>1598.77</v>
      </c>
      <c r="K879" s="171">
        <f>VLOOKUP(I879,$T$9:$U$23,2)</f>
        <v>9</v>
      </c>
      <c r="L879" s="17">
        <v>1.4833299999999999E-3</v>
      </c>
      <c r="M879" s="16">
        <f>ROUND(J879*K879*L879,2)</f>
        <v>21.34</v>
      </c>
      <c r="N879" s="16">
        <f>ROUND(J879*L879*12,2)</f>
        <v>28.46</v>
      </c>
      <c r="O879" s="14"/>
      <c r="P879" s="210" t="str">
        <f>VLOOKUP(C879,'WO Descriptions'!$A$5:$D$345,4)</f>
        <v>Approved by: Kevin Driskell on 07/23/2014,  AOR.  Replace 40' of 4in CI with 4in PE due to exposure of CI coupling.  AOR location: 46' SSCB of 8th Street.  Must be finished by 9-21-2014.  Tie over 3 services.  Replace one service.  COST PER FOOT $554.14</v>
      </c>
    </row>
    <row r="880" spans="1:18" ht="45" outlineLevel="2">
      <c r="A880" s="14" t="s">
        <v>54</v>
      </c>
      <c r="B880" s="15" t="s">
        <v>974</v>
      </c>
      <c r="C880" s="15" t="s">
        <v>975</v>
      </c>
      <c r="D880" s="14" t="s">
        <v>976</v>
      </c>
      <c r="E880" s="15" t="s">
        <v>141</v>
      </c>
      <c r="F880" s="14" t="s">
        <v>142</v>
      </c>
      <c r="G880" s="15" t="s">
        <v>23</v>
      </c>
      <c r="H880" s="15" t="s">
        <v>1525</v>
      </c>
      <c r="I880" s="15">
        <v>201410</v>
      </c>
      <c r="J880" s="16">
        <v>4514.09</v>
      </c>
      <c r="K880" s="171">
        <f>VLOOKUP(I880,$T$9:$U$23,2)</f>
        <v>8</v>
      </c>
      <c r="L880" s="17">
        <v>1.4833299999999999E-3</v>
      </c>
      <c r="M880" s="16">
        <f>ROUND(J880*K880*L880,2)</f>
        <v>53.57</v>
      </c>
      <c r="N880" s="16">
        <f>ROUND(J880*L880*12,2)</f>
        <v>80.349999999999994</v>
      </c>
      <c r="O880" s="14"/>
      <c r="P880" s="210" t="str">
        <f>VLOOKUP(C880,'WO Descriptions'!$A$5:$D$345,4)</f>
        <v>Approved by: Kevin Driskell on 07/23/2014,  AOR.  Replace 40' of 4in CI with 4in PE due to exposure of CI coupling.  AOR location: 46' SSCB of 8th Street.  Must be finished by 9-21-2014.  Tie over 3 services.  Replace one service.  COST PER FOOT $554.14</v>
      </c>
    </row>
    <row r="881" spans="1:18" ht="45" outlineLevel="2">
      <c r="A881" s="14" t="s">
        <v>54</v>
      </c>
      <c r="B881" s="15" t="s">
        <v>974</v>
      </c>
      <c r="C881" s="15" t="s">
        <v>975</v>
      </c>
      <c r="D881" s="14" t="s">
        <v>976</v>
      </c>
      <c r="E881" s="15" t="s">
        <v>141</v>
      </c>
      <c r="F881" s="14" t="s">
        <v>142</v>
      </c>
      <c r="G881" s="15" t="s">
        <v>23</v>
      </c>
      <c r="H881" s="15" t="s">
        <v>1525</v>
      </c>
      <c r="I881" s="15">
        <v>201411</v>
      </c>
      <c r="J881" s="16">
        <v>-208.96</v>
      </c>
      <c r="K881" s="171">
        <f>VLOOKUP(I881,$T$9:$U$23,2)</f>
        <v>7</v>
      </c>
      <c r="L881" s="17">
        <v>1.4833299999999999E-3</v>
      </c>
      <c r="M881" s="16">
        <f>ROUND(J881*K881*L881,2)</f>
        <v>-2.17</v>
      </c>
      <c r="N881" s="16">
        <f>ROUND(J881*L881*12,2)</f>
        <v>-3.72</v>
      </c>
      <c r="O881" s="14"/>
      <c r="P881" s="210" t="str">
        <f>VLOOKUP(C881,'WO Descriptions'!$A$5:$D$345,4)</f>
        <v>Approved by: Kevin Driskell on 07/23/2014,  AOR.  Replace 40' of 4in CI with 4in PE due to exposure of CI coupling.  AOR location: 46' SSCB of 8th Street.  Must be finished by 9-21-2014.  Tie over 3 services.  Replace one service.  COST PER FOOT $554.14</v>
      </c>
    </row>
    <row r="882" spans="1:18" ht="45" outlineLevel="2">
      <c r="A882" s="14" t="s">
        <v>54</v>
      </c>
      <c r="B882" s="15" t="s">
        <v>974</v>
      </c>
      <c r="C882" s="15" t="s">
        <v>975</v>
      </c>
      <c r="D882" s="14" t="s">
        <v>976</v>
      </c>
      <c r="E882" s="15" t="s">
        <v>141</v>
      </c>
      <c r="F882" s="14" t="s">
        <v>142</v>
      </c>
      <c r="G882" s="15" t="s">
        <v>23</v>
      </c>
      <c r="H882" s="15" t="s">
        <v>1525</v>
      </c>
      <c r="I882" s="15">
        <v>201412</v>
      </c>
      <c r="J882" s="16">
        <v>-298.91000000000003</v>
      </c>
      <c r="K882" s="171">
        <f>VLOOKUP(I882,$T$9:$U$23,2)</f>
        <v>6</v>
      </c>
      <c r="L882" s="17">
        <v>1.4833299999999999E-3</v>
      </c>
      <c r="M882" s="16">
        <f>ROUND(J882*K882*L882,2)</f>
        <v>-2.66</v>
      </c>
      <c r="N882" s="16">
        <f>ROUND(J882*L882*12,2)</f>
        <v>-5.32</v>
      </c>
      <c r="O882" s="14"/>
      <c r="P882" s="210" t="str">
        <f>VLOOKUP(C882,'WO Descriptions'!$A$5:$D$345,4)</f>
        <v>Approved by: Kevin Driskell on 07/23/2014,  AOR.  Replace 40' of 4in CI with 4in PE due to exposure of CI coupling.  AOR location: 46' SSCB of 8th Street.  Must be finished by 9-21-2014.  Tie over 3 services.  Replace one service.  COST PER FOOT $554.14</v>
      </c>
    </row>
    <row r="883" spans="1:18" outlineLevel="1">
      <c r="A883" s="223"/>
      <c r="B883" s="250"/>
      <c r="C883" s="254" t="s">
        <v>2065</v>
      </c>
      <c r="D883" s="223"/>
      <c r="E883" s="250"/>
      <c r="F883" s="223"/>
      <c r="G883" s="250"/>
      <c r="H883" s="250"/>
      <c r="I883" s="250"/>
      <c r="J883" s="251">
        <f>SUBTOTAL(9,J879:J882)</f>
        <v>5604.9900000000007</v>
      </c>
      <c r="K883" s="252"/>
      <c r="L883" s="253"/>
      <c r="M883" s="251">
        <f>SUBTOTAL(9,M879:M882)</f>
        <v>70.08</v>
      </c>
      <c r="N883" s="251">
        <f>SUBTOTAL(9,N879:N882)</f>
        <v>99.77000000000001</v>
      </c>
      <c r="O883" s="223"/>
      <c r="P883" s="210"/>
      <c r="Q883" s="263" t="s">
        <v>2097</v>
      </c>
      <c r="R883" s="263" t="s">
        <v>2100</v>
      </c>
    </row>
    <row r="884" spans="1:18" ht="30" outlineLevel="2">
      <c r="A884" s="14" t="s">
        <v>54</v>
      </c>
      <c r="B884" s="15" t="s">
        <v>977</v>
      </c>
      <c r="C884" s="15" t="s">
        <v>978</v>
      </c>
      <c r="D884" s="14" t="s">
        <v>979</v>
      </c>
      <c r="E884" s="15" t="s">
        <v>980</v>
      </c>
      <c r="F884" s="14" t="s">
        <v>259</v>
      </c>
      <c r="G884" s="15" t="s">
        <v>23</v>
      </c>
      <c r="H884" s="15" t="s">
        <v>1525</v>
      </c>
      <c r="I884" s="15">
        <v>201409</v>
      </c>
      <c r="J884" s="16">
        <v>502.39</v>
      </c>
      <c r="K884" s="171">
        <f>VLOOKUP(I884,$T$9:$U$23,2)</f>
        <v>9</v>
      </c>
      <c r="L884" s="17">
        <v>1.4833299999999999E-3</v>
      </c>
      <c r="M884" s="16">
        <f>ROUND(J884*K884*L884,2)</f>
        <v>6.71</v>
      </c>
      <c r="N884" s="16">
        <f>ROUND(J884*L884*12,2)</f>
        <v>8.94</v>
      </c>
      <c r="O884" s="14"/>
      <c r="P884" s="210" t="str">
        <f>VLOOKUP(C884,'WO Descriptions'!$A$5:$D$345,4)</f>
        <v>Approved by: Kevin Driskell on 07/25/2014,  Replace 3' of 2in BS and 4' of 2in PE due to third party damage.</v>
      </c>
    </row>
    <row r="885" spans="1:18" ht="30" outlineLevel="2">
      <c r="A885" s="14" t="s">
        <v>54</v>
      </c>
      <c r="B885" s="15" t="s">
        <v>977</v>
      </c>
      <c r="C885" s="15" t="s">
        <v>978</v>
      </c>
      <c r="D885" s="14" t="s">
        <v>979</v>
      </c>
      <c r="E885" s="15" t="s">
        <v>980</v>
      </c>
      <c r="F885" s="14" t="s">
        <v>259</v>
      </c>
      <c r="G885" s="15" t="s">
        <v>23</v>
      </c>
      <c r="H885" s="15" t="s">
        <v>1525</v>
      </c>
      <c r="I885" s="15">
        <v>201410</v>
      </c>
      <c r="J885" s="16">
        <v>0.51</v>
      </c>
      <c r="K885" s="171">
        <f>VLOOKUP(I885,$T$9:$U$23,2)</f>
        <v>8</v>
      </c>
      <c r="L885" s="17">
        <v>1.4833299999999999E-3</v>
      </c>
      <c r="M885" s="16">
        <f>ROUND(J885*K885*L885,2)</f>
        <v>0.01</v>
      </c>
      <c r="N885" s="16">
        <f>ROUND(J885*L885*12,2)</f>
        <v>0.01</v>
      </c>
      <c r="O885" s="14"/>
      <c r="P885" s="210" t="str">
        <f>VLOOKUP(C885,'WO Descriptions'!$A$5:$D$345,4)</f>
        <v>Approved by: Kevin Driskell on 07/25/2014,  Replace 3' of 2in BS and 4' of 2in PE due to third party damage.</v>
      </c>
    </row>
    <row r="886" spans="1:18" ht="30" outlineLevel="2">
      <c r="A886" s="14" t="s">
        <v>54</v>
      </c>
      <c r="B886" s="15" t="s">
        <v>977</v>
      </c>
      <c r="C886" s="15" t="s">
        <v>978</v>
      </c>
      <c r="D886" s="14" t="s">
        <v>979</v>
      </c>
      <c r="E886" s="15" t="s">
        <v>980</v>
      </c>
      <c r="F886" s="14" t="s">
        <v>259</v>
      </c>
      <c r="G886" s="15" t="s">
        <v>23</v>
      </c>
      <c r="H886" s="15" t="s">
        <v>1525</v>
      </c>
      <c r="I886" s="15">
        <v>201412</v>
      </c>
      <c r="J886" s="16">
        <v>640.08000000000004</v>
      </c>
      <c r="K886" s="171">
        <f>VLOOKUP(I886,$T$9:$U$23,2)</f>
        <v>6</v>
      </c>
      <c r="L886" s="17">
        <v>1.4833299999999999E-3</v>
      </c>
      <c r="M886" s="16">
        <f>ROUND(J886*K886*L886,2)</f>
        <v>5.7</v>
      </c>
      <c r="N886" s="16">
        <f>ROUND(J886*L886*12,2)</f>
        <v>11.39</v>
      </c>
      <c r="O886" s="14"/>
      <c r="P886" s="210" t="str">
        <f>VLOOKUP(C886,'WO Descriptions'!$A$5:$D$345,4)</f>
        <v>Approved by: Kevin Driskell on 07/25/2014,  Replace 3' of 2in BS and 4' of 2in PE due to third party damage.</v>
      </c>
    </row>
    <row r="887" spans="1:18" outlineLevel="1">
      <c r="A887" s="223"/>
      <c r="B887" s="250"/>
      <c r="C887" s="254" t="s">
        <v>2066</v>
      </c>
      <c r="D887" s="223"/>
      <c r="E887" s="250"/>
      <c r="F887" s="223"/>
      <c r="G887" s="250"/>
      <c r="H887" s="250"/>
      <c r="I887" s="250"/>
      <c r="J887" s="251">
        <f>SUBTOTAL(9,J884:J886)</f>
        <v>1142.98</v>
      </c>
      <c r="K887" s="252"/>
      <c r="L887" s="253"/>
      <c r="M887" s="251">
        <f>SUBTOTAL(9,M884:M886)</f>
        <v>12.42</v>
      </c>
      <c r="N887" s="251">
        <f>SUBTOTAL(9,N884:N886)</f>
        <v>20.34</v>
      </c>
      <c r="O887" s="223"/>
      <c r="P887" s="210"/>
      <c r="Q887" s="263" t="s">
        <v>2097</v>
      </c>
      <c r="R887" s="263" t="s">
        <v>2101</v>
      </c>
    </row>
    <row r="888" spans="1:18" ht="30" outlineLevel="2">
      <c r="A888" s="14" t="s">
        <v>17</v>
      </c>
      <c r="B888" s="15" t="s">
        <v>981</v>
      </c>
      <c r="C888" s="15" t="s">
        <v>982</v>
      </c>
      <c r="D888" s="14" t="s">
        <v>983</v>
      </c>
      <c r="E888" s="15" t="s">
        <v>440</v>
      </c>
      <c r="F888" s="14" t="s">
        <v>28</v>
      </c>
      <c r="G888" s="15" t="s">
        <v>23</v>
      </c>
      <c r="H888" s="15" t="s">
        <v>1525</v>
      </c>
      <c r="I888" s="15">
        <v>201409</v>
      </c>
      <c r="J888" s="16">
        <v>53.69</v>
      </c>
      <c r="K888" s="171">
        <f>VLOOKUP(I888,$T$9:$U$23,2)</f>
        <v>9</v>
      </c>
      <c r="L888" s="17">
        <v>1.4833299999999999E-3</v>
      </c>
      <c r="M888" s="16">
        <f>ROUND(J888*K888*L888,2)</f>
        <v>0.72</v>
      </c>
      <c r="N888" s="16">
        <f>ROUND(J888*L888*12,2)</f>
        <v>0.96</v>
      </c>
      <c r="O888" s="14"/>
      <c r="P888" s="210" t="str">
        <f>VLOOKUP(C888,'WO Descriptions'!$A$5:$D$345,4)</f>
        <v>Approved by: Kevin Driskell on 08/03/2014,  Replaced 5' of 2'' CS system C-046 due to 3rd party damage.</v>
      </c>
    </row>
    <row r="889" spans="1:18" outlineLevel="1">
      <c r="A889" s="223"/>
      <c r="B889" s="250"/>
      <c r="C889" s="254" t="s">
        <v>2067</v>
      </c>
      <c r="D889" s="223"/>
      <c r="E889" s="250"/>
      <c r="F889" s="223"/>
      <c r="G889" s="250"/>
      <c r="H889" s="250"/>
      <c r="I889" s="250"/>
      <c r="J889" s="251">
        <f>SUBTOTAL(9,J888:J888)</f>
        <v>53.69</v>
      </c>
      <c r="K889" s="252"/>
      <c r="L889" s="253"/>
      <c r="M889" s="251">
        <f>SUBTOTAL(9,M888:M888)</f>
        <v>0.72</v>
      </c>
      <c r="N889" s="251">
        <f>SUBTOTAL(9,N888:N888)</f>
        <v>0.96</v>
      </c>
      <c r="O889" s="223"/>
      <c r="P889" s="210"/>
      <c r="Q889" s="263" t="s">
        <v>2097</v>
      </c>
      <c r="R889" s="263" t="s">
        <v>2099</v>
      </c>
    </row>
    <row r="890" spans="1:18" ht="30" outlineLevel="2">
      <c r="A890" s="14" t="s">
        <v>54</v>
      </c>
      <c r="B890" s="15" t="s">
        <v>984</v>
      </c>
      <c r="C890" s="15" t="s">
        <v>985</v>
      </c>
      <c r="D890" s="14" t="s">
        <v>986</v>
      </c>
      <c r="E890" s="15" t="s">
        <v>141</v>
      </c>
      <c r="F890" s="14" t="s">
        <v>142</v>
      </c>
      <c r="G890" s="15" t="s">
        <v>23</v>
      </c>
      <c r="H890" s="15" t="s">
        <v>1525</v>
      </c>
      <c r="I890" s="15">
        <v>201409</v>
      </c>
      <c r="J890" s="16">
        <v>76.45</v>
      </c>
      <c r="K890" s="171">
        <f>VLOOKUP(I890,$T$9:$U$23,2)</f>
        <v>9</v>
      </c>
      <c r="L890" s="17">
        <v>1.4833299999999999E-3</v>
      </c>
      <c r="M890" s="16">
        <f>ROUND(J890*K890*L890,2)</f>
        <v>1.02</v>
      </c>
      <c r="N890" s="16">
        <f>ROUND(J890*L890*12,2)</f>
        <v>1.36</v>
      </c>
      <c r="O890" s="14"/>
      <c r="P890" s="210" t="str">
        <f>VLOOKUP(C890,'WO Descriptions'!$A$5:$D$345,4)</f>
        <v>Approved by: Kevin Driskell on 08/03/2014,  Replaced 6'' CI with 6'' PE due to Cast Iron Break. System C-1.</v>
      </c>
    </row>
    <row r="891" spans="1:18" ht="30" outlineLevel="2">
      <c r="A891" s="14" t="s">
        <v>54</v>
      </c>
      <c r="B891" s="15" t="s">
        <v>984</v>
      </c>
      <c r="C891" s="15" t="s">
        <v>985</v>
      </c>
      <c r="D891" s="14" t="s">
        <v>986</v>
      </c>
      <c r="E891" s="15" t="s">
        <v>141</v>
      </c>
      <c r="F891" s="14" t="s">
        <v>142</v>
      </c>
      <c r="G891" s="15" t="s">
        <v>23</v>
      </c>
      <c r="H891" s="15" t="s">
        <v>1525</v>
      </c>
      <c r="I891" s="15">
        <v>201412</v>
      </c>
      <c r="J891" s="16">
        <v>1481.62</v>
      </c>
      <c r="K891" s="171">
        <f>VLOOKUP(I891,$T$9:$U$23,2)</f>
        <v>6</v>
      </c>
      <c r="L891" s="17">
        <v>1.4833299999999999E-3</v>
      </c>
      <c r="M891" s="16">
        <f>ROUND(J891*K891*L891,2)</f>
        <v>13.19</v>
      </c>
      <c r="N891" s="16">
        <f>ROUND(J891*L891*12,2)</f>
        <v>26.37</v>
      </c>
      <c r="O891" s="14"/>
      <c r="P891" s="210" t="str">
        <f>VLOOKUP(C891,'WO Descriptions'!$A$5:$D$345,4)</f>
        <v>Approved by: Kevin Driskell on 08/03/2014,  Replaced 6'' CI with 6'' PE due to Cast Iron Break. System C-1.</v>
      </c>
    </row>
    <row r="892" spans="1:18" outlineLevel="1">
      <c r="A892" s="223"/>
      <c r="B892" s="250"/>
      <c r="C892" s="254" t="s">
        <v>2068</v>
      </c>
      <c r="D892" s="223"/>
      <c r="E892" s="250"/>
      <c r="F892" s="223"/>
      <c r="G892" s="250"/>
      <c r="H892" s="250"/>
      <c r="I892" s="250"/>
      <c r="J892" s="251">
        <f>SUBTOTAL(9,J890:J891)</f>
        <v>1558.07</v>
      </c>
      <c r="K892" s="252"/>
      <c r="L892" s="253"/>
      <c r="M892" s="251">
        <f>SUBTOTAL(9,M890:M891)</f>
        <v>14.209999999999999</v>
      </c>
      <c r="N892" s="251">
        <f>SUBTOTAL(9,N890:N891)</f>
        <v>27.73</v>
      </c>
      <c r="O892" s="223"/>
      <c r="P892" s="210"/>
      <c r="Q892" s="263" t="s">
        <v>2097</v>
      </c>
      <c r="R892" s="263" t="s">
        <v>2100</v>
      </c>
    </row>
    <row r="893" spans="1:18" ht="30" outlineLevel="2">
      <c r="A893" s="14" t="s">
        <v>17</v>
      </c>
      <c r="B893" s="15" t="s">
        <v>987</v>
      </c>
      <c r="C893" s="15" t="s">
        <v>988</v>
      </c>
      <c r="D893" s="14" t="s">
        <v>989</v>
      </c>
      <c r="E893" s="15" t="s">
        <v>45</v>
      </c>
      <c r="F893" s="14" t="s">
        <v>22</v>
      </c>
      <c r="G893" s="15" t="s">
        <v>23</v>
      </c>
      <c r="H893" s="15" t="s">
        <v>1525</v>
      </c>
      <c r="I893" s="15">
        <v>201409</v>
      </c>
      <c r="J893" s="16">
        <v>92.14</v>
      </c>
      <c r="K893" s="171">
        <f>VLOOKUP(I893,$T$9:$U$23,2)</f>
        <v>9</v>
      </c>
      <c r="L893" s="17">
        <v>1.4833299999999999E-3</v>
      </c>
      <c r="M893" s="16">
        <f>ROUND(J893*K893*L893,2)</f>
        <v>1.23</v>
      </c>
      <c r="N893" s="16">
        <f>ROUND(J893*L893*12,2)</f>
        <v>1.64</v>
      </c>
      <c r="O893" s="14"/>
      <c r="P893" s="210" t="str">
        <f>VLOOKUP(C893,'WO Descriptions'!$A$5:$D$345,4)</f>
        <v>Approved by: Kevin Driskell on 08/03/2014,  Relocated 2'' PBS because it was going through a curb inlet box. Pressure System C-26.</v>
      </c>
    </row>
    <row r="894" spans="1:18" ht="30" outlineLevel="2">
      <c r="A894" s="14" t="s">
        <v>17</v>
      </c>
      <c r="B894" s="15" t="s">
        <v>987</v>
      </c>
      <c r="C894" s="15" t="s">
        <v>988</v>
      </c>
      <c r="D894" s="14" t="s">
        <v>989</v>
      </c>
      <c r="E894" s="15" t="s">
        <v>45</v>
      </c>
      <c r="F894" s="14" t="s">
        <v>22</v>
      </c>
      <c r="G894" s="15" t="s">
        <v>23</v>
      </c>
      <c r="H894" s="15" t="s">
        <v>1525</v>
      </c>
      <c r="I894" s="15">
        <v>201410</v>
      </c>
      <c r="J894" s="16">
        <v>0.63</v>
      </c>
      <c r="K894" s="171">
        <f>VLOOKUP(I894,$T$9:$U$23,2)</f>
        <v>8</v>
      </c>
      <c r="L894" s="17">
        <v>1.4833299999999999E-3</v>
      </c>
      <c r="M894" s="16">
        <f>ROUND(J894*K894*L894,2)</f>
        <v>0.01</v>
      </c>
      <c r="N894" s="16">
        <f>ROUND(J894*L894*12,2)</f>
        <v>0.01</v>
      </c>
      <c r="O894" s="14"/>
      <c r="P894" s="210" t="str">
        <f>VLOOKUP(C894,'WO Descriptions'!$A$5:$D$345,4)</f>
        <v>Approved by: Kevin Driskell on 08/03/2014,  Relocated 2'' PBS because it was going through a curb inlet box. Pressure System C-26.</v>
      </c>
    </row>
    <row r="895" spans="1:18" ht="30" outlineLevel="2">
      <c r="A895" s="14" t="s">
        <v>17</v>
      </c>
      <c r="B895" s="15" t="s">
        <v>987</v>
      </c>
      <c r="C895" s="15" t="s">
        <v>988</v>
      </c>
      <c r="D895" s="14" t="s">
        <v>989</v>
      </c>
      <c r="E895" s="15" t="s">
        <v>45</v>
      </c>
      <c r="F895" s="14" t="s">
        <v>22</v>
      </c>
      <c r="G895" s="15" t="s">
        <v>23</v>
      </c>
      <c r="H895" s="15" t="s">
        <v>1525</v>
      </c>
      <c r="I895" s="15">
        <v>201412</v>
      </c>
      <c r="J895" s="16">
        <v>445.28</v>
      </c>
      <c r="K895" s="171">
        <f>VLOOKUP(I895,$T$9:$U$23,2)</f>
        <v>6</v>
      </c>
      <c r="L895" s="17">
        <v>1.4833299999999999E-3</v>
      </c>
      <c r="M895" s="16">
        <f>ROUND(J895*K895*L895,2)</f>
        <v>3.96</v>
      </c>
      <c r="N895" s="16">
        <f>ROUND(J895*L895*12,2)</f>
        <v>7.93</v>
      </c>
      <c r="O895" s="14"/>
      <c r="P895" s="210" t="str">
        <f>VLOOKUP(C895,'WO Descriptions'!$A$5:$D$345,4)</f>
        <v>Approved by: Kevin Driskell on 08/03/2014,  Relocated 2'' PBS because it was going through a curb inlet box. Pressure System C-26.</v>
      </c>
    </row>
    <row r="896" spans="1:18" outlineLevel="1">
      <c r="A896" s="223"/>
      <c r="B896" s="250"/>
      <c r="C896" s="254" t="s">
        <v>2069</v>
      </c>
      <c r="D896" s="223"/>
      <c r="E896" s="250"/>
      <c r="F896" s="223"/>
      <c r="G896" s="250"/>
      <c r="H896" s="250"/>
      <c r="I896" s="250"/>
      <c r="J896" s="251">
        <f>SUBTOTAL(9,J893:J895)</f>
        <v>538.04999999999995</v>
      </c>
      <c r="K896" s="252"/>
      <c r="L896" s="253"/>
      <c r="M896" s="251">
        <f>SUBTOTAL(9,M893:M895)</f>
        <v>5.2</v>
      </c>
      <c r="N896" s="251">
        <f>SUBTOTAL(9,N893:N895)</f>
        <v>9.58</v>
      </c>
      <c r="O896" s="223"/>
      <c r="P896" s="210"/>
      <c r="Q896" s="263" t="s">
        <v>2097</v>
      </c>
      <c r="R896" s="263" t="s">
        <v>2098</v>
      </c>
    </row>
    <row r="897" spans="1:18" ht="75" outlineLevel="2">
      <c r="A897" s="14" t="s">
        <v>54</v>
      </c>
      <c r="B897" s="15" t="s">
        <v>990</v>
      </c>
      <c r="C897" s="15" t="s">
        <v>991</v>
      </c>
      <c r="D897" s="14" t="s">
        <v>992</v>
      </c>
      <c r="E897" s="15" t="s">
        <v>141</v>
      </c>
      <c r="F897" s="14" t="s">
        <v>142</v>
      </c>
      <c r="G897" s="15" t="s">
        <v>23</v>
      </c>
      <c r="H897" s="15" t="s">
        <v>1525</v>
      </c>
      <c r="I897" s="15">
        <v>201410</v>
      </c>
      <c r="J897" s="16">
        <v>123284.96</v>
      </c>
      <c r="K897" s="171">
        <f>VLOOKUP(I897,$T$9:$U$23,2)</f>
        <v>8</v>
      </c>
      <c r="L897" s="17">
        <v>1.4833299999999999E-3</v>
      </c>
      <c r="M897" s="16">
        <f>ROUND(J897*K897*L897,2)</f>
        <v>1462.98</v>
      </c>
      <c r="N897" s="16">
        <f>ROUND(J897*L897*12,2)</f>
        <v>2194.4699999999998</v>
      </c>
      <c r="O897" s="14"/>
      <c r="P897" s="210" t="str">
        <f>VLOOKUP(C897,'WO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898" spans="1:18" ht="75" outlineLevel="2">
      <c r="A898" s="14" t="s">
        <v>54</v>
      </c>
      <c r="B898" s="15" t="s">
        <v>990</v>
      </c>
      <c r="C898" s="15" t="s">
        <v>991</v>
      </c>
      <c r="D898" s="14" t="s">
        <v>992</v>
      </c>
      <c r="E898" s="15" t="s">
        <v>141</v>
      </c>
      <c r="F898" s="14" t="s">
        <v>142</v>
      </c>
      <c r="G898" s="15" t="s">
        <v>23</v>
      </c>
      <c r="H898" s="15" t="s">
        <v>1525</v>
      </c>
      <c r="I898" s="15">
        <v>201411</v>
      </c>
      <c r="J898" s="16">
        <v>-8191.63</v>
      </c>
      <c r="K898" s="171">
        <f>VLOOKUP(I898,$T$9:$U$23,2)</f>
        <v>7</v>
      </c>
      <c r="L898" s="17">
        <v>1.4833299999999999E-3</v>
      </c>
      <c r="M898" s="16">
        <f>ROUND(J898*K898*L898,2)</f>
        <v>-85.06</v>
      </c>
      <c r="N898" s="16">
        <f>ROUND(J898*L898*12,2)</f>
        <v>-145.81</v>
      </c>
      <c r="O898" s="14"/>
      <c r="P898" s="210" t="str">
        <f>VLOOKUP(C898,'WO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899" spans="1:18" ht="75" outlineLevel="2">
      <c r="A899" s="14" t="s">
        <v>54</v>
      </c>
      <c r="B899" s="15" t="s">
        <v>990</v>
      </c>
      <c r="C899" s="15" t="s">
        <v>991</v>
      </c>
      <c r="D899" s="14" t="s">
        <v>992</v>
      </c>
      <c r="E899" s="15" t="s">
        <v>141</v>
      </c>
      <c r="F899" s="14" t="s">
        <v>142</v>
      </c>
      <c r="G899" s="15" t="s">
        <v>23</v>
      </c>
      <c r="H899" s="15" t="s">
        <v>1525</v>
      </c>
      <c r="I899" s="15">
        <v>201412</v>
      </c>
      <c r="J899" s="16">
        <v>3203.04</v>
      </c>
      <c r="K899" s="171">
        <f>VLOOKUP(I899,$T$9:$U$23,2)</f>
        <v>6</v>
      </c>
      <c r="L899" s="17">
        <v>1.4833299999999999E-3</v>
      </c>
      <c r="M899" s="16">
        <f>ROUND(J899*K899*L899,2)</f>
        <v>28.51</v>
      </c>
      <c r="N899" s="16">
        <f>ROUND(J899*L899*12,2)</f>
        <v>57.01</v>
      </c>
      <c r="O899" s="14"/>
      <c r="P899" s="210" t="str">
        <f>VLOOKUP(C899,'WO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900" spans="1:18" outlineLevel="1">
      <c r="A900" s="223"/>
      <c r="B900" s="250"/>
      <c r="C900" s="254" t="s">
        <v>2070</v>
      </c>
      <c r="D900" s="223"/>
      <c r="E900" s="250"/>
      <c r="F900" s="223"/>
      <c r="G900" s="250"/>
      <c r="H900" s="250"/>
      <c r="I900" s="250"/>
      <c r="J900" s="251">
        <f>SUBTOTAL(9,J897:J899)</f>
        <v>118296.37</v>
      </c>
      <c r="K900" s="252"/>
      <c r="L900" s="253"/>
      <c r="M900" s="251">
        <f>SUBTOTAL(9,M897:M899)</f>
        <v>1406.43</v>
      </c>
      <c r="N900" s="251">
        <f>SUBTOTAL(9,N897:N899)</f>
        <v>2105.67</v>
      </c>
      <c r="O900" s="223"/>
      <c r="P900" s="210"/>
      <c r="Q900" s="263" t="s">
        <v>2097</v>
      </c>
      <c r="R900" s="263" t="s">
        <v>2100</v>
      </c>
    </row>
    <row r="901" spans="1:18" ht="45" outlineLevel="2">
      <c r="A901" s="14" t="s">
        <v>54</v>
      </c>
      <c r="B901" s="15" t="s">
        <v>993</v>
      </c>
      <c r="C901" s="15" t="s">
        <v>994</v>
      </c>
      <c r="D901" s="14" t="s">
        <v>995</v>
      </c>
      <c r="E901" s="15" t="s">
        <v>40</v>
      </c>
      <c r="F901" s="14" t="s">
        <v>41</v>
      </c>
      <c r="G901" s="15" t="s">
        <v>23</v>
      </c>
      <c r="H901" s="15" t="s">
        <v>1526</v>
      </c>
      <c r="I901" s="15">
        <v>201411</v>
      </c>
      <c r="J901" s="16">
        <v>19878.39</v>
      </c>
      <c r="K901" s="171">
        <f>VLOOKUP(I901,$T$9:$U$23,2)</f>
        <v>7</v>
      </c>
      <c r="L901" s="17">
        <v>1.4833299999999999E-3</v>
      </c>
      <c r="M901" s="16">
        <f>ROUND(J901*K901*L901,2)</f>
        <v>206.4</v>
      </c>
      <c r="N901" s="16">
        <f>ROUND(J901*L901*12,2)</f>
        <v>353.83</v>
      </c>
      <c r="O901" s="14"/>
      <c r="P901" s="210" t="str">
        <f>VLOOKUP(C901,'WO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902" spans="1:18" ht="45" outlineLevel="2">
      <c r="A902" s="14" t="s">
        <v>54</v>
      </c>
      <c r="B902" s="15" t="s">
        <v>993</v>
      </c>
      <c r="C902" s="15" t="s">
        <v>994</v>
      </c>
      <c r="D902" s="14" t="s">
        <v>995</v>
      </c>
      <c r="E902" s="15" t="s">
        <v>40</v>
      </c>
      <c r="F902" s="14" t="s">
        <v>41</v>
      </c>
      <c r="G902" s="15" t="s">
        <v>23</v>
      </c>
      <c r="H902" s="15" t="s">
        <v>1526</v>
      </c>
      <c r="I902" s="15">
        <v>201412</v>
      </c>
      <c r="J902" s="16">
        <v>829.19</v>
      </c>
      <c r="K902" s="171">
        <f>VLOOKUP(I902,$T$9:$U$23,2)</f>
        <v>6</v>
      </c>
      <c r="L902" s="17">
        <v>1.4833299999999999E-3</v>
      </c>
      <c r="M902" s="16">
        <f>ROUND(J902*K902*L902,2)</f>
        <v>7.38</v>
      </c>
      <c r="N902" s="16">
        <f>ROUND(J902*L902*12,2)</f>
        <v>14.76</v>
      </c>
      <c r="O902" s="14"/>
      <c r="P902" s="210" t="str">
        <f>VLOOKUP(C902,'WO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903" spans="1:18" outlineLevel="1">
      <c r="A903" s="223"/>
      <c r="B903" s="250"/>
      <c r="C903" s="254" t="s">
        <v>2071</v>
      </c>
      <c r="D903" s="223"/>
      <c r="E903" s="250"/>
      <c r="F903" s="223"/>
      <c r="G903" s="250"/>
      <c r="H903" s="250"/>
      <c r="I903" s="250"/>
      <c r="J903" s="251">
        <f>SUBTOTAL(9,J901:J902)</f>
        <v>20707.579999999998</v>
      </c>
      <c r="K903" s="252"/>
      <c r="L903" s="253"/>
      <c r="M903" s="251">
        <f>SUBTOTAL(9,M901:M902)</f>
        <v>213.78</v>
      </c>
      <c r="N903" s="251">
        <f>SUBTOTAL(9,N901:N902)</f>
        <v>368.59</v>
      </c>
      <c r="O903" s="223"/>
      <c r="P903" s="210"/>
      <c r="Q903" s="263" t="s">
        <v>2096</v>
      </c>
    </row>
    <row r="904" spans="1:18" s="243" customFormat="1" ht="75" outlineLevel="2">
      <c r="A904" s="14" t="s">
        <v>54</v>
      </c>
      <c r="B904" s="15" t="s">
        <v>996</v>
      </c>
      <c r="C904" s="15" t="s">
        <v>997</v>
      </c>
      <c r="D904" s="14" t="s">
        <v>998</v>
      </c>
      <c r="E904" s="15" t="s">
        <v>27</v>
      </c>
      <c r="F904" s="14" t="s">
        <v>28</v>
      </c>
      <c r="G904" s="15" t="s">
        <v>23</v>
      </c>
      <c r="H904" s="15" t="s">
        <v>1525</v>
      </c>
      <c r="I904" s="15">
        <v>201411</v>
      </c>
      <c r="J904" s="16">
        <v>20478.060000000001</v>
      </c>
      <c r="K904" s="171">
        <f>VLOOKUP(I904,$T$9:$U$23,2)</f>
        <v>7</v>
      </c>
      <c r="L904" s="17">
        <v>1.4833299999999999E-3</v>
      </c>
      <c r="M904" s="16">
        <f>ROUND(J904*K904*L904,2)</f>
        <v>212.63</v>
      </c>
      <c r="N904" s="16">
        <f>ROUND(J904*L904*12,2)</f>
        <v>364.51</v>
      </c>
      <c r="O904" s="14"/>
      <c r="P904" s="210" t="str">
        <f>VLOOKUP(C904,'WO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Q904" s="3"/>
      <c r="R904" s="3"/>
    </row>
    <row r="905" spans="1:18" ht="75" outlineLevel="2">
      <c r="A905" s="14" t="s">
        <v>54</v>
      </c>
      <c r="B905" s="15" t="s">
        <v>996</v>
      </c>
      <c r="C905" s="15" t="s">
        <v>997</v>
      </c>
      <c r="D905" s="14" t="s">
        <v>998</v>
      </c>
      <c r="E905" s="15" t="s">
        <v>27</v>
      </c>
      <c r="F905" s="14" t="s">
        <v>28</v>
      </c>
      <c r="G905" s="15" t="s">
        <v>23</v>
      </c>
      <c r="H905" s="15" t="s">
        <v>1525</v>
      </c>
      <c r="I905" s="15">
        <v>201412</v>
      </c>
      <c r="J905" s="16">
        <v>-628.98</v>
      </c>
      <c r="K905" s="171">
        <f>VLOOKUP(I905,$T$9:$U$23,2)</f>
        <v>6</v>
      </c>
      <c r="L905" s="17">
        <v>1.4833299999999999E-3</v>
      </c>
      <c r="M905" s="16">
        <f>ROUND(J905*K905*L905,2)</f>
        <v>-5.6</v>
      </c>
      <c r="N905" s="16">
        <f>ROUND(J905*L905*12,2)</f>
        <v>-11.2</v>
      </c>
      <c r="O905" s="14"/>
      <c r="P905" s="210" t="str">
        <f>VLOOKUP(C905,'WO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row>
    <row r="906" spans="1:18" outlineLevel="1">
      <c r="A906" s="223"/>
      <c r="B906" s="250"/>
      <c r="C906" s="254" t="s">
        <v>2072</v>
      </c>
      <c r="D906" s="223"/>
      <c r="E906" s="250"/>
      <c r="F906" s="223"/>
      <c r="G906" s="250"/>
      <c r="H906" s="250"/>
      <c r="I906" s="250"/>
      <c r="J906" s="251">
        <f>SUBTOTAL(9,J904:J905)</f>
        <v>19849.080000000002</v>
      </c>
      <c r="K906" s="252"/>
      <c r="L906" s="253"/>
      <c r="M906" s="251">
        <f>SUBTOTAL(9,M904:M905)</f>
        <v>207.03</v>
      </c>
      <c r="N906" s="251">
        <f>SUBTOTAL(9,N904:N905)</f>
        <v>353.31</v>
      </c>
      <c r="O906" s="223"/>
      <c r="P906" s="210"/>
      <c r="Q906" s="263" t="s">
        <v>2097</v>
      </c>
      <c r="R906" s="263" t="s">
        <v>2099</v>
      </c>
    </row>
    <row r="907" spans="1:18" ht="105" outlineLevel="2">
      <c r="A907" s="14" t="s">
        <v>17</v>
      </c>
      <c r="B907" s="15" t="s">
        <v>1063</v>
      </c>
      <c r="C907" s="15" t="s">
        <v>1064</v>
      </c>
      <c r="D907" s="14" t="s">
        <v>1065</v>
      </c>
      <c r="E907" s="15" t="s">
        <v>125</v>
      </c>
      <c r="F907" s="14" t="s">
        <v>126</v>
      </c>
      <c r="G907" s="15" t="s">
        <v>23</v>
      </c>
      <c r="H907" s="15" t="s">
        <v>1525</v>
      </c>
      <c r="I907" s="15">
        <v>201412</v>
      </c>
      <c r="J907" s="16">
        <v>21760.85</v>
      </c>
      <c r="K907" s="171">
        <f>VLOOKUP(I907,$T$9:$U$23,2)</f>
        <v>6</v>
      </c>
      <c r="L907" s="17">
        <v>1.4833299999999999E-3</v>
      </c>
      <c r="M907" s="16">
        <f>ROUND(J907*K907*L907,2)</f>
        <v>193.67</v>
      </c>
      <c r="N907" s="16">
        <f>ROUND(J907*L907*12,2)</f>
        <v>387.34</v>
      </c>
      <c r="O907" s="14"/>
      <c r="P907" s="210" t="str">
        <f>VLOOKUP(C907,'WO Descriptions'!$A$5:$D$345,4)</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row>
    <row r="908" spans="1:18" outlineLevel="1">
      <c r="A908" s="223"/>
      <c r="B908" s="250"/>
      <c r="C908" s="254" t="s">
        <v>2073</v>
      </c>
      <c r="D908" s="223"/>
      <c r="E908" s="250"/>
      <c r="F908" s="223"/>
      <c r="G908" s="250"/>
      <c r="H908" s="250"/>
      <c r="I908" s="250"/>
      <c r="J908" s="251">
        <f>SUBTOTAL(9,J907:J907)</f>
        <v>21760.85</v>
      </c>
      <c r="K908" s="252"/>
      <c r="L908" s="253"/>
      <c r="M908" s="251">
        <f>SUBTOTAL(9,M907:M907)</f>
        <v>193.67</v>
      </c>
      <c r="N908" s="251">
        <f>SUBTOTAL(9,N907:N907)</f>
        <v>387.34</v>
      </c>
      <c r="O908" s="223"/>
      <c r="P908" s="210"/>
      <c r="Q908" s="263" t="s">
        <v>2094</v>
      </c>
      <c r="R908" s="263" t="s">
        <v>2095</v>
      </c>
    </row>
    <row r="909" spans="1:18" ht="60" outlineLevel="2">
      <c r="A909" s="14" t="s">
        <v>17</v>
      </c>
      <c r="B909" s="15" t="s">
        <v>999</v>
      </c>
      <c r="C909" s="15" t="s">
        <v>1000</v>
      </c>
      <c r="D909" s="14" t="s">
        <v>1001</v>
      </c>
      <c r="E909" s="15" t="s">
        <v>176</v>
      </c>
      <c r="F909" s="14" t="s">
        <v>28</v>
      </c>
      <c r="G909" s="15" t="s">
        <v>23</v>
      </c>
      <c r="H909" s="15" t="s">
        <v>1525</v>
      </c>
      <c r="I909" s="15">
        <v>201409</v>
      </c>
      <c r="J909" s="16">
        <v>167.22</v>
      </c>
      <c r="K909" s="171">
        <f>VLOOKUP(I909,$T$9:$U$23,2)</f>
        <v>9</v>
      </c>
      <c r="L909" s="17">
        <v>1.4833299999999999E-3</v>
      </c>
      <c r="M909" s="16">
        <f>ROUND(J909*K909*L909,2)</f>
        <v>2.23</v>
      </c>
      <c r="N909" s="16">
        <f>ROUND(J909*L909*12,2)</f>
        <v>2.98</v>
      </c>
      <c r="O909" s="14"/>
      <c r="P909" s="210" t="str">
        <f>VLOOKUP(C909,'WO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0" spans="1:18" ht="60" outlineLevel="2">
      <c r="A910" s="14" t="s">
        <v>17</v>
      </c>
      <c r="B910" s="15" t="s">
        <v>999</v>
      </c>
      <c r="C910" s="15" t="s">
        <v>1000</v>
      </c>
      <c r="D910" s="14" t="s">
        <v>1001</v>
      </c>
      <c r="E910" s="15" t="s">
        <v>176</v>
      </c>
      <c r="F910" s="14" t="s">
        <v>28</v>
      </c>
      <c r="G910" s="15" t="s">
        <v>23</v>
      </c>
      <c r="H910" s="15" t="s">
        <v>1525</v>
      </c>
      <c r="I910" s="15">
        <v>201410</v>
      </c>
      <c r="J910" s="16">
        <v>2626.89</v>
      </c>
      <c r="K910" s="171">
        <f>VLOOKUP(I910,$T$9:$U$23,2)</f>
        <v>8</v>
      </c>
      <c r="L910" s="17">
        <v>1.4833299999999999E-3</v>
      </c>
      <c r="M910" s="16">
        <f>ROUND(J910*K910*L910,2)</f>
        <v>31.17</v>
      </c>
      <c r="N910" s="16">
        <f>ROUND(J910*L910*12,2)</f>
        <v>46.76</v>
      </c>
      <c r="O910" s="14"/>
      <c r="P910" s="210" t="str">
        <f>VLOOKUP(C910,'WO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1" spans="1:18" ht="60" outlineLevel="2">
      <c r="A911" s="14" t="s">
        <v>17</v>
      </c>
      <c r="B911" s="15" t="s">
        <v>999</v>
      </c>
      <c r="C911" s="15" t="s">
        <v>1000</v>
      </c>
      <c r="D911" s="14" t="s">
        <v>1001</v>
      </c>
      <c r="E911" s="15" t="s">
        <v>176</v>
      </c>
      <c r="F911" s="14" t="s">
        <v>28</v>
      </c>
      <c r="G911" s="15" t="s">
        <v>23</v>
      </c>
      <c r="H911" s="15" t="s">
        <v>1525</v>
      </c>
      <c r="I911" s="15">
        <v>201411</v>
      </c>
      <c r="J911" s="16">
        <v>-626</v>
      </c>
      <c r="K911" s="171">
        <f>VLOOKUP(I911,$T$9:$U$23,2)</f>
        <v>7</v>
      </c>
      <c r="L911" s="17">
        <v>1.4833299999999999E-3</v>
      </c>
      <c r="M911" s="16">
        <f>ROUND(J911*K911*L911,2)</f>
        <v>-6.5</v>
      </c>
      <c r="N911" s="16">
        <f>ROUND(J911*L911*12,2)</f>
        <v>-11.14</v>
      </c>
      <c r="O911" s="14"/>
      <c r="P911" s="210" t="str">
        <f>VLOOKUP(C911,'WO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2" spans="1:18" ht="60" outlineLevel="2">
      <c r="A912" s="14" t="s">
        <v>17</v>
      </c>
      <c r="B912" s="15" t="s">
        <v>999</v>
      </c>
      <c r="C912" s="15" t="s">
        <v>1000</v>
      </c>
      <c r="D912" s="14" t="s">
        <v>1001</v>
      </c>
      <c r="E912" s="15" t="s">
        <v>176</v>
      </c>
      <c r="F912" s="14" t="s">
        <v>28</v>
      </c>
      <c r="G912" s="15" t="s">
        <v>23</v>
      </c>
      <c r="H912" s="15" t="s">
        <v>1525</v>
      </c>
      <c r="I912" s="15">
        <v>201412</v>
      </c>
      <c r="J912" s="16">
        <v>203.95</v>
      </c>
      <c r="K912" s="171">
        <f>VLOOKUP(I912,$T$9:$U$23,2)</f>
        <v>6</v>
      </c>
      <c r="L912" s="17">
        <v>1.4833299999999999E-3</v>
      </c>
      <c r="M912" s="16">
        <f>ROUND(J912*K912*L912,2)</f>
        <v>1.82</v>
      </c>
      <c r="N912" s="16">
        <f>ROUND(J912*L912*12,2)</f>
        <v>3.63</v>
      </c>
      <c r="O912" s="14"/>
      <c r="P912" s="210" t="str">
        <f>VLOOKUP(C912,'WO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3" spans="1:18" outlineLevel="1">
      <c r="A913" s="223"/>
      <c r="B913" s="250"/>
      <c r="C913" s="254" t="s">
        <v>2074</v>
      </c>
      <c r="D913" s="223"/>
      <c r="E913" s="250"/>
      <c r="F913" s="223"/>
      <c r="G913" s="250"/>
      <c r="H913" s="250"/>
      <c r="I913" s="250"/>
      <c r="J913" s="251">
        <f>SUBTOTAL(9,J909:J912)</f>
        <v>2372.0599999999995</v>
      </c>
      <c r="K913" s="252"/>
      <c r="L913" s="253"/>
      <c r="M913" s="251">
        <f>SUBTOTAL(9,M909:M912)</f>
        <v>28.72</v>
      </c>
      <c r="N913" s="251">
        <f>SUBTOTAL(9,N909:N912)</f>
        <v>42.23</v>
      </c>
      <c r="O913" s="223"/>
      <c r="P913" s="210"/>
      <c r="Q913" s="263" t="s">
        <v>2097</v>
      </c>
      <c r="R913" s="263" t="s">
        <v>2099</v>
      </c>
    </row>
    <row r="914" spans="1:18" ht="75" outlineLevel="2">
      <c r="A914" s="14" t="s">
        <v>54</v>
      </c>
      <c r="B914" s="15" t="s">
        <v>1002</v>
      </c>
      <c r="C914" s="15" t="s">
        <v>1003</v>
      </c>
      <c r="D914" s="14" t="s">
        <v>1004</v>
      </c>
      <c r="E914" s="15" t="s">
        <v>216</v>
      </c>
      <c r="F914" s="14" t="s">
        <v>22</v>
      </c>
      <c r="G914" s="15" t="s">
        <v>23</v>
      </c>
      <c r="H914" s="15" t="s">
        <v>1525</v>
      </c>
      <c r="I914" s="15">
        <v>201411</v>
      </c>
      <c r="J914" s="16">
        <v>19239.02</v>
      </c>
      <c r="K914" s="171">
        <f>VLOOKUP(I914,$T$9:$U$23,2)</f>
        <v>7</v>
      </c>
      <c r="L914" s="17">
        <v>1.4833299999999999E-3</v>
      </c>
      <c r="M914" s="16">
        <f>ROUND(J914*K914*L914,2)</f>
        <v>199.76</v>
      </c>
      <c r="N914" s="16">
        <f>ROUND(J914*L914*12,2)</f>
        <v>342.45</v>
      </c>
      <c r="O914" s="14"/>
      <c r="P914" s="210" t="str">
        <f>VLOOKUP(C914,'WO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915" spans="1:18" ht="75" outlineLevel="2">
      <c r="A915" s="14" t="s">
        <v>54</v>
      </c>
      <c r="B915" s="15" t="s">
        <v>1002</v>
      </c>
      <c r="C915" s="15" t="s">
        <v>1003</v>
      </c>
      <c r="D915" s="14" t="s">
        <v>1004</v>
      </c>
      <c r="E915" s="15" t="s">
        <v>216</v>
      </c>
      <c r="F915" s="14" t="s">
        <v>22</v>
      </c>
      <c r="G915" s="15" t="s">
        <v>23</v>
      </c>
      <c r="H915" s="15" t="s">
        <v>1525</v>
      </c>
      <c r="I915" s="15">
        <v>201412</v>
      </c>
      <c r="J915" s="16">
        <v>2460.33</v>
      </c>
      <c r="K915" s="171">
        <f>VLOOKUP(I915,$T$9:$U$23,2)</f>
        <v>6</v>
      </c>
      <c r="L915" s="17">
        <v>1.4833299999999999E-3</v>
      </c>
      <c r="M915" s="16">
        <f>ROUND(J915*K915*L915,2)</f>
        <v>21.9</v>
      </c>
      <c r="N915" s="16">
        <f>ROUND(J915*L915*12,2)</f>
        <v>43.79</v>
      </c>
      <c r="O915" s="14"/>
      <c r="P915" s="210" t="str">
        <f>VLOOKUP(C915,'WO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916" spans="1:18" outlineLevel="1">
      <c r="A916" s="223"/>
      <c r="B916" s="250"/>
      <c r="C916" s="254" t="s">
        <v>2075</v>
      </c>
      <c r="D916" s="223"/>
      <c r="E916" s="250"/>
      <c r="F916" s="223"/>
      <c r="G916" s="250"/>
      <c r="H916" s="250"/>
      <c r="I916" s="250"/>
      <c r="J916" s="251">
        <f>SUBTOTAL(9,J914:J915)</f>
        <v>21699.35</v>
      </c>
      <c r="K916" s="252"/>
      <c r="L916" s="253"/>
      <c r="M916" s="251">
        <f>SUBTOTAL(9,M914:M915)</f>
        <v>221.66</v>
      </c>
      <c r="N916" s="251">
        <f>SUBTOTAL(9,N914:N915)</f>
        <v>386.24</v>
      </c>
      <c r="O916" s="223"/>
      <c r="P916" s="210"/>
      <c r="Q916" s="263" t="s">
        <v>2097</v>
      </c>
      <c r="R916" s="263" t="s">
        <v>2098</v>
      </c>
    </row>
    <row r="917" spans="1:18" ht="45" outlineLevel="2">
      <c r="A917" s="14" t="s">
        <v>54</v>
      </c>
      <c r="B917" s="15" t="s">
        <v>1005</v>
      </c>
      <c r="C917" s="15" t="s">
        <v>1006</v>
      </c>
      <c r="D917" s="14" t="s">
        <v>1007</v>
      </c>
      <c r="E917" s="15" t="s">
        <v>141</v>
      </c>
      <c r="F917" s="14" t="s">
        <v>142</v>
      </c>
      <c r="G917" s="15" t="s">
        <v>23</v>
      </c>
      <c r="H917" s="15" t="s">
        <v>1525</v>
      </c>
      <c r="I917" s="15">
        <v>201410</v>
      </c>
      <c r="J917" s="16">
        <v>28474.67</v>
      </c>
      <c r="K917" s="171">
        <f>VLOOKUP(I917,$T$9:$U$23,2)</f>
        <v>8</v>
      </c>
      <c r="L917" s="17">
        <v>1.4833299999999999E-3</v>
      </c>
      <c r="M917" s="16">
        <f>ROUND(J917*K917*L917,2)</f>
        <v>337.9</v>
      </c>
      <c r="N917" s="16">
        <f>ROUND(J917*L917*12,2)</f>
        <v>506.85</v>
      </c>
      <c r="O917" s="14"/>
      <c r="P917" s="210" t="str">
        <f>VLOOKUP(C917,'WO Descriptions'!$A$5:$D$345,4)</f>
        <v>Approved by: Gary Williams on 09/08/2014,  AOR.  This job must be completed by Dec. 12, 2014.  Replace 65ft of 6in CI with 6in PE due to 29' of exposed pipe.  CI pipe was exposed from 6' NSCB TO 23' SSCB of 29th Street.  No services to tie over.</v>
      </c>
    </row>
    <row r="918" spans="1:18" ht="45" outlineLevel="2">
      <c r="A918" s="14" t="s">
        <v>54</v>
      </c>
      <c r="B918" s="15" t="s">
        <v>1005</v>
      </c>
      <c r="C918" s="15" t="s">
        <v>1006</v>
      </c>
      <c r="D918" s="14" t="s">
        <v>1007</v>
      </c>
      <c r="E918" s="15" t="s">
        <v>141</v>
      </c>
      <c r="F918" s="14" t="s">
        <v>142</v>
      </c>
      <c r="G918" s="15" t="s">
        <v>23</v>
      </c>
      <c r="H918" s="15" t="s">
        <v>1525</v>
      </c>
      <c r="I918" s="15">
        <v>201411</v>
      </c>
      <c r="J918" s="16">
        <v>8538.86</v>
      </c>
      <c r="K918" s="171">
        <f>VLOOKUP(I918,$T$9:$U$23,2)</f>
        <v>7</v>
      </c>
      <c r="L918" s="17">
        <v>1.4833299999999999E-3</v>
      </c>
      <c r="M918" s="16">
        <f>ROUND(J918*K918*L918,2)</f>
        <v>88.66</v>
      </c>
      <c r="N918" s="16">
        <f>ROUND(J918*L918*12,2)</f>
        <v>151.99</v>
      </c>
      <c r="O918" s="14"/>
      <c r="P918" s="210" t="str">
        <f>VLOOKUP(C918,'WO Descriptions'!$A$5:$D$345,4)</f>
        <v>Approved by: Gary Williams on 09/08/2014,  AOR.  This job must be completed by Dec. 12, 2014.  Replace 65ft of 6in CI with 6in PE due to 29' of exposed pipe.  CI pipe was exposed from 6' NSCB TO 23' SSCB of 29th Street.  No services to tie over.</v>
      </c>
    </row>
    <row r="919" spans="1:18" ht="45" outlineLevel="2">
      <c r="A919" s="14" t="s">
        <v>54</v>
      </c>
      <c r="B919" s="15" t="s">
        <v>1005</v>
      </c>
      <c r="C919" s="15" t="s">
        <v>1006</v>
      </c>
      <c r="D919" s="14" t="s">
        <v>1007</v>
      </c>
      <c r="E919" s="15" t="s">
        <v>141</v>
      </c>
      <c r="F919" s="14" t="s">
        <v>142</v>
      </c>
      <c r="G919" s="15" t="s">
        <v>23</v>
      </c>
      <c r="H919" s="15" t="s">
        <v>1525</v>
      </c>
      <c r="I919" s="15">
        <v>201412</v>
      </c>
      <c r="J919" s="16">
        <v>-2188.61</v>
      </c>
      <c r="K919" s="171">
        <f>VLOOKUP(I919,$T$9:$U$23,2)</f>
        <v>6</v>
      </c>
      <c r="L919" s="17">
        <v>1.4833299999999999E-3</v>
      </c>
      <c r="M919" s="16">
        <f>ROUND(J919*K919*L919,2)</f>
        <v>-19.48</v>
      </c>
      <c r="N919" s="16">
        <f>ROUND(J919*L919*12,2)</f>
        <v>-38.96</v>
      </c>
      <c r="O919" s="14"/>
      <c r="P919" s="210" t="str">
        <f>VLOOKUP(C919,'WO Descriptions'!$A$5:$D$345,4)</f>
        <v>Approved by: Gary Williams on 09/08/2014,  AOR.  This job must be completed by Dec. 12, 2014.  Replace 65ft of 6in CI with 6in PE due to 29' of exposed pipe.  CI pipe was exposed from 6' NSCB TO 23' SSCB of 29th Street.  No services to tie over.</v>
      </c>
    </row>
    <row r="920" spans="1:18" outlineLevel="1">
      <c r="A920" s="223"/>
      <c r="B920" s="250"/>
      <c r="C920" s="254" t="s">
        <v>2076</v>
      </c>
      <c r="D920" s="223"/>
      <c r="E920" s="250"/>
      <c r="F920" s="223"/>
      <c r="G920" s="250"/>
      <c r="H920" s="250"/>
      <c r="I920" s="250"/>
      <c r="J920" s="251">
        <f>SUBTOTAL(9,J917:J919)</f>
        <v>34824.92</v>
      </c>
      <c r="K920" s="252"/>
      <c r="L920" s="253"/>
      <c r="M920" s="251">
        <f>SUBTOTAL(9,M917:M919)</f>
        <v>407.07999999999993</v>
      </c>
      <c r="N920" s="251">
        <f>SUBTOTAL(9,N917:N919)</f>
        <v>619.88</v>
      </c>
      <c r="O920" s="223"/>
      <c r="P920" s="210"/>
      <c r="Q920" s="263" t="s">
        <v>2097</v>
      </c>
      <c r="R920" s="263" t="s">
        <v>2100</v>
      </c>
    </row>
    <row r="921" spans="1:18" ht="45" outlineLevel="2">
      <c r="A921" s="14" t="s">
        <v>54</v>
      </c>
      <c r="B921" s="15" t="s">
        <v>1008</v>
      </c>
      <c r="C921" s="15" t="s">
        <v>1009</v>
      </c>
      <c r="D921" s="14" t="s">
        <v>1010</v>
      </c>
      <c r="E921" s="15" t="s">
        <v>49</v>
      </c>
      <c r="F921" s="14" t="s">
        <v>22</v>
      </c>
      <c r="G921" s="15" t="s">
        <v>23</v>
      </c>
      <c r="H921" s="15" t="s">
        <v>1525</v>
      </c>
      <c r="I921" s="15">
        <v>201409</v>
      </c>
      <c r="J921" s="16">
        <v>428.36</v>
      </c>
      <c r="K921" s="171">
        <f>VLOOKUP(I921,$T$9:$U$23,2)</f>
        <v>9</v>
      </c>
      <c r="L921" s="17">
        <v>1.4833299999999999E-3</v>
      </c>
      <c r="M921" s="16">
        <f>ROUND(J921*K921*L921,2)</f>
        <v>5.72</v>
      </c>
      <c r="N921" s="16">
        <f>ROUND(J921*L921*12,2)</f>
        <v>7.62</v>
      </c>
      <c r="O921" s="14"/>
      <c r="P921" s="210" t="str">
        <f>VLOOKUP(C921,'WO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2" spans="1:18" ht="45" outlineLevel="2">
      <c r="A922" s="14" t="s">
        <v>54</v>
      </c>
      <c r="B922" s="15" t="s">
        <v>1008</v>
      </c>
      <c r="C922" s="15" t="s">
        <v>1009</v>
      </c>
      <c r="D922" s="14" t="s">
        <v>1010</v>
      </c>
      <c r="E922" s="15" t="s">
        <v>49</v>
      </c>
      <c r="F922" s="14" t="s">
        <v>22</v>
      </c>
      <c r="G922" s="15" t="s">
        <v>23</v>
      </c>
      <c r="H922" s="15" t="s">
        <v>1525</v>
      </c>
      <c r="I922" s="15">
        <v>201410</v>
      </c>
      <c r="J922" s="16">
        <v>19575.849999999999</v>
      </c>
      <c r="K922" s="171">
        <f>VLOOKUP(I922,$T$9:$U$23,2)</f>
        <v>8</v>
      </c>
      <c r="L922" s="17">
        <v>1.4833299999999999E-3</v>
      </c>
      <c r="M922" s="16">
        <f>ROUND(J922*K922*L922,2)</f>
        <v>232.3</v>
      </c>
      <c r="N922" s="16">
        <f>ROUND(J922*L922*12,2)</f>
        <v>348.45</v>
      </c>
      <c r="O922" s="14"/>
      <c r="P922" s="210" t="str">
        <f>VLOOKUP(C922,'WO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3" spans="1:18" ht="45" outlineLevel="2">
      <c r="A923" s="14" t="s">
        <v>54</v>
      </c>
      <c r="B923" s="15" t="s">
        <v>1008</v>
      </c>
      <c r="C923" s="15" t="s">
        <v>1009</v>
      </c>
      <c r="D923" s="14" t="s">
        <v>1010</v>
      </c>
      <c r="E923" s="15" t="s">
        <v>49</v>
      </c>
      <c r="F923" s="14" t="s">
        <v>22</v>
      </c>
      <c r="G923" s="15" t="s">
        <v>23</v>
      </c>
      <c r="H923" s="15" t="s">
        <v>1525</v>
      </c>
      <c r="I923" s="15">
        <v>201411</v>
      </c>
      <c r="J923" s="16">
        <v>-4489.25</v>
      </c>
      <c r="K923" s="171">
        <f>VLOOKUP(I923,$T$9:$U$23,2)</f>
        <v>7</v>
      </c>
      <c r="L923" s="17">
        <v>1.4833299999999999E-3</v>
      </c>
      <c r="M923" s="16">
        <f>ROUND(J923*K923*L923,2)</f>
        <v>-46.61</v>
      </c>
      <c r="N923" s="16">
        <f>ROUND(J923*L923*12,2)</f>
        <v>-79.91</v>
      </c>
      <c r="O923" s="14"/>
      <c r="P923" s="210" t="str">
        <f>VLOOKUP(C923,'WO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4" spans="1:18" ht="45" outlineLevel="2">
      <c r="A924" s="14" t="s">
        <v>54</v>
      </c>
      <c r="B924" s="15" t="s">
        <v>1008</v>
      </c>
      <c r="C924" s="15" t="s">
        <v>1009</v>
      </c>
      <c r="D924" s="14" t="s">
        <v>1010</v>
      </c>
      <c r="E924" s="15" t="s">
        <v>49</v>
      </c>
      <c r="F924" s="14" t="s">
        <v>22</v>
      </c>
      <c r="G924" s="15" t="s">
        <v>23</v>
      </c>
      <c r="H924" s="15" t="s">
        <v>1525</v>
      </c>
      <c r="I924" s="15">
        <v>201412</v>
      </c>
      <c r="J924" s="16">
        <v>2556.02</v>
      </c>
      <c r="K924" s="171">
        <f>VLOOKUP(I924,$T$9:$U$23,2)</f>
        <v>6</v>
      </c>
      <c r="L924" s="17">
        <v>1.4833299999999999E-3</v>
      </c>
      <c r="M924" s="16">
        <f>ROUND(J924*K924*L924,2)</f>
        <v>22.75</v>
      </c>
      <c r="N924" s="16">
        <f>ROUND(J924*L924*12,2)</f>
        <v>45.5</v>
      </c>
      <c r="O924" s="14"/>
      <c r="P924" s="210" t="str">
        <f>VLOOKUP(C924,'WO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5" spans="1:18" outlineLevel="1">
      <c r="A925" s="223"/>
      <c r="B925" s="250"/>
      <c r="C925" s="254" t="s">
        <v>2077</v>
      </c>
      <c r="D925" s="223"/>
      <c r="E925" s="250"/>
      <c r="F925" s="223"/>
      <c r="G925" s="250"/>
      <c r="H925" s="250"/>
      <c r="I925" s="250"/>
      <c r="J925" s="251">
        <f>SUBTOTAL(9,J921:J924)</f>
        <v>18070.98</v>
      </c>
      <c r="K925" s="252"/>
      <c r="L925" s="253"/>
      <c r="M925" s="251">
        <f>SUBTOTAL(9,M921:M924)</f>
        <v>214.16000000000003</v>
      </c>
      <c r="N925" s="251">
        <f>SUBTOTAL(9,N921:N924)</f>
        <v>321.65999999999997</v>
      </c>
      <c r="O925" s="223"/>
      <c r="P925" s="210"/>
      <c r="Q925" s="263" t="s">
        <v>2097</v>
      </c>
      <c r="R925" s="263" t="s">
        <v>2098</v>
      </c>
    </row>
    <row r="926" spans="1:18" ht="30" outlineLevel="2">
      <c r="A926" s="14" t="s">
        <v>54</v>
      </c>
      <c r="B926" s="15" t="s">
        <v>1011</v>
      </c>
      <c r="C926" s="15" t="s">
        <v>1012</v>
      </c>
      <c r="D926" s="14" t="s">
        <v>1013</v>
      </c>
      <c r="E926" s="15" t="s">
        <v>21</v>
      </c>
      <c r="F926" s="14" t="s">
        <v>22</v>
      </c>
      <c r="G926" s="15" t="s">
        <v>23</v>
      </c>
      <c r="H926" s="15" t="s">
        <v>1525</v>
      </c>
      <c r="I926" s="15">
        <v>201409</v>
      </c>
      <c r="J926" s="16">
        <v>4250.08</v>
      </c>
      <c r="K926" s="171">
        <f>VLOOKUP(I926,$T$9:$U$23,2)</f>
        <v>9</v>
      </c>
      <c r="L926" s="17">
        <v>1.4833299999999999E-3</v>
      </c>
      <c r="M926" s="16">
        <f>ROUND(J926*K926*L926,2)</f>
        <v>56.74</v>
      </c>
      <c r="N926" s="16">
        <f>ROUND(J926*L926*12,2)</f>
        <v>75.650000000000006</v>
      </c>
      <c r="O926" s="14"/>
      <c r="P926" s="210" t="str">
        <f>VLOOKUP(C926,'WO Descriptions'!$A$5:$D$345,4)</f>
        <v>Approved by: Gary Williams on 09/12/2014,  Replaced 2'' PBS with 2'' PE due to 3rd party damage. Pressure system C-045.</v>
      </c>
    </row>
    <row r="927" spans="1:18" outlineLevel="1">
      <c r="A927" s="223"/>
      <c r="B927" s="250"/>
      <c r="C927" s="254" t="s">
        <v>2078</v>
      </c>
      <c r="D927" s="223"/>
      <c r="E927" s="250"/>
      <c r="F927" s="223"/>
      <c r="G927" s="250"/>
      <c r="H927" s="250"/>
      <c r="I927" s="250"/>
      <c r="J927" s="251">
        <f>SUBTOTAL(9,J926:J926)</f>
        <v>4250.08</v>
      </c>
      <c r="K927" s="252"/>
      <c r="L927" s="253"/>
      <c r="M927" s="251">
        <f>SUBTOTAL(9,M926:M926)</f>
        <v>56.74</v>
      </c>
      <c r="N927" s="251">
        <f>SUBTOTAL(9,N926:N926)</f>
        <v>75.650000000000006</v>
      </c>
      <c r="O927" s="223"/>
      <c r="P927" s="210"/>
      <c r="Q927" s="263" t="s">
        <v>2097</v>
      </c>
      <c r="R927" s="263" t="s">
        <v>2098</v>
      </c>
    </row>
    <row r="928" spans="1:18" ht="45" outlineLevel="2">
      <c r="A928" s="14" t="s">
        <v>17</v>
      </c>
      <c r="B928" s="15" t="s">
        <v>1066</v>
      </c>
      <c r="C928" s="15" t="s">
        <v>1067</v>
      </c>
      <c r="D928" s="14" t="s">
        <v>1068</v>
      </c>
      <c r="E928" s="15" t="s">
        <v>567</v>
      </c>
      <c r="F928" s="14" t="s">
        <v>137</v>
      </c>
      <c r="G928" s="15" t="s">
        <v>23</v>
      </c>
      <c r="H928" s="15" t="s">
        <v>1526</v>
      </c>
      <c r="I928" s="15">
        <v>201412</v>
      </c>
      <c r="J928" s="16">
        <v>105895.42</v>
      </c>
      <c r="K928" s="171">
        <f>VLOOKUP(I928,$T$9:$U$23,2)</f>
        <v>6</v>
      </c>
      <c r="L928" s="17">
        <v>1.4833299999999999E-3</v>
      </c>
      <c r="M928" s="16">
        <f>ROUND(J928*K928*L928,2)</f>
        <v>942.47</v>
      </c>
      <c r="N928" s="16">
        <f>ROUND(J928*L928*12,2)</f>
        <v>1884.93</v>
      </c>
      <c r="O928" s="14"/>
      <c r="P928" s="210" t="str">
        <f>VLOOKUP(C928,'WO Descriptions'!$A$5:$D$345,4)</f>
        <v>Approved by: Gary Williams on 09/15/2014,  ISRS Replace 220'-8in PBS with 8in thin film due to exposed pipe, existing retaining wall to be torn down and rebuilt.  Pipe will need to be bored due to existing retaining wall.  This is a high pressure main at MOP=90#.</v>
      </c>
    </row>
    <row r="929" spans="1:18" outlineLevel="1">
      <c r="A929" s="223"/>
      <c r="B929" s="250"/>
      <c r="C929" s="254" t="s">
        <v>2079</v>
      </c>
      <c r="D929" s="223"/>
      <c r="E929" s="250"/>
      <c r="F929" s="223"/>
      <c r="G929" s="250"/>
      <c r="H929" s="250"/>
      <c r="I929" s="250"/>
      <c r="J929" s="251">
        <f>SUBTOTAL(9,J928:J928)</f>
        <v>105895.42</v>
      </c>
      <c r="K929" s="252"/>
      <c r="L929" s="253"/>
      <c r="M929" s="251">
        <f>SUBTOTAL(9,M928:M928)</f>
        <v>942.47</v>
      </c>
      <c r="N929" s="251">
        <f>SUBTOTAL(9,N928:N928)</f>
        <v>1884.93</v>
      </c>
      <c r="O929" s="223"/>
      <c r="P929" s="210"/>
      <c r="Q929" s="263" t="s">
        <v>2096</v>
      </c>
    </row>
    <row r="930" spans="1:18" ht="45" outlineLevel="2">
      <c r="A930" s="14" t="s">
        <v>54</v>
      </c>
      <c r="B930" s="15" t="s">
        <v>1014</v>
      </c>
      <c r="C930" s="15" t="s">
        <v>1015</v>
      </c>
      <c r="D930" s="14" t="s">
        <v>1016</v>
      </c>
      <c r="E930" s="15" t="s">
        <v>296</v>
      </c>
      <c r="F930" s="14" t="s">
        <v>28</v>
      </c>
      <c r="G930" s="15" t="s">
        <v>23</v>
      </c>
      <c r="H930" s="15" t="s">
        <v>1525</v>
      </c>
      <c r="I930" s="15">
        <v>201410</v>
      </c>
      <c r="J930" s="16">
        <v>8804.85</v>
      </c>
      <c r="K930" s="171">
        <f>VLOOKUP(I930,$T$9:$U$23,2)</f>
        <v>8</v>
      </c>
      <c r="L930" s="17">
        <v>1.4833299999999999E-3</v>
      </c>
      <c r="M930" s="16">
        <f>ROUND(J930*K930*L930,2)</f>
        <v>104.48</v>
      </c>
      <c r="N930" s="16">
        <f>ROUND(J930*L930*12,2)</f>
        <v>156.72999999999999</v>
      </c>
      <c r="O930" s="14"/>
      <c r="P930" s="210" t="str">
        <f>VLOOKUP(C930,'WO Descriptions'!$A$5:$D$345,4)</f>
        <v>Approved by: Galen Shoemaker on 09/15/2014,  Lower 167' - 2" PE main (WO#: 92-6050) due to construction over shallow main. Project Location: Doughboy Dr North of 32nd St; Pressure System: C-1; MOP: 58 psig; MAOP: 58 psig; Design: 58 psig; Test: 100 psig; $34.34/ft</v>
      </c>
    </row>
    <row r="931" spans="1:18" ht="45" outlineLevel="2">
      <c r="A931" s="14" t="s">
        <v>54</v>
      </c>
      <c r="B931" s="15" t="s">
        <v>1014</v>
      </c>
      <c r="C931" s="15" t="s">
        <v>1015</v>
      </c>
      <c r="D931" s="14" t="s">
        <v>1016</v>
      </c>
      <c r="E931" s="15" t="s">
        <v>296</v>
      </c>
      <c r="F931" s="14" t="s">
        <v>28</v>
      </c>
      <c r="G931" s="15" t="s">
        <v>23</v>
      </c>
      <c r="H931" s="15" t="s">
        <v>1525</v>
      </c>
      <c r="I931" s="15">
        <v>201411</v>
      </c>
      <c r="J931" s="16">
        <v>-4496.3500000000004</v>
      </c>
      <c r="K931" s="171">
        <f>VLOOKUP(I931,$T$9:$U$23,2)</f>
        <v>7</v>
      </c>
      <c r="L931" s="17">
        <v>1.4833299999999999E-3</v>
      </c>
      <c r="M931" s="16">
        <f>ROUND(J931*K931*L931,2)</f>
        <v>-46.69</v>
      </c>
      <c r="N931" s="16">
        <f>ROUND(J931*L931*12,2)</f>
        <v>-80.03</v>
      </c>
      <c r="O931" s="14"/>
      <c r="P931" s="210" t="str">
        <f>VLOOKUP(C931,'WO Descriptions'!$A$5:$D$345,4)</f>
        <v>Approved by: Galen Shoemaker on 09/15/2014,  Lower 167' - 2" PE main (WO#: 92-6050) due to construction over shallow main. Project Location: Doughboy Dr North of 32nd St; Pressure System: C-1; MOP: 58 psig; MAOP: 58 psig; Design: 58 psig; Test: 100 psig; $34.34/ft</v>
      </c>
    </row>
    <row r="932" spans="1:18" ht="45" outlineLevel="2">
      <c r="A932" s="14" t="s">
        <v>54</v>
      </c>
      <c r="B932" s="15" t="s">
        <v>1014</v>
      </c>
      <c r="C932" s="15" t="s">
        <v>1015</v>
      </c>
      <c r="D932" s="14" t="s">
        <v>1016</v>
      </c>
      <c r="E932" s="15" t="s">
        <v>296</v>
      </c>
      <c r="F932" s="14" t="s">
        <v>28</v>
      </c>
      <c r="G932" s="15" t="s">
        <v>23</v>
      </c>
      <c r="H932" s="15" t="s">
        <v>1525</v>
      </c>
      <c r="I932" s="15">
        <v>201412</v>
      </c>
      <c r="J932" s="16">
        <v>133.1</v>
      </c>
      <c r="K932" s="171">
        <f>VLOOKUP(I932,$T$9:$U$23,2)</f>
        <v>6</v>
      </c>
      <c r="L932" s="17">
        <v>1.4833299999999999E-3</v>
      </c>
      <c r="M932" s="16">
        <f>ROUND(J932*K932*L932,2)</f>
        <v>1.18</v>
      </c>
      <c r="N932" s="16">
        <f>ROUND(J932*L932*12,2)</f>
        <v>2.37</v>
      </c>
      <c r="O932" s="14"/>
      <c r="P932" s="210" t="str">
        <f>VLOOKUP(C932,'WO Descriptions'!$A$5:$D$345,4)</f>
        <v>Approved by: Galen Shoemaker on 09/15/2014,  Lower 167' - 2" PE main (WO#: 92-6050) due to construction over shallow main. Project Location: Doughboy Dr North of 32nd St; Pressure System: C-1; MOP: 58 psig; MAOP: 58 psig; Design: 58 psig; Test: 100 psig; $34.34/ft</v>
      </c>
    </row>
    <row r="933" spans="1:18" outlineLevel="1">
      <c r="A933" s="223"/>
      <c r="B933" s="250"/>
      <c r="C933" s="254" t="s">
        <v>2080</v>
      </c>
      <c r="D933" s="223"/>
      <c r="E933" s="250"/>
      <c r="F933" s="223"/>
      <c r="G933" s="250"/>
      <c r="H933" s="250"/>
      <c r="I933" s="250"/>
      <c r="J933" s="251">
        <f>SUBTOTAL(9,J930:J932)</f>
        <v>4441.6000000000004</v>
      </c>
      <c r="K933" s="252"/>
      <c r="L933" s="253"/>
      <c r="M933" s="251">
        <f>SUBTOTAL(9,M930:M932)</f>
        <v>58.970000000000006</v>
      </c>
      <c r="N933" s="251">
        <f>SUBTOTAL(9,N930:N932)</f>
        <v>79.069999999999993</v>
      </c>
      <c r="O933" s="223"/>
      <c r="P933" s="210"/>
      <c r="Q933" s="263" t="s">
        <v>2097</v>
      </c>
      <c r="R933" s="263" t="s">
        <v>2099</v>
      </c>
    </row>
    <row r="934" spans="1:18" ht="45" outlineLevel="2">
      <c r="A934" s="14" t="s">
        <v>54</v>
      </c>
      <c r="B934" s="15" t="s">
        <v>1017</v>
      </c>
      <c r="C934" s="15" t="s">
        <v>1018</v>
      </c>
      <c r="D934" s="14" t="s">
        <v>1019</v>
      </c>
      <c r="E934" s="15" t="s">
        <v>1020</v>
      </c>
      <c r="F934" s="14" t="s">
        <v>22</v>
      </c>
      <c r="G934" s="15" t="s">
        <v>23</v>
      </c>
      <c r="H934" s="15" t="s">
        <v>1525</v>
      </c>
      <c r="I934" s="15">
        <v>201410</v>
      </c>
      <c r="J934" s="16">
        <v>6323.2</v>
      </c>
      <c r="K934" s="171">
        <f>VLOOKUP(I934,$T$9:$U$23,2)</f>
        <v>8</v>
      </c>
      <c r="L934" s="17">
        <v>1.4833299999999999E-3</v>
      </c>
      <c r="M934" s="16">
        <f>ROUND(J934*K934*L934,2)</f>
        <v>75.040000000000006</v>
      </c>
      <c r="N934" s="16">
        <f>ROUND(J934*L934*12,2)</f>
        <v>112.55</v>
      </c>
      <c r="O934" s="14"/>
      <c r="P934" s="210" t="str">
        <f>VLOOKUP(C934,'WO Descriptions'!$A$5:$D$345,4)</f>
        <v>Approved by: Galen Shoemaker on 09/18/2014,  Lay 479ft of 2in Plastic Main to replace 391ft of 2in PBS from WO JO10B and 86ft of 2in CS from WO 66-7352 and 2'-2" PE from 82-0762. MOP=20# MAOP=20# TEST=100# SYSTEM=S-1</v>
      </c>
    </row>
    <row r="935" spans="1:18" ht="45" outlineLevel="2">
      <c r="A935" s="14" t="s">
        <v>54</v>
      </c>
      <c r="B935" s="15" t="s">
        <v>1017</v>
      </c>
      <c r="C935" s="15" t="s">
        <v>1018</v>
      </c>
      <c r="D935" s="14" t="s">
        <v>1019</v>
      </c>
      <c r="E935" s="15" t="s">
        <v>1020</v>
      </c>
      <c r="F935" s="14" t="s">
        <v>22</v>
      </c>
      <c r="G935" s="15" t="s">
        <v>23</v>
      </c>
      <c r="H935" s="15" t="s">
        <v>1525</v>
      </c>
      <c r="I935" s="15">
        <v>201411</v>
      </c>
      <c r="J935" s="16">
        <v>5145.3999999999996</v>
      </c>
      <c r="K935" s="171">
        <f>VLOOKUP(I935,$T$9:$U$23,2)</f>
        <v>7</v>
      </c>
      <c r="L935" s="17">
        <v>1.4833299999999999E-3</v>
      </c>
      <c r="M935" s="16">
        <f>ROUND(J935*K935*L935,2)</f>
        <v>53.43</v>
      </c>
      <c r="N935" s="16">
        <f>ROUND(J935*L935*12,2)</f>
        <v>91.59</v>
      </c>
      <c r="O935" s="14"/>
      <c r="P935" s="210" t="str">
        <f>VLOOKUP(C935,'WO Descriptions'!$A$5:$D$345,4)</f>
        <v>Approved by: Galen Shoemaker on 09/18/2014,  Lay 479ft of 2in Plastic Main to replace 391ft of 2in PBS from WO JO10B and 86ft of 2in CS from WO 66-7352 and 2'-2" PE from 82-0762. MOP=20# MAOP=20# TEST=100# SYSTEM=S-1</v>
      </c>
    </row>
    <row r="936" spans="1:18" ht="45" outlineLevel="2">
      <c r="A936" s="14" t="s">
        <v>54</v>
      </c>
      <c r="B936" s="15" t="s">
        <v>1017</v>
      </c>
      <c r="C936" s="15" t="s">
        <v>1018</v>
      </c>
      <c r="D936" s="14" t="s">
        <v>1019</v>
      </c>
      <c r="E936" s="15" t="s">
        <v>1020</v>
      </c>
      <c r="F936" s="14" t="s">
        <v>22</v>
      </c>
      <c r="G936" s="15" t="s">
        <v>23</v>
      </c>
      <c r="H936" s="15" t="s">
        <v>1525</v>
      </c>
      <c r="I936" s="15">
        <v>201412</v>
      </c>
      <c r="J936" s="16">
        <v>2679.48</v>
      </c>
      <c r="K936" s="171">
        <f>VLOOKUP(I936,$T$9:$U$23,2)</f>
        <v>6</v>
      </c>
      <c r="L936" s="17">
        <v>1.4833299999999999E-3</v>
      </c>
      <c r="M936" s="16">
        <f>ROUND(J936*K936*L936,2)</f>
        <v>23.85</v>
      </c>
      <c r="N936" s="16">
        <f>ROUND(J936*L936*12,2)</f>
        <v>47.69</v>
      </c>
      <c r="O936" s="14"/>
      <c r="P936" s="210" t="str">
        <f>VLOOKUP(C936,'WO Descriptions'!$A$5:$D$345,4)</f>
        <v>Approved by: Galen Shoemaker on 09/18/2014,  Lay 479ft of 2in Plastic Main to replace 391ft of 2in PBS from WO JO10B and 86ft of 2in CS from WO 66-7352 and 2'-2" PE from 82-0762. MOP=20# MAOP=20# TEST=100# SYSTEM=S-1</v>
      </c>
    </row>
    <row r="937" spans="1:18" outlineLevel="1">
      <c r="A937" s="223"/>
      <c r="B937" s="250"/>
      <c r="C937" s="254" t="s">
        <v>2081</v>
      </c>
      <c r="D937" s="223"/>
      <c r="E937" s="250"/>
      <c r="F937" s="223"/>
      <c r="G937" s="250"/>
      <c r="H937" s="250"/>
      <c r="I937" s="250"/>
      <c r="J937" s="251">
        <f>SUBTOTAL(9,J934:J936)</f>
        <v>14148.079999999998</v>
      </c>
      <c r="K937" s="252"/>
      <c r="L937" s="253"/>
      <c r="M937" s="251">
        <f>SUBTOTAL(9,M934:M936)</f>
        <v>152.32</v>
      </c>
      <c r="N937" s="251">
        <f>SUBTOTAL(9,N934:N936)</f>
        <v>251.82999999999998</v>
      </c>
      <c r="O937" s="223"/>
      <c r="P937" s="210"/>
      <c r="Q937" s="263" t="s">
        <v>2097</v>
      </c>
      <c r="R937" s="263" t="s">
        <v>2098</v>
      </c>
    </row>
    <row r="938" spans="1:18" ht="75" outlineLevel="2">
      <c r="A938" s="14" t="s">
        <v>54</v>
      </c>
      <c r="B938" s="15" t="s">
        <v>1069</v>
      </c>
      <c r="C938" s="15" t="s">
        <v>1070</v>
      </c>
      <c r="D938" s="14" t="s">
        <v>1071</v>
      </c>
      <c r="E938" s="15" t="s">
        <v>296</v>
      </c>
      <c r="F938" s="14" t="s">
        <v>28</v>
      </c>
      <c r="G938" s="15" t="s">
        <v>23</v>
      </c>
      <c r="H938" s="15" t="s">
        <v>1525</v>
      </c>
      <c r="I938" s="15">
        <v>201412</v>
      </c>
      <c r="J938" s="16">
        <v>-310.58999999999997</v>
      </c>
      <c r="K938" s="171">
        <f>VLOOKUP(I938,$T$9:$U$23,2)</f>
        <v>6</v>
      </c>
      <c r="L938" s="17">
        <v>1.4833299999999999E-3</v>
      </c>
      <c r="M938" s="16">
        <f>ROUND(J938*K938*L938,2)</f>
        <v>-2.76</v>
      </c>
      <c r="N938" s="16">
        <f>ROUND(J938*L938*12,2)</f>
        <v>-5.53</v>
      </c>
      <c r="O938" s="14"/>
      <c r="P938" s="210" t="str">
        <f>VLOOKUP(C938,'WO Descriptions'!$A$5:$D$345,4)</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row>
    <row r="939" spans="1:18" outlineLevel="1">
      <c r="A939" s="223"/>
      <c r="B939" s="250"/>
      <c r="C939" s="254" t="s">
        <v>2082</v>
      </c>
      <c r="D939" s="223"/>
      <c r="E939" s="250"/>
      <c r="F939" s="223"/>
      <c r="G939" s="250"/>
      <c r="H939" s="250"/>
      <c r="I939" s="250"/>
      <c r="J939" s="251">
        <f>SUBTOTAL(9,J938:J938)</f>
        <v>-310.58999999999997</v>
      </c>
      <c r="K939" s="252"/>
      <c r="L939" s="253"/>
      <c r="M939" s="251">
        <f>SUBTOTAL(9,M938:M938)</f>
        <v>-2.76</v>
      </c>
      <c r="N939" s="251">
        <f>SUBTOTAL(9,N938:N938)</f>
        <v>-5.53</v>
      </c>
      <c r="O939" s="223"/>
      <c r="P939" s="210"/>
      <c r="Q939" s="263" t="s">
        <v>2097</v>
      </c>
      <c r="R939" s="263" t="s">
        <v>2099</v>
      </c>
    </row>
    <row r="940" spans="1:18" ht="180" outlineLevel="2">
      <c r="A940" s="14" t="s">
        <v>54</v>
      </c>
      <c r="B940" s="15" t="s">
        <v>1072</v>
      </c>
      <c r="C940" s="15" t="s">
        <v>1073</v>
      </c>
      <c r="D940" s="14" t="s">
        <v>1074</v>
      </c>
      <c r="E940" s="15" t="s">
        <v>296</v>
      </c>
      <c r="F940" s="14" t="s">
        <v>28</v>
      </c>
      <c r="G940" s="15" t="s">
        <v>23</v>
      </c>
      <c r="H940" s="15" t="s">
        <v>1525</v>
      </c>
      <c r="I940" s="15">
        <v>201412</v>
      </c>
      <c r="J940" s="16">
        <v>24647.69</v>
      </c>
      <c r="K940" s="171">
        <f>VLOOKUP(I940,$T$9:$U$23,2)</f>
        <v>6</v>
      </c>
      <c r="L940" s="17">
        <v>1.4833299999999999E-3</v>
      </c>
      <c r="M940" s="16">
        <f>ROUND(J940*K940*L940,2)</f>
        <v>219.36</v>
      </c>
      <c r="N940" s="16">
        <f>ROUND(J940*L940*12,2)</f>
        <v>438.73</v>
      </c>
      <c r="O940" s="14"/>
      <c r="P940" s="210" t="str">
        <f>VLOOKUP(C940,'WO Descriptions'!$A$5:$D$345,4)</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row>
    <row r="941" spans="1:18" outlineLevel="1">
      <c r="A941" s="223"/>
      <c r="B941" s="250"/>
      <c r="C941" s="254" t="s">
        <v>2083</v>
      </c>
      <c r="D941" s="223"/>
      <c r="E941" s="250"/>
      <c r="F941" s="223"/>
      <c r="G941" s="250"/>
      <c r="H941" s="250"/>
      <c r="I941" s="250"/>
      <c r="J941" s="251">
        <f>SUBTOTAL(9,J940:J940)</f>
        <v>24647.69</v>
      </c>
      <c r="K941" s="252"/>
      <c r="L941" s="253"/>
      <c r="M941" s="251">
        <f>SUBTOTAL(9,M940:M940)</f>
        <v>219.36</v>
      </c>
      <c r="N941" s="251">
        <f>SUBTOTAL(9,N940:N940)</f>
        <v>438.73</v>
      </c>
      <c r="O941" s="223"/>
      <c r="P941" s="210"/>
      <c r="Q941" s="263" t="s">
        <v>2097</v>
      </c>
      <c r="R941" s="263" t="s">
        <v>2099</v>
      </c>
    </row>
    <row r="942" spans="1:18" ht="45" outlineLevel="2">
      <c r="A942" s="14" t="s">
        <v>54</v>
      </c>
      <c r="B942" s="15" t="s">
        <v>1075</v>
      </c>
      <c r="C942" s="15" t="s">
        <v>1076</v>
      </c>
      <c r="D942" s="14" t="s">
        <v>1077</v>
      </c>
      <c r="E942" s="15" t="s">
        <v>62</v>
      </c>
      <c r="F942" s="14" t="s">
        <v>22</v>
      </c>
      <c r="G942" s="15" t="s">
        <v>23</v>
      </c>
      <c r="H942" s="15" t="s">
        <v>1525</v>
      </c>
      <c r="I942" s="15">
        <v>201412</v>
      </c>
      <c r="J942" s="16">
        <v>25101.279999999999</v>
      </c>
      <c r="K942" s="171">
        <f>VLOOKUP(I942,$T$9:$U$23,2)</f>
        <v>6</v>
      </c>
      <c r="L942" s="17">
        <v>1.4833299999999999E-3</v>
      </c>
      <c r="M942" s="16">
        <f>ROUND(J942*K942*L942,2)</f>
        <v>223.4</v>
      </c>
      <c r="N942" s="16">
        <f>ROUND(J942*L942*12,2)</f>
        <v>446.8</v>
      </c>
      <c r="O942" s="14"/>
      <c r="P942" s="210" t="str">
        <f>VLOOKUP(C942,'WO Descriptions'!$A$5:$D$345,4)</f>
        <v>Approved by: Ralph Janes on 09/23/2014,  Replace and Abandon 164'- 4"PCS (692513), 62' - 4"PBS (28302), 527' - 4" PBS (Unknown) 31' - 4" PCS (691388) and 58' - 4"PCS (732376). Main currently runs in an easement between 5th and 6th St. and W of Miller St. (ISRS)</v>
      </c>
    </row>
    <row r="943" spans="1:18" outlineLevel="1">
      <c r="A943" s="223"/>
      <c r="B943" s="250"/>
      <c r="C943" s="254" t="s">
        <v>2084</v>
      </c>
      <c r="D943" s="223"/>
      <c r="E943" s="250"/>
      <c r="F943" s="223"/>
      <c r="G943" s="250"/>
      <c r="H943" s="250"/>
      <c r="I943" s="250"/>
      <c r="J943" s="251">
        <f>SUBTOTAL(9,J942:J942)</f>
        <v>25101.279999999999</v>
      </c>
      <c r="K943" s="252"/>
      <c r="L943" s="253"/>
      <c r="M943" s="251">
        <f>SUBTOTAL(9,M942:M942)</f>
        <v>223.4</v>
      </c>
      <c r="N943" s="251">
        <f>SUBTOTAL(9,N942:N942)</f>
        <v>446.8</v>
      </c>
      <c r="O943" s="223"/>
      <c r="P943" s="210"/>
      <c r="Q943" s="263" t="s">
        <v>2097</v>
      </c>
      <c r="R943" s="263" t="s">
        <v>2098</v>
      </c>
    </row>
    <row r="944" spans="1:18" ht="45" outlineLevel="2">
      <c r="A944" s="14" t="s">
        <v>54</v>
      </c>
      <c r="B944" s="15" t="s">
        <v>1021</v>
      </c>
      <c r="C944" s="15" t="s">
        <v>1022</v>
      </c>
      <c r="D944" s="14" t="s">
        <v>1023</v>
      </c>
      <c r="E944" s="15" t="s">
        <v>108</v>
      </c>
      <c r="F944" s="14" t="s">
        <v>28</v>
      </c>
      <c r="G944" s="15" t="s">
        <v>23</v>
      </c>
      <c r="H944" s="15" t="s">
        <v>1525</v>
      </c>
      <c r="I944" s="15">
        <v>201409</v>
      </c>
      <c r="J944" s="16">
        <v>906.93</v>
      </c>
      <c r="K944" s="171">
        <f>VLOOKUP(I944,$T$9:$U$23,2)</f>
        <v>9</v>
      </c>
      <c r="L944" s="17">
        <v>1.4833299999999999E-3</v>
      </c>
      <c r="M944" s="16">
        <f>ROUND(J944*K944*L944,2)</f>
        <v>12.11</v>
      </c>
      <c r="N944" s="16">
        <f>ROUND(J944*L944*12,2)</f>
        <v>16.14</v>
      </c>
      <c r="O944" s="14"/>
      <c r="P944" s="210" t="str">
        <f>VLOOKUP(C944,'WO Descriptions'!$A$5:$D$345,4)</f>
        <v>Approved by: Kevin Driskell on 09/24/2014,  Abandoned 3' of 2'' PE. Installed 8' of 2'' PE due to third party damage. When work was done pressure system was C-002 (1psig). As of 9/16/2014 pressure system C-002 (33psig).</v>
      </c>
    </row>
    <row r="945" spans="1:18" ht="45" outlineLevel="2">
      <c r="A945" s="14" t="s">
        <v>54</v>
      </c>
      <c r="B945" s="15" t="s">
        <v>1021</v>
      </c>
      <c r="C945" s="15" t="s">
        <v>1022</v>
      </c>
      <c r="D945" s="14" t="s">
        <v>1023</v>
      </c>
      <c r="E945" s="15" t="s">
        <v>108</v>
      </c>
      <c r="F945" s="14" t="s">
        <v>28</v>
      </c>
      <c r="G945" s="15" t="s">
        <v>23</v>
      </c>
      <c r="H945" s="15" t="s">
        <v>1525</v>
      </c>
      <c r="I945" s="15">
        <v>201410</v>
      </c>
      <c r="J945" s="16">
        <v>293.01</v>
      </c>
      <c r="K945" s="171">
        <f>VLOOKUP(I945,$T$9:$U$23,2)</f>
        <v>8</v>
      </c>
      <c r="L945" s="17">
        <v>1.4833299999999999E-3</v>
      </c>
      <c r="M945" s="16">
        <f>ROUND(J945*K945*L945,2)</f>
        <v>3.48</v>
      </c>
      <c r="N945" s="16">
        <f>ROUND(J945*L945*12,2)</f>
        <v>5.22</v>
      </c>
      <c r="O945" s="14"/>
      <c r="P945" s="210" t="str">
        <f>VLOOKUP(C945,'WO Descriptions'!$A$5:$D$345,4)</f>
        <v>Approved by: Kevin Driskell on 09/24/2014,  Abandoned 3' of 2'' PE. Installed 8' of 2'' PE due to third party damage. When work was done pressure system was C-002 (1psig). As of 9/16/2014 pressure system C-002 (33psig).</v>
      </c>
    </row>
    <row r="946" spans="1:18" s="243" customFormat="1" ht="45" outlineLevel="2">
      <c r="A946" s="14" t="s">
        <v>54</v>
      </c>
      <c r="B946" s="15" t="s">
        <v>1021</v>
      </c>
      <c r="C946" s="15" t="s">
        <v>1022</v>
      </c>
      <c r="D946" s="14" t="s">
        <v>1023</v>
      </c>
      <c r="E946" s="15" t="s">
        <v>108</v>
      </c>
      <c r="F946" s="14" t="s">
        <v>28</v>
      </c>
      <c r="G946" s="15" t="s">
        <v>23</v>
      </c>
      <c r="H946" s="15" t="s">
        <v>1525</v>
      </c>
      <c r="I946" s="15">
        <v>201411</v>
      </c>
      <c r="J946" s="16">
        <v>-13.74</v>
      </c>
      <c r="K946" s="171">
        <f>VLOOKUP(I946,$T$9:$U$23,2)</f>
        <v>7</v>
      </c>
      <c r="L946" s="17">
        <v>1.4833299999999999E-3</v>
      </c>
      <c r="M946" s="16">
        <f>ROUND(J946*K946*L946,2)</f>
        <v>-0.14000000000000001</v>
      </c>
      <c r="N946" s="16">
        <f>ROUND(J946*L946*12,2)</f>
        <v>-0.24</v>
      </c>
      <c r="O946" s="14"/>
      <c r="P946" s="210" t="str">
        <f>VLOOKUP(C946,'WO Descriptions'!$A$5:$D$345,4)</f>
        <v>Approved by: Kevin Driskell on 09/24/2014,  Abandoned 3' of 2'' PE. Installed 8' of 2'' PE due to third party damage. When work was done pressure system was C-002 (1psig). As of 9/16/2014 pressure system C-002 (33psig).</v>
      </c>
      <c r="Q946" s="3"/>
      <c r="R946" s="3"/>
    </row>
    <row r="947" spans="1:18" s="243" customFormat="1" ht="45" outlineLevel="2">
      <c r="A947" s="14" t="s">
        <v>54</v>
      </c>
      <c r="B947" s="15" t="s">
        <v>1021</v>
      </c>
      <c r="C947" s="15" t="s">
        <v>1022</v>
      </c>
      <c r="D947" s="14" t="s">
        <v>1023</v>
      </c>
      <c r="E947" s="15" t="s">
        <v>108</v>
      </c>
      <c r="F947" s="14" t="s">
        <v>28</v>
      </c>
      <c r="G947" s="15" t="s">
        <v>23</v>
      </c>
      <c r="H947" s="15" t="s">
        <v>1525</v>
      </c>
      <c r="I947" s="15">
        <v>201412</v>
      </c>
      <c r="J947" s="16">
        <v>-22.55</v>
      </c>
      <c r="K947" s="171">
        <f>VLOOKUP(I947,$T$9:$U$23,2)</f>
        <v>6</v>
      </c>
      <c r="L947" s="17">
        <v>1.4833299999999999E-3</v>
      </c>
      <c r="M947" s="16">
        <f>ROUND(J947*K947*L947,2)</f>
        <v>-0.2</v>
      </c>
      <c r="N947" s="16">
        <f>ROUND(J947*L947*12,2)</f>
        <v>-0.4</v>
      </c>
      <c r="O947" s="14"/>
      <c r="P947" s="210" t="str">
        <f>VLOOKUP(C947,'WO Descriptions'!$A$5:$D$345,4)</f>
        <v>Approved by: Kevin Driskell on 09/24/2014,  Abandoned 3' of 2'' PE. Installed 8' of 2'' PE due to third party damage. When work was done pressure system was C-002 (1psig). As of 9/16/2014 pressure system C-002 (33psig).</v>
      </c>
      <c r="Q947" s="3"/>
      <c r="R947" s="3"/>
    </row>
    <row r="948" spans="1:18" s="243" customFormat="1" outlineLevel="1">
      <c r="A948" s="223"/>
      <c r="B948" s="250"/>
      <c r="C948" s="254" t="s">
        <v>2085</v>
      </c>
      <c r="D948" s="223"/>
      <c r="E948" s="250"/>
      <c r="F948" s="223"/>
      <c r="G948" s="250"/>
      <c r="H948" s="250"/>
      <c r="I948" s="250"/>
      <c r="J948" s="251">
        <f>SUBTOTAL(9,J944:J947)</f>
        <v>1163.6500000000001</v>
      </c>
      <c r="K948" s="252"/>
      <c r="L948" s="253"/>
      <c r="M948" s="251">
        <f>SUBTOTAL(9,M944:M947)</f>
        <v>15.25</v>
      </c>
      <c r="N948" s="251">
        <f>SUBTOTAL(9,N944:N947)</f>
        <v>20.720000000000002</v>
      </c>
      <c r="O948" s="223"/>
      <c r="P948" s="210"/>
      <c r="Q948" s="263" t="s">
        <v>2097</v>
      </c>
      <c r="R948" s="263" t="s">
        <v>2099</v>
      </c>
    </row>
    <row r="949" spans="1:18" ht="45" outlineLevel="2">
      <c r="A949" s="14" t="s">
        <v>54</v>
      </c>
      <c r="B949" s="15" t="s">
        <v>1078</v>
      </c>
      <c r="C949" s="15" t="s">
        <v>1079</v>
      </c>
      <c r="D949" s="14" t="s">
        <v>1080</v>
      </c>
      <c r="E949" s="15" t="s">
        <v>62</v>
      </c>
      <c r="F949" s="14" t="s">
        <v>22</v>
      </c>
      <c r="G949" s="15" t="s">
        <v>23</v>
      </c>
      <c r="H949" s="15" t="s">
        <v>1525</v>
      </c>
      <c r="I949" s="15">
        <v>201412</v>
      </c>
      <c r="J949" s="16">
        <v>5227.7</v>
      </c>
      <c r="K949" s="171">
        <f>VLOOKUP(I949,$T$9:$U$23,2)</f>
        <v>6</v>
      </c>
      <c r="L949" s="17">
        <v>1.4833299999999999E-3</v>
      </c>
      <c r="M949" s="16">
        <f>ROUND(J949*K949*L949,2)</f>
        <v>46.53</v>
      </c>
      <c r="N949" s="16">
        <f>ROUND(J949*L949*12,2)</f>
        <v>93.05</v>
      </c>
      <c r="O949" s="14"/>
      <c r="P949" s="210" t="str">
        <f>VLOOKUP(C949,'WO Descriptions'!$A$5:$D$345,4)</f>
        <v>Approved by: Ray Wilson on 10/01/2014,  Replace 95' - 6" PBS (WO# JO4528) with 111' of 6" PE main due to leakage. 120' of 6" checked out with 9' junked. Job worked by Holman crew 9/22-24. (ISRS)</v>
      </c>
    </row>
    <row r="950" spans="1:18" outlineLevel="1">
      <c r="A950" s="223"/>
      <c r="B950" s="250"/>
      <c r="C950" s="254" t="s">
        <v>2086</v>
      </c>
      <c r="D950" s="223"/>
      <c r="E950" s="250"/>
      <c r="F950" s="223"/>
      <c r="G950" s="250"/>
      <c r="H950" s="250"/>
      <c r="I950" s="250"/>
      <c r="J950" s="251">
        <f>SUBTOTAL(9,J949:J949)</f>
        <v>5227.7</v>
      </c>
      <c r="K950" s="252"/>
      <c r="L950" s="253"/>
      <c r="M950" s="251">
        <f>SUBTOTAL(9,M949:M949)</f>
        <v>46.53</v>
      </c>
      <c r="N950" s="251">
        <f>SUBTOTAL(9,N949:N949)</f>
        <v>93.05</v>
      </c>
      <c r="O950" s="223"/>
      <c r="P950" s="210"/>
      <c r="Q950" s="263" t="s">
        <v>2097</v>
      </c>
      <c r="R950" s="263" t="s">
        <v>2098</v>
      </c>
    </row>
    <row r="951" spans="1:18" ht="45" outlineLevel="2">
      <c r="A951" s="14" t="s">
        <v>54</v>
      </c>
      <c r="B951" s="15" t="s">
        <v>1081</v>
      </c>
      <c r="C951" s="15" t="s">
        <v>1082</v>
      </c>
      <c r="D951" s="14" t="s">
        <v>1083</v>
      </c>
      <c r="E951" s="15" t="s">
        <v>141</v>
      </c>
      <c r="F951" s="14" t="s">
        <v>142</v>
      </c>
      <c r="G951" s="15" t="s">
        <v>23</v>
      </c>
      <c r="H951" s="15" t="s">
        <v>1525</v>
      </c>
      <c r="I951" s="15">
        <v>201412</v>
      </c>
      <c r="J951" s="16">
        <v>75631.14</v>
      </c>
      <c r="K951" s="171">
        <f>VLOOKUP(I951,$T$9:$U$23,2)</f>
        <v>6</v>
      </c>
      <c r="L951" s="17">
        <v>1.4833299999999999E-3</v>
      </c>
      <c r="M951" s="16">
        <f>ROUND(J951*K951*L951,2)</f>
        <v>673.12</v>
      </c>
      <c r="N951" s="16">
        <f>ROUND(J951*L951*12,2)</f>
        <v>1346.23</v>
      </c>
      <c r="O951" s="14"/>
      <c r="P951" s="210" t="str">
        <f>VLOOKUP(C951,'WO Descriptions'!$A$5:$D$345,4)</f>
        <v>Approved by: Steve Holcomb on 09/29/2014,  ISRS Replace 6in CI with 2,430 ft of 4in PE due to cast iron breaks.  This job must be completed by Jan. 13, 2015.  Tie-over 18 services. Replace 5 services.</v>
      </c>
    </row>
    <row r="952" spans="1:18" outlineLevel="1">
      <c r="A952" s="223"/>
      <c r="B952" s="250"/>
      <c r="C952" s="254" t="s">
        <v>2087</v>
      </c>
      <c r="D952" s="223"/>
      <c r="E952" s="250"/>
      <c r="F952" s="223"/>
      <c r="G952" s="250"/>
      <c r="H952" s="250"/>
      <c r="I952" s="250"/>
      <c r="J952" s="251">
        <f>SUBTOTAL(9,J951:J951)</f>
        <v>75631.14</v>
      </c>
      <c r="K952" s="252"/>
      <c r="L952" s="253"/>
      <c r="M952" s="251">
        <f>SUBTOTAL(9,M951:M951)</f>
        <v>673.12</v>
      </c>
      <c r="N952" s="251">
        <f>SUBTOTAL(9,N951:N951)</f>
        <v>1346.23</v>
      </c>
      <c r="O952" s="223"/>
      <c r="P952" s="210"/>
      <c r="Q952" s="263" t="s">
        <v>2097</v>
      </c>
      <c r="R952" s="263" t="s">
        <v>2100</v>
      </c>
    </row>
    <row r="953" spans="1:18" ht="60" outlineLevel="2">
      <c r="A953" s="14" t="s">
        <v>54</v>
      </c>
      <c r="B953" s="15" t="s">
        <v>1084</v>
      </c>
      <c r="C953" s="15" t="s">
        <v>1085</v>
      </c>
      <c r="D953" s="14" t="s">
        <v>1086</v>
      </c>
      <c r="E953" s="15" t="s">
        <v>21</v>
      </c>
      <c r="F953" s="14" t="s">
        <v>22</v>
      </c>
      <c r="G953" s="15" t="s">
        <v>23</v>
      </c>
      <c r="H953" s="15" t="s">
        <v>1525</v>
      </c>
      <c r="I953" s="15">
        <v>201412</v>
      </c>
      <c r="J953" s="16">
        <v>36271.120000000003</v>
      </c>
      <c r="K953" s="171">
        <f>VLOOKUP(I953,$T$9:$U$23,2)</f>
        <v>6</v>
      </c>
      <c r="L953" s="17">
        <v>1.4833299999999999E-3</v>
      </c>
      <c r="M953" s="16">
        <f>ROUND(J953*K953*L953,2)</f>
        <v>322.81</v>
      </c>
      <c r="N953" s="16">
        <f>ROUND(J953*L953*12,2)</f>
        <v>645.62</v>
      </c>
      <c r="O953" s="14"/>
      <c r="P953" s="210" t="str">
        <f>VLOOKUP(C953,'WO Descriptions'!$A$5:$D$345,4)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954" spans="1:18" outlineLevel="1">
      <c r="A954" s="223"/>
      <c r="B954" s="250"/>
      <c r="C954" s="254" t="s">
        <v>2088</v>
      </c>
      <c r="D954" s="223"/>
      <c r="E954" s="250"/>
      <c r="F954" s="223"/>
      <c r="G954" s="250"/>
      <c r="H954" s="250"/>
      <c r="I954" s="250"/>
      <c r="J954" s="251">
        <f>SUBTOTAL(9,J953:J953)</f>
        <v>36271.120000000003</v>
      </c>
      <c r="K954" s="252"/>
      <c r="L954" s="253"/>
      <c r="M954" s="251">
        <f>SUBTOTAL(9,M953:M953)</f>
        <v>322.81</v>
      </c>
      <c r="N954" s="251">
        <f>SUBTOTAL(9,N953:N953)</f>
        <v>645.62</v>
      </c>
      <c r="O954" s="223"/>
      <c r="P954" s="210"/>
      <c r="Q954" s="263" t="s">
        <v>2097</v>
      </c>
      <c r="R954" s="263" t="s">
        <v>2098</v>
      </c>
    </row>
    <row r="955" spans="1:18" ht="30" outlineLevel="2">
      <c r="A955" s="14" t="s">
        <v>54</v>
      </c>
      <c r="B955" s="15" t="s">
        <v>1087</v>
      </c>
      <c r="C955" s="15" t="s">
        <v>1088</v>
      </c>
      <c r="D955" s="14" t="s">
        <v>1089</v>
      </c>
      <c r="E955" s="15" t="s">
        <v>1020</v>
      </c>
      <c r="F955" s="14" t="s">
        <v>22</v>
      </c>
      <c r="G955" s="15" t="s">
        <v>23</v>
      </c>
      <c r="H955" s="15" t="s">
        <v>1525</v>
      </c>
      <c r="I955" s="15">
        <v>201412</v>
      </c>
      <c r="J955" s="16">
        <v>6257.37</v>
      </c>
      <c r="K955" s="171">
        <f>VLOOKUP(I955,$T$9:$U$23,2)</f>
        <v>6</v>
      </c>
      <c r="L955" s="17">
        <v>1.4833299999999999E-3</v>
      </c>
      <c r="M955" s="16">
        <f>ROUND(J955*K955*L955,2)</f>
        <v>55.69</v>
      </c>
      <c r="N955" s="16">
        <f>ROUND(J955*L955*12,2)</f>
        <v>111.38</v>
      </c>
      <c r="O955" s="14"/>
      <c r="P955" s="210" t="str">
        <f>VLOOKUP(C955,'WO Descriptions'!$A$5:$D$345,4)</f>
        <v>Approved by: Galen Shoemaker on 10/09/2014,  Lay 180ft 2in Plastic Main to replace 177ft of 2in Protected Bare Steel from WO 21411. MOP=40# MAOP=44# TEST=100# SYSTEM=C-1</v>
      </c>
    </row>
    <row r="956" spans="1:18" outlineLevel="1">
      <c r="A956" s="223"/>
      <c r="B956" s="250"/>
      <c r="C956" s="254" t="s">
        <v>2089</v>
      </c>
      <c r="D956" s="223"/>
      <c r="E956" s="250"/>
      <c r="F956" s="223"/>
      <c r="G956" s="250"/>
      <c r="H956" s="250"/>
      <c r="I956" s="250"/>
      <c r="J956" s="251">
        <f>SUBTOTAL(9,J955:J955)</f>
        <v>6257.37</v>
      </c>
      <c r="K956" s="252"/>
      <c r="L956" s="253"/>
      <c r="M956" s="251">
        <f>SUBTOTAL(9,M955:M955)</f>
        <v>55.69</v>
      </c>
      <c r="N956" s="251">
        <f>SUBTOTAL(9,N955:N955)</f>
        <v>111.38</v>
      </c>
      <c r="O956" s="223"/>
      <c r="P956" s="210"/>
      <c r="Q956" s="263" t="s">
        <v>2097</v>
      </c>
      <c r="R956" s="263" t="s">
        <v>2098</v>
      </c>
    </row>
    <row r="957" spans="1:18" ht="60" outlineLevel="2">
      <c r="A957" s="14" t="s">
        <v>54</v>
      </c>
      <c r="B957" s="15" t="s">
        <v>1090</v>
      </c>
      <c r="C957" s="15" t="s">
        <v>1091</v>
      </c>
      <c r="D957" s="14" t="s">
        <v>1092</v>
      </c>
      <c r="E957" s="15" t="s">
        <v>216</v>
      </c>
      <c r="F957" s="14" t="s">
        <v>22</v>
      </c>
      <c r="G957" s="15" t="s">
        <v>23</v>
      </c>
      <c r="H957" s="15" t="s">
        <v>1525</v>
      </c>
      <c r="I957" s="15">
        <v>201412</v>
      </c>
      <c r="J957" s="16">
        <v>11632.66</v>
      </c>
      <c r="K957" s="171">
        <f>VLOOKUP(I957,$T$9:$U$23,2)</f>
        <v>6</v>
      </c>
      <c r="L957" s="17">
        <v>1.4833299999999999E-3</v>
      </c>
      <c r="M957" s="16">
        <f>ROUND(J957*K957*L957,2)</f>
        <v>103.53</v>
      </c>
      <c r="N957" s="16">
        <f>ROUND(J957*L957*12,2)</f>
        <v>207.06</v>
      </c>
      <c r="O957" s="14"/>
      <c r="P957" s="210" t="str">
        <f>VLOOKUP(C957,'WO Descriptions'!$A$5:$D$345,4)</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row>
    <row r="958" spans="1:18" outlineLevel="1">
      <c r="A958" s="223"/>
      <c r="B958" s="250"/>
      <c r="C958" s="254" t="s">
        <v>2090</v>
      </c>
      <c r="D958" s="223"/>
      <c r="E958" s="250"/>
      <c r="F958" s="223"/>
      <c r="G958" s="250"/>
      <c r="H958" s="250"/>
      <c r="I958" s="250"/>
      <c r="J958" s="251">
        <f>SUBTOTAL(9,J957:J957)</f>
        <v>11632.66</v>
      </c>
      <c r="K958" s="252"/>
      <c r="L958" s="253"/>
      <c r="M958" s="251">
        <f>SUBTOTAL(9,M957:M957)</f>
        <v>103.53</v>
      </c>
      <c r="N958" s="251">
        <f>SUBTOTAL(9,N957:N957)</f>
        <v>207.06</v>
      </c>
      <c r="O958" s="223"/>
      <c r="P958" s="210"/>
      <c r="Q958" s="263" t="s">
        <v>2097</v>
      </c>
      <c r="R958" s="263" t="s">
        <v>2098</v>
      </c>
    </row>
    <row r="959" spans="1:18" ht="45" outlineLevel="2">
      <c r="A959" s="14" t="s">
        <v>66</v>
      </c>
      <c r="B959" s="15" t="s">
        <v>1105</v>
      </c>
      <c r="C959" s="15" t="s">
        <v>1106</v>
      </c>
      <c r="D959" s="14" t="s">
        <v>1107</v>
      </c>
      <c r="E959" s="15" t="s">
        <v>466</v>
      </c>
      <c r="F959" s="14" t="s">
        <v>467</v>
      </c>
      <c r="G959" s="15" t="s">
        <v>23</v>
      </c>
      <c r="H959" s="15" t="s">
        <v>1527</v>
      </c>
      <c r="I959" s="15">
        <v>201410</v>
      </c>
      <c r="J959" s="16">
        <v>1314.76</v>
      </c>
      <c r="K959" s="171">
        <f>VLOOKUP(I959,$T$9:$U$23,2)</f>
        <v>8</v>
      </c>
      <c r="L959" s="17">
        <v>2.23333E-3</v>
      </c>
      <c r="M959" s="16">
        <f>ROUND(J959*K959*L959,2)</f>
        <v>23.49</v>
      </c>
      <c r="N959" s="16">
        <f>ROUND(J959*L959*12,2)</f>
        <v>35.24</v>
      </c>
      <c r="O959" s="14"/>
      <c r="P959" s="210" t="str">
        <f>VLOOKUP(C959,'WO Descriptions'!$A$5:$D$345,4)</f>
        <v>Approved by: Gary Williams on 10/20/2014,  REPLACE 1 1/4 PE SERVICE WITH 2 IN PE DUE TO CUSOTMER ADDING A BOILER LOAD 6,050 CFH). ECONOMIC EVALUATION WILL COVER COST OF PROJECT.</v>
      </c>
    </row>
    <row r="960" spans="1:18" ht="45" outlineLevel="2">
      <c r="A960" s="14" t="s">
        <v>66</v>
      </c>
      <c r="B960" s="15" t="s">
        <v>1105</v>
      </c>
      <c r="C960" s="15" t="s">
        <v>1106</v>
      </c>
      <c r="D960" s="14" t="s">
        <v>1107</v>
      </c>
      <c r="E960" s="15" t="s">
        <v>466</v>
      </c>
      <c r="F960" s="14" t="s">
        <v>467</v>
      </c>
      <c r="G960" s="15" t="s">
        <v>23</v>
      </c>
      <c r="H960" s="15" t="s">
        <v>1527</v>
      </c>
      <c r="I960" s="15">
        <v>201411</v>
      </c>
      <c r="J960" s="16">
        <v>-35.93</v>
      </c>
      <c r="K960" s="171">
        <f>VLOOKUP(I960,$T$9:$U$23,2)</f>
        <v>7</v>
      </c>
      <c r="L960" s="17">
        <v>2.23333E-3</v>
      </c>
      <c r="M960" s="16">
        <f>ROUND(J960*K960*L960,2)</f>
        <v>-0.56000000000000005</v>
      </c>
      <c r="N960" s="16">
        <f>ROUND(J960*L960*12,2)</f>
        <v>-0.96</v>
      </c>
      <c r="O960" s="14"/>
      <c r="P960" s="210" t="str">
        <f>VLOOKUP(C960,'WO Descriptions'!$A$5:$D$345,4)</f>
        <v>Approved by: Gary Williams on 10/20/2014,  REPLACE 1 1/4 PE SERVICE WITH 2 IN PE DUE TO CUSOTMER ADDING A BOILER LOAD 6,050 CFH). ECONOMIC EVALUATION WILL COVER COST OF PROJECT.</v>
      </c>
    </row>
    <row r="961" spans="1:18" ht="45" outlineLevel="2">
      <c r="A961" s="14" t="s">
        <v>66</v>
      </c>
      <c r="B961" s="15" t="s">
        <v>1105</v>
      </c>
      <c r="C961" s="15" t="s">
        <v>1106</v>
      </c>
      <c r="D961" s="14" t="s">
        <v>1107</v>
      </c>
      <c r="E961" s="15" t="s">
        <v>466</v>
      </c>
      <c r="F961" s="14" t="s">
        <v>467</v>
      </c>
      <c r="G961" s="15" t="s">
        <v>23</v>
      </c>
      <c r="H961" s="15" t="s">
        <v>1527</v>
      </c>
      <c r="I961" s="15">
        <v>201412</v>
      </c>
      <c r="J961" s="16">
        <v>1948.51</v>
      </c>
      <c r="K961" s="171">
        <f>VLOOKUP(I961,$T$9:$U$23,2)</f>
        <v>6</v>
      </c>
      <c r="L961" s="17">
        <v>2.23333E-3</v>
      </c>
      <c r="M961" s="16">
        <f>ROUND(J961*K961*L961,2)</f>
        <v>26.11</v>
      </c>
      <c r="N961" s="16">
        <f>ROUND(J961*L961*12,2)</f>
        <v>52.22</v>
      </c>
      <c r="O961" s="14"/>
      <c r="P961" s="210" t="str">
        <f>VLOOKUP(C961,'WO Descriptions'!$A$5:$D$345,4)</f>
        <v>Approved by: Gary Williams on 10/20/2014,  REPLACE 1 1/4 PE SERVICE WITH 2 IN PE DUE TO CUSOTMER ADDING A BOILER LOAD 6,050 CFH). ECONOMIC EVALUATION WILL COVER COST OF PROJECT.</v>
      </c>
    </row>
    <row r="962" spans="1:18" outlineLevel="1">
      <c r="A962" s="223"/>
      <c r="B962" s="250"/>
      <c r="C962" s="254" t="s">
        <v>2091</v>
      </c>
      <c r="D962" s="223"/>
      <c r="E962" s="250"/>
      <c r="F962" s="223"/>
      <c r="G962" s="250"/>
      <c r="H962" s="250"/>
      <c r="I962" s="250"/>
      <c r="J962" s="251">
        <f>SUBTOTAL(9,J959:J961)</f>
        <v>3227.34</v>
      </c>
      <c r="K962" s="252"/>
      <c r="L962" s="253"/>
      <c r="M962" s="251">
        <f>SUBTOTAL(9,M959:M961)</f>
        <v>49.04</v>
      </c>
      <c r="N962" s="251">
        <f>SUBTOTAL(9,N959:N961)</f>
        <v>86.5</v>
      </c>
      <c r="O962" s="223"/>
      <c r="P962" s="210"/>
      <c r="Q962" s="263" t="s">
        <v>2097</v>
      </c>
      <c r="R962" s="263" t="s">
        <v>2104</v>
      </c>
    </row>
    <row r="963" spans="1:18" ht="30" outlineLevel="2">
      <c r="A963" s="14" t="s">
        <v>54</v>
      </c>
      <c r="B963" s="15" t="s">
        <v>1093</v>
      </c>
      <c r="C963" s="15" t="s">
        <v>1094</v>
      </c>
      <c r="D963" s="14" t="s">
        <v>1095</v>
      </c>
      <c r="E963" s="15" t="s">
        <v>27</v>
      </c>
      <c r="F963" s="14" t="s">
        <v>28</v>
      </c>
      <c r="G963" s="15" t="s">
        <v>23</v>
      </c>
      <c r="H963" s="15" t="s">
        <v>1525</v>
      </c>
      <c r="I963" s="15">
        <v>201412</v>
      </c>
      <c r="J963" s="16">
        <v>134.33000000000001</v>
      </c>
      <c r="K963" s="171">
        <f>VLOOKUP(I963,$T$9:$U$23,2)</f>
        <v>6</v>
      </c>
      <c r="L963" s="17">
        <v>1.4833299999999999E-3</v>
      </c>
      <c r="M963" s="16">
        <f>ROUND(J963*K963*L963,2)</f>
        <v>1.2</v>
      </c>
      <c r="N963" s="16">
        <f>ROUND(J963*L963*12,2)</f>
        <v>2.39</v>
      </c>
      <c r="O963" s="14"/>
      <c r="P963" s="210" t="str">
        <f>VLOOKUP(C963,'WO Descriptions'!$A$5:$D$345,4)</f>
        <v>Approved by: Gary Williams on 11/03/2014,  Replace 60' of 2"plastic main due to third party damage.Installed 60' of 2"PE.</v>
      </c>
    </row>
    <row r="964" spans="1:18" outlineLevel="1">
      <c r="A964" s="223"/>
      <c r="B964" s="250"/>
      <c r="C964" s="254" t="s">
        <v>2092</v>
      </c>
      <c r="D964" s="223"/>
      <c r="E964" s="250"/>
      <c r="F964" s="223"/>
      <c r="G964" s="250"/>
      <c r="H964" s="250"/>
      <c r="I964" s="250"/>
      <c r="J964" s="251">
        <f>SUBTOTAL(9,J963:J963)</f>
        <v>134.33000000000001</v>
      </c>
      <c r="K964" s="252"/>
      <c r="L964" s="253"/>
      <c r="M964" s="251">
        <f>SUBTOTAL(9,M963:M963)</f>
        <v>1.2</v>
      </c>
      <c r="N964" s="251">
        <f>SUBTOTAL(9,N963:N963)</f>
        <v>2.39</v>
      </c>
      <c r="O964" s="223"/>
      <c r="P964" s="210"/>
      <c r="Q964" s="263" t="s">
        <v>2097</v>
      </c>
      <c r="R964" s="263" t="s">
        <v>2099</v>
      </c>
    </row>
    <row r="965" spans="1:18" ht="30" outlineLevel="2">
      <c r="A965" s="14" t="s">
        <v>54</v>
      </c>
      <c r="B965" s="15" t="s">
        <v>1096</v>
      </c>
      <c r="C965" s="15" t="s">
        <v>1097</v>
      </c>
      <c r="D965" s="14" t="s">
        <v>1098</v>
      </c>
      <c r="E965" s="15" t="s">
        <v>462</v>
      </c>
      <c r="F965" s="14" t="s">
        <v>142</v>
      </c>
      <c r="G965" s="15" t="s">
        <v>23</v>
      </c>
      <c r="H965" s="15" t="s">
        <v>1525</v>
      </c>
      <c r="I965" s="15">
        <v>201412</v>
      </c>
      <c r="J965" s="16">
        <v>16814.27</v>
      </c>
      <c r="K965" s="171">
        <f>VLOOKUP(I965,$T$9:$U$23,2)</f>
        <v>6</v>
      </c>
      <c r="L965" s="17">
        <v>1.4833299999999999E-3</v>
      </c>
      <c r="M965" s="16">
        <f>ROUND(J965*K965*L965,2)</f>
        <v>149.65</v>
      </c>
      <c r="N965" s="16">
        <f>ROUND(J965*L965*12,2)</f>
        <v>299.29000000000002</v>
      </c>
      <c r="O965" s="14"/>
      <c r="P965" s="210" t="str">
        <f>VLOOKUP(C965,'WO Descriptions'!$A$5:$D$345,4)</f>
        <v>Service/Yard Line Replacement (SLRP): Contract Crew.  Rebuild meter/regulator setting (exclude regulator) (Joplin - South Region).</v>
      </c>
    </row>
    <row r="966" spans="1:18" outlineLevel="1">
      <c r="A966" s="223"/>
      <c r="B966" s="250"/>
      <c r="C966" s="254" t="s">
        <v>2093</v>
      </c>
      <c r="D966" s="223"/>
      <c r="E966" s="250"/>
      <c r="F966" s="223"/>
      <c r="G966" s="250"/>
      <c r="H966" s="250"/>
      <c r="I966" s="250"/>
      <c r="J966" s="251">
        <f>SUBTOTAL(9,J965:J965)</f>
        <v>16814.27</v>
      </c>
      <c r="K966" s="252"/>
      <c r="L966" s="253"/>
      <c r="M966" s="251">
        <f>SUBTOTAL(9,M965:M965)</f>
        <v>149.65</v>
      </c>
      <c r="N966" s="251">
        <f>SUBTOTAL(9,N965:N965)</f>
        <v>299.29000000000002</v>
      </c>
      <c r="O966" s="223"/>
      <c r="P966" s="210"/>
      <c r="Q966" s="263" t="s">
        <v>2097</v>
      </c>
      <c r="R966" s="263" t="s">
        <v>2100</v>
      </c>
    </row>
    <row r="967" spans="1:18" outlineLevel="1">
      <c r="A967" s="211"/>
      <c r="B967" s="212"/>
      <c r="C967" s="212"/>
      <c r="D967" s="211"/>
      <c r="E967" s="212"/>
      <c r="F967" s="211" t="s">
        <v>1749</v>
      </c>
      <c r="G967" s="212"/>
      <c r="H967" s="212" t="s">
        <v>1530</v>
      </c>
      <c r="I967" s="212">
        <v>201501</v>
      </c>
      <c r="J967" s="213">
        <f>+'BWO Estimate'!H72</f>
        <v>50557.710000000006</v>
      </c>
      <c r="K967" s="171">
        <f t="shared" ref="K967:K975" si="0">VLOOKUP(I967,$T$9:$U$23,2)</f>
        <v>5</v>
      </c>
      <c r="L967" s="214">
        <v>2.0333299999999999E-3</v>
      </c>
      <c r="M967" s="213">
        <f t="shared" ref="M967:M974" si="1">ROUND(J967*K967*L967,2)</f>
        <v>514</v>
      </c>
      <c r="N967" s="213">
        <f t="shared" ref="N967:N974" si="2">ROUND(J967*L967*12,2)</f>
        <v>1233.6099999999999</v>
      </c>
      <c r="O967" s="14"/>
      <c r="P967" s="210"/>
    </row>
    <row r="968" spans="1:18" outlineLevel="1">
      <c r="A968" s="211"/>
      <c r="B968" s="212"/>
      <c r="C968" s="212"/>
      <c r="D968" s="211"/>
      <c r="E968" s="212"/>
      <c r="F968" s="211" t="s">
        <v>1749</v>
      </c>
      <c r="G968" s="212"/>
      <c r="H968" s="212" t="s">
        <v>1530</v>
      </c>
      <c r="I968" s="212">
        <v>201501</v>
      </c>
      <c r="J968" s="213">
        <f>+'BWO Estimate'!H110</f>
        <v>570437.79333333333</v>
      </c>
      <c r="K968" s="171">
        <f t="shared" si="0"/>
        <v>5</v>
      </c>
      <c r="L968" s="214">
        <v>2.23333E-3</v>
      </c>
      <c r="M968" s="213">
        <f t="shared" si="1"/>
        <v>6369.88</v>
      </c>
      <c r="N968" s="213">
        <f t="shared" si="2"/>
        <v>15287.71</v>
      </c>
      <c r="O968" s="14"/>
      <c r="P968" s="210"/>
    </row>
    <row r="969" spans="1:18" outlineLevel="1">
      <c r="A969" s="14"/>
      <c r="B969" s="15"/>
      <c r="C969" s="15"/>
      <c r="D969" s="14"/>
      <c r="E969" s="15"/>
      <c r="F969" s="14" t="s">
        <v>1749</v>
      </c>
      <c r="G969" s="15"/>
      <c r="H969" s="15" t="s">
        <v>1524</v>
      </c>
      <c r="I969" s="15">
        <v>201501</v>
      </c>
      <c r="J969" s="16">
        <f>+'BWO Estimate'!H51</f>
        <v>144000</v>
      </c>
      <c r="K969" s="171">
        <f t="shared" si="0"/>
        <v>5</v>
      </c>
      <c r="L969" s="17">
        <v>1.4833299999999999E-3</v>
      </c>
      <c r="M969" s="16">
        <f t="shared" si="1"/>
        <v>1068</v>
      </c>
      <c r="N969" s="16">
        <f t="shared" si="2"/>
        <v>2563.19</v>
      </c>
      <c r="O969" s="14"/>
      <c r="P969" s="210"/>
    </row>
    <row r="970" spans="1:18" outlineLevel="1">
      <c r="A970" s="14"/>
      <c r="B970" s="15"/>
      <c r="C970" s="15"/>
      <c r="D970" s="14"/>
      <c r="E970" s="15"/>
      <c r="F970" s="14" t="s">
        <v>1749</v>
      </c>
      <c r="G970" s="15"/>
      <c r="H970" s="15" t="s">
        <v>1525</v>
      </c>
      <c r="I970" s="15">
        <v>201501</v>
      </c>
      <c r="J970" s="16">
        <f>+'Open WO Estimate'!I11+'Open WO Estimate'!I29+'Open WO Estimate'!I31</f>
        <v>1376125.4399999997</v>
      </c>
      <c r="K970" s="171">
        <f t="shared" si="0"/>
        <v>5</v>
      </c>
      <c r="L970" s="17">
        <v>1.4833299999999999E-3</v>
      </c>
      <c r="M970" s="16">
        <f t="shared" si="1"/>
        <v>10206.24</v>
      </c>
      <c r="N970" s="16">
        <f t="shared" si="2"/>
        <v>24494.98</v>
      </c>
      <c r="O970" s="14"/>
      <c r="P970" s="210"/>
    </row>
    <row r="971" spans="1:18" outlineLevel="1">
      <c r="A971" s="211"/>
      <c r="B971" s="212"/>
      <c r="C971" s="212"/>
      <c r="D971" s="211" t="s">
        <v>1748</v>
      </c>
      <c r="E971" s="212"/>
      <c r="F971" s="211" t="s">
        <v>41</v>
      </c>
      <c r="G971" s="212"/>
      <c r="H971" s="212" t="s">
        <v>1526</v>
      </c>
      <c r="I971" s="212">
        <v>201501</v>
      </c>
      <c r="J971" s="213">
        <v>133547.87</v>
      </c>
      <c r="K971" s="171">
        <f t="shared" si="0"/>
        <v>5</v>
      </c>
      <c r="L971" s="214">
        <v>1.4833299999999999E-3</v>
      </c>
      <c r="M971" s="213">
        <f t="shared" si="1"/>
        <v>990.48</v>
      </c>
      <c r="N971" s="213">
        <f t="shared" si="2"/>
        <v>2377.15</v>
      </c>
      <c r="O971" s="211"/>
      <c r="P971" s="242"/>
      <c r="Q971" s="243"/>
      <c r="R971" s="243"/>
    </row>
    <row r="972" spans="1:18" outlineLevel="1">
      <c r="A972" s="211"/>
      <c r="B972" s="212"/>
      <c r="C972" s="212"/>
      <c r="D972" s="211"/>
      <c r="E972" s="212"/>
      <c r="F972" s="211" t="s">
        <v>1750</v>
      </c>
      <c r="G972" s="212"/>
      <c r="H972" s="212" t="s">
        <v>1530</v>
      </c>
      <c r="I972" s="212">
        <v>201502</v>
      </c>
      <c r="J972" s="213">
        <f>+'BWO Estimate'!I72</f>
        <v>37749.75680000001</v>
      </c>
      <c r="K972" s="171">
        <f t="shared" si="0"/>
        <v>4</v>
      </c>
      <c r="L972" s="214">
        <v>2.0333299999999999E-3</v>
      </c>
      <c r="M972" s="213">
        <f t="shared" si="1"/>
        <v>307.02999999999997</v>
      </c>
      <c r="N972" s="213">
        <f t="shared" si="2"/>
        <v>921.09</v>
      </c>
      <c r="O972" s="14"/>
      <c r="P972" s="210"/>
    </row>
    <row r="973" spans="1:18" outlineLevel="1">
      <c r="A973" s="211"/>
      <c r="B973" s="212"/>
      <c r="C973" s="212"/>
      <c r="D973" s="211"/>
      <c r="E973" s="212"/>
      <c r="F973" s="211" t="s">
        <v>1750</v>
      </c>
      <c r="G973" s="212"/>
      <c r="H973" s="212" t="s">
        <v>1530</v>
      </c>
      <c r="I973" s="212">
        <v>201502</v>
      </c>
      <c r="J973" s="213">
        <f>+'BWO Estimate'!I110</f>
        <v>425926.8856888889</v>
      </c>
      <c r="K973" s="171">
        <f t="shared" si="0"/>
        <v>4</v>
      </c>
      <c r="L973" s="214">
        <v>2.23333E-3</v>
      </c>
      <c r="M973" s="213">
        <f t="shared" si="1"/>
        <v>3804.94</v>
      </c>
      <c r="N973" s="213">
        <f t="shared" si="2"/>
        <v>11414.82</v>
      </c>
      <c r="O973" s="14"/>
      <c r="P973" s="210"/>
    </row>
    <row r="974" spans="1:18" outlineLevel="1">
      <c r="A974" s="14"/>
      <c r="B974" s="15"/>
      <c r="C974" s="15"/>
      <c r="D974" s="14"/>
      <c r="E974" s="15"/>
      <c r="F974" s="14" t="s">
        <v>1750</v>
      </c>
      <c r="G974" s="15"/>
      <c r="H974" s="15" t="s">
        <v>1524</v>
      </c>
      <c r="I974" s="15">
        <v>201502</v>
      </c>
      <c r="J974" s="16">
        <f>+'BWO Estimate'!I51</f>
        <v>120960</v>
      </c>
      <c r="K974" s="171">
        <f t="shared" si="0"/>
        <v>4</v>
      </c>
      <c r="L974" s="17">
        <v>1.4833299999999999E-3</v>
      </c>
      <c r="M974" s="16">
        <f t="shared" si="1"/>
        <v>717.69</v>
      </c>
      <c r="N974" s="16">
        <f t="shared" si="2"/>
        <v>2153.08</v>
      </c>
      <c r="O974" s="14"/>
      <c r="P974" s="210"/>
    </row>
    <row r="975" spans="1:18" outlineLevel="1">
      <c r="A975" s="14"/>
      <c r="B975" s="15"/>
      <c r="C975" s="15"/>
      <c r="D975" s="14"/>
      <c r="E975" s="15"/>
      <c r="F975" s="14" t="s">
        <v>1750</v>
      </c>
      <c r="G975" s="15"/>
      <c r="H975" s="15" t="s">
        <v>1525</v>
      </c>
      <c r="I975" s="15">
        <v>201502</v>
      </c>
      <c r="J975" s="16">
        <f>+'Open WO Estimate'!I18</f>
        <v>1107862.73</v>
      </c>
      <c r="K975" s="171">
        <f t="shared" si="0"/>
        <v>4</v>
      </c>
      <c r="L975" s="17">
        <v>1.4833299999999999E-3</v>
      </c>
      <c r="M975" s="16">
        <f t="shared" ref="M975" si="3">ROUND(J975*K975*L975,2)</f>
        <v>6573.3</v>
      </c>
      <c r="N975" s="16">
        <f t="shared" ref="N975" si="4">ROUND(J975*L975*12,2)</f>
        <v>19719.91</v>
      </c>
      <c r="O975" s="14"/>
      <c r="P975" s="210"/>
    </row>
    <row r="976" spans="1:18" outlineLevel="1">
      <c r="A976" s="14"/>
      <c r="B976" s="15"/>
      <c r="C976" s="15"/>
      <c r="D976" s="14"/>
      <c r="E976" s="15"/>
      <c r="F976" s="14"/>
      <c r="G976" s="15"/>
      <c r="H976" s="15"/>
      <c r="I976" s="3"/>
      <c r="J976" s="238"/>
      <c r="K976" s="248"/>
      <c r="L976" s="248"/>
      <c r="M976" s="238"/>
      <c r="N976" s="249"/>
      <c r="O976" s="14"/>
    </row>
    <row r="977" spans="1:20" outlineLevel="1">
      <c r="C977" s="62" t="s">
        <v>1450</v>
      </c>
      <c r="I977" s="215"/>
      <c r="J977" s="262">
        <f>SUBTOTAL(9,J5:J975)</f>
        <v>21434415.215822246</v>
      </c>
      <c r="K977" s="216"/>
      <c r="L977" s="216"/>
      <c r="M977" s="262">
        <f>SUBTOTAL(9,M5:M975)</f>
        <v>232384.63999999996</v>
      </c>
      <c r="N977" s="262">
        <f>SUBTOTAL(9,N5:N975)</f>
        <v>420909.25999999978</v>
      </c>
      <c r="O977" s="20"/>
      <c r="P977" s="210"/>
    </row>
    <row r="978" spans="1:20" outlineLevel="1">
      <c r="A978" s="14"/>
      <c r="B978" s="15"/>
      <c r="C978" s="15"/>
      <c r="D978" s="14"/>
      <c r="E978" s="15"/>
      <c r="F978" s="14"/>
      <c r="G978" s="15"/>
      <c r="H978" s="15"/>
      <c r="I978" s="15"/>
      <c r="J978" s="16"/>
      <c r="K978" s="14"/>
      <c r="L978" s="17"/>
      <c r="M978" s="16"/>
      <c r="N978" s="16"/>
      <c r="O978" s="14"/>
    </row>
    <row r="979" spans="1:20" outlineLevel="1">
      <c r="A979" s="245"/>
      <c r="B979" s="246"/>
      <c r="C979" s="246"/>
      <c r="D979" s="245"/>
      <c r="E979" s="246"/>
      <c r="F979" s="245"/>
      <c r="G979" s="246"/>
      <c r="H979" s="246"/>
      <c r="I979" s="246"/>
      <c r="J979" s="247"/>
      <c r="K979" s="245"/>
      <c r="L979" s="245"/>
      <c r="M979" s="245"/>
      <c r="N979" s="245"/>
      <c r="O979" s="245"/>
    </row>
    <row r="980" spans="1:20" outlineLevel="1">
      <c r="B980" s="3"/>
      <c r="C980" s="3"/>
      <c r="E980" s="3"/>
      <c r="G980" s="3"/>
      <c r="H980" s="3"/>
      <c r="I980" s="3"/>
      <c r="J980" s="240"/>
    </row>
    <row r="981" spans="1:20" outlineLevel="1">
      <c r="J981" s="262"/>
    </row>
    <row r="982" spans="1:20" outlineLevel="1"/>
    <row r="983" spans="1:20" outlineLevel="1">
      <c r="I983" s="215"/>
      <c r="J983" s="215"/>
      <c r="K983" s="216"/>
      <c r="L983" s="216"/>
      <c r="M983" s="215"/>
      <c r="N983" s="217"/>
    </row>
    <row r="984" spans="1:20" outlineLevel="1">
      <c r="B984" s="3"/>
      <c r="C984" s="3"/>
      <c r="E984" s="3"/>
      <c r="G984" s="3"/>
      <c r="H984" s="3"/>
      <c r="O984" s="238" t="s">
        <v>1664</v>
      </c>
    </row>
    <row r="985" spans="1:20">
      <c r="O985" s="216" t="s">
        <v>1665</v>
      </c>
      <c r="P985" s="215" t="s">
        <v>1666</v>
      </c>
      <c r="Q985" s="349" t="s">
        <v>1667</v>
      </c>
      <c r="R985" s="349"/>
      <c r="S985" s="265"/>
      <c r="T985" s="265"/>
    </row>
    <row r="986" spans="1:20" ht="30" customHeight="1">
      <c r="O986" s="216" t="s">
        <v>1668</v>
      </c>
      <c r="P986" s="215" t="s">
        <v>1669</v>
      </c>
      <c r="Q986" s="349" t="s">
        <v>1670</v>
      </c>
      <c r="R986" s="349"/>
      <c r="S986" s="265"/>
      <c r="T986" s="265"/>
    </row>
    <row r="987" spans="1:20">
      <c r="O987" s="216" t="s">
        <v>1671</v>
      </c>
      <c r="P987" s="215" t="s">
        <v>1672</v>
      </c>
      <c r="Q987" s="349" t="s">
        <v>1673</v>
      </c>
      <c r="R987" s="349"/>
      <c r="S987" s="265"/>
      <c r="T987" s="265"/>
    </row>
    <row r="988" spans="1:20">
      <c r="O988" s="216" t="s">
        <v>1674</v>
      </c>
      <c r="P988" s="215" t="s">
        <v>1675</v>
      </c>
      <c r="Q988" s="349" t="s">
        <v>1676</v>
      </c>
      <c r="R988" s="349"/>
      <c r="S988" s="265"/>
      <c r="T988" s="265"/>
    </row>
    <row r="989" spans="1:20">
      <c r="O989" s="216" t="s">
        <v>1677</v>
      </c>
      <c r="P989" s="215" t="s">
        <v>1678</v>
      </c>
      <c r="Q989" s="349" t="s">
        <v>1679</v>
      </c>
      <c r="R989" s="349"/>
      <c r="S989" s="265"/>
      <c r="T989" s="265"/>
    </row>
    <row r="990" spans="1:20">
      <c r="O990" s="216" t="s">
        <v>1680</v>
      </c>
      <c r="P990" s="215" t="s">
        <v>1681</v>
      </c>
      <c r="Q990" s="349" t="s">
        <v>1682</v>
      </c>
      <c r="R990" s="349"/>
      <c r="S990" s="265"/>
      <c r="T990" s="265"/>
    </row>
    <row r="991" spans="1:20">
      <c r="O991" s="216" t="s">
        <v>1683</v>
      </c>
      <c r="P991" s="215" t="s">
        <v>1684</v>
      </c>
      <c r="Q991" s="349" t="s">
        <v>1685</v>
      </c>
      <c r="R991" s="349"/>
      <c r="S991" s="265"/>
      <c r="T991" s="265"/>
    </row>
    <row r="992" spans="1:20">
      <c r="O992" s="216" t="s">
        <v>1686</v>
      </c>
      <c r="P992" s="215" t="s">
        <v>1687</v>
      </c>
      <c r="Q992" s="349" t="s">
        <v>1688</v>
      </c>
      <c r="R992" s="349"/>
      <c r="S992" s="265"/>
      <c r="T992" s="265"/>
    </row>
    <row r="993" spans="9:20" ht="44.25" customHeight="1">
      <c r="O993" s="216" t="s">
        <v>1689</v>
      </c>
      <c r="P993" s="215" t="s">
        <v>1690</v>
      </c>
      <c r="Q993" s="349" t="s">
        <v>1691</v>
      </c>
      <c r="R993" s="349"/>
      <c r="S993" s="266"/>
      <c r="T993" s="266"/>
    </row>
    <row r="994" spans="9:20">
      <c r="I994" s="215"/>
      <c r="K994" s="216"/>
      <c r="L994" s="216"/>
      <c r="M994" s="215"/>
      <c r="N994" s="217"/>
      <c r="O994" s="215"/>
    </row>
    <row r="995" spans="9:20" ht="48" customHeight="1">
      <c r="K995" s="264"/>
      <c r="L995" s="264"/>
      <c r="M995" s="264"/>
      <c r="N995" s="264"/>
      <c r="O995" s="264"/>
      <c r="P995" s="264" t="s">
        <v>1692</v>
      </c>
    </row>
    <row r="996" spans="9:20">
      <c r="I996" s="244"/>
      <c r="J996" s="244"/>
      <c r="K996" s="244"/>
      <c r="L996" s="244"/>
      <c r="M996" s="215"/>
      <c r="N996" s="217"/>
    </row>
  </sheetData>
  <autoFilter ref="A4:O976">
    <sortState ref="A5:O596">
      <sortCondition ref="H5:H596"/>
      <sortCondition ref="I5:I596"/>
      <sortCondition ref="A5:A596"/>
      <sortCondition ref="C5:C596"/>
    </sortState>
  </autoFilter>
  <sortState ref="A5:R641">
    <sortCondition ref="C5:C642"/>
    <sortCondition ref="A5:A642"/>
    <sortCondition ref="I5:I642"/>
  </sortState>
  <mergeCells count="9">
    <mergeCell ref="Q990:R990"/>
    <mergeCell ref="Q991:R991"/>
    <mergeCell ref="Q992:R992"/>
    <mergeCell ref="Q993:R993"/>
    <mergeCell ref="Q985:R985"/>
    <mergeCell ref="Q986:R986"/>
    <mergeCell ref="Q987:R987"/>
    <mergeCell ref="Q988:R988"/>
    <mergeCell ref="Q989:R989"/>
  </mergeCells>
  <pageMargins left="0.7" right="0.7" top="1" bottom="0.75" header="0.3" footer="0.3"/>
  <pageSetup scale="56" fitToHeight="0" orientation="landscape" r:id="rId1"/>
  <headerFooter>
    <oddHeader>&amp;RAppendix B
Page &amp;P of &amp;N</oddHeader>
  </headerFooter>
</worksheet>
</file>

<file path=xl/worksheets/sheet4.xml><?xml version="1.0" encoding="utf-8"?>
<worksheet xmlns="http://schemas.openxmlformats.org/spreadsheetml/2006/main" xmlns:r="http://schemas.openxmlformats.org/officeDocument/2006/relationships">
  <sheetPr>
    <pageSetUpPr fitToPage="1"/>
  </sheetPr>
  <dimension ref="A1:V996"/>
  <sheetViews>
    <sheetView topLeftCell="J1" zoomScale="85" zoomScaleNormal="85" workbookViewId="0">
      <pane ySplit="4" topLeftCell="A963" activePane="bottomLeft" state="frozen"/>
      <selection pane="bottomLeft" activeCell="R985" sqref="R985:S993"/>
    </sheetView>
  </sheetViews>
  <sheetFormatPr defaultRowHeight="15" outlineLevelRow="2"/>
  <cols>
    <col min="1" max="1" width="14.140625" style="3" customWidth="1"/>
    <col min="2" max="2" width="37.140625" style="3" bestFit="1" customWidth="1"/>
    <col min="3" max="3" width="16.42578125" style="2" customWidth="1"/>
    <col min="4" max="4" width="13.140625" style="2" customWidth="1"/>
    <col min="5" max="5" width="40.85546875" style="3" hidden="1" customWidth="1"/>
    <col min="6" max="6" width="9.42578125" style="2" hidden="1" customWidth="1"/>
    <col min="7" max="7" width="36.7109375" style="3" hidden="1" customWidth="1"/>
    <col min="8" max="8" width="12.42578125" style="2" hidden="1" customWidth="1"/>
    <col min="9" max="9" width="14.5703125" style="2" customWidth="1"/>
    <col min="10" max="10" width="9.28515625" style="2" customWidth="1"/>
    <col min="11" max="11" width="20.7109375" style="6" customWidth="1"/>
    <col min="12" max="12" width="10.140625" style="3" customWidth="1"/>
    <col min="13" max="13" width="14.7109375" style="3" customWidth="1"/>
    <col min="14" max="14" width="15.5703125" style="3" customWidth="1"/>
    <col min="15" max="15" width="16" style="3" customWidth="1"/>
    <col min="16" max="16" width="24.5703125" style="3" customWidth="1"/>
    <col min="17" max="17" width="87.42578125" style="3" customWidth="1"/>
    <col min="18" max="18" width="18.28515625" style="3" customWidth="1"/>
    <col min="19" max="19" width="29" style="3" bestFit="1" customWidth="1"/>
    <col min="20" max="16384" width="9.140625" style="3"/>
  </cols>
  <sheetData>
    <row r="1" spans="1:22">
      <c r="C1" s="1" t="s">
        <v>0</v>
      </c>
      <c r="M1" s="7"/>
    </row>
    <row r="2" spans="1:22">
      <c r="C2" s="1" t="s">
        <v>2105</v>
      </c>
    </row>
    <row r="4" spans="1:22" s="13" customFormat="1" ht="35.25" customHeight="1">
      <c r="A4" s="13" t="s">
        <v>5</v>
      </c>
      <c r="B4" s="8" t="s">
        <v>3</v>
      </c>
      <c r="C4" s="9" t="s">
        <v>4</v>
      </c>
      <c r="D4" s="9" t="s">
        <v>5</v>
      </c>
      <c r="E4" s="8" t="s">
        <v>6</v>
      </c>
      <c r="F4" s="9" t="s">
        <v>7</v>
      </c>
      <c r="G4" s="8" t="s">
        <v>8</v>
      </c>
      <c r="H4" s="10" t="s">
        <v>9</v>
      </c>
      <c r="I4" s="10" t="s">
        <v>1529</v>
      </c>
      <c r="J4" s="9" t="s">
        <v>10</v>
      </c>
      <c r="K4" s="11" t="s">
        <v>11</v>
      </c>
      <c r="L4" s="12" t="s">
        <v>12</v>
      </c>
      <c r="M4" s="12" t="s">
        <v>13</v>
      </c>
      <c r="N4" s="12" t="s">
        <v>14</v>
      </c>
      <c r="O4" s="12" t="s">
        <v>15</v>
      </c>
      <c r="P4" s="12" t="s">
        <v>16</v>
      </c>
      <c r="Q4" s="12" t="s">
        <v>1663</v>
      </c>
      <c r="R4" s="12" t="s">
        <v>1693</v>
      </c>
      <c r="S4" s="12" t="s">
        <v>1694</v>
      </c>
    </row>
    <row r="5" spans="1:22" ht="45" outlineLevel="2">
      <c r="A5" s="3" t="s">
        <v>19</v>
      </c>
      <c r="B5" s="14" t="s">
        <v>17</v>
      </c>
      <c r="C5" s="15" t="s">
        <v>18</v>
      </c>
      <c r="D5" s="15" t="s">
        <v>19</v>
      </c>
      <c r="E5" s="14" t="s">
        <v>20</v>
      </c>
      <c r="F5" s="15" t="s">
        <v>21</v>
      </c>
      <c r="G5" s="14" t="s">
        <v>22</v>
      </c>
      <c r="H5" s="15" t="s">
        <v>23</v>
      </c>
      <c r="I5" s="15" t="s">
        <v>1525</v>
      </c>
      <c r="J5" s="15">
        <v>201409</v>
      </c>
      <c r="K5" s="16">
        <v>-607.88</v>
      </c>
      <c r="L5" s="171">
        <f>VLOOKUP(J5,$U$9:$V$23,2)</f>
        <v>9</v>
      </c>
      <c r="M5" s="17">
        <v>1.4833299999999999E-3</v>
      </c>
      <c r="N5" s="16">
        <f>ROUND(K5*L5*M5,2)</f>
        <v>-8.1199999999999992</v>
      </c>
      <c r="O5" s="16">
        <f>ROUND(K5*M5*12,2)</f>
        <v>-10.82</v>
      </c>
      <c r="P5" s="14"/>
      <c r="Q5" s="210" t="str">
        <f>VLOOKUP(D5,'WO Descriptions'!$A$5:$D$345,4)</f>
        <v>Approved by: Kevin Driskell on 12/31/2013,  ISRS To replace 24ft of 1.5" CU main at Cypress and E 43rd St. Main is on the C-009 pressure system with a MOP=15psig and a MAOP=16psig. See attached sheet for the work order numbers, length, size and type of main to be abandoned.</v>
      </c>
    </row>
    <row r="6" spans="1:22" outlineLevel="1">
      <c r="A6" s="3" t="s">
        <v>1753</v>
      </c>
      <c r="B6" s="223"/>
      <c r="C6" s="250"/>
      <c r="D6" s="254" t="s">
        <v>1753</v>
      </c>
      <c r="E6" s="223"/>
      <c r="F6" s="250"/>
      <c r="G6" s="223"/>
      <c r="H6" s="250"/>
      <c r="I6" s="250"/>
      <c r="J6" s="250"/>
      <c r="K6" s="251">
        <f>SUBTOTAL(9,K5:K5)</f>
        <v>-607.88</v>
      </c>
      <c r="L6" s="252"/>
      <c r="M6" s="253"/>
      <c r="N6" s="251">
        <f>SUBTOTAL(9,N5:N5)</f>
        <v>-8.1199999999999992</v>
      </c>
      <c r="O6" s="251">
        <f>SUBTOTAL(9,O5:O5)</f>
        <v>-10.82</v>
      </c>
      <c r="P6" s="223"/>
      <c r="Q6" s="210"/>
      <c r="R6" s="263" t="s">
        <v>2097</v>
      </c>
      <c r="S6" s="263" t="s">
        <v>2098</v>
      </c>
    </row>
    <row r="7" spans="1:22" ht="30" outlineLevel="2">
      <c r="A7" s="3" t="s">
        <v>25</v>
      </c>
      <c r="B7" s="14" t="s">
        <v>17</v>
      </c>
      <c r="C7" s="15" t="s">
        <v>24</v>
      </c>
      <c r="D7" s="15" t="s">
        <v>25</v>
      </c>
      <c r="E7" s="14" t="s">
        <v>26</v>
      </c>
      <c r="F7" s="15" t="s">
        <v>27</v>
      </c>
      <c r="G7" s="14" t="s">
        <v>28</v>
      </c>
      <c r="H7" s="15" t="s">
        <v>23</v>
      </c>
      <c r="I7" s="15" t="s">
        <v>1525</v>
      </c>
      <c r="J7" s="15">
        <v>201409</v>
      </c>
      <c r="K7" s="16">
        <v>2.6</v>
      </c>
      <c r="L7" s="171">
        <f>VLOOKUP(J7,$U$9:$V$23,2)</f>
        <v>9</v>
      </c>
      <c r="M7" s="17">
        <v>1.4833299999999999E-3</v>
      </c>
      <c r="N7" s="16">
        <f>ROUND(K7*L7*M7,2)</f>
        <v>0.03</v>
      </c>
      <c r="O7" s="16">
        <f>ROUND(K7*M7*12,2)</f>
        <v>0.05</v>
      </c>
      <c r="P7" s="14"/>
      <c r="Q7" s="210" t="str">
        <f>VLOOKUP(D7,'WO Descriptions'!$A$5:$D$345,4)</f>
        <v>Approved by: Ralph Janes on 11/07/2013,  Replace and abandon 10' - 2in pcs main (WO 642656) that was damaged by third party drilling in a power pole.</v>
      </c>
      <c r="U7" s="171" t="s">
        <v>1542</v>
      </c>
      <c r="V7" s="171" t="s">
        <v>12</v>
      </c>
    </row>
    <row r="8" spans="1:22" outlineLevel="1">
      <c r="A8" s="3" t="s">
        <v>1754</v>
      </c>
      <c r="B8" s="223"/>
      <c r="C8" s="250"/>
      <c r="D8" s="254" t="s">
        <v>1754</v>
      </c>
      <c r="E8" s="223"/>
      <c r="F8" s="250"/>
      <c r="G8" s="223"/>
      <c r="H8" s="250"/>
      <c r="I8" s="250"/>
      <c r="J8" s="250"/>
      <c r="K8" s="251">
        <f>SUBTOTAL(9,K7:K7)</f>
        <v>2.6</v>
      </c>
      <c r="L8" s="252"/>
      <c r="M8" s="253"/>
      <c r="N8" s="251">
        <f>SUBTOTAL(9,N7:N7)</f>
        <v>0.03</v>
      </c>
      <c r="O8" s="251">
        <f>SUBTOTAL(9,O7:O7)</f>
        <v>0.05</v>
      </c>
      <c r="P8" s="223"/>
      <c r="Q8" s="210"/>
      <c r="R8" s="263" t="s">
        <v>2097</v>
      </c>
      <c r="S8" s="263" t="s">
        <v>2099</v>
      </c>
      <c r="U8" s="252"/>
      <c r="V8" s="252"/>
    </row>
    <row r="9" spans="1:22" ht="45" outlineLevel="2">
      <c r="A9" s="3" t="s">
        <v>30</v>
      </c>
      <c r="B9" s="14" t="s">
        <v>17</v>
      </c>
      <c r="C9" s="15" t="s">
        <v>29</v>
      </c>
      <c r="D9" s="15" t="s">
        <v>30</v>
      </c>
      <c r="E9" s="14" t="s">
        <v>31</v>
      </c>
      <c r="F9" s="15" t="s">
        <v>32</v>
      </c>
      <c r="G9" s="14" t="s">
        <v>22</v>
      </c>
      <c r="H9" s="15" t="s">
        <v>23</v>
      </c>
      <c r="I9" s="15" t="s">
        <v>1525</v>
      </c>
      <c r="J9" s="15">
        <v>201409</v>
      </c>
      <c r="K9" s="16">
        <v>-49.61</v>
      </c>
      <c r="L9" s="171">
        <f>VLOOKUP(J9,$U$9:$V$23,2)</f>
        <v>9</v>
      </c>
      <c r="M9" s="17">
        <v>1.4833299999999999E-3</v>
      </c>
      <c r="N9" s="16">
        <f>ROUND(K9*L9*M9,2)</f>
        <v>-0.66</v>
      </c>
      <c r="O9" s="16">
        <f>ROUND(K9*M9*12,2)</f>
        <v>-0.88</v>
      </c>
      <c r="P9" s="14"/>
      <c r="Q9" s="210" t="str">
        <f>VLOOKUP(D9,'WO Descriptions'!$A$5:$D$345,4)</f>
        <v>Approved by: Galen Shoemaker on 09/23/2013,  To replace 20ft of 4in BS (JO9B) and 5ft of 2in CS (JO9B) and 5ft of 2in CS (65-4958) with 2in CS due to leakage and poor condition of main. MOP=30# MAOP=31# SYSTEM=S-6 TEST=100#</v>
      </c>
      <c r="U9" s="172">
        <v>201409</v>
      </c>
      <c r="V9" s="171">
        <v>9</v>
      </c>
    </row>
    <row r="10" spans="1:22" outlineLevel="1">
      <c r="A10" s="3" t="s">
        <v>1755</v>
      </c>
      <c r="B10" s="223"/>
      <c r="C10" s="250"/>
      <c r="D10" s="254" t="s">
        <v>1755</v>
      </c>
      <c r="E10" s="223"/>
      <c r="F10" s="250"/>
      <c r="G10" s="223"/>
      <c r="H10" s="250"/>
      <c r="I10" s="250"/>
      <c r="J10" s="250"/>
      <c r="K10" s="251">
        <f>SUBTOTAL(9,K9:K9)</f>
        <v>-49.61</v>
      </c>
      <c r="L10" s="252"/>
      <c r="M10" s="253"/>
      <c r="N10" s="251">
        <f>SUBTOTAL(9,N9:N9)</f>
        <v>-0.66</v>
      </c>
      <c r="O10" s="251">
        <f>SUBTOTAL(9,O9:O9)</f>
        <v>-0.88</v>
      </c>
      <c r="P10" s="223"/>
      <c r="Q10" s="210"/>
      <c r="R10" s="263" t="s">
        <v>2097</v>
      </c>
      <c r="S10" s="263" t="s">
        <v>2098</v>
      </c>
      <c r="U10" s="255"/>
      <c r="V10" s="252"/>
    </row>
    <row r="11" spans="1:22" ht="45" outlineLevel="2">
      <c r="A11" s="3" t="s">
        <v>34</v>
      </c>
      <c r="B11" s="14" t="s">
        <v>17</v>
      </c>
      <c r="C11" s="15" t="s">
        <v>33</v>
      </c>
      <c r="D11" s="15" t="s">
        <v>34</v>
      </c>
      <c r="E11" s="14" t="s">
        <v>35</v>
      </c>
      <c r="F11" s="15" t="s">
        <v>36</v>
      </c>
      <c r="G11" s="14" t="s">
        <v>22</v>
      </c>
      <c r="H11" s="15" t="s">
        <v>23</v>
      </c>
      <c r="I11" s="15" t="s">
        <v>1525</v>
      </c>
      <c r="J11" s="15">
        <v>201409</v>
      </c>
      <c r="K11" s="16">
        <v>-133.36000000000001</v>
      </c>
      <c r="L11" s="171">
        <f>VLOOKUP(J11,$U$9:$V$23,2)</f>
        <v>9</v>
      </c>
      <c r="M11" s="17">
        <v>1.4833299999999999E-3</v>
      </c>
      <c r="N11" s="16">
        <f>ROUND(K11*L11*M11,2)</f>
        <v>-1.78</v>
      </c>
      <c r="O11" s="16">
        <f>ROUND(K11*M11*12,2)</f>
        <v>-2.37</v>
      </c>
      <c r="P11" s="14"/>
      <c r="Q11" s="210" t="str">
        <f>VLOOKUP(D11,'WO Descriptions'!$A$5:$D$345,4)</f>
        <v>Approved by: Gary Williams on 07/22/2013,  This work order is necessary to replace 600ft-4in bs main (WO#6580) with 4in pe main (WO#13-2796) due to low reads. Pressure System C-01 Pressure .88.</v>
      </c>
      <c r="U11" s="172">
        <v>201410</v>
      </c>
      <c r="V11" s="171">
        <v>8</v>
      </c>
    </row>
    <row r="12" spans="1:22" outlineLevel="1">
      <c r="A12" s="3" t="s">
        <v>1756</v>
      </c>
      <c r="B12" s="223"/>
      <c r="C12" s="250"/>
      <c r="D12" s="254" t="s">
        <v>1756</v>
      </c>
      <c r="E12" s="223"/>
      <c r="F12" s="250"/>
      <c r="G12" s="223"/>
      <c r="H12" s="250"/>
      <c r="I12" s="250"/>
      <c r="J12" s="250"/>
      <c r="K12" s="251">
        <f>SUBTOTAL(9,K11:K11)</f>
        <v>-133.36000000000001</v>
      </c>
      <c r="L12" s="252"/>
      <c r="M12" s="253"/>
      <c r="N12" s="251">
        <f>SUBTOTAL(9,N11:N11)</f>
        <v>-1.78</v>
      </c>
      <c r="O12" s="251">
        <f>SUBTOTAL(9,O11:O11)</f>
        <v>-2.37</v>
      </c>
      <c r="P12" s="223"/>
      <c r="Q12" s="210"/>
      <c r="R12" s="263" t="s">
        <v>2097</v>
      </c>
      <c r="S12" s="263" t="s">
        <v>2098</v>
      </c>
      <c r="U12" s="255"/>
      <c r="V12" s="252"/>
    </row>
    <row r="13" spans="1:22" ht="30" outlineLevel="2">
      <c r="A13" s="3" t="s">
        <v>38</v>
      </c>
      <c r="B13" s="14" t="s">
        <v>17</v>
      </c>
      <c r="C13" s="15" t="s">
        <v>37</v>
      </c>
      <c r="D13" s="15" t="s">
        <v>38</v>
      </c>
      <c r="E13" s="14" t="s">
        <v>39</v>
      </c>
      <c r="F13" s="15" t="s">
        <v>40</v>
      </c>
      <c r="G13" s="14" t="s">
        <v>41</v>
      </c>
      <c r="H13" s="15" t="s">
        <v>23</v>
      </c>
      <c r="I13" s="15" t="s">
        <v>1526</v>
      </c>
      <c r="J13" s="15">
        <v>201409</v>
      </c>
      <c r="K13" s="16">
        <v>10.42</v>
      </c>
      <c r="L13" s="171">
        <f>VLOOKUP(J13,$U$9:$V$23,2)</f>
        <v>9</v>
      </c>
      <c r="M13" s="17">
        <v>1.4833299999999999E-3</v>
      </c>
      <c r="N13" s="16">
        <f>ROUND(K13*L13*M13,2)</f>
        <v>0.14000000000000001</v>
      </c>
      <c r="O13" s="16">
        <f>ROUND(K13*M13*12,2)</f>
        <v>0.19</v>
      </c>
      <c r="P13" s="14"/>
      <c r="Q13" s="210" t="str">
        <f>VLOOKUP(D13,'WO Descriptions'!$A$5:$D$345,4)</f>
        <v>Approved by: Kevin Driskell on 09/23/2013,  Relocate 9' of 4'' PE main around storm structure (original WO 13-2516). S-056 pressure system.</v>
      </c>
      <c r="U13" s="172">
        <v>201411</v>
      </c>
      <c r="V13" s="171">
        <v>7</v>
      </c>
    </row>
    <row r="14" spans="1:22" outlineLevel="1">
      <c r="A14" s="3" t="s">
        <v>1757</v>
      </c>
      <c r="B14" s="223"/>
      <c r="C14" s="250"/>
      <c r="D14" s="254" t="s">
        <v>1757</v>
      </c>
      <c r="E14" s="223"/>
      <c r="F14" s="250"/>
      <c r="G14" s="223"/>
      <c r="H14" s="250"/>
      <c r="I14" s="250"/>
      <c r="J14" s="250"/>
      <c r="K14" s="251">
        <f>SUBTOTAL(9,K13:K13)</f>
        <v>10.42</v>
      </c>
      <c r="L14" s="252"/>
      <c r="M14" s="253"/>
      <c r="N14" s="251">
        <f>SUBTOTAL(9,N13:N13)</f>
        <v>0.14000000000000001</v>
      </c>
      <c r="O14" s="251">
        <f>SUBTOTAL(9,O13:O13)</f>
        <v>0.19</v>
      </c>
      <c r="P14" s="223"/>
      <c r="Q14" s="210"/>
      <c r="R14" s="263" t="s">
        <v>2096</v>
      </c>
      <c r="S14" s="263"/>
      <c r="U14" s="255"/>
      <c r="V14" s="252"/>
    </row>
    <row r="15" spans="1:22" ht="30" outlineLevel="2">
      <c r="A15" s="3" t="s">
        <v>43</v>
      </c>
      <c r="B15" s="14" t="s">
        <v>17</v>
      </c>
      <c r="C15" s="15" t="s">
        <v>42</v>
      </c>
      <c r="D15" s="15" t="s">
        <v>43</v>
      </c>
      <c r="E15" s="14" t="s">
        <v>44</v>
      </c>
      <c r="F15" s="15" t="s">
        <v>45</v>
      </c>
      <c r="G15" s="14" t="s">
        <v>22</v>
      </c>
      <c r="H15" s="15" t="s">
        <v>23</v>
      </c>
      <c r="I15" s="15" t="s">
        <v>1525</v>
      </c>
      <c r="J15" s="15">
        <v>201409</v>
      </c>
      <c r="K15" s="16">
        <v>7.45</v>
      </c>
      <c r="L15" s="171">
        <f>VLOOKUP(J15,$U$9:$V$23,2)</f>
        <v>9</v>
      </c>
      <c r="M15" s="17">
        <v>1.4833299999999999E-3</v>
      </c>
      <c r="N15" s="16">
        <f>ROUND(K15*L15*M15,2)</f>
        <v>0.1</v>
      </c>
      <c r="O15" s="16">
        <f>ROUND(K15*M15*12,2)</f>
        <v>0.13</v>
      </c>
      <c r="P15" s="14"/>
      <c r="Q15" s="210" t="str">
        <f>VLOOKUP(D15,'WO Descriptions'!$A$5:$D$345,4)</f>
        <v>Approved by: Kevin Driskell on 09/23/2013,  Replace 2" PBS with 12' of 2" thin film steel due to leak.  Abandon 8' of 2" PBS (WO I333).  Work done by MGE crew.  MOP=15#, MAOP=15#</v>
      </c>
      <c r="U15" s="172">
        <v>201412</v>
      </c>
      <c r="V15" s="171">
        <v>6</v>
      </c>
    </row>
    <row r="16" spans="1:22" outlineLevel="1">
      <c r="A16" s="3" t="s">
        <v>1758</v>
      </c>
      <c r="B16" s="223"/>
      <c r="C16" s="250"/>
      <c r="D16" s="254" t="s">
        <v>1758</v>
      </c>
      <c r="E16" s="223"/>
      <c r="F16" s="250"/>
      <c r="G16" s="223"/>
      <c r="H16" s="250"/>
      <c r="I16" s="250"/>
      <c r="J16" s="250"/>
      <c r="K16" s="251">
        <f>SUBTOTAL(9,K15:K15)</f>
        <v>7.45</v>
      </c>
      <c r="L16" s="252"/>
      <c r="M16" s="253"/>
      <c r="N16" s="251">
        <f>SUBTOTAL(9,N15:N15)</f>
        <v>0.1</v>
      </c>
      <c r="O16" s="251">
        <f>SUBTOTAL(9,O15:O15)</f>
        <v>0.13</v>
      </c>
      <c r="P16" s="223"/>
      <c r="Q16" s="210"/>
      <c r="R16" s="263" t="s">
        <v>2097</v>
      </c>
      <c r="S16" s="263" t="s">
        <v>2098</v>
      </c>
      <c r="U16" s="255"/>
      <c r="V16" s="252"/>
    </row>
    <row r="17" spans="1:22" ht="60" outlineLevel="2">
      <c r="A17" s="3" t="s">
        <v>47</v>
      </c>
      <c r="B17" s="14" t="s">
        <v>17</v>
      </c>
      <c r="C17" s="15" t="s">
        <v>46</v>
      </c>
      <c r="D17" s="15" t="s">
        <v>47</v>
      </c>
      <c r="E17" s="14" t="s">
        <v>48</v>
      </c>
      <c r="F17" s="15" t="s">
        <v>49</v>
      </c>
      <c r="G17" s="14" t="s">
        <v>22</v>
      </c>
      <c r="H17" s="15" t="s">
        <v>23</v>
      </c>
      <c r="I17" s="15" t="s">
        <v>1525</v>
      </c>
      <c r="J17" s="15">
        <v>201409</v>
      </c>
      <c r="K17" s="16">
        <v>20.05</v>
      </c>
      <c r="L17" s="171">
        <f>VLOOKUP(J17,$U$9:$V$23,2)</f>
        <v>9</v>
      </c>
      <c r="M17" s="17">
        <v>1.4833299999999999E-3</v>
      </c>
      <c r="N17" s="16">
        <f>ROUND(K17*L17*M17,2)</f>
        <v>0.27</v>
      </c>
      <c r="O17" s="16">
        <f>ROUND(K17*M17*12,2)</f>
        <v>0.36</v>
      </c>
      <c r="P17" s="14"/>
      <c r="Q17" s="210" t="str">
        <f>VLOOKUP(D17,'WO Descriptions'!$A$5:$D$345,4)</f>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
      <c r="U17" s="172">
        <v>201501</v>
      </c>
      <c r="V17" s="171">
        <v>5</v>
      </c>
    </row>
    <row r="18" spans="1:22" outlineLevel="1">
      <c r="A18" s="3" t="s">
        <v>1759</v>
      </c>
      <c r="B18" s="223"/>
      <c r="C18" s="250"/>
      <c r="D18" s="254" t="s">
        <v>1759</v>
      </c>
      <c r="E18" s="223"/>
      <c r="F18" s="250"/>
      <c r="G18" s="223"/>
      <c r="H18" s="250"/>
      <c r="I18" s="250"/>
      <c r="J18" s="250"/>
      <c r="K18" s="251">
        <f>SUBTOTAL(9,K17:K17)</f>
        <v>20.05</v>
      </c>
      <c r="L18" s="252"/>
      <c r="M18" s="253"/>
      <c r="N18" s="251">
        <f>SUBTOTAL(9,N17:N17)</f>
        <v>0.27</v>
      </c>
      <c r="O18" s="251">
        <f>SUBTOTAL(9,O17:O17)</f>
        <v>0.36</v>
      </c>
      <c r="P18" s="223"/>
      <c r="Q18" s="210"/>
      <c r="R18" s="263" t="s">
        <v>2097</v>
      </c>
      <c r="S18" s="263" t="s">
        <v>2098</v>
      </c>
      <c r="U18" s="255"/>
      <c r="V18" s="252"/>
    </row>
    <row r="19" spans="1:22" ht="90" outlineLevel="2">
      <c r="A19" s="3" t="s">
        <v>51</v>
      </c>
      <c r="B19" s="14" t="s">
        <v>17</v>
      </c>
      <c r="C19" s="15" t="s">
        <v>50</v>
      </c>
      <c r="D19" s="15" t="s">
        <v>51</v>
      </c>
      <c r="E19" s="14" t="s">
        <v>52</v>
      </c>
      <c r="F19" s="15" t="s">
        <v>53</v>
      </c>
      <c r="G19" s="14" t="s">
        <v>41</v>
      </c>
      <c r="H19" s="15" t="s">
        <v>23</v>
      </c>
      <c r="I19" s="15" t="s">
        <v>1526</v>
      </c>
      <c r="J19" s="15">
        <v>201409</v>
      </c>
      <c r="K19" s="16">
        <v>24425.73</v>
      </c>
      <c r="L19" s="171">
        <f>VLOOKUP(J19,$U$9:$V$23,2)</f>
        <v>9</v>
      </c>
      <c r="M19" s="17">
        <v>1.4833299999999999E-3</v>
      </c>
      <c r="N19" s="16">
        <f>ROUND(K19*L19*M19,2)</f>
        <v>326.08</v>
      </c>
      <c r="O19" s="16">
        <f>ROUND(K19*M19*12,2)</f>
        <v>434.78</v>
      </c>
      <c r="P19" s="14"/>
      <c r="Q19" s="210" t="str">
        <f>VLOOKUP(D19,'WO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U19" s="172">
        <v>201502</v>
      </c>
      <c r="V19" s="171">
        <v>4</v>
      </c>
    </row>
    <row r="20" spans="1:22" ht="90" outlineLevel="2">
      <c r="A20" s="3" t="s">
        <v>51</v>
      </c>
      <c r="B20" s="14" t="s">
        <v>17</v>
      </c>
      <c r="C20" s="15" t="s">
        <v>50</v>
      </c>
      <c r="D20" s="15" t="s">
        <v>51</v>
      </c>
      <c r="E20" s="14" t="s">
        <v>52</v>
      </c>
      <c r="F20" s="15" t="s">
        <v>53</v>
      </c>
      <c r="G20" s="14" t="s">
        <v>41</v>
      </c>
      <c r="H20" s="15" t="s">
        <v>23</v>
      </c>
      <c r="I20" s="15" t="s">
        <v>1526</v>
      </c>
      <c r="J20" s="15">
        <v>201410</v>
      </c>
      <c r="K20" s="16">
        <v>-17.78</v>
      </c>
      <c r="L20" s="171">
        <f>VLOOKUP(J20,$U$9:$V$23,2)</f>
        <v>8</v>
      </c>
      <c r="M20" s="17">
        <v>1.4833299999999999E-3</v>
      </c>
      <c r="N20" s="16">
        <f>ROUND(K20*L20*M20,2)</f>
        <v>-0.21</v>
      </c>
      <c r="O20" s="16">
        <f>ROUND(K20*M20*12,2)</f>
        <v>-0.32</v>
      </c>
      <c r="P20" s="14"/>
      <c r="Q20" s="210" t="str">
        <f>VLOOKUP(D20,'WO Descriptions'!$A$5:$D$345,4)</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U20" s="172">
        <v>201503</v>
      </c>
      <c r="V20" s="171">
        <v>3</v>
      </c>
    </row>
    <row r="21" spans="1:22" outlineLevel="1">
      <c r="A21" s="3" t="s">
        <v>1760</v>
      </c>
      <c r="B21" s="223"/>
      <c r="C21" s="250"/>
      <c r="D21" s="254" t="s">
        <v>1760</v>
      </c>
      <c r="E21" s="223"/>
      <c r="F21" s="250"/>
      <c r="G21" s="223"/>
      <c r="H21" s="250"/>
      <c r="I21" s="250"/>
      <c r="J21" s="250"/>
      <c r="K21" s="251">
        <f>SUBTOTAL(9,K19:K20)</f>
        <v>24407.95</v>
      </c>
      <c r="L21" s="252"/>
      <c r="M21" s="253"/>
      <c r="N21" s="251">
        <f>SUBTOTAL(9,N19:N20)</f>
        <v>325.87</v>
      </c>
      <c r="O21" s="251">
        <f>SUBTOTAL(9,O19:O20)</f>
        <v>434.46</v>
      </c>
      <c r="P21" s="223"/>
      <c r="Q21" s="210"/>
      <c r="R21" s="263" t="s">
        <v>2096</v>
      </c>
      <c r="U21" s="255"/>
      <c r="V21" s="252"/>
    </row>
    <row r="22" spans="1:22" ht="120" outlineLevel="2">
      <c r="A22" s="3" t="s">
        <v>56</v>
      </c>
      <c r="B22" s="14" t="s">
        <v>54</v>
      </c>
      <c r="C22" s="15" t="s">
        <v>55</v>
      </c>
      <c r="D22" s="15" t="s">
        <v>56</v>
      </c>
      <c r="E22" s="14" t="s">
        <v>57</v>
      </c>
      <c r="F22" s="15" t="s">
        <v>58</v>
      </c>
      <c r="G22" s="14" t="s">
        <v>22</v>
      </c>
      <c r="H22" s="15" t="s">
        <v>23</v>
      </c>
      <c r="I22" s="15" t="s">
        <v>1525</v>
      </c>
      <c r="J22" s="15">
        <v>201411</v>
      </c>
      <c r="K22" s="16">
        <v>180848.77</v>
      </c>
      <c r="L22" s="171">
        <f>VLOOKUP(J22,$U$9:$V$23,2)</f>
        <v>7</v>
      </c>
      <c r="M22" s="17">
        <v>1.4833299999999999E-3</v>
      </c>
      <c r="N22" s="16">
        <f>ROUND(K22*L22*M22,2)</f>
        <v>1877.81</v>
      </c>
      <c r="O22" s="16">
        <f>ROUND(K22*M22*12,2)</f>
        <v>3219.1</v>
      </c>
      <c r="P22" s="14"/>
      <c r="Q22" s="210" t="str">
        <f>VLOOKUP(D22,'WO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U22" s="172">
        <v>201504</v>
      </c>
      <c r="V22" s="171">
        <v>2</v>
      </c>
    </row>
    <row r="23" spans="1:22" ht="120" outlineLevel="2">
      <c r="A23" s="3" t="s">
        <v>56</v>
      </c>
      <c r="B23" s="14" t="s">
        <v>54</v>
      </c>
      <c r="C23" s="15" t="s">
        <v>55</v>
      </c>
      <c r="D23" s="15" t="s">
        <v>56</v>
      </c>
      <c r="E23" s="14" t="s">
        <v>57</v>
      </c>
      <c r="F23" s="15" t="s">
        <v>58</v>
      </c>
      <c r="G23" s="14" t="s">
        <v>22</v>
      </c>
      <c r="H23" s="15" t="s">
        <v>23</v>
      </c>
      <c r="I23" s="15" t="s">
        <v>1525</v>
      </c>
      <c r="J23" s="15">
        <v>201412</v>
      </c>
      <c r="K23" s="16">
        <v>395.39</v>
      </c>
      <c r="L23" s="171">
        <f>VLOOKUP(J23,$U$9:$V$23,2)</f>
        <v>6</v>
      </c>
      <c r="M23" s="17">
        <v>1.4833299999999999E-3</v>
      </c>
      <c r="N23" s="16">
        <f>ROUND(K23*L23*M23,2)</f>
        <v>3.52</v>
      </c>
      <c r="O23" s="16">
        <f>ROUND(K23*M23*12,2)</f>
        <v>7.04</v>
      </c>
      <c r="P23" s="14"/>
      <c r="Q23" s="210" t="str">
        <f>VLOOKUP(D23,'WO Descriptions'!$A$5:$D$345,4)</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U23" s="172">
        <v>201505</v>
      </c>
      <c r="V23" s="171">
        <v>1</v>
      </c>
    </row>
    <row r="24" spans="1:22" outlineLevel="1">
      <c r="A24" s="3" t="s">
        <v>1761</v>
      </c>
      <c r="B24" s="223"/>
      <c r="C24" s="250"/>
      <c r="D24" s="254" t="s">
        <v>1761</v>
      </c>
      <c r="E24" s="223"/>
      <c r="F24" s="250"/>
      <c r="G24" s="223"/>
      <c r="H24" s="250"/>
      <c r="I24" s="250"/>
      <c r="J24" s="250"/>
      <c r="K24" s="251">
        <f>SUBTOTAL(9,K22:K23)</f>
        <v>181244.16</v>
      </c>
      <c r="L24" s="252"/>
      <c r="M24" s="253"/>
      <c r="N24" s="251">
        <f>SUBTOTAL(9,N22:N23)</f>
        <v>1881.33</v>
      </c>
      <c r="O24" s="251">
        <f>SUBTOTAL(9,O22:O23)</f>
        <v>3226.14</v>
      </c>
      <c r="P24" s="223"/>
      <c r="Q24" s="210"/>
      <c r="R24" s="263" t="s">
        <v>2097</v>
      </c>
      <c r="S24" s="263" t="s">
        <v>2098</v>
      </c>
      <c r="U24" s="255"/>
      <c r="V24" s="252"/>
    </row>
    <row r="25" spans="1:22" ht="150" outlineLevel="2">
      <c r="A25" s="3" t="s">
        <v>60</v>
      </c>
      <c r="B25" s="14" t="s">
        <v>54</v>
      </c>
      <c r="C25" s="15" t="s">
        <v>59</v>
      </c>
      <c r="D25" s="15" t="s">
        <v>60</v>
      </c>
      <c r="E25" s="14" t="s">
        <v>61</v>
      </c>
      <c r="F25" s="15" t="s">
        <v>62</v>
      </c>
      <c r="G25" s="14" t="s">
        <v>22</v>
      </c>
      <c r="H25" s="15" t="s">
        <v>23</v>
      </c>
      <c r="I25" s="15" t="s">
        <v>1525</v>
      </c>
      <c r="J25" s="15">
        <v>201409</v>
      </c>
      <c r="K25" s="16">
        <v>9975.01</v>
      </c>
      <c r="L25" s="171">
        <f>VLOOKUP(J25,$U$9:$V$23,2)</f>
        <v>9</v>
      </c>
      <c r="M25" s="17">
        <v>1.4833299999999999E-3</v>
      </c>
      <c r="N25" s="16">
        <f>ROUND(K25*L25*M25,2)</f>
        <v>133.16999999999999</v>
      </c>
      <c r="O25" s="16">
        <f>ROUND(K25*M25*12,2)</f>
        <v>177.55</v>
      </c>
      <c r="P25" s="14"/>
      <c r="Q25" s="210" t="str">
        <f>VLOOKUP(D25,'WO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c r="U25" s="172"/>
      <c r="V25" s="171"/>
    </row>
    <row r="26" spans="1:22" ht="150" outlineLevel="2">
      <c r="A26" s="3" t="s">
        <v>60</v>
      </c>
      <c r="B26" s="14" t="s">
        <v>54</v>
      </c>
      <c r="C26" s="15" t="s">
        <v>59</v>
      </c>
      <c r="D26" s="15" t="s">
        <v>60</v>
      </c>
      <c r="E26" s="14" t="s">
        <v>61</v>
      </c>
      <c r="F26" s="15" t="s">
        <v>62</v>
      </c>
      <c r="G26" s="14" t="s">
        <v>22</v>
      </c>
      <c r="H26" s="15" t="s">
        <v>23</v>
      </c>
      <c r="I26" s="15" t="s">
        <v>1525</v>
      </c>
      <c r="J26" s="15">
        <v>201410</v>
      </c>
      <c r="K26" s="16">
        <v>0</v>
      </c>
      <c r="L26" s="171">
        <f>VLOOKUP(J26,$U$9:$V$23,2)</f>
        <v>8</v>
      </c>
      <c r="M26" s="17">
        <v>1.4833299999999999E-3</v>
      </c>
      <c r="N26" s="16">
        <f>ROUND(K26*L26*M26,2)</f>
        <v>0</v>
      </c>
      <c r="O26" s="16">
        <f>ROUND(K26*M26*12,2)</f>
        <v>0</v>
      </c>
      <c r="P26" s="14"/>
      <c r="Q26" s="210" t="str">
        <f>VLOOKUP(D26,'WO Descriptions'!$A$5:$D$345,4)</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row>
    <row r="27" spans="1:22" outlineLevel="1">
      <c r="A27" s="3" t="s">
        <v>1762</v>
      </c>
      <c r="B27" s="223"/>
      <c r="C27" s="250"/>
      <c r="D27" s="254" t="s">
        <v>1762</v>
      </c>
      <c r="E27" s="223"/>
      <c r="F27" s="250"/>
      <c r="G27" s="223"/>
      <c r="H27" s="250"/>
      <c r="I27" s="250"/>
      <c r="J27" s="250"/>
      <c r="K27" s="251">
        <f>SUBTOTAL(9,K25:K26)</f>
        <v>9975.01</v>
      </c>
      <c r="L27" s="252"/>
      <c r="M27" s="253"/>
      <c r="N27" s="251">
        <f>SUBTOTAL(9,N25:N26)</f>
        <v>133.16999999999999</v>
      </c>
      <c r="O27" s="251">
        <f>SUBTOTAL(9,O25:O26)</f>
        <v>177.55</v>
      </c>
      <c r="P27" s="223"/>
      <c r="Q27" s="210"/>
      <c r="R27" s="263" t="s">
        <v>2097</v>
      </c>
      <c r="S27" s="263" t="s">
        <v>2098</v>
      </c>
    </row>
    <row r="28" spans="1:22" ht="60" outlineLevel="2">
      <c r="A28" s="3" t="s">
        <v>64</v>
      </c>
      <c r="B28" s="14" t="s">
        <v>17</v>
      </c>
      <c r="C28" s="15" t="s">
        <v>63</v>
      </c>
      <c r="D28" s="15" t="s">
        <v>64</v>
      </c>
      <c r="E28" s="14" t="s">
        <v>65</v>
      </c>
      <c r="F28" s="15" t="s">
        <v>32</v>
      </c>
      <c r="G28" s="14" t="s">
        <v>22</v>
      </c>
      <c r="H28" s="15" t="s">
        <v>23</v>
      </c>
      <c r="I28" s="15" t="s">
        <v>1525</v>
      </c>
      <c r="J28" s="15">
        <v>201409</v>
      </c>
      <c r="K28" s="16">
        <v>3.2</v>
      </c>
      <c r="L28" s="171">
        <f>VLOOKUP(J28,$U$9:$V$23,2)</f>
        <v>9</v>
      </c>
      <c r="M28" s="17">
        <v>1.4833299999999999E-3</v>
      </c>
      <c r="N28" s="16">
        <f>ROUND(K28*L28*M28,2)</f>
        <v>0.04</v>
      </c>
      <c r="O28" s="16">
        <f>ROUND(K28*M28*12,2)</f>
        <v>0.06</v>
      </c>
      <c r="P28" s="14"/>
      <c r="Q28" s="210" t="str">
        <f>VLOOKUP(D28,'WO Descriptions'!$A$5:$D$345,4)</f>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
    </row>
    <row r="29" spans="1:22" outlineLevel="1">
      <c r="A29" s="3" t="s">
        <v>1763</v>
      </c>
      <c r="B29" s="223"/>
      <c r="C29" s="250"/>
      <c r="D29" s="254" t="s">
        <v>1763</v>
      </c>
      <c r="E29" s="223"/>
      <c r="F29" s="250"/>
      <c r="G29" s="223"/>
      <c r="H29" s="250"/>
      <c r="I29" s="250"/>
      <c r="J29" s="250"/>
      <c r="K29" s="251">
        <f>SUBTOTAL(9,K28:K28)</f>
        <v>3.2</v>
      </c>
      <c r="L29" s="252"/>
      <c r="M29" s="253"/>
      <c r="N29" s="251">
        <f>SUBTOTAL(9,N28:N28)</f>
        <v>0.04</v>
      </c>
      <c r="O29" s="251">
        <f>SUBTOTAL(9,O28:O28)</f>
        <v>0.06</v>
      </c>
      <c r="P29" s="223"/>
      <c r="Q29" s="210"/>
      <c r="R29" s="263" t="s">
        <v>2097</v>
      </c>
      <c r="S29" s="263" t="s">
        <v>2098</v>
      </c>
    </row>
    <row r="30" spans="1:22" ht="30" outlineLevel="2">
      <c r="A30" s="3" t="s">
        <v>68</v>
      </c>
      <c r="B30" s="14" t="s">
        <v>66</v>
      </c>
      <c r="C30" s="15" t="s">
        <v>67</v>
      </c>
      <c r="D30" s="15" t="s">
        <v>68</v>
      </c>
      <c r="E30" s="14" t="s">
        <v>69</v>
      </c>
      <c r="F30" s="15" t="s">
        <v>70</v>
      </c>
      <c r="G30" s="14" t="s">
        <v>71</v>
      </c>
      <c r="H30" s="15" t="s">
        <v>23</v>
      </c>
      <c r="I30" s="15" t="s">
        <v>1530</v>
      </c>
      <c r="J30" s="15">
        <v>201409</v>
      </c>
      <c r="K30" s="16">
        <v>33.67</v>
      </c>
      <c r="L30" s="171">
        <f>VLOOKUP(J30,$U$9:$V$23,2)</f>
        <v>9</v>
      </c>
      <c r="M30" s="17">
        <v>2.23333E-3</v>
      </c>
      <c r="N30" s="16">
        <f>ROUND(K30*L30*M30,2)</f>
        <v>0.68</v>
      </c>
      <c r="O30" s="16">
        <f>ROUND(K30*M30*12,2)</f>
        <v>0.9</v>
      </c>
      <c r="P30" s="14"/>
      <c r="Q30" s="210" t="str">
        <f>VLOOKUP(D30,'WO Descriptions'!$A$5:$D$345,4)</f>
        <v>Service/Yard Line Replacement (SLRP): Company Crew.  Immediate response - replacement single unprotected steel or copper  (Independence - East Region)</v>
      </c>
    </row>
    <row r="31" spans="1:22" ht="30" outlineLevel="2">
      <c r="A31" s="3" t="s">
        <v>68</v>
      </c>
      <c r="B31" s="211" t="s">
        <v>66</v>
      </c>
      <c r="C31" s="212" t="s">
        <v>67</v>
      </c>
      <c r="D31" s="212" t="s">
        <v>68</v>
      </c>
      <c r="E31" s="211" t="s">
        <v>69</v>
      </c>
      <c r="F31" s="212" t="s">
        <v>70</v>
      </c>
      <c r="G31" s="211" t="s">
        <v>71</v>
      </c>
      <c r="H31" s="212" t="s">
        <v>23</v>
      </c>
      <c r="I31" s="212" t="s">
        <v>1530</v>
      </c>
      <c r="J31" s="212">
        <v>201410</v>
      </c>
      <c r="K31" s="213">
        <v>0</v>
      </c>
      <c r="L31" s="171">
        <f>VLOOKUP(J31,$U$9:$V$23,2)</f>
        <v>8</v>
      </c>
      <c r="M31" s="214">
        <v>2.23333E-3</v>
      </c>
      <c r="N31" s="213">
        <f>ROUND(K31*L31*M31,2)</f>
        <v>0</v>
      </c>
      <c r="O31" s="213">
        <f>ROUND(K31*M31*12,2)</f>
        <v>0</v>
      </c>
      <c r="P31" s="14"/>
      <c r="Q31" s="210" t="str">
        <f>VLOOKUP(D31,'WO Descriptions'!$A$5:$D$345,4)</f>
        <v>Service/Yard Line Replacement (SLRP): Company Crew.  Immediate response - replacement single unprotected steel or copper  (Independence - East Region)</v>
      </c>
    </row>
    <row r="32" spans="1:22" outlineLevel="1">
      <c r="A32" s="3" t="s">
        <v>1764</v>
      </c>
      <c r="B32" s="256"/>
      <c r="C32" s="257"/>
      <c r="D32" s="260" t="s">
        <v>1764</v>
      </c>
      <c r="E32" s="256"/>
      <c r="F32" s="257"/>
      <c r="G32" s="256"/>
      <c r="H32" s="257"/>
      <c r="I32" s="257"/>
      <c r="J32" s="257"/>
      <c r="K32" s="258">
        <f>SUBTOTAL(9,K30:K31)</f>
        <v>33.67</v>
      </c>
      <c r="L32" s="252"/>
      <c r="M32" s="259"/>
      <c r="N32" s="258">
        <f>SUBTOTAL(9,N30:N31)</f>
        <v>0.68</v>
      </c>
      <c r="O32" s="258">
        <f>SUBTOTAL(9,O30:O31)</f>
        <v>0.9</v>
      </c>
      <c r="P32" s="223"/>
      <c r="Q32" s="210"/>
      <c r="R32" s="263" t="s">
        <v>2097</v>
      </c>
      <c r="S32" s="263" t="s">
        <v>2102</v>
      </c>
    </row>
    <row r="33" spans="1:19" ht="30" outlineLevel="2">
      <c r="A33" s="3" t="s">
        <v>73</v>
      </c>
      <c r="B33" s="14" t="s">
        <v>66</v>
      </c>
      <c r="C33" s="15" t="s">
        <v>72</v>
      </c>
      <c r="D33" s="15" t="s">
        <v>73</v>
      </c>
      <c r="E33" s="14" t="s">
        <v>74</v>
      </c>
      <c r="F33" s="15" t="s">
        <v>75</v>
      </c>
      <c r="G33" s="14" t="s">
        <v>71</v>
      </c>
      <c r="H33" s="15" t="s">
        <v>23</v>
      </c>
      <c r="I33" s="15" t="s">
        <v>1530</v>
      </c>
      <c r="J33" s="15">
        <v>201409</v>
      </c>
      <c r="K33" s="16">
        <v>29889.97</v>
      </c>
      <c r="L33" s="171">
        <f>VLOOKUP(J33,$U$9:$V$23,2)</f>
        <v>9</v>
      </c>
      <c r="M33" s="17">
        <v>2.23333E-3</v>
      </c>
      <c r="N33" s="16">
        <f>ROUND(K33*L33*M33,2)</f>
        <v>600.79</v>
      </c>
      <c r="O33" s="16">
        <f>ROUND(K33*M33*12,2)</f>
        <v>801.05</v>
      </c>
      <c r="P33" s="14"/>
      <c r="Q33" s="210" t="str">
        <f>VLOOKUP(D33,'WO Descriptions'!$A$5:$D$345,4)</f>
        <v>Service/Yard Line Replacement (SLRP): Company Crew.  Immediate response - replacement single unprotected steel or copper  (Kansas City - Central Region)</v>
      </c>
    </row>
    <row r="34" spans="1:19" ht="30" outlineLevel="2">
      <c r="A34" s="3" t="s">
        <v>73</v>
      </c>
      <c r="B34" s="211" t="s">
        <v>66</v>
      </c>
      <c r="C34" s="212" t="s">
        <v>72</v>
      </c>
      <c r="D34" s="212" t="s">
        <v>73</v>
      </c>
      <c r="E34" s="211" t="s">
        <v>74</v>
      </c>
      <c r="F34" s="212" t="s">
        <v>75</v>
      </c>
      <c r="G34" s="211" t="s">
        <v>71</v>
      </c>
      <c r="H34" s="212" t="s">
        <v>23</v>
      </c>
      <c r="I34" s="212" t="s">
        <v>1530</v>
      </c>
      <c r="J34" s="212">
        <v>201410</v>
      </c>
      <c r="K34" s="213">
        <v>170646.25</v>
      </c>
      <c r="L34" s="171">
        <f>VLOOKUP(J34,$U$9:$V$23,2)</f>
        <v>8</v>
      </c>
      <c r="M34" s="214">
        <v>2.23333E-3</v>
      </c>
      <c r="N34" s="213">
        <f>ROUND(K34*L34*M34,2)</f>
        <v>3048.88</v>
      </c>
      <c r="O34" s="213">
        <f>ROUND(K34*M34*12,2)</f>
        <v>4573.3100000000004</v>
      </c>
      <c r="P34" s="14"/>
      <c r="Q34" s="210" t="str">
        <f>VLOOKUP(D34,'WO Descriptions'!$A$5:$D$345,4)</f>
        <v>Service/Yard Line Replacement (SLRP): Company Crew.  Immediate response - replacement single unprotected steel or copper  (Kansas City - Central Region)</v>
      </c>
    </row>
    <row r="35" spans="1:19" ht="30" outlineLevel="2">
      <c r="A35" s="3" t="s">
        <v>73</v>
      </c>
      <c r="B35" s="211" t="s">
        <v>66</v>
      </c>
      <c r="C35" s="212" t="s">
        <v>72</v>
      </c>
      <c r="D35" s="212" t="s">
        <v>73</v>
      </c>
      <c r="E35" s="211" t="s">
        <v>74</v>
      </c>
      <c r="F35" s="212" t="s">
        <v>75</v>
      </c>
      <c r="G35" s="211" t="s">
        <v>71</v>
      </c>
      <c r="H35" s="212" t="s">
        <v>23</v>
      </c>
      <c r="I35" s="212" t="s">
        <v>1530</v>
      </c>
      <c r="J35" s="212">
        <v>201411</v>
      </c>
      <c r="K35" s="213">
        <v>75040.75</v>
      </c>
      <c r="L35" s="171">
        <f>VLOOKUP(J35,$U$9:$V$23,2)</f>
        <v>7</v>
      </c>
      <c r="M35" s="214">
        <v>2.23333E-3</v>
      </c>
      <c r="N35" s="213">
        <f>ROUND(K35*L35*M35,2)</f>
        <v>1173.1400000000001</v>
      </c>
      <c r="O35" s="213">
        <f>ROUND(K35*M35*12,2)</f>
        <v>2011.09</v>
      </c>
      <c r="P35" s="14"/>
      <c r="Q35" s="210" t="str">
        <f>VLOOKUP(D35,'WO Descriptions'!$A$5:$D$345,4)</f>
        <v>Service/Yard Line Replacement (SLRP): Company Crew.  Immediate response - replacement single unprotected steel or copper  (Kansas City - Central Region)</v>
      </c>
    </row>
    <row r="36" spans="1:19" ht="30" outlineLevel="2">
      <c r="A36" s="3" t="s">
        <v>73</v>
      </c>
      <c r="B36" s="211" t="s">
        <v>66</v>
      </c>
      <c r="C36" s="212" t="s">
        <v>72</v>
      </c>
      <c r="D36" s="212" t="s">
        <v>73</v>
      </c>
      <c r="E36" s="211" t="s">
        <v>74</v>
      </c>
      <c r="F36" s="212" t="s">
        <v>75</v>
      </c>
      <c r="G36" s="211" t="s">
        <v>71</v>
      </c>
      <c r="H36" s="212" t="s">
        <v>23</v>
      </c>
      <c r="I36" s="212" t="s">
        <v>1530</v>
      </c>
      <c r="J36" s="212">
        <v>201412</v>
      </c>
      <c r="K36" s="213">
        <v>137868.63</v>
      </c>
      <c r="L36" s="171">
        <f>VLOOKUP(J36,$U$9:$V$23,2)</f>
        <v>6</v>
      </c>
      <c r="M36" s="214">
        <v>2.23333E-3</v>
      </c>
      <c r="N36" s="213">
        <f>ROUND(K36*L36*M36,2)</f>
        <v>1847.44</v>
      </c>
      <c r="O36" s="213">
        <f>ROUND(K36*M36*12,2)</f>
        <v>3694.87</v>
      </c>
      <c r="P36" s="14"/>
      <c r="Q36" s="210" t="str">
        <f>VLOOKUP(D36,'WO Descriptions'!$A$5:$D$345,4)</f>
        <v>Service/Yard Line Replacement (SLRP): Company Crew.  Immediate response - replacement single unprotected steel or copper  (Kansas City - Central Region)</v>
      </c>
    </row>
    <row r="37" spans="1:19" outlineLevel="1">
      <c r="A37" s="3" t="s">
        <v>1765</v>
      </c>
      <c r="B37" s="256"/>
      <c r="C37" s="257"/>
      <c r="D37" s="260" t="s">
        <v>1765</v>
      </c>
      <c r="E37" s="256"/>
      <c r="F37" s="257"/>
      <c r="G37" s="256"/>
      <c r="H37" s="257"/>
      <c r="I37" s="257"/>
      <c r="J37" s="257"/>
      <c r="K37" s="258">
        <f>SUBTOTAL(9,K33:K36)</f>
        <v>413445.6</v>
      </c>
      <c r="L37" s="252"/>
      <c r="M37" s="259"/>
      <c r="N37" s="258">
        <f>SUBTOTAL(9,N33:N36)</f>
        <v>6670.25</v>
      </c>
      <c r="O37" s="258">
        <f>SUBTOTAL(9,O33:O36)</f>
        <v>11080.32</v>
      </c>
      <c r="P37" s="223"/>
      <c r="Q37" s="210"/>
      <c r="R37" s="263" t="s">
        <v>2097</v>
      </c>
      <c r="S37" s="263" t="s">
        <v>2102</v>
      </c>
    </row>
    <row r="38" spans="1:19" ht="30" outlineLevel="2">
      <c r="A38" s="3" t="s">
        <v>77</v>
      </c>
      <c r="B38" s="14" t="s">
        <v>66</v>
      </c>
      <c r="C38" s="15" t="s">
        <v>76</v>
      </c>
      <c r="D38" s="15" t="s">
        <v>77</v>
      </c>
      <c r="E38" s="14" t="s">
        <v>78</v>
      </c>
      <c r="F38" s="15" t="s">
        <v>79</v>
      </c>
      <c r="G38" s="14" t="s">
        <v>80</v>
      </c>
      <c r="H38" s="15" t="s">
        <v>23</v>
      </c>
      <c r="I38" s="15" t="s">
        <v>1531</v>
      </c>
      <c r="J38" s="15">
        <v>201409</v>
      </c>
      <c r="K38" s="16">
        <v>5719.2</v>
      </c>
      <c r="L38" s="171">
        <f>VLOOKUP(J38,$U$9:$V$23,2)</f>
        <v>9</v>
      </c>
      <c r="M38" s="17">
        <v>2.23333E-3</v>
      </c>
      <c r="N38" s="16">
        <f>ROUND(K38*L38*M38,2)</f>
        <v>114.96</v>
      </c>
      <c r="O38" s="16">
        <f>ROUND(K38*M38*12,2)</f>
        <v>153.27000000000001</v>
      </c>
      <c r="P38" s="14"/>
      <c r="Q38" s="210" t="str">
        <f>VLOOKUP(D38,'WO Descriptions'!$A$5:$D$345,4)</f>
        <v>Service/Yard Line Replacement (SLRP): Contract Crew.  Modified Block by Block - Planned replacement of unprotected steel or copper  (Lee's Summit - East Region)</v>
      </c>
    </row>
    <row r="39" spans="1:19" outlineLevel="1">
      <c r="A39" s="3" t="s">
        <v>1766</v>
      </c>
      <c r="B39" s="223"/>
      <c r="C39" s="250"/>
      <c r="D39" s="254" t="s">
        <v>1766</v>
      </c>
      <c r="E39" s="223"/>
      <c r="F39" s="250"/>
      <c r="G39" s="223"/>
      <c r="H39" s="250"/>
      <c r="I39" s="250"/>
      <c r="J39" s="250"/>
      <c r="K39" s="251">
        <f>SUBTOTAL(9,K38:K38)</f>
        <v>5719.2</v>
      </c>
      <c r="L39" s="252"/>
      <c r="M39" s="253"/>
      <c r="N39" s="251">
        <f>SUBTOTAL(9,N38:N38)</f>
        <v>114.96</v>
      </c>
      <c r="O39" s="251">
        <f>SUBTOTAL(9,O38:O38)</f>
        <v>153.27000000000001</v>
      </c>
      <c r="P39" s="223"/>
      <c r="Q39" s="210"/>
      <c r="R39" s="263" t="s">
        <v>2097</v>
      </c>
      <c r="S39" s="263" t="s">
        <v>2102</v>
      </c>
    </row>
    <row r="40" spans="1:19" ht="30" outlineLevel="2">
      <c r="A40" s="3" t="s">
        <v>82</v>
      </c>
      <c r="B40" s="14" t="s">
        <v>66</v>
      </c>
      <c r="C40" s="15" t="s">
        <v>81</v>
      </c>
      <c r="D40" s="15" t="s">
        <v>82</v>
      </c>
      <c r="E40" s="14" t="s">
        <v>83</v>
      </c>
      <c r="F40" s="15" t="s">
        <v>84</v>
      </c>
      <c r="G40" s="14" t="s">
        <v>85</v>
      </c>
      <c r="H40" s="15" t="s">
        <v>23</v>
      </c>
      <c r="I40" s="15" t="s">
        <v>1530</v>
      </c>
      <c r="J40" s="15">
        <v>201409</v>
      </c>
      <c r="K40" s="16">
        <v>152025.89000000001</v>
      </c>
      <c r="L40" s="171">
        <f>VLOOKUP(J40,$U$9:$V$23,2)</f>
        <v>9</v>
      </c>
      <c r="M40" s="17">
        <v>2.23333E-3</v>
      </c>
      <c r="N40" s="16">
        <f>ROUND(K40*L40*M40,2)</f>
        <v>3055.72</v>
      </c>
      <c r="O40" s="16">
        <f>ROUND(K40*M40*12,2)</f>
        <v>4074.29</v>
      </c>
      <c r="P40" s="14"/>
      <c r="Q40" s="210" t="str">
        <f>VLOOKUP(D40,'WO Descriptions'!$A$5:$D$345,4)</f>
        <v>Service/Yard Line Replacement (SLRP): Contract Crew.  Block by Block - Planned replacement of all unprotected steel or copper in a single block.  (Kansas City - Central Region)</v>
      </c>
    </row>
    <row r="41" spans="1:19" ht="30" outlineLevel="2">
      <c r="A41" s="3" t="s">
        <v>82</v>
      </c>
      <c r="B41" s="211" t="s">
        <v>66</v>
      </c>
      <c r="C41" s="212" t="s">
        <v>81</v>
      </c>
      <c r="D41" s="212" t="s">
        <v>82</v>
      </c>
      <c r="E41" s="211" t="s">
        <v>83</v>
      </c>
      <c r="F41" s="212" t="s">
        <v>84</v>
      </c>
      <c r="G41" s="211" t="s">
        <v>85</v>
      </c>
      <c r="H41" s="212" t="s">
        <v>23</v>
      </c>
      <c r="I41" s="212" t="s">
        <v>1530</v>
      </c>
      <c r="J41" s="212">
        <v>201410</v>
      </c>
      <c r="K41" s="213">
        <v>28628.69</v>
      </c>
      <c r="L41" s="171">
        <f>VLOOKUP(J41,$U$9:$V$23,2)</f>
        <v>8</v>
      </c>
      <c r="M41" s="214">
        <v>2.23333E-3</v>
      </c>
      <c r="N41" s="213">
        <f>ROUND(K41*L41*M41,2)</f>
        <v>511.5</v>
      </c>
      <c r="O41" s="213">
        <f>ROUND(K41*M41*12,2)</f>
        <v>767.25</v>
      </c>
      <c r="P41" s="14"/>
      <c r="Q41" s="210" t="str">
        <f>VLOOKUP(D41,'WO Descriptions'!$A$5:$D$345,4)</f>
        <v>Service/Yard Line Replacement (SLRP): Contract Crew.  Block by Block - Planned replacement of all unprotected steel or copper in a single block.  (Kansas City - Central Region)</v>
      </c>
    </row>
    <row r="42" spans="1:19" ht="30" outlineLevel="2">
      <c r="A42" s="3" t="s">
        <v>82</v>
      </c>
      <c r="B42" s="211" t="s">
        <v>66</v>
      </c>
      <c r="C42" s="212" t="s">
        <v>81</v>
      </c>
      <c r="D42" s="212" t="s">
        <v>82</v>
      </c>
      <c r="E42" s="211" t="s">
        <v>83</v>
      </c>
      <c r="F42" s="212" t="s">
        <v>84</v>
      </c>
      <c r="G42" s="211" t="s">
        <v>85</v>
      </c>
      <c r="H42" s="212" t="s">
        <v>23</v>
      </c>
      <c r="I42" s="212" t="s">
        <v>1530</v>
      </c>
      <c r="J42" s="212">
        <v>201411</v>
      </c>
      <c r="K42" s="213">
        <v>18288.689999999999</v>
      </c>
      <c r="L42" s="171">
        <f>VLOOKUP(J42,$U$9:$V$23,2)</f>
        <v>7</v>
      </c>
      <c r="M42" s="214">
        <v>2.23333E-3</v>
      </c>
      <c r="N42" s="213">
        <f>ROUND(K42*L42*M42,2)</f>
        <v>285.91000000000003</v>
      </c>
      <c r="O42" s="213">
        <f>ROUND(K42*M42*12,2)</f>
        <v>490.14</v>
      </c>
      <c r="P42" s="14"/>
      <c r="Q42" s="210" t="str">
        <f>VLOOKUP(D42,'WO Descriptions'!$A$5:$D$345,4)</f>
        <v>Service/Yard Line Replacement (SLRP): Contract Crew.  Block by Block - Planned replacement of all unprotected steel or copper in a single block.  (Kansas City - Central Region)</v>
      </c>
    </row>
    <row r="43" spans="1:19" ht="30" outlineLevel="2">
      <c r="A43" s="3" t="s">
        <v>82</v>
      </c>
      <c r="B43" s="211" t="s">
        <v>66</v>
      </c>
      <c r="C43" s="212" t="s">
        <v>81</v>
      </c>
      <c r="D43" s="212" t="s">
        <v>82</v>
      </c>
      <c r="E43" s="211" t="s">
        <v>83</v>
      </c>
      <c r="F43" s="212" t="s">
        <v>84</v>
      </c>
      <c r="G43" s="211" t="s">
        <v>85</v>
      </c>
      <c r="H43" s="212" t="s">
        <v>23</v>
      </c>
      <c r="I43" s="212" t="s">
        <v>1530</v>
      </c>
      <c r="J43" s="212">
        <v>201412</v>
      </c>
      <c r="K43" s="213">
        <v>21637.919999999998</v>
      </c>
      <c r="L43" s="171">
        <f>VLOOKUP(J43,$U$9:$V$23,2)</f>
        <v>6</v>
      </c>
      <c r="M43" s="214">
        <v>2.23333E-3</v>
      </c>
      <c r="N43" s="213">
        <f>ROUND(K43*L43*M43,2)</f>
        <v>289.95</v>
      </c>
      <c r="O43" s="213">
        <f>ROUND(K43*M43*12,2)</f>
        <v>579.9</v>
      </c>
      <c r="P43" s="14"/>
      <c r="Q43" s="210" t="str">
        <f>VLOOKUP(D43,'WO Descriptions'!$A$5:$D$345,4)</f>
        <v>Service/Yard Line Replacement (SLRP): Contract Crew.  Block by Block - Planned replacement of all unprotected steel or copper in a single block.  (Kansas City - Central Region)</v>
      </c>
    </row>
    <row r="44" spans="1:19" outlineLevel="1">
      <c r="A44" s="3" t="s">
        <v>1767</v>
      </c>
      <c r="B44" s="256"/>
      <c r="C44" s="257"/>
      <c r="D44" s="260" t="s">
        <v>1767</v>
      </c>
      <c r="E44" s="256"/>
      <c r="F44" s="257"/>
      <c r="G44" s="256"/>
      <c r="H44" s="257"/>
      <c r="I44" s="257"/>
      <c r="J44" s="257"/>
      <c r="K44" s="258">
        <f>SUBTOTAL(9,K40:K43)</f>
        <v>220581.19</v>
      </c>
      <c r="L44" s="252"/>
      <c r="M44" s="259"/>
      <c r="N44" s="258">
        <f>SUBTOTAL(9,N40:N43)</f>
        <v>4143.08</v>
      </c>
      <c r="O44" s="258">
        <f>SUBTOTAL(9,O40:O43)</f>
        <v>5911.58</v>
      </c>
      <c r="P44" s="223"/>
      <c r="Q44" s="210"/>
      <c r="R44" s="263" t="s">
        <v>2097</v>
      </c>
      <c r="S44" s="263" t="s">
        <v>2102</v>
      </c>
    </row>
    <row r="45" spans="1:19" ht="30" outlineLevel="2">
      <c r="A45" s="3" t="s">
        <v>87</v>
      </c>
      <c r="B45" s="14" t="s">
        <v>66</v>
      </c>
      <c r="C45" s="15" t="s">
        <v>86</v>
      </c>
      <c r="D45" s="15" t="s">
        <v>87</v>
      </c>
      <c r="E45" s="14" t="s">
        <v>88</v>
      </c>
      <c r="F45" s="15" t="s">
        <v>89</v>
      </c>
      <c r="G45" s="14" t="s">
        <v>85</v>
      </c>
      <c r="H45" s="15" t="s">
        <v>23</v>
      </c>
      <c r="I45" s="15" t="s">
        <v>1530</v>
      </c>
      <c r="J45" s="15">
        <v>201409</v>
      </c>
      <c r="K45" s="16">
        <v>5005.29</v>
      </c>
      <c r="L45" s="171">
        <f>VLOOKUP(J45,$U$9:$V$23,2)</f>
        <v>9</v>
      </c>
      <c r="M45" s="17">
        <v>2.23333E-3</v>
      </c>
      <c r="N45" s="16">
        <f>ROUND(K45*L45*M45,2)</f>
        <v>100.61</v>
      </c>
      <c r="O45" s="16">
        <f>ROUND(K45*M45*12,2)</f>
        <v>134.13999999999999</v>
      </c>
      <c r="P45" s="14"/>
      <c r="Q45" s="210" t="str">
        <f>VLOOKUP(D45,'WO Descriptions'!$A$5:$D$345,4)</f>
        <v>Service/Yard Line Replacement (SLRP): Contract Crew.  Block by Block - Planned replacement of all unprotected steel or copper in a single block.  (Monett - South Region)</v>
      </c>
    </row>
    <row r="46" spans="1:19" outlineLevel="1">
      <c r="A46" s="3" t="s">
        <v>1768</v>
      </c>
      <c r="B46" s="223"/>
      <c r="C46" s="250"/>
      <c r="D46" s="254" t="s">
        <v>1768</v>
      </c>
      <c r="E46" s="223"/>
      <c r="F46" s="250"/>
      <c r="G46" s="223"/>
      <c r="H46" s="250"/>
      <c r="I46" s="250"/>
      <c r="J46" s="250"/>
      <c r="K46" s="251">
        <f>SUBTOTAL(9,K45:K45)</f>
        <v>5005.29</v>
      </c>
      <c r="L46" s="252"/>
      <c r="M46" s="253"/>
      <c r="N46" s="251">
        <f>SUBTOTAL(9,N45:N45)</f>
        <v>100.61</v>
      </c>
      <c r="O46" s="251">
        <f>SUBTOTAL(9,O45:O45)</f>
        <v>134.13999999999999</v>
      </c>
      <c r="P46" s="223"/>
      <c r="Q46" s="210"/>
      <c r="R46" s="263" t="s">
        <v>2097</v>
      </c>
      <c r="S46" s="263" t="s">
        <v>2102</v>
      </c>
    </row>
    <row r="47" spans="1:19" ht="30" outlineLevel="2">
      <c r="A47" s="3" t="s">
        <v>91</v>
      </c>
      <c r="B47" s="14" t="s">
        <v>66</v>
      </c>
      <c r="C47" s="15" t="s">
        <v>90</v>
      </c>
      <c r="D47" s="15" t="s">
        <v>91</v>
      </c>
      <c r="E47" s="14" t="s">
        <v>78</v>
      </c>
      <c r="F47" s="15" t="s">
        <v>92</v>
      </c>
      <c r="G47" s="14" t="s">
        <v>80</v>
      </c>
      <c r="H47" s="15" t="s">
        <v>23</v>
      </c>
      <c r="I47" s="15" t="s">
        <v>1530</v>
      </c>
      <c r="J47" s="15">
        <v>201409</v>
      </c>
      <c r="K47" s="16">
        <v>26370.98</v>
      </c>
      <c r="L47" s="171">
        <f>VLOOKUP(J47,$U$9:$V$23,2)</f>
        <v>9</v>
      </c>
      <c r="M47" s="17">
        <v>2.23333E-3</v>
      </c>
      <c r="N47" s="16">
        <f>ROUND(K47*L47*M47,2)</f>
        <v>530.05999999999995</v>
      </c>
      <c r="O47" s="16">
        <f>ROUND(K47*M47*12,2)</f>
        <v>706.74</v>
      </c>
      <c r="P47" s="14"/>
      <c r="Q47" s="210" t="str">
        <f>VLOOKUP(D47,'WO Descriptions'!$A$5:$D$345,4)</f>
        <v>Service/Yard Line Replacement (SLRP): Company Crew.  Modified Block by Block - Planned replacement of all unprotected steel or copper in a single block.  (Monett - South Region)</v>
      </c>
    </row>
    <row r="48" spans="1:19" ht="30" outlineLevel="2">
      <c r="A48" s="3" t="s">
        <v>91</v>
      </c>
      <c r="B48" s="211" t="s">
        <v>66</v>
      </c>
      <c r="C48" s="212" t="s">
        <v>90</v>
      </c>
      <c r="D48" s="212" t="s">
        <v>91</v>
      </c>
      <c r="E48" s="211" t="s">
        <v>78</v>
      </c>
      <c r="F48" s="212" t="s">
        <v>92</v>
      </c>
      <c r="G48" s="211" t="s">
        <v>80</v>
      </c>
      <c r="H48" s="212" t="s">
        <v>23</v>
      </c>
      <c r="I48" s="212" t="s">
        <v>1530</v>
      </c>
      <c r="J48" s="212">
        <v>201410</v>
      </c>
      <c r="K48" s="213">
        <v>7587.08</v>
      </c>
      <c r="L48" s="171">
        <f>VLOOKUP(J48,$U$9:$V$23,2)</f>
        <v>8</v>
      </c>
      <c r="M48" s="214">
        <v>2.23333E-3</v>
      </c>
      <c r="N48" s="213">
        <f>ROUND(K48*L48*M48,2)</f>
        <v>135.56</v>
      </c>
      <c r="O48" s="213">
        <f>ROUND(K48*M48*12,2)</f>
        <v>203.33</v>
      </c>
      <c r="P48" s="14"/>
      <c r="Q48" s="210" t="str">
        <f>VLOOKUP(D48,'WO Descriptions'!$A$5:$D$345,4)</f>
        <v>Service/Yard Line Replacement (SLRP): Company Crew.  Modified Block by Block - Planned replacement of all unprotected steel or copper in a single block.  (Monett - South Region)</v>
      </c>
    </row>
    <row r="49" spans="1:19" ht="30" outlineLevel="2">
      <c r="A49" s="3" t="s">
        <v>91</v>
      </c>
      <c r="B49" s="211" t="s">
        <v>66</v>
      </c>
      <c r="C49" s="212" t="s">
        <v>90</v>
      </c>
      <c r="D49" s="212" t="s">
        <v>91</v>
      </c>
      <c r="E49" s="211" t="s">
        <v>78</v>
      </c>
      <c r="F49" s="212" t="s">
        <v>92</v>
      </c>
      <c r="G49" s="211" t="s">
        <v>80</v>
      </c>
      <c r="H49" s="212" t="s">
        <v>23</v>
      </c>
      <c r="I49" s="212" t="s">
        <v>1530</v>
      </c>
      <c r="J49" s="212">
        <v>201411</v>
      </c>
      <c r="K49" s="213">
        <v>25805.41</v>
      </c>
      <c r="L49" s="171">
        <f>VLOOKUP(J49,$U$9:$V$23,2)</f>
        <v>7</v>
      </c>
      <c r="M49" s="214">
        <v>2.23333E-3</v>
      </c>
      <c r="N49" s="213">
        <f>ROUND(K49*L49*M49,2)</f>
        <v>403.42</v>
      </c>
      <c r="O49" s="213">
        <f>ROUND(K49*M49*12,2)</f>
        <v>691.58</v>
      </c>
      <c r="P49" s="14"/>
      <c r="Q49" s="210" t="str">
        <f>VLOOKUP(D49,'WO Descriptions'!$A$5:$D$345,4)</f>
        <v>Service/Yard Line Replacement (SLRP): Company Crew.  Modified Block by Block - Planned replacement of all unprotected steel or copper in a single block.  (Monett - South Region)</v>
      </c>
    </row>
    <row r="50" spans="1:19" ht="30" outlineLevel="2">
      <c r="A50" s="3" t="s">
        <v>91</v>
      </c>
      <c r="B50" s="211" t="s">
        <v>66</v>
      </c>
      <c r="C50" s="212" t="s">
        <v>90</v>
      </c>
      <c r="D50" s="212" t="s">
        <v>91</v>
      </c>
      <c r="E50" s="211" t="s">
        <v>78</v>
      </c>
      <c r="F50" s="212" t="s">
        <v>92</v>
      </c>
      <c r="G50" s="211" t="s">
        <v>80</v>
      </c>
      <c r="H50" s="212" t="s">
        <v>23</v>
      </c>
      <c r="I50" s="212" t="s">
        <v>1530</v>
      </c>
      <c r="J50" s="212">
        <v>201412</v>
      </c>
      <c r="K50" s="213">
        <v>11747.82</v>
      </c>
      <c r="L50" s="171">
        <f>VLOOKUP(J50,$U$9:$V$23,2)</f>
        <v>6</v>
      </c>
      <c r="M50" s="214">
        <v>2.23333E-3</v>
      </c>
      <c r="N50" s="213">
        <f>ROUND(K50*L50*M50,2)</f>
        <v>157.41999999999999</v>
      </c>
      <c r="O50" s="213">
        <f>ROUND(K50*M50*12,2)</f>
        <v>314.83999999999997</v>
      </c>
      <c r="P50" s="14"/>
      <c r="Q50" s="210" t="str">
        <f>VLOOKUP(D50,'WO Descriptions'!$A$5:$D$345,4)</f>
        <v>Service/Yard Line Replacement (SLRP): Company Crew.  Modified Block by Block - Planned replacement of all unprotected steel or copper in a single block.  (Monett - South Region)</v>
      </c>
    </row>
    <row r="51" spans="1:19" outlineLevel="1">
      <c r="A51" s="3" t="s">
        <v>1769</v>
      </c>
      <c r="B51" s="256"/>
      <c r="C51" s="257"/>
      <c r="D51" s="260" t="s">
        <v>1769</v>
      </c>
      <c r="E51" s="256"/>
      <c r="F51" s="257"/>
      <c r="G51" s="256"/>
      <c r="H51" s="257"/>
      <c r="I51" s="257"/>
      <c r="J51" s="257"/>
      <c r="K51" s="258">
        <f>SUBTOTAL(9,K47:K50)</f>
        <v>71511.290000000008</v>
      </c>
      <c r="L51" s="252"/>
      <c r="M51" s="259"/>
      <c r="N51" s="258">
        <f>SUBTOTAL(9,N47:N50)</f>
        <v>1226.46</v>
      </c>
      <c r="O51" s="258">
        <f>SUBTOTAL(9,O47:O50)</f>
        <v>1916.49</v>
      </c>
      <c r="P51" s="223"/>
      <c r="Q51" s="210"/>
      <c r="R51" s="263" t="s">
        <v>2097</v>
      </c>
      <c r="S51" s="263" t="s">
        <v>2102</v>
      </c>
    </row>
    <row r="52" spans="1:19" ht="30" outlineLevel="2">
      <c r="A52" s="3" t="s">
        <v>1587</v>
      </c>
      <c r="B52" s="211" t="s">
        <v>1584</v>
      </c>
      <c r="C52" s="212" t="s">
        <v>1586</v>
      </c>
      <c r="D52" s="212" t="s">
        <v>1587</v>
      </c>
      <c r="E52" s="211" t="s">
        <v>1588</v>
      </c>
      <c r="F52" s="212" t="s">
        <v>1589</v>
      </c>
      <c r="G52" s="211" t="s">
        <v>1590</v>
      </c>
      <c r="H52" s="212" t="s">
        <v>23</v>
      </c>
      <c r="I52" s="212" t="s">
        <v>1530</v>
      </c>
      <c r="J52" s="212">
        <v>201409</v>
      </c>
      <c r="K52" s="213">
        <v>3649.84</v>
      </c>
      <c r="L52" s="171">
        <f>VLOOKUP(J52,$U$9:$V$23,2)</f>
        <v>9</v>
      </c>
      <c r="M52" s="214">
        <v>2.0333333000000001E-3</v>
      </c>
      <c r="N52" s="213">
        <f>ROUND(K52*L52*M52,2)</f>
        <v>66.790000000000006</v>
      </c>
      <c r="O52" s="213">
        <f>ROUND(K52*M52*12,2)</f>
        <v>89.06</v>
      </c>
      <c r="P52" s="14"/>
      <c r="Q52" s="210" t="str">
        <f>VLOOKUP(D52,'WO Descriptions'!$A$5:$D$345,4)</f>
        <v>Service/Yard Line Replacement (SLRP): Company Crew.  Modified Block by Block - Planned replacement of all unprotected steel or copper in a single block.  (Monett - South Region)</v>
      </c>
    </row>
    <row r="53" spans="1:19" ht="30" outlineLevel="2">
      <c r="A53" s="3" t="s">
        <v>1587</v>
      </c>
      <c r="B53" s="211" t="s">
        <v>1584</v>
      </c>
      <c r="C53" s="212" t="s">
        <v>1586</v>
      </c>
      <c r="D53" s="212" t="s">
        <v>1587</v>
      </c>
      <c r="E53" s="211" t="s">
        <v>1588</v>
      </c>
      <c r="F53" s="212" t="s">
        <v>1589</v>
      </c>
      <c r="G53" s="211" t="s">
        <v>1590</v>
      </c>
      <c r="H53" s="212" t="s">
        <v>23</v>
      </c>
      <c r="I53" s="212" t="s">
        <v>1530</v>
      </c>
      <c r="J53" s="212">
        <v>201410</v>
      </c>
      <c r="K53" s="213">
        <v>10750.98</v>
      </c>
      <c r="L53" s="171">
        <f>VLOOKUP(J53,$U$9:$V$23,2)</f>
        <v>8</v>
      </c>
      <c r="M53" s="214">
        <v>2.0333333000000001E-3</v>
      </c>
      <c r="N53" s="213">
        <f>ROUND(K53*L53*M53,2)</f>
        <v>174.88</v>
      </c>
      <c r="O53" s="213">
        <f>ROUND(K53*M53*12,2)</f>
        <v>262.32</v>
      </c>
      <c r="P53" s="14"/>
      <c r="Q53" s="210" t="str">
        <f>VLOOKUP(D53,'WO Descriptions'!$A$5:$D$345,4)</f>
        <v>Service/Yard Line Replacement (SLRP): Company Crew.  Modified Block by Block - Planned replacement of all unprotected steel or copper in a single block.  (Monett - South Region)</v>
      </c>
    </row>
    <row r="54" spans="1:19" ht="30" outlineLevel="2">
      <c r="A54" s="3" t="s">
        <v>1587</v>
      </c>
      <c r="B54" s="211" t="s">
        <v>1584</v>
      </c>
      <c r="C54" s="212" t="s">
        <v>1586</v>
      </c>
      <c r="D54" s="212" t="s">
        <v>1587</v>
      </c>
      <c r="E54" s="211" t="s">
        <v>1588</v>
      </c>
      <c r="F54" s="212" t="s">
        <v>1589</v>
      </c>
      <c r="G54" s="211" t="s">
        <v>1590</v>
      </c>
      <c r="H54" s="212" t="s">
        <v>23</v>
      </c>
      <c r="I54" s="212" t="s">
        <v>1530</v>
      </c>
      <c r="J54" s="212">
        <v>201411</v>
      </c>
      <c r="K54" s="213">
        <v>3556.67</v>
      </c>
      <c r="L54" s="171">
        <f>VLOOKUP(J54,$U$9:$V$23,2)</f>
        <v>7</v>
      </c>
      <c r="M54" s="214">
        <v>2.0333333000000001E-3</v>
      </c>
      <c r="N54" s="213">
        <f>ROUND(K54*L54*M54,2)</f>
        <v>50.62</v>
      </c>
      <c r="O54" s="213">
        <f>ROUND(K54*M54*12,2)</f>
        <v>86.78</v>
      </c>
      <c r="P54" s="14"/>
      <c r="Q54" s="210" t="str">
        <f>VLOOKUP(D54,'WO Descriptions'!$A$5:$D$345,4)</f>
        <v>Service/Yard Line Replacement (SLRP): Company Crew.  Modified Block by Block - Planned replacement of all unprotected steel or copper in a single block.  (Monett - South Region)</v>
      </c>
    </row>
    <row r="55" spans="1:19" ht="30" outlineLevel="2">
      <c r="A55" s="3" t="s">
        <v>1587</v>
      </c>
      <c r="B55" s="211" t="s">
        <v>1584</v>
      </c>
      <c r="C55" s="212" t="s">
        <v>1586</v>
      </c>
      <c r="D55" s="212" t="s">
        <v>1587</v>
      </c>
      <c r="E55" s="211" t="s">
        <v>1588</v>
      </c>
      <c r="F55" s="212" t="s">
        <v>1589</v>
      </c>
      <c r="G55" s="211" t="s">
        <v>1590</v>
      </c>
      <c r="H55" s="212" t="s">
        <v>23</v>
      </c>
      <c r="I55" s="212" t="s">
        <v>1530</v>
      </c>
      <c r="J55" s="212">
        <v>201412</v>
      </c>
      <c r="K55" s="213">
        <v>2193.1</v>
      </c>
      <c r="L55" s="171">
        <f>VLOOKUP(J55,$U$9:$V$23,2)</f>
        <v>6</v>
      </c>
      <c r="M55" s="214">
        <v>2.0333333000000001E-3</v>
      </c>
      <c r="N55" s="213">
        <f>ROUND(K55*L55*M55,2)</f>
        <v>26.76</v>
      </c>
      <c r="O55" s="213">
        <f>ROUND(K55*M55*12,2)</f>
        <v>53.51</v>
      </c>
      <c r="P55" s="14"/>
      <c r="Q55" s="210" t="str">
        <f>VLOOKUP(D55,'WO Descriptions'!$A$5:$D$345,4)</f>
        <v>Service/Yard Line Replacement (SLRP): Company Crew.  Modified Block by Block - Planned replacement of all unprotected steel or copper in a single block.  (Monett - South Region)</v>
      </c>
    </row>
    <row r="56" spans="1:19" outlineLevel="1">
      <c r="A56" s="3" t="s">
        <v>1770</v>
      </c>
      <c r="B56" s="256"/>
      <c r="C56" s="257"/>
      <c r="D56" s="260" t="s">
        <v>1770</v>
      </c>
      <c r="E56" s="256"/>
      <c r="F56" s="257"/>
      <c r="G56" s="256"/>
      <c r="H56" s="257"/>
      <c r="I56" s="257"/>
      <c r="J56" s="257"/>
      <c r="K56" s="258">
        <f>SUBTOTAL(9,K52:K55)</f>
        <v>20150.589999999997</v>
      </c>
      <c r="L56" s="252"/>
      <c r="M56" s="259"/>
      <c r="N56" s="258">
        <f>SUBTOTAL(9,N52:N55)</f>
        <v>319.05</v>
      </c>
      <c r="O56" s="258">
        <f>SUBTOTAL(9,O52:O55)</f>
        <v>491.66999999999996</v>
      </c>
      <c r="P56" s="223"/>
      <c r="Q56" s="210"/>
      <c r="R56" s="263" t="s">
        <v>2097</v>
      </c>
      <c r="S56" s="263" t="s">
        <v>2102</v>
      </c>
    </row>
    <row r="57" spans="1:19" ht="30" outlineLevel="2">
      <c r="A57" s="3" t="s">
        <v>94</v>
      </c>
      <c r="B57" s="211" t="s">
        <v>66</v>
      </c>
      <c r="C57" s="212" t="s">
        <v>93</v>
      </c>
      <c r="D57" s="212" t="s">
        <v>94</v>
      </c>
      <c r="E57" s="211" t="s">
        <v>95</v>
      </c>
      <c r="F57" s="212" t="s">
        <v>96</v>
      </c>
      <c r="G57" s="211" t="s">
        <v>97</v>
      </c>
      <c r="H57" s="212" t="s">
        <v>23</v>
      </c>
      <c r="I57" s="212" t="s">
        <v>1530</v>
      </c>
      <c r="J57" s="212">
        <v>201409</v>
      </c>
      <c r="K57" s="213">
        <v>-596.15</v>
      </c>
      <c r="L57" s="171">
        <f>VLOOKUP(J57,$U$9:$V$23,2)</f>
        <v>9</v>
      </c>
      <c r="M57" s="214">
        <v>2.23333E-3</v>
      </c>
      <c r="N57" s="213">
        <f>ROUND(K57*L57*M57,2)</f>
        <v>-11.98</v>
      </c>
      <c r="O57" s="213">
        <f>ROUND(K57*M57*12,2)</f>
        <v>-15.98</v>
      </c>
      <c r="P57" s="14"/>
      <c r="Q57" s="210" t="str">
        <f>VLOOKUP(D57,'WO Descriptions'!$A$5:$D$345,4)</f>
        <v>Service/Yard Line Replacement (SLRP): Company Crew.  Service/yard line replacement - Material Charges Only  (Kansas City - Central Region)</v>
      </c>
    </row>
    <row r="58" spans="1:19" outlineLevel="1">
      <c r="A58" s="3" t="s">
        <v>1771</v>
      </c>
      <c r="B58" s="256"/>
      <c r="C58" s="257"/>
      <c r="D58" s="260" t="s">
        <v>1771</v>
      </c>
      <c r="E58" s="256"/>
      <c r="F58" s="257"/>
      <c r="G58" s="256"/>
      <c r="H58" s="257"/>
      <c r="I58" s="257"/>
      <c r="J58" s="257"/>
      <c r="K58" s="258">
        <f>SUBTOTAL(9,K57:K57)</f>
        <v>-596.15</v>
      </c>
      <c r="L58" s="252"/>
      <c r="M58" s="259"/>
      <c r="N58" s="258">
        <f>SUBTOTAL(9,N57:N57)</f>
        <v>-11.98</v>
      </c>
      <c r="O58" s="258">
        <f>SUBTOTAL(9,O57:O57)</f>
        <v>-15.98</v>
      </c>
      <c r="P58" s="223"/>
      <c r="Q58" s="210"/>
      <c r="R58" s="263" t="s">
        <v>2097</v>
      </c>
      <c r="S58" s="263" t="s">
        <v>2102</v>
      </c>
    </row>
    <row r="59" spans="1:19" ht="45" outlineLevel="2">
      <c r="A59" s="3" t="s">
        <v>99</v>
      </c>
      <c r="B59" s="14" t="s">
        <v>17</v>
      </c>
      <c r="C59" s="15" t="s">
        <v>98</v>
      </c>
      <c r="D59" s="15" t="s">
        <v>99</v>
      </c>
      <c r="E59" s="14" t="s">
        <v>100</v>
      </c>
      <c r="F59" s="15" t="s">
        <v>62</v>
      </c>
      <c r="G59" s="14" t="s">
        <v>22</v>
      </c>
      <c r="H59" s="15" t="s">
        <v>23</v>
      </c>
      <c r="I59" s="15" t="s">
        <v>1525</v>
      </c>
      <c r="J59" s="15">
        <v>201409</v>
      </c>
      <c r="K59" s="16">
        <v>0.32</v>
      </c>
      <c r="L59" s="171">
        <f>VLOOKUP(J59,$U$9:$V$23,2)</f>
        <v>9</v>
      </c>
      <c r="M59" s="17">
        <v>1.4833299999999999E-3</v>
      </c>
      <c r="N59" s="16">
        <f>ROUND(K59*L59*M59,2)</f>
        <v>0</v>
      </c>
      <c r="O59" s="16">
        <f>ROUND(K59*M59*12,2)</f>
        <v>0.01</v>
      </c>
      <c r="P59" s="14"/>
      <c r="Q59" s="210" t="str">
        <f>VLOOKUP(D59,'WO Descriptions'!$A$5:$D$345,4)</f>
        <v>Approved by: Ralph Janes on 05/01/2013,  Replace and abandon 337' of 2&amp;quot; PBS main (none WO) with 340' of 2&amp;quot; PE. The existing main was isolated and cut off the rectifier by the installation of PE main on WO# 13-2654. (ISRS).</v>
      </c>
    </row>
    <row r="60" spans="1:19" outlineLevel="1">
      <c r="A60" s="3" t="s">
        <v>1772</v>
      </c>
      <c r="B60" s="223"/>
      <c r="C60" s="250"/>
      <c r="D60" s="254" t="s">
        <v>1772</v>
      </c>
      <c r="E60" s="223"/>
      <c r="F60" s="250"/>
      <c r="G60" s="223"/>
      <c r="H60" s="250"/>
      <c r="I60" s="250"/>
      <c r="J60" s="250"/>
      <c r="K60" s="251">
        <f>SUBTOTAL(9,K59:K59)</f>
        <v>0.32</v>
      </c>
      <c r="L60" s="252"/>
      <c r="M60" s="253"/>
      <c r="N60" s="251">
        <f>SUBTOTAL(9,N59:N59)</f>
        <v>0</v>
      </c>
      <c r="O60" s="251">
        <f>SUBTOTAL(9,O59:O59)</f>
        <v>0.01</v>
      </c>
      <c r="P60" s="223"/>
      <c r="Q60" s="210"/>
      <c r="R60" s="263" t="s">
        <v>2097</v>
      </c>
      <c r="S60" s="263" t="s">
        <v>2098</v>
      </c>
    </row>
    <row r="61" spans="1:19" ht="75" outlineLevel="2">
      <c r="A61" s="3" t="s">
        <v>102</v>
      </c>
      <c r="B61" s="14" t="s">
        <v>17</v>
      </c>
      <c r="C61" s="15" t="s">
        <v>101</v>
      </c>
      <c r="D61" s="15" t="s">
        <v>102</v>
      </c>
      <c r="E61" s="14" t="s">
        <v>103</v>
      </c>
      <c r="F61" s="15" t="s">
        <v>104</v>
      </c>
      <c r="G61" s="14" t="s">
        <v>41</v>
      </c>
      <c r="H61" s="15" t="s">
        <v>23</v>
      </c>
      <c r="I61" s="15" t="s">
        <v>1526</v>
      </c>
      <c r="J61" s="15">
        <v>201409</v>
      </c>
      <c r="K61" s="16">
        <v>-39.9</v>
      </c>
      <c r="L61" s="171">
        <f>VLOOKUP(J61,$U$9:$V$23,2)</f>
        <v>9</v>
      </c>
      <c r="M61" s="17">
        <v>1.4833299999999999E-3</v>
      </c>
      <c r="N61" s="16">
        <f>ROUND(K61*L61*M61,2)</f>
        <v>-0.53</v>
      </c>
      <c r="O61" s="16">
        <f>ROUND(K61*M61*12,2)</f>
        <v>-0.71</v>
      </c>
      <c r="P61" s="14"/>
      <c r="Q61" s="210" t="str">
        <f>VLOOKUP(D61,'WO Descriptions'!$A$5:$D$345,4)</f>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
    </row>
    <row r="62" spans="1:19" outlineLevel="1">
      <c r="A62" s="3" t="s">
        <v>1773</v>
      </c>
      <c r="B62" s="223"/>
      <c r="C62" s="250"/>
      <c r="D62" s="254" t="s">
        <v>1773</v>
      </c>
      <c r="E62" s="223"/>
      <c r="F62" s="250"/>
      <c r="G62" s="223"/>
      <c r="H62" s="250"/>
      <c r="I62" s="250"/>
      <c r="J62" s="250"/>
      <c r="K62" s="251">
        <f>SUBTOTAL(9,K61:K61)</f>
        <v>-39.9</v>
      </c>
      <c r="L62" s="252"/>
      <c r="M62" s="253"/>
      <c r="N62" s="251">
        <f>SUBTOTAL(9,N61:N61)</f>
        <v>-0.53</v>
      </c>
      <c r="O62" s="251">
        <f>SUBTOTAL(9,O61:O61)</f>
        <v>-0.71</v>
      </c>
      <c r="P62" s="223"/>
      <c r="Q62" s="210"/>
      <c r="R62" s="263" t="s">
        <v>2096</v>
      </c>
    </row>
    <row r="63" spans="1:19" ht="75" outlineLevel="2">
      <c r="A63" s="3" t="s">
        <v>106</v>
      </c>
      <c r="B63" s="14" t="s">
        <v>17</v>
      </c>
      <c r="C63" s="15" t="s">
        <v>105</v>
      </c>
      <c r="D63" s="15" t="s">
        <v>106</v>
      </c>
      <c r="E63" s="14" t="s">
        <v>107</v>
      </c>
      <c r="F63" s="15" t="s">
        <v>108</v>
      </c>
      <c r="G63" s="14" t="s">
        <v>28</v>
      </c>
      <c r="H63" s="15" t="s">
        <v>23</v>
      </c>
      <c r="I63" s="15" t="s">
        <v>1525</v>
      </c>
      <c r="J63" s="15">
        <v>201409</v>
      </c>
      <c r="K63" s="16">
        <v>-10120.82</v>
      </c>
      <c r="L63" s="171">
        <f>VLOOKUP(J63,$U$9:$V$23,2)</f>
        <v>9</v>
      </c>
      <c r="M63" s="17">
        <v>1.4833299999999999E-3</v>
      </c>
      <c r="N63" s="16">
        <f>ROUND(K63*L63*M63,2)</f>
        <v>-135.11000000000001</v>
      </c>
      <c r="O63" s="16">
        <f>ROUND(K63*M63*12,2)</f>
        <v>-180.15</v>
      </c>
      <c r="P63" s="14"/>
      <c r="Q63" s="210" t="str">
        <f>VLOOKUP(D63,'WO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4" spans="1:19" ht="75" outlineLevel="2">
      <c r="A64" s="3" t="s">
        <v>106</v>
      </c>
      <c r="B64" s="14" t="s">
        <v>17</v>
      </c>
      <c r="C64" s="15" t="s">
        <v>105</v>
      </c>
      <c r="D64" s="15" t="s">
        <v>106</v>
      </c>
      <c r="E64" s="14" t="s">
        <v>107</v>
      </c>
      <c r="F64" s="15" t="s">
        <v>108</v>
      </c>
      <c r="G64" s="14" t="s">
        <v>28</v>
      </c>
      <c r="H64" s="15" t="s">
        <v>23</v>
      </c>
      <c r="I64" s="15" t="s">
        <v>1525</v>
      </c>
      <c r="J64" s="15">
        <v>201410</v>
      </c>
      <c r="K64" s="16">
        <v>-961.99</v>
      </c>
      <c r="L64" s="171">
        <f>VLOOKUP(J64,$U$9:$V$23,2)</f>
        <v>8</v>
      </c>
      <c r="M64" s="17">
        <v>1.4833299999999999E-3</v>
      </c>
      <c r="N64" s="16">
        <f>ROUND(K64*L64*M64,2)</f>
        <v>-11.42</v>
      </c>
      <c r="O64" s="16">
        <f>ROUND(K64*M64*12,2)</f>
        <v>-17.12</v>
      </c>
      <c r="P64" s="14"/>
      <c r="Q64" s="210" t="str">
        <f>VLOOKUP(D64,'WO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5" spans="1:19" ht="75" outlineLevel="2">
      <c r="A65" s="3" t="s">
        <v>106</v>
      </c>
      <c r="B65" s="14" t="s">
        <v>17</v>
      </c>
      <c r="C65" s="15" t="s">
        <v>105</v>
      </c>
      <c r="D65" s="15" t="s">
        <v>106</v>
      </c>
      <c r="E65" s="14" t="s">
        <v>107</v>
      </c>
      <c r="F65" s="15" t="s">
        <v>108</v>
      </c>
      <c r="G65" s="14" t="s">
        <v>28</v>
      </c>
      <c r="H65" s="15" t="s">
        <v>23</v>
      </c>
      <c r="I65" s="15" t="s">
        <v>1525</v>
      </c>
      <c r="J65" s="15">
        <v>201411</v>
      </c>
      <c r="K65" s="16">
        <v>132.91</v>
      </c>
      <c r="L65" s="171">
        <f>VLOOKUP(J65,$U$9:$V$23,2)</f>
        <v>7</v>
      </c>
      <c r="M65" s="17">
        <v>1.4833299999999999E-3</v>
      </c>
      <c r="N65" s="16">
        <f>ROUND(K65*L65*M65,2)</f>
        <v>1.38</v>
      </c>
      <c r="O65" s="16">
        <f>ROUND(K65*M65*12,2)</f>
        <v>2.37</v>
      </c>
      <c r="P65" s="14"/>
      <c r="Q65" s="210" t="str">
        <f>VLOOKUP(D65,'WO Descriptions'!$A$5:$D$345,4)</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row>
    <row r="66" spans="1:19" outlineLevel="1">
      <c r="A66" s="3" t="s">
        <v>1774</v>
      </c>
      <c r="B66" s="223"/>
      <c r="C66" s="250"/>
      <c r="D66" s="254" t="s">
        <v>1774</v>
      </c>
      <c r="E66" s="223"/>
      <c r="F66" s="250"/>
      <c r="G66" s="223"/>
      <c r="H66" s="250"/>
      <c r="I66" s="250"/>
      <c r="J66" s="250"/>
      <c r="K66" s="251">
        <f>SUBTOTAL(9,K63:K65)</f>
        <v>-10949.9</v>
      </c>
      <c r="L66" s="252"/>
      <c r="M66" s="253"/>
      <c r="N66" s="251">
        <f>SUBTOTAL(9,N63:N65)</f>
        <v>-145.15</v>
      </c>
      <c r="O66" s="251">
        <f>SUBTOTAL(9,O63:O65)</f>
        <v>-194.9</v>
      </c>
      <c r="P66" s="223"/>
      <c r="Q66" s="210"/>
      <c r="R66" s="263" t="s">
        <v>2097</v>
      </c>
      <c r="S66" s="263" t="s">
        <v>2099</v>
      </c>
    </row>
    <row r="67" spans="1:19" ht="60" outlineLevel="2">
      <c r="A67" s="3" t="s">
        <v>110</v>
      </c>
      <c r="B67" s="14" t="s">
        <v>17</v>
      </c>
      <c r="C67" s="15" t="s">
        <v>109</v>
      </c>
      <c r="D67" s="15" t="s">
        <v>110</v>
      </c>
      <c r="E67" s="14" t="s">
        <v>111</v>
      </c>
      <c r="F67" s="15" t="s">
        <v>112</v>
      </c>
      <c r="G67" s="14" t="s">
        <v>22</v>
      </c>
      <c r="H67" s="15" t="s">
        <v>23</v>
      </c>
      <c r="I67" s="15" t="s">
        <v>1525</v>
      </c>
      <c r="J67" s="15">
        <v>201409</v>
      </c>
      <c r="K67" s="16">
        <v>-30.63</v>
      </c>
      <c r="L67" s="171">
        <f>VLOOKUP(J67,$U$9:$V$23,2)</f>
        <v>9</v>
      </c>
      <c r="M67" s="17">
        <v>1.4833299999999999E-3</v>
      </c>
      <c r="N67" s="16">
        <f>ROUND(K67*L67*M67,2)</f>
        <v>-0.41</v>
      </c>
      <c r="O67" s="16">
        <f>ROUND(K67*M67*12,2)</f>
        <v>-0.55000000000000004</v>
      </c>
      <c r="P67" s="14"/>
      <c r="Q67" s="210" t="str">
        <f>VLOOKUP(D67,'WO Descriptions'!$A$5:$D$345,4)</f>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
    </row>
    <row r="68" spans="1:19" outlineLevel="1">
      <c r="A68" s="3" t="s">
        <v>1775</v>
      </c>
      <c r="B68" s="223"/>
      <c r="C68" s="250"/>
      <c r="D68" s="254" t="s">
        <v>1775</v>
      </c>
      <c r="E68" s="223"/>
      <c r="F68" s="250"/>
      <c r="G68" s="223"/>
      <c r="H68" s="250"/>
      <c r="I68" s="250"/>
      <c r="J68" s="250"/>
      <c r="K68" s="251">
        <f>SUBTOTAL(9,K67:K67)</f>
        <v>-30.63</v>
      </c>
      <c r="L68" s="252"/>
      <c r="M68" s="253"/>
      <c r="N68" s="251">
        <f>SUBTOTAL(9,N67:N67)</f>
        <v>-0.41</v>
      </c>
      <c r="O68" s="251">
        <f>SUBTOTAL(9,O67:O67)</f>
        <v>-0.55000000000000004</v>
      </c>
      <c r="P68" s="223"/>
      <c r="Q68" s="210"/>
      <c r="R68" s="263" t="s">
        <v>2097</v>
      </c>
      <c r="S68" s="263" t="s">
        <v>2098</v>
      </c>
    </row>
    <row r="69" spans="1:19" ht="105" outlineLevel="2">
      <c r="A69" s="3" t="s">
        <v>114</v>
      </c>
      <c r="B69" s="14" t="s">
        <v>17</v>
      </c>
      <c r="C69" s="15" t="s">
        <v>113</v>
      </c>
      <c r="D69" s="15" t="s">
        <v>114</v>
      </c>
      <c r="E69" s="14" t="s">
        <v>115</v>
      </c>
      <c r="F69" s="15" t="s">
        <v>58</v>
      </c>
      <c r="G69" s="14" t="s">
        <v>22</v>
      </c>
      <c r="H69" s="15" t="s">
        <v>23</v>
      </c>
      <c r="I69" s="15" t="s">
        <v>1525</v>
      </c>
      <c r="J69" s="15">
        <v>201409</v>
      </c>
      <c r="K69" s="16">
        <v>-170.7</v>
      </c>
      <c r="L69" s="171">
        <f>VLOOKUP(J69,$U$9:$V$23,2)</f>
        <v>9</v>
      </c>
      <c r="M69" s="17">
        <v>1.4833299999999999E-3</v>
      </c>
      <c r="N69" s="16">
        <f>ROUND(K69*L69*M69,2)</f>
        <v>-2.2799999999999998</v>
      </c>
      <c r="O69" s="16">
        <f>ROUND(K69*M69*12,2)</f>
        <v>-3.04</v>
      </c>
      <c r="P69" s="14"/>
      <c r="Q69" s="210" t="str">
        <f>VLOOKUP(D69,'WO Descriptions'!$A$5:$D$345,4)</f>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
    </row>
    <row r="70" spans="1:19" outlineLevel="1">
      <c r="A70" s="3" t="s">
        <v>1776</v>
      </c>
      <c r="B70" s="223"/>
      <c r="C70" s="250"/>
      <c r="D70" s="254" t="s">
        <v>1776</v>
      </c>
      <c r="E70" s="223"/>
      <c r="F70" s="250"/>
      <c r="G70" s="223"/>
      <c r="H70" s="250"/>
      <c r="I70" s="250"/>
      <c r="J70" s="250"/>
      <c r="K70" s="251">
        <f>SUBTOTAL(9,K69:K69)</f>
        <v>-170.7</v>
      </c>
      <c r="L70" s="252"/>
      <c r="M70" s="253"/>
      <c r="N70" s="251">
        <f>SUBTOTAL(9,N69:N69)</f>
        <v>-2.2799999999999998</v>
      </c>
      <c r="O70" s="251">
        <f>SUBTOTAL(9,O69:O69)</f>
        <v>-3.04</v>
      </c>
      <c r="P70" s="223"/>
      <c r="Q70" s="210"/>
      <c r="R70" s="263" t="s">
        <v>2097</v>
      </c>
      <c r="S70" s="263" t="s">
        <v>2098</v>
      </c>
    </row>
    <row r="71" spans="1:19" ht="120" outlineLevel="2">
      <c r="A71" s="3" t="s">
        <v>117</v>
      </c>
      <c r="B71" s="14" t="s">
        <v>17</v>
      </c>
      <c r="C71" s="15" t="s">
        <v>116</v>
      </c>
      <c r="D71" s="15" t="s">
        <v>117</v>
      </c>
      <c r="E71" s="14" t="s">
        <v>118</v>
      </c>
      <c r="F71" s="15" t="s">
        <v>27</v>
      </c>
      <c r="G71" s="14" t="s">
        <v>28</v>
      </c>
      <c r="H71" s="15" t="s">
        <v>23</v>
      </c>
      <c r="I71" s="15" t="s">
        <v>1525</v>
      </c>
      <c r="J71" s="15">
        <v>201409</v>
      </c>
      <c r="K71" s="16">
        <v>-586.59</v>
      </c>
      <c r="L71" s="171">
        <f>VLOOKUP(J71,$U$9:$V$23,2)</f>
        <v>9</v>
      </c>
      <c r="M71" s="17">
        <v>1.4833299999999999E-3</v>
      </c>
      <c r="N71" s="16">
        <f>ROUND(K71*L71*M71,2)</f>
        <v>-7.83</v>
      </c>
      <c r="O71" s="16">
        <f>ROUND(K71*M71*12,2)</f>
        <v>-10.44</v>
      </c>
      <c r="P71" s="14"/>
      <c r="Q71" s="210" t="str">
        <f>VLOOKUP(D71,'WO Descriptions'!$A$5:$D$345,4)</f>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
    </row>
    <row r="72" spans="1:19" outlineLevel="1">
      <c r="A72" s="3" t="s">
        <v>1777</v>
      </c>
      <c r="B72" s="223"/>
      <c r="C72" s="250"/>
      <c r="D72" s="254" t="s">
        <v>1777</v>
      </c>
      <c r="E72" s="223"/>
      <c r="F72" s="250"/>
      <c r="G72" s="223"/>
      <c r="H72" s="250"/>
      <c r="I72" s="250"/>
      <c r="J72" s="250"/>
      <c r="K72" s="251">
        <f>SUBTOTAL(9,K71:K71)</f>
        <v>-586.59</v>
      </c>
      <c r="L72" s="252"/>
      <c r="M72" s="253"/>
      <c r="N72" s="251">
        <f>SUBTOTAL(9,N71:N71)</f>
        <v>-7.83</v>
      </c>
      <c r="O72" s="251">
        <f>SUBTOTAL(9,O71:O71)</f>
        <v>-10.44</v>
      </c>
      <c r="P72" s="223"/>
      <c r="Q72" s="210"/>
      <c r="R72" s="263" t="s">
        <v>2097</v>
      </c>
      <c r="S72" s="263" t="s">
        <v>2099</v>
      </c>
    </row>
    <row r="73" spans="1:19" ht="90" outlineLevel="2">
      <c r="A73" s="3" t="s">
        <v>120</v>
      </c>
      <c r="B73" s="14" t="s">
        <v>17</v>
      </c>
      <c r="C73" s="15" t="s">
        <v>119</v>
      </c>
      <c r="D73" s="15" t="s">
        <v>120</v>
      </c>
      <c r="E73" s="14" t="s">
        <v>121</v>
      </c>
      <c r="F73" s="15" t="s">
        <v>32</v>
      </c>
      <c r="G73" s="14" t="s">
        <v>22</v>
      </c>
      <c r="H73" s="15" t="s">
        <v>23</v>
      </c>
      <c r="I73" s="15" t="s">
        <v>1525</v>
      </c>
      <c r="J73" s="15">
        <v>201409</v>
      </c>
      <c r="K73" s="16">
        <v>-269.26</v>
      </c>
      <c r="L73" s="171">
        <f>VLOOKUP(J73,$U$9:$V$23,2)</f>
        <v>9</v>
      </c>
      <c r="M73" s="17">
        <v>1.4833299999999999E-3</v>
      </c>
      <c r="N73" s="16">
        <f>ROUND(K73*L73*M73,2)</f>
        <v>-3.59</v>
      </c>
      <c r="O73" s="16">
        <f>ROUND(K73*M73*12,2)</f>
        <v>-4.79</v>
      </c>
      <c r="P73" s="14"/>
      <c r="Q73" s="210" t="str">
        <f>VLOOKUP(D73,'WO Descriptions'!$A$5:$D$345,4)</f>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
    </row>
    <row r="74" spans="1:19" outlineLevel="1">
      <c r="A74" s="3" t="s">
        <v>1778</v>
      </c>
      <c r="B74" s="223"/>
      <c r="C74" s="250"/>
      <c r="D74" s="254" t="s">
        <v>1778</v>
      </c>
      <c r="E74" s="223"/>
      <c r="F74" s="250"/>
      <c r="G74" s="223"/>
      <c r="H74" s="250"/>
      <c r="I74" s="250"/>
      <c r="J74" s="250"/>
      <c r="K74" s="251">
        <f>SUBTOTAL(9,K73:K73)</f>
        <v>-269.26</v>
      </c>
      <c r="L74" s="252"/>
      <c r="M74" s="253"/>
      <c r="N74" s="251">
        <f>SUBTOTAL(9,N73:N73)</f>
        <v>-3.59</v>
      </c>
      <c r="O74" s="251">
        <f>SUBTOTAL(9,O73:O73)</f>
        <v>-4.79</v>
      </c>
      <c r="P74" s="223"/>
      <c r="Q74" s="210"/>
      <c r="R74" s="263" t="s">
        <v>2097</v>
      </c>
      <c r="S74" s="263" t="s">
        <v>2098</v>
      </c>
    </row>
    <row r="75" spans="1:19" ht="120" outlineLevel="2">
      <c r="A75" s="3" t="s">
        <v>123</v>
      </c>
      <c r="B75" s="14" t="s">
        <v>17</v>
      </c>
      <c r="C75" s="15" t="s">
        <v>122</v>
      </c>
      <c r="D75" s="15" t="s">
        <v>123</v>
      </c>
      <c r="E75" s="14" t="s">
        <v>124</v>
      </c>
      <c r="F75" s="15" t="s">
        <v>125</v>
      </c>
      <c r="G75" s="14" t="s">
        <v>126</v>
      </c>
      <c r="H75" s="15" t="s">
        <v>23</v>
      </c>
      <c r="I75" s="15" t="s">
        <v>1525</v>
      </c>
      <c r="J75" s="15">
        <v>201409</v>
      </c>
      <c r="K75" s="16">
        <v>-131.71</v>
      </c>
      <c r="L75" s="171">
        <f>VLOOKUP(J75,$U$9:$V$23,2)</f>
        <v>9</v>
      </c>
      <c r="M75" s="17">
        <v>1.4833299999999999E-3</v>
      </c>
      <c r="N75" s="16">
        <f>ROUND(K75*L75*M75,2)</f>
        <v>-1.76</v>
      </c>
      <c r="O75" s="16">
        <f>ROUND(K75*M75*12,2)</f>
        <v>-2.34</v>
      </c>
      <c r="P75" s="14"/>
      <c r="Q75" s="210" t="str">
        <f>VLOOKUP(D75,'WO Descriptions'!$A$5:$D$345,4)</f>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
    </row>
    <row r="76" spans="1:19" outlineLevel="1">
      <c r="A76" s="3" t="s">
        <v>1779</v>
      </c>
      <c r="B76" s="223"/>
      <c r="C76" s="250"/>
      <c r="D76" s="254" t="s">
        <v>1779</v>
      </c>
      <c r="E76" s="223"/>
      <c r="F76" s="250"/>
      <c r="G76" s="223"/>
      <c r="H76" s="250"/>
      <c r="I76" s="250"/>
      <c r="J76" s="250"/>
      <c r="K76" s="251">
        <f>SUBTOTAL(9,K75:K75)</f>
        <v>-131.71</v>
      </c>
      <c r="L76" s="252"/>
      <c r="M76" s="253"/>
      <c r="N76" s="251">
        <f>SUBTOTAL(9,N75:N75)</f>
        <v>-1.76</v>
      </c>
      <c r="O76" s="251">
        <f>SUBTOTAL(9,O75:O75)</f>
        <v>-2.34</v>
      </c>
      <c r="P76" s="223"/>
      <c r="Q76" s="210"/>
      <c r="R76" s="263" t="s">
        <v>2094</v>
      </c>
      <c r="S76" s="263" t="s">
        <v>2095</v>
      </c>
    </row>
    <row r="77" spans="1:19" ht="165" outlineLevel="2">
      <c r="A77" s="3" t="s">
        <v>128</v>
      </c>
      <c r="B77" s="14" t="s">
        <v>17</v>
      </c>
      <c r="C77" s="15" t="s">
        <v>127</v>
      </c>
      <c r="D77" s="15" t="s">
        <v>128</v>
      </c>
      <c r="E77" s="14" t="s">
        <v>129</v>
      </c>
      <c r="F77" s="15" t="s">
        <v>62</v>
      </c>
      <c r="G77" s="14" t="s">
        <v>22</v>
      </c>
      <c r="H77" s="15" t="s">
        <v>23</v>
      </c>
      <c r="I77" s="15" t="s">
        <v>1525</v>
      </c>
      <c r="J77" s="15">
        <v>201409</v>
      </c>
      <c r="K77" s="16">
        <v>-1334.18</v>
      </c>
      <c r="L77" s="171">
        <f>VLOOKUP(J77,$U$9:$V$23,2)</f>
        <v>9</v>
      </c>
      <c r="M77" s="17">
        <v>1.4833299999999999E-3</v>
      </c>
      <c r="N77" s="16">
        <f>ROUND(K77*L77*M77,2)</f>
        <v>-17.809999999999999</v>
      </c>
      <c r="O77" s="16">
        <f>ROUND(K77*M77*12,2)</f>
        <v>-23.75</v>
      </c>
      <c r="P77" s="14"/>
      <c r="Q77" s="210" t="str">
        <f>VLOOKUP(D77,'WO Descriptions'!$A$5:$D$345,4)</f>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
    </row>
    <row r="78" spans="1:19" outlineLevel="1">
      <c r="A78" s="3" t="s">
        <v>1780</v>
      </c>
      <c r="B78" s="223"/>
      <c r="C78" s="250"/>
      <c r="D78" s="254" t="s">
        <v>1780</v>
      </c>
      <c r="E78" s="223"/>
      <c r="F78" s="250"/>
      <c r="G78" s="223"/>
      <c r="H78" s="250"/>
      <c r="I78" s="250"/>
      <c r="J78" s="250"/>
      <c r="K78" s="251">
        <f>SUBTOTAL(9,K77:K77)</f>
        <v>-1334.18</v>
      </c>
      <c r="L78" s="252"/>
      <c r="M78" s="253"/>
      <c r="N78" s="251">
        <f>SUBTOTAL(9,N77:N77)</f>
        <v>-17.809999999999999</v>
      </c>
      <c r="O78" s="251">
        <f>SUBTOTAL(9,O77:O77)</f>
        <v>-23.75</v>
      </c>
      <c r="P78" s="223"/>
      <c r="Q78" s="210"/>
      <c r="R78" s="263" t="s">
        <v>2097</v>
      </c>
      <c r="S78" s="263" t="s">
        <v>2098</v>
      </c>
    </row>
    <row r="79" spans="1:19" ht="30" outlineLevel="2">
      <c r="A79" s="3" t="s">
        <v>131</v>
      </c>
      <c r="B79" s="14" t="s">
        <v>17</v>
      </c>
      <c r="C79" s="15" t="s">
        <v>130</v>
      </c>
      <c r="D79" s="15" t="s">
        <v>131</v>
      </c>
      <c r="E79" s="14" t="s">
        <v>132</v>
      </c>
      <c r="F79" s="15" t="s">
        <v>36</v>
      </c>
      <c r="G79" s="14" t="s">
        <v>22</v>
      </c>
      <c r="H79" s="15" t="s">
        <v>23</v>
      </c>
      <c r="I79" s="15" t="s">
        <v>1525</v>
      </c>
      <c r="J79" s="15">
        <v>201409</v>
      </c>
      <c r="K79" s="16">
        <v>-317.52</v>
      </c>
      <c r="L79" s="171">
        <f>VLOOKUP(J79,$U$9:$V$23,2)</f>
        <v>9</v>
      </c>
      <c r="M79" s="17">
        <v>1.4833299999999999E-3</v>
      </c>
      <c r="N79" s="16">
        <f>ROUND(K79*L79*M79,2)</f>
        <v>-4.24</v>
      </c>
      <c r="O79" s="16">
        <f>ROUND(K79*M79*12,2)</f>
        <v>-5.65</v>
      </c>
      <c r="P79" s="14"/>
      <c r="Q79" s="210" t="str">
        <f>VLOOKUP(D79,'WO Descriptions'!$A$5:$D$345,4)</f>
        <v>Approved by: Gary Williams on 11/15/2013,  REPLACING 377'-4in BARE STEEL MAIN (WO#512) WITH 377'-4in PE (WO#13-2830).PRESSURE SYSTEM C-01.</v>
      </c>
    </row>
    <row r="80" spans="1:19" outlineLevel="1">
      <c r="A80" s="3" t="s">
        <v>1781</v>
      </c>
      <c r="B80" s="223"/>
      <c r="C80" s="250"/>
      <c r="D80" s="254" t="s">
        <v>1781</v>
      </c>
      <c r="E80" s="223"/>
      <c r="F80" s="250"/>
      <c r="G80" s="223"/>
      <c r="H80" s="250"/>
      <c r="I80" s="250"/>
      <c r="J80" s="250"/>
      <c r="K80" s="251">
        <f>SUBTOTAL(9,K79:K79)</f>
        <v>-317.52</v>
      </c>
      <c r="L80" s="252"/>
      <c r="M80" s="253"/>
      <c r="N80" s="251">
        <f>SUBTOTAL(9,N79:N79)</f>
        <v>-4.24</v>
      </c>
      <c r="O80" s="251">
        <f>SUBTOTAL(9,O79:O79)</f>
        <v>-5.65</v>
      </c>
      <c r="P80" s="223"/>
      <c r="Q80" s="210"/>
      <c r="R80" s="263" t="s">
        <v>2097</v>
      </c>
      <c r="S80" s="263" t="s">
        <v>2098</v>
      </c>
    </row>
    <row r="81" spans="1:19" ht="105" outlineLevel="2">
      <c r="A81" s="3" t="s">
        <v>134</v>
      </c>
      <c r="B81" s="14" t="s">
        <v>17</v>
      </c>
      <c r="C81" s="15" t="s">
        <v>133</v>
      </c>
      <c r="D81" s="15" t="s">
        <v>134</v>
      </c>
      <c r="E81" s="14" t="s">
        <v>135</v>
      </c>
      <c r="F81" s="15" t="s">
        <v>136</v>
      </c>
      <c r="G81" s="14" t="s">
        <v>137</v>
      </c>
      <c r="H81" s="15" t="s">
        <v>23</v>
      </c>
      <c r="I81" s="15" t="s">
        <v>1526</v>
      </c>
      <c r="J81" s="15">
        <v>201409</v>
      </c>
      <c r="K81" s="16">
        <v>-3718.06</v>
      </c>
      <c r="L81" s="171">
        <f>VLOOKUP(J81,$U$9:$V$23,2)</f>
        <v>9</v>
      </c>
      <c r="M81" s="17">
        <v>1.4833299999999999E-3</v>
      </c>
      <c r="N81" s="16">
        <f>ROUND(K81*L81*M81,2)</f>
        <v>-49.64</v>
      </c>
      <c r="O81" s="16">
        <f>ROUND(K81*M81*12,2)</f>
        <v>-66.180000000000007</v>
      </c>
      <c r="P81" s="14"/>
      <c r="Q81" s="210" t="str">
        <f>VLOOKUP(D81,'WO Descriptions'!$A$5:$D$345,4)</f>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
    </row>
    <row r="82" spans="1:19" outlineLevel="1">
      <c r="A82" s="3" t="s">
        <v>1782</v>
      </c>
      <c r="B82" s="223"/>
      <c r="C82" s="250"/>
      <c r="D82" s="254" t="s">
        <v>1782</v>
      </c>
      <c r="E82" s="223"/>
      <c r="F82" s="250"/>
      <c r="G82" s="223"/>
      <c r="H82" s="250"/>
      <c r="I82" s="250"/>
      <c r="J82" s="250"/>
      <c r="K82" s="251">
        <f>SUBTOTAL(9,K81:K81)</f>
        <v>-3718.06</v>
      </c>
      <c r="L82" s="252"/>
      <c r="M82" s="253"/>
      <c r="N82" s="251">
        <f>SUBTOTAL(9,N81:N81)</f>
        <v>-49.64</v>
      </c>
      <c r="O82" s="251">
        <f>SUBTOTAL(9,O81:O81)</f>
        <v>-66.180000000000007</v>
      </c>
      <c r="P82" s="223"/>
      <c r="Q82" s="210"/>
      <c r="R82" s="263" t="s">
        <v>2096</v>
      </c>
    </row>
    <row r="83" spans="1:19" ht="60" outlineLevel="2">
      <c r="A83" s="3" t="s">
        <v>139</v>
      </c>
      <c r="B83" s="14" t="s">
        <v>54</v>
      </c>
      <c r="C83" s="15" t="s">
        <v>138</v>
      </c>
      <c r="D83" s="15" t="s">
        <v>139</v>
      </c>
      <c r="E83" s="14" t="s">
        <v>140</v>
      </c>
      <c r="F83" s="15" t="s">
        <v>141</v>
      </c>
      <c r="G83" s="14" t="s">
        <v>142</v>
      </c>
      <c r="H83" s="15" t="s">
        <v>23</v>
      </c>
      <c r="I83" s="15" t="s">
        <v>1525</v>
      </c>
      <c r="J83" s="15">
        <v>201409</v>
      </c>
      <c r="K83" s="16">
        <v>-2154.0500000000002</v>
      </c>
      <c r="L83" s="171">
        <f>VLOOKUP(J83,$U$9:$V$23,2)</f>
        <v>9</v>
      </c>
      <c r="M83" s="17">
        <v>1.4833299999999999E-3</v>
      </c>
      <c r="N83" s="16">
        <f>ROUND(K83*L83*M83,2)</f>
        <v>-28.76</v>
      </c>
      <c r="O83" s="16">
        <f>ROUND(K83*M83*12,2)</f>
        <v>-38.340000000000003</v>
      </c>
      <c r="P83" s="14"/>
      <c r="Q83" s="210" t="str">
        <f>VLOOKUP(D83,'WO Descriptions'!$A$5:$D$345,4)</f>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
    </row>
    <row r="84" spans="1:19" outlineLevel="1">
      <c r="A84" s="3" t="s">
        <v>1783</v>
      </c>
      <c r="B84" s="223"/>
      <c r="C84" s="250"/>
      <c r="D84" s="254" t="s">
        <v>1783</v>
      </c>
      <c r="E84" s="223"/>
      <c r="F84" s="250"/>
      <c r="G84" s="223"/>
      <c r="H84" s="250"/>
      <c r="I84" s="250"/>
      <c r="J84" s="250"/>
      <c r="K84" s="251">
        <f>SUBTOTAL(9,K83:K83)</f>
        <v>-2154.0500000000002</v>
      </c>
      <c r="L84" s="252"/>
      <c r="M84" s="253"/>
      <c r="N84" s="251">
        <f>SUBTOTAL(9,N83:N83)</f>
        <v>-28.76</v>
      </c>
      <c r="O84" s="251">
        <f>SUBTOTAL(9,O83:O83)</f>
        <v>-38.340000000000003</v>
      </c>
      <c r="P84" s="223"/>
      <c r="Q84" s="210"/>
      <c r="R84" s="263" t="s">
        <v>2097</v>
      </c>
      <c r="S84" s="263" t="s">
        <v>2100</v>
      </c>
    </row>
    <row r="85" spans="1:19" ht="45" outlineLevel="2">
      <c r="A85" s="3" t="s">
        <v>144</v>
      </c>
      <c r="B85" s="14" t="s">
        <v>17</v>
      </c>
      <c r="C85" s="15" t="s">
        <v>143</v>
      </c>
      <c r="D85" s="15" t="s">
        <v>144</v>
      </c>
      <c r="E85" s="14" t="s">
        <v>145</v>
      </c>
      <c r="F85" s="15" t="s">
        <v>62</v>
      </c>
      <c r="G85" s="14" t="s">
        <v>22</v>
      </c>
      <c r="H85" s="15" t="s">
        <v>23</v>
      </c>
      <c r="I85" s="15" t="s">
        <v>1525</v>
      </c>
      <c r="J85" s="15">
        <v>201409</v>
      </c>
      <c r="K85" s="16">
        <v>-515.72</v>
      </c>
      <c r="L85" s="171">
        <f>VLOOKUP(J85,$U$9:$V$23,2)</f>
        <v>9</v>
      </c>
      <c r="M85" s="17">
        <v>1.4833299999999999E-3</v>
      </c>
      <c r="N85" s="16">
        <f>ROUND(K85*L85*M85,2)</f>
        <v>-6.88</v>
      </c>
      <c r="O85" s="16">
        <f>ROUND(K85*M85*12,2)</f>
        <v>-9.18</v>
      </c>
      <c r="P85" s="14"/>
      <c r="Q85" s="210" t="str">
        <f>VLOOKUP(D85,'WO Descriptions'!$A$5:$D$345,4)</f>
        <v>Approved by: Ralph Janes on 09/03/2013,  Main to Abandon: 620' of 4in PBS, year 1926,work order 149. Replace with 640' of 4in PE on wo# 13-2920. This section of bare steel main has a history of leakage with several leak clamps installed.  ISRS</v>
      </c>
    </row>
    <row r="86" spans="1:19" outlineLevel="1">
      <c r="A86" s="3" t="s">
        <v>1784</v>
      </c>
      <c r="B86" s="223"/>
      <c r="C86" s="250"/>
      <c r="D86" s="254" t="s">
        <v>1784</v>
      </c>
      <c r="E86" s="223"/>
      <c r="F86" s="250"/>
      <c r="G86" s="223"/>
      <c r="H86" s="250"/>
      <c r="I86" s="250"/>
      <c r="J86" s="250"/>
      <c r="K86" s="251">
        <f>SUBTOTAL(9,K85:K85)</f>
        <v>-515.72</v>
      </c>
      <c r="L86" s="252"/>
      <c r="M86" s="253"/>
      <c r="N86" s="251">
        <f>SUBTOTAL(9,N85:N85)</f>
        <v>-6.88</v>
      </c>
      <c r="O86" s="251">
        <f>SUBTOTAL(9,O85:O85)</f>
        <v>-9.18</v>
      </c>
      <c r="P86" s="223"/>
      <c r="Q86" s="210"/>
      <c r="R86" s="263" t="s">
        <v>2097</v>
      </c>
      <c r="S86" s="263" t="s">
        <v>2098</v>
      </c>
    </row>
    <row r="87" spans="1:19" ht="105" outlineLevel="2">
      <c r="A87" s="3" t="s">
        <v>147</v>
      </c>
      <c r="B87" s="14" t="s">
        <v>54</v>
      </c>
      <c r="C87" s="15" t="s">
        <v>146</v>
      </c>
      <c r="D87" s="15" t="s">
        <v>147</v>
      </c>
      <c r="E87" s="14" t="s">
        <v>148</v>
      </c>
      <c r="F87" s="15" t="s">
        <v>62</v>
      </c>
      <c r="G87" s="14" t="s">
        <v>22</v>
      </c>
      <c r="H87" s="15" t="s">
        <v>23</v>
      </c>
      <c r="I87" s="15" t="s">
        <v>1525</v>
      </c>
      <c r="J87" s="15">
        <v>201411</v>
      </c>
      <c r="K87" s="16">
        <v>800090.36</v>
      </c>
      <c r="L87" s="171">
        <f>VLOOKUP(J87,$U$9:$V$23,2)</f>
        <v>7</v>
      </c>
      <c r="M87" s="17">
        <v>1.4833299999999999E-3</v>
      </c>
      <c r="N87" s="16">
        <f>ROUND(K87*L87*M87,2)</f>
        <v>8307.59</v>
      </c>
      <c r="O87" s="16">
        <f>ROUND(K87*M87*12,2)</f>
        <v>14241.58</v>
      </c>
      <c r="P87" s="14"/>
      <c r="Q87" s="210" t="str">
        <f>VLOOKUP(D87,'WO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88" spans="1:19" ht="105" outlineLevel="2">
      <c r="A88" s="3" t="s">
        <v>147</v>
      </c>
      <c r="B88" s="14" t="s">
        <v>54</v>
      </c>
      <c r="C88" s="15" t="s">
        <v>146</v>
      </c>
      <c r="D88" s="15" t="s">
        <v>147</v>
      </c>
      <c r="E88" s="14" t="s">
        <v>148</v>
      </c>
      <c r="F88" s="15" t="s">
        <v>62</v>
      </c>
      <c r="G88" s="14" t="s">
        <v>22</v>
      </c>
      <c r="H88" s="15" t="s">
        <v>23</v>
      </c>
      <c r="I88" s="15" t="s">
        <v>1525</v>
      </c>
      <c r="J88" s="15">
        <v>201412</v>
      </c>
      <c r="K88" s="16">
        <v>4971.3500000000004</v>
      </c>
      <c r="L88" s="171">
        <f>VLOOKUP(J88,$U$9:$V$23,2)</f>
        <v>6</v>
      </c>
      <c r="M88" s="17">
        <v>1.4833299999999999E-3</v>
      </c>
      <c r="N88" s="16">
        <f>ROUND(K88*L88*M88,2)</f>
        <v>44.24</v>
      </c>
      <c r="O88" s="16">
        <f>ROUND(K88*M88*12,2)</f>
        <v>88.49</v>
      </c>
      <c r="P88" s="14"/>
      <c r="Q88" s="210" t="str">
        <f>VLOOKUP(D88,'WO Descriptions'!$A$5:$D$345,4)</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row>
    <row r="89" spans="1:19" outlineLevel="1">
      <c r="A89" s="3" t="s">
        <v>1785</v>
      </c>
      <c r="B89" s="223"/>
      <c r="C89" s="250"/>
      <c r="D89" s="254" t="s">
        <v>1785</v>
      </c>
      <c r="E89" s="223"/>
      <c r="F89" s="250"/>
      <c r="G89" s="223"/>
      <c r="H89" s="250"/>
      <c r="I89" s="250"/>
      <c r="J89" s="250"/>
      <c r="K89" s="251">
        <f>SUBTOTAL(9,K87:K88)</f>
        <v>805061.71</v>
      </c>
      <c r="L89" s="252"/>
      <c r="M89" s="253"/>
      <c r="N89" s="251">
        <f>SUBTOTAL(9,N87:N88)</f>
        <v>8351.83</v>
      </c>
      <c r="O89" s="251">
        <f>SUBTOTAL(9,O87:O88)</f>
        <v>14330.07</v>
      </c>
      <c r="P89" s="223"/>
      <c r="Q89" s="210"/>
      <c r="R89" s="263" t="s">
        <v>2097</v>
      </c>
      <c r="S89" s="263" t="s">
        <v>2098</v>
      </c>
    </row>
    <row r="90" spans="1:19" ht="60" outlineLevel="2">
      <c r="A90" s="3" t="s">
        <v>150</v>
      </c>
      <c r="B90" s="14" t="s">
        <v>17</v>
      </c>
      <c r="C90" s="15" t="s">
        <v>149</v>
      </c>
      <c r="D90" s="15" t="s">
        <v>150</v>
      </c>
      <c r="E90" s="14" t="s">
        <v>151</v>
      </c>
      <c r="F90" s="15" t="s">
        <v>40</v>
      </c>
      <c r="G90" s="14" t="s">
        <v>41</v>
      </c>
      <c r="H90" s="15" t="s">
        <v>23</v>
      </c>
      <c r="I90" s="15" t="s">
        <v>1526</v>
      </c>
      <c r="J90" s="15">
        <v>201409</v>
      </c>
      <c r="K90" s="16">
        <v>-860.78</v>
      </c>
      <c r="L90" s="171">
        <f>VLOOKUP(J90,$U$9:$V$23,2)</f>
        <v>9</v>
      </c>
      <c r="M90" s="17">
        <v>1.4833299999999999E-3</v>
      </c>
      <c r="N90" s="16">
        <f>ROUND(K90*L90*M90,2)</f>
        <v>-11.49</v>
      </c>
      <c r="O90" s="16">
        <f>ROUND(K90*M90*12,2)</f>
        <v>-15.32</v>
      </c>
      <c r="P90" s="14"/>
      <c r="Q90" s="210" t="str">
        <f>VLOOKUP(D90,'WO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91" spans="1:19" ht="60" outlineLevel="2">
      <c r="A91" s="3" t="s">
        <v>150</v>
      </c>
      <c r="B91" s="14" t="s">
        <v>17</v>
      </c>
      <c r="C91" s="15" t="s">
        <v>149</v>
      </c>
      <c r="D91" s="15" t="s">
        <v>150</v>
      </c>
      <c r="E91" s="14" t="s">
        <v>151</v>
      </c>
      <c r="F91" s="15" t="s">
        <v>40</v>
      </c>
      <c r="G91" s="14" t="s">
        <v>41</v>
      </c>
      <c r="H91" s="15" t="s">
        <v>23</v>
      </c>
      <c r="I91" s="15" t="s">
        <v>1526</v>
      </c>
      <c r="J91" s="15">
        <v>201412</v>
      </c>
      <c r="K91" s="16">
        <v>19553.21</v>
      </c>
      <c r="L91" s="171">
        <f>VLOOKUP(J91,$U$9:$V$23,2)</f>
        <v>6</v>
      </c>
      <c r="M91" s="17">
        <v>1.4833299999999999E-3</v>
      </c>
      <c r="N91" s="16">
        <f>ROUND(K91*L91*M91,2)</f>
        <v>174.02</v>
      </c>
      <c r="O91" s="16">
        <f>ROUND(K91*M91*12,2)</f>
        <v>348.05</v>
      </c>
      <c r="P91" s="14"/>
      <c r="Q91" s="210" t="str">
        <f>VLOOKUP(D91,'WO Descriptions'!$A$5:$D$345,4)</f>
        <v>Approved by: Gary Williams on 10/15/2013,  To relocate 625'-3in gas main due to drainage improvements by the city of Gladstone. 682'-4in PE (WO 13-2678) will be used to replace the 3in PCS. (Original work orders - 80' 66-2514 / 200' 66-4278 / 120' 66-0042 / 115' 68-6171 / 110' 66-3670).</v>
      </c>
    </row>
    <row r="92" spans="1:19" outlineLevel="1">
      <c r="A92" s="3" t="s">
        <v>1786</v>
      </c>
      <c r="B92" s="223"/>
      <c r="C92" s="250"/>
      <c r="D92" s="254" t="s">
        <v>1786</v>
      </c>
      <c r="E92" s="223"/>
      <c r="F92" s="250"/>
      <c r="G92" s="223"/>
      <c r="H92" s="250"/>
      <c r="I92" s="250"/>
      <c r="J92" s="250"/>
      <c r="K92" s="251">
        <f>SUBTOTAL(9,K90:K91)</f>
        <v>18692.43</v>
      </c>
      <c r="L92" s="252"/>
      <c r="M92" s="253"/>
      <c r="N92" s="251">
        <f>SUBTOTAL(9,N90:N91)</f>
        <v>162.53</v>
      </c>
      <c r="O92" s="251">
        <f>SUBTOTAL(9,O90:O91)</f>
        <v>332.73</v>
      </c>
      <c r="P92" s="223"/>
      <c r="Q92" s="210"/>
      <c r="R92" s="263" t="s">
        <v>2096</v>
      </c>
    </row>
    <row r="93" spans="1:19" ht="60" outlineLevel="2">
      <c r="A93" s="3" t="s">
        <v>153</v>
      </c>
      <c r="B93" s="18" t="s">
        <v>17</v>
      </c>
      <c r="C93" s="15" t="s">
        <v>152</v>
      </c>
      <c r="D93" s="15" t="s">
        <v>153</v>
      </c>
      <c r="E93" s="14" t="s">
        <v>154</v>
      </c>
      <c r="F93" s="15" t="s">
        <v>53</v>
      </c>
      <c r="G93" s="14" t="s">
        <v>41</v>
      </c>
      <c r="H93" s="15" t="s">
        <v>23</v>
      </c>
      <c r="I93" s="15" t="s">
        <v>1526</v>
      </c>
      <c r="J93" s="15">
        <v>201409</v>
      </c>
      <c r="K93" s="16">
        <v>-31.85</v>
      </c>
      <c r="L93" s="171">
        <f>VLOOKUP(J93,$U$9:$V$23,2)</f>
        <v>9</v>
      </c>
      <c r="M93" s="17">
        <v>1.4833299999999999E-3</v>
      </c>
      <c r="N93" s="16">
        <f>ROUND(K93*L93*M93,2)</f>
        <v>-0.43</v>
      </c>
      <c r="O93" s="16">
        <f>ROUND(K93*M93*12,2)</f>
        <v>-0.56999999999999995</v>
      </c>
      <c r="P93" s="14"/>
      <c r="Q93" s="210" t="str">
        <f>VLOOKUP(D93,'WO Descriptions'!$A$5:$D$345,4)</f>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
    </row>
    <row r="94" spans="1:19" outlineLevel="1">
      <c r="A94" s="3" t="s">
        <v>1787</v>
      </c>
      <c r="B94" s="225"/>
      <c r="C94" s="250"/>
      <c r="D94" s="254" t="s">
        <v>1787</v>
      </c>
      <c r="E94" s="223"/>
      <c r="F94" s="250"/>
      <c r="G94" s="223"/>
      <c r="H94" s="250"/>
      <c r="I94" s="250"/>
      <c r="J94" s="250"/>
      <c r="K94" s="251">
        <f>SUBTOTAL(9,K93:K93)</f>
        <v>-31.85</v>
      </c>
      <c r="L94" s="252"/>
      <c r="M94" s="253"/>
      <c r="N94" s="251">
        <f>SUBTOTAL(9,N93:N93)</f>
        <v>-0.43</v>
      </c>
      <c r="O94" s="251">
        <f>SUBTOTAL(9,O93:O93)</f>
        <v>-0.56999999999999995</v>
      </c>
      <c r="P94" s="223"/>
      <c r="Q94" s="210"/>
      <c r="R94" s="263" t="s">
        <v>2096</v>
      </c>
    </row>
    <row r="95" spans="1:19" ht="45" outlineLevel="2">
      <c r="A95" s="3" t="s">
        <v>156</v>
      </c>
      <c r="B95" s="18" t="s">
        <v>17</v>
      </c>
      <c r="C95" s="15" t="s">
        <v>155</v>
      </c>
      <c r="D95" s="15" t="s">
        <v>156</v>
      </c>
      <c r="E95" s="14" t="s">
        <v>157</v>
      </c>
      <c r="F95" s="15" t="s">
        <v>32</v>
      </c>
      <c r="G95" s="14" t="s">
        <v>22</v>
      </c>
      <c r="H95" s="15" t="s">
        <v>23</v>
      </c>
      <c r="I95" s="15" t="s">
        <v>1525</v>
      </c>
      <c r="J95" s="15">
        <v>201409</v>
      </c>
      <c r="K95" s="16">
        <v>-469.08</v>
      </c>
      <c r="L95" s="171">
        <f>VLOOKUP(J95,$U$9:$V$23,2)</f>
        <v>9</v>
      </c>
      <c r="M95" s="17">
        <v>1.4833299999999999E-3</v>
      </c>
      <c r="N95" s="16">
        <f>ROUND(K95*L95*M95,2)</f>
        <v>-6.26</v>
      </c>
      <c r="O95" s="16">
        <f>ROUND(K95*M95*12,2)</f>
        <v>-8.35</v>
      </c>
      <c r="P95" s="14"/>
      <c r="Q95" s="210" t="str">
        <f>VLOOKUP(D95,'WO Descriptions'!$A$5:$D$345,4)</f>
        <v>Approved by: Ken Thomas on 11/15/2013,  Abandon 890' - 2' PBS (WO#: A8605) and replace with 890' - 2" PE due to history of leakage. Project Location: McHenry and Main; Pressure System: S-1; MOP: 20 psig; MAOP: 20 psig; Design: 58 psig; Test: 100 psig; ISRS $24.58/ft</v>
      </c>
    </row>
    <row r="96" spans="1:19" outlineLevel="1">
      <c r="A96" s="3" t="s">
        <v>1788</v>
      </c>
      <c r="B96" s="225"/>
      <c r="C96" s="250"/>
      <c r="D96" s="254" t="s">
        <v>1788</v>
      </c>
      <c r="E96" s="223"/>
      <c r="F96" s="250"/>
      <c r="G96" s="223"/>
      <c r="H96" s="250"/>
      <c r="I96" s="250"/>
      <c r="J96" s="250"/>
      <c r="K96" s="251">
        <f>SUBTOTAL(9,K95:K95)</f>
        <v>-469.08</v>
      </c>
      <c r="L96" s="252"/>
      <c r="M96" s="253"/>
      <c r="N96" s="251">
        <f>SUBTOTAL(9,N95:N95)</f>
        <v>-6.26</v>
      </c>
      <c r="O96" s="251">
        <f>SUBTOTAL(9,O95:O95)</f>
        <v>-8.35</v>
      </c>
      <c r="P96" s="223"/>
      <c r="Q96" s="210"/>
      <c r="R96" s="263" t="s">
        <v>2097</v>
      </c>
      <c r="S96" s="263" t="s">
        <v>2098</v>
      </c>
    </row>
    <row r="97" spans="1:19" outlineLevel="2">
      <c r="A97" s="3" t="s">
        <v>159</v>
      </c>
      <c r="B97" s="14" t="s">
        <v>17</v>
      </c>
      <c r="C97" s="15" t="s">
        <v>158</v>
      </c>
      <c r="D97" s="15" t="s">
        <v>159</v>
      </c>
      <c r="E97" s="14" t="s">
        <v>160</v>
      </c>
      <c r="F97" s="15" t="s">
        <v>108</v>
      </c>
      <c r="G97" s="14" t="s">
        <v>28</v>
      </c>
      <c r="H97" s="15" t="s">
        <v>23</v>
      </c>
      <c r="I97" s="15" t="s">
        <v>1525</v>
      </c>
      <c r="J97" s="15">
        <v>201409</v>
      </c>
      <c r="K97" s="16">
        <v>-217.66</v>
      </c>
      <c r="L97" s="171">
        <f>VLOOKUP(J97,$U$9:$V$23,2)</f>
        <v>9</v>
      </c>
      <c r="M97" s="17">
        <v>1.4833299999999999E-3</v>
      </c>
      <c r="N97" s="16">
        <f>ROUND(K97*L97*M97,2)</f>
        <v>-2.91</v>
      </c>
      <c r="O97" s="16">
        <f>ROUND(K97*M97*12,2)</f>
        <v>-3.87</v>
      </c>
      <c r="P97" s="14"/>
      <c r="Q97" s="210" t="str">
        <f>VLOOKUP(D97,'WO Descriptions'!$A$5:$D$345,4)</f>
        <v>Approved by: Kevin Driskell on 01/23/2014,  Lay 40'-4in thin film for DRS #758 (WO 14-3282).</v>
      </c>
    </row>
    <row r="98" spans="1:19" outlineLevel="1">
      <c r="A98" s="3" t="s">
        <v>1789</v>
      </c>
      <c r="B98" s="223"/>
      <c r="C98" s="250"/>
      <c r="D98" s="254" t="s">
        <v>1789</v>
      </c>
      <c r="E98" s="223"/>
      <c r="F98" s="250"/>
      <c r="G98" s="223"/>
      <c r="H98" s="250"/>
      <c r="I98" s="250"/>
      <c r="J98" s="250"/>
      <c r="K98" s="251">
        <f>SUBTOTAL(9,K97:K97)</f>
        <v>-217.66</v>
      </c>
      <c r="L98" s="252"/>
      <c r="M98" s="253"/>
      <c r="N98" s="251">
        <f>SUBTOTAL(9,N97:N97)</f>
        <v>-2.91</v>
      </c>
      <c r="O98" s="251">
        <f>SUBTOTAL(9,O97:O97)</f>
        <v>-3.87</v>
      </c>
      <c r="P98" s="223"/>
      <c r="Q98" s="210"/>
      <c r="R98" s="263" t="s">
        <v>2097</v>
      </c>
      <c r="S98" s="263" t="s">
        <v>2099</v>
      </c>
    </row>
    <row r="99" spans="1:19" ht="60" outlineLevel="2">
      <c r="A99" s="3" t="s">
        <v>162</v>
      </c>
      <c r="B99" s="18" t="s">
        <v>17</v>
      </c>
      <c r="C99" s="15" t="s">
        <v>161</v>
      </c>
      <c r="D99" s="15" t="s">
        <v>162</v>
      </c>
      <c r="E99" s="14" t="s">
        <v>163</v>
      </c>
      <c r="F99" s="15" t="s">
        <v>62</v>
      </c>
      <c r="G99" s="14" t="s">
        <v>22</v>
      </c>
      <c r="H99" s="15" t="s">
        <v>23</v>
      </c>
      <c r="I99" s="15" t="s">
        <v>1525</v>
      </c>
      <c r="J99" s="15">
        <v>201409</v>
      </c>
      <c r="K99" s="16">
        <v>-286.58999999999997</v>
      </c>
      <c r="L99" s="171">
        <f>VLOOKUP(J99,$U$9:$V$23,2)</f>
        <v>9</v>
      </c>
      <c r="M99" s="17">
        <v>1.4833299999999999E-3</v>
      </c>
      <c r="N99" s="16">
        <f>ROUND(K99*L99*M99,2)</f>
        <v>-3.83</v>
      </c>
      <c r="O99" s="16">
        <f>ROUND(K99*M99*12,2)</f>
        <v>-5.0999999999999996</v>
      </c>
      <c r="P99" s="14"/>
      <c r="Q99" s="210" t="str">
        <f>VLOOKUP(D99,'WO Descriptions'!$A$5:$D$345,4)</f>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
    </row>
    <row r="100" spans="1:19" outlineLevel="1">
      <c r="A100" s="3" t="s">
        <v>1790</v>
      </c>
      <c r="B100" s="225"/>
      <c r="C100" s="250"/>
      <c r="D100" s="254" t="s">
        <v>1790</v>
      </c>
      <c r="E100" s="223"/>
      <c r="F100" s="250"/>
      <c r="G100" s="223"/>
      <c r="H100" s="250"/>
      <c r="I100" s="250"/>
      <c r="J100" s="250"/>
      <c r="K100" s="251">
        <f>SUBTOTAL(9,K99:K99)</f>
        <v>-286.58999999999997</v>
      </c>
      <c r="L100" s="252"/>
      <c r="M100" s="253"/>
      <c r="N100" s="251">
        <f>SUBTOTAL(9,N99:N99)</f>
        <v>-3.83</v>
      </c>
      <c r="O100" s="251">
        <f>SUBTOTAL(9,O99:O99)</f>
        <v>-5.0999999999999996</v>
      </c>
      <c r="P100" s="223"/>
      <c r="Q100" s="210"/>
      <c r="R100" s="263" t="s">
        <v>2097</v>
      </c>
      <c r="S100" s="263" t="s">
        <v>2098</v>
      </c>
    </row>
    <row r="101" spans="1:19" ht="120" outlineLevel="2">
      <c r="A101" s="3" t="s">
        <v>166</v>
      </c>
      <c r="B101" s="18" t="s">
        <v>164</v>
      </c>
      <c r="C101" s="15" t="s">
        <v>165</v>
      </c>
      <c r="D101" s="15" t="s">
        <v>166</v>
      </c>
      <c r="E101" s="14" t="s">
        <v>167</v>
      </c>
      <c r="F101" s="15" t="s">
        <v>168</v>
      </c>
      <c r="G101" s="14" t="s">
        <v>169</v>
      </c>
      <c r="H101" s="15" t="s">
        <v>23</v>
      </c>
      <c r="I101" s="15" t="s">
        <v>1528</v>
      </c>
      <c r="J101" s="15">
        <v>201409</v>
      </c>
      <c r="K101" s="16">
        <v>-54</v>
      </c>
      <c r="L101" s="171">
        <f>VLOOKUP(J101,$U$9:$V$23,2)</f>
        <v>9</v>
      </c>
      <c r="M101" s="17">
        <v>2.1916700000000002E-3</v>
      </c>
      <c r="N101" s="16">
        <f>ROUND(K101*L101*M101,2)</f>
        <v>-1.07</v>
      </c>
      <c r="O101" s="16">
        <f>ROUND(K101*M101*12,2)</f>
        <v>-1.42</v>
      </c>
      <c r="P101" s="14"/>
      <c r="Q101" s="210" t="str">
        <f>VLOOKUP(D101,'WO Descriptions'!$A$5:$D$345,4)</f>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
    </row>
    <row r="102" spans="1:19" outlineLevel="1">
      <c r="A102" s="3" t="s">
        <v>1791</v>
      </c>
      <c r="B102" s="225"/>
      <c r="C102" s="250"/>
      <c r="D102" s="254" t="s">
        <v>1791</v>
      </c>
      <c r="E102" s="223"/>
      <c r="F102" s="250"/>
      <c r="G102" s="223"/>
      <c r="H102" s="250"/>
      <c r="I102" s="250"/>
      <c r="J102" s="250"/>
      <c r="K102" s="251">
        <f>SUBTOTAL(9,K101:K101)</f>
        <v>-54</v>
      </c>
      <c r="L102" s="252"/>
      <c r="M102" s="253"/>
      <c r="N102" s="251">
        <f>SUBTOTAL(9,N101:N101)</f>
        <v>-1.07</v>
      </c>
      <c r="O102" s="251">
        <f>SUBTOTAL(9,O101:O101)</f>
        <v>-1.42</v>
      </c>
      <c r="P102" s="223"/>
      <c r="Q102" s="210"/>
      <c r="R102" s="263" t="s">
        <v>2097</v>
      </c>
      <c r="S102" s="263" t="s">
        <v>2099</v>
      </c>
    </row>
    <row r="103" spans="1:19" ht="180" outlineLevel="2">
      <c r="A103" s="3" t="s">
        <v>171</v>
      </c>
      <c r="B103" s="18" t="s">
        <v>17</v>
      </c>
      <c r="C103" s="15" t="s">
        <v>170</v>
      </c>
      <c r="D103" s="15" t="s">
        <v>171</v>
      </c>
      <c r="E103" s="14" t="s">
        <v>172</v>
      </c>
      <c r="F103" s="15" t="s">
        <v>62</v>
      </c>
      <c r="G103" s="14" t="s">
        <v>22</v>
      </c>
      <c r="H103" s="15" t="s">
        <v>23</v>
      </c>
      <c r="I103" s="15" t="s">
        <v>1525</v>
      </c>
      <c r="J103" s="15">
        <v>201409</v>
      </c>
      <c r="K103" s="16">
        <v>-3880.74</v>
      </c>
      <c r="L103" s="171">
        <f>VLOOKUP(J103,$U$9:$V$23,2)</f>
        <v>9</v>
      </c>
      <c r="M103" s="17">
        <v>1.4833299999999999E-3</v>
      </c>
      <c r="N103" s="16">
        <f>ROUND(K103*L103*M103,2)</f>
        <v>-51.81</v>
      </c>
      <c r="O103" s="16">
        <f>ROUND(K103*M103*12,2)</f>
        <v>-69.08</v>
      </c>
      <c r="P103" s="14"/>
      <c r="Q103" s="210" t="str">
        <f>VLOOKUP(D103,'WO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104" spans="1:19" ht="180" outlineLevel="2">
      <c r="A104" s="3" t="s">
        <v>171</v>
      </c>
      <c r="B104" s="18" t="s">
        <v>54</v>
      </c>
      <c r="C104" s="15" t="s">
        <v>170</v>
      </c>
      <c r="D104" s="15" t="s">
        <v>171</v>
      </c>
      <c r="E104" s="14" t="s">
        <v>172</v>
      </c>
      <c r="F104" s="15" t="s">
        <v>62</v>
      </c>
      <c r="G104" s="14" t="s">
        <v>22</v>
      </c>
      <c r="H104" s="15" t="s">
        <v>23</v>
      </c>
      <c r="I104" s="15" t="s">
        <v>1525</v>
      </c>
      <c r="J104" s="15">
        <v>201409</v>
      </c>
      <c r="K104" s="16">
        <v>-865.45</v>
      </c>
      <c r="L104" s="171">
        <f>VLOOKUP(J104,$U$9:$V$23,2)</f>
        <v>9</v>
      </c>
      <c r="M104" s="17">
        <v>1.4833299999999999E-3</v>
      </c>
      <c r="N104" s="16">
        <f>ROUND(K104*L104*M104,2)</f>
        <v>-11.55</v>
      </c>
      <c r="O104" s="16">
        <f>ROUND(K104*M104*12,2)</f>
        <v>-15.4</v>
      </c>
      <c r="P104" s="14"/>
      <c r="Q104" s="210" t="str">
        <f>VLOOKUP(D104,'WO Descriptions'!$A$5:$D$345,4)</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row>
    <row r="105" spans="1:19" outlineLevel="1">
      <c r="A105" s="3" t="s">
        <v>1792</v>
      </c>
      <c r="B105" s="225"/>
      <c r="C105" s="250"/>
      <c r="D105" s="254" t="s">
        <v>1792</v>
      </c>
      <c r="E105" s="223"/>
      <c r="F105" s="250"/>
      <c r="G105" s="223"/>
      <c r="H105" s="250"/>
      <c r="I105" s="250"/>
      <c r="J105" s="250"/>
      <c r="K105" s="251">
        <f>SUBTOTAL(9,K103:K104)</f>
        <v>-4746.1899999999996</v>
      </c>
      <c r="L105" s="252"/>
      <c r="M105" s="253"/>
      <c r="N105" s="251">
        <f>SUBTOTAL(9,N103:N104)</f>
        <v>-63.36</v>
      </c>
      <c r="O105" s="251">
        <f>SUBTOTAL(9,O103:O104)</f>
        <v>-84.48</v>
      </c>
      <c r="P105" s="223"/>
      <c r="Q105" s="210"/>
      <c r="R105" s="263" t="s">
        <v>2097</v>
      </c>
      <c r="S105" s="263" t="s">
        <v>2098</v>
      </c>
    </row>
    <row r="106" spans="1:19" ht="60" outlineLevel="2">
      <c r="A106" s="3" t="s">
        <v>174</v>
      </c>
      <c r="B106" s="18" t="s">
        <v>17</v>
      </c>
      <c r="C106" s="15" t="s">
        <v>173</v>
      </c>
      <c r="D106" s="15" t="s">
        <v>174</v>
      </c>
      <c r="E106" s="14" t="s">
        <v>175</v>
      </c>
      <c r="F106" s="15" t="s">
        <v>176</v>
      </c>
      <c r="G106" s="14" t="s">
        <v>28</v>
      </c>
      <c r="H106" s="15" t="s">
        <v>23</v>
      </c>
      <c r="I106" s="15" t="s">
        <v>1525</v>
      </c>
      <c r="J106" s="15">
        <v>201409</v>
      </c>
      <c r="K106" s="16">
        <v>10.59</v>
      </c>
      <c r="L106" s="171">
        <f>VLOOKUP(J106,$U$9:$V$23,2)</f>
        <v>9</v>
      </c>
      <c r="M106" s="17">
        <v>1.4833299999999999E-3</v>
      </c>
      <c r="N106" s="16">
        <f>ROUND(K106*L106*M106,2)</f>
        <v>0.14000000000000001</v>
      </c>
      <c r="O106" s="16">
        <f>ROUND(K106*M106*12,2)</f>
        <v>0.19</v>
      </c>
      <c r="P106" s="14"/>
      <c r="Q106" s="210" t="str">
        <f>VLOOKUP(D106,'WO Descriptions'!$A$5:$D$345,4)</f>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
    </row>
    <row r="107" spans="1:19" outlineLevel="1">
      <c r="A107" s="3" t="s">
        <v>1793</v>
      </c>
      <c r="B107" s="225"/>
      <c r="C107" s="250"/>
      <c r="D107" s="254" t="s">
        <v>1793</v>
      </c>
      <c r="E107" s="223"/>
      <c r="F107" s="250"/>
      <c r="G107" s="223"/>
      <c r="H107" s="250"/>
      <c r="I107" s="250"/>
      <c r="J107" s="250"/>
      <c r="K107" s="251">
        <f>SUBTOTAL(9,K106:K106)</f>
        <v>10.59</v>
      </c>
      <c r="L107" s="252"/>
      <c r="M107" s="253"/>
      <c r="N107" s="251">
        <f>SUBTOTAL(9,N106:N106)</f>
        <v>0.14000000000000001</v>
      </c>
      <c r="O107" s="251">
        <f>SUBTOTAL(9,O106:O106)</f>
        <v>0.19</v>
      </c>
      <c r="P107" s="223"/>
      <c r="Q107" s="210"/>
      <c r="R107" s="263" t="s">
        <v>2097</v>
      </c>
      <c r="S107" s="263" t="s">
        <v>2099</v>
      </c>
    </row>
    <row r="108" spans="1:19" ht="30" outlineLevel="2">
      <c r="A108" s="3" t="s">
        <v>178</v>
      </c>
      <c r="B108" s="18" t="s">
        <v>17</v>
      </c>
      <c r="C108" s="15" t="s">
        <v>177</v>
      </c>
      <c r="D108" s="15" t="s">
        <v>178</v>
      </c>
      <c r="E108" s="14" t="s">
        <v>179</v>
      </c>
      <c r="F108" s="15" t="s">
        <v>176</v>
      </c>
      <c r="G108" s="14" t="s">
        <v>28</v>
      </c>
      <c r="H108" s="15" t="s">
        <v>23</v>
      </c>
      <c r="I108" s="15" t="s">
        <v>1525</v>
      </c>
      <c r="J108" s="15">
        <v>201409</v>
      </c>
      <c r="K108" s="16">
        <v>28.45</v>
      </c>
      <c r="L108" s="171">
        <f>VLOOKUP(J108,$U$9:$V$23,2)</f>
        <v>9</v>
      </c>
      <c r="M108" s="17">
        <v>1.4833299999999999E-3</v>
      </c>
      <c r="N108" s="16">
        <f>ROUND(K108*L108*M108,2)</f>
        <v>0.38</v>
      </c>
      <c r="O108" s="16">
        <f>ROUND(K108*M108*12,2)</f>
        <v>0.51</v>
      </c>
      <c r="P108" s="14"/>
      <c r="Q108" s="210" t="str">
        <f>VLOOKUP(D108,'WO Descriptions'!$A$5:$D$345,4)</f>
        <v>Approved by Galen Shoemaker 9/10/2013.  Manually work order set up due to woes is being changed over.</v>
      </c>
    </row>
    <row r="109" spans="1:19" outlineLevel="1">
      <c r="A109" s="3" t="s">
        <v>1794</v>
      </c>
      <c r="B109" s="225"/>
      <c r="C109" s="250"/>
      <c r="D109" s="254" t="s">
        <v>1794</v>
      </c>
      <c r="E109" s="223"/>
      <c r="F109" s="250"/>
      <c r="G109" s="223"/>
      <c r="H109" s="250"/>
      <c r="I109" s="250"/>
      <c r="J109" s="250"/>
      <c r="K109" s="251">
        <f>SUBTOTAL(9,K108:K108)</f>
        <v>28.45</v>
      </c>
      <c r="L109" s="252"/>
      <c r="M109" s="253"/>
      <c r="N109" s="251">
        <f>SUBTOTAL(9,N108:N108)</f>
        <v>0.38</v>
      </c>
      <c r="O109" s="251">
        <f>SUBTOTAL(9,O108:O108)</f>
        <v>0.51</v>
      </c>
      <c r="P109" s="223"/>
      <c r="Q109" s="210"/>
      <c r="R109" s="263" t="s">
        <v>2097</v>
      </c>
      <c r="S109" s="263" t="s">
        <v>2099</v>
      </c>
    </row>
    <row r="110" spans="1:19" ht="75" outlineLevel="2">
      <c r="A110" s="3" t="s">
        <v>181</v>
      </c>
      <c r="B110" s="18" t="s">
        <v>17</v>
      </c>
      <c r="C110" s="15" t="s">
        <v>180</v>
      </c>
      <c r="D110" s="15" t="s">
        <v>181</v>
      </c>
      <c r="E110" s="14" t="s">
        <v>182</v>
      </c>
      <c r="F110" s="15" t="s">
        <v>53</v>
      </c>
      <c r="G110" s="14" t="s">
        <v>41</v>
      </c>
      <c r="H110" s="15" t="s">
        <v>23</v>
      </c>
      <c r="I110" s="15" t="s">
        <v>1526</v>
      </c>
      <c r="J110" s="15">
        <v>201409</v>
      </c>
      <c r="K110" s="16">
        <v>-243.49</v>
      </c>
      <c r="L110" s="171">
        <f>VLOOKUP(J110,$U$9:$V$23,2)</f>
        <v>9</v>
      </c>
      <c r="M110" s="17">
        <v>1.4833299999999999E-3</v>
      </c>
      <c r="N110" s="16">
        <f>ROUND(K110*L110*M110,2)</f>
        <v>-3.25</v>
      </c>
      <c r="O110" s="16">
        <f>ROUND(K110*M110*12,2)</f>
        <v>-4.33</v>
      </c>
      <c r="P110" s="14"/>
      <c r="Q110" s="210" t="str">
        <f>VLOOKUP(D110,'WO Descriptions'!$A$5:$D$345,4)</f>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
    </row>
    <row r="111" spans="1:19" outlineLevel="1">
      <c r="A111" s="3" t="s">
        <v>1795</v>
      </c>
      <c r="B111" s="225"/>
      <c r="C111" s="250"/>
      <c r="D111" s="254" t="s">
        <v>1795</v>
      </c>
      <c r="E111" s="223"/>
      <c r="F111" s="250"/>
      <c r="G111" s="223"/>
      <c r="H111" s="250"/>
      <c r="I111" s="250"/>
      <c r="J111" s="250"/>
      <c r="K111" s="251">
        <f>SUBTOTAL(9,K110:K110)</f>
        <v>-243.49</v>
      </c>
      <c r="L111" s="252"/>
      <c r="M111" s="253"/>
      <c r="N111" s="251">
        <f>SUBTOTAL(9,N110:N110)</f>
        <v>-3.25</v>
      </c>
      <c r="O111" s="251">
        <f>SUBTOTAL(9,O110:O110)</f>
        <v>-4.33</v>
      </c>
      <c r="P111" s="223"/>
      <c r="Q111" s="210"/>
      <c r="R111" s="263" t="s">
        <v>2096</v>
      </c>
    </row>
    <row r="112" spans="1:19" ht="90" outlineLevel="2">
      <c r="A112" s="3" t="s">
        <v>184</v>
      </c>
      <c r="B112" s="14" t="s">
        <v>17</v>
      </c>
      <c r="C112" s="15" t="s">
        <v>183</v>
      </c>
      <c r="D112" s="15" t="s">
        <v>184</v>
      </c>
      <c r="E112" s="14" t="s">
        <v>185</v>
      </c>
      <c r="F112" s="15" t="s">
        <v>53</v>
      </c>
      <c r="G112" s="14" t="s">
        <v>41</v>
      </c>
      <c r="H112" s="15" t="s">
        <v>23</v>
      </c>
      <c r="I112" s="15" t="s">
        <v>1526</v>
      </c>
      <c r="J112" s="15">
        <v>201409</v>
      </c>
      <c r="K112" s="16">
        <v>-1163.68</v>
      </c>
      <c r="L112" s="171">
        <f>VLOOKUP(J112,$U$9:$V$23,2)</f>
        <v>9</v>
      </c>
      <c r="M112" s="17">
        <v>1.4833299999999999E-3</v>
      </c>
      <c r="N112" s="16">
        <f>ROUND(K112*L112*M112,2)</f>
        <v>-15.54</v>
      </c>
      <c r="O112" s="16">
        <f>ROUND(K112*M112*12,2)</f>
        <v>-20.71</v>
      </c>
      <c r="P112" s="14"/>
      <c r="Q112" s="210" t="str">
        <f>VLOOKUP(D112,'WO Descriptions'!$A$5:$D$345,4)</f>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
    </row>
    <row r="113" spans="1:19" outlineLevel="1">
      <c r="A113" s="3" t="s">
        <v>1796</v>
      </c>
      <c r="B113" s="223"/>
      <c r="C113" s="250"/>
      <c r="D113" s="254" t="s">
        <v>1796</v>
      </c>
      <c r="E113" s="223"/>
      <c r="F113" s="250"/>
      <c r="G113" s="223"/>
      <c r="H113" s="250"/>
      <c r="I113" s="250"/>
      <c r="J113" s="250"/>
      <c r="K113" s="251">
        <f>SUBTOTAL(9,K112:K112)</f>
        <v>-1163.68</v>
      </c>
      <c r="L113" s="252"/>
      <c r="M113" s="253"/>
      <c r="N113" s="251">
        <f>SUBTOTAL(9,N112:N112)</f>
        <v>-15.54</v>
      </c>
      <c r="O113" s="251">
        <f>SUBTOTAL(9,O112:O112)</f>
        <v>-20.71</v>
      </c>
      <c r="P113" s="223"/>
      <c r="Q113" s="210"/>
      <c r="R113" s="263" t="s">
        <v>2096</v>
      </c>
    </row>
    <row r="114" spans="1:19" ht="30" outlineLevel="2">
      <c r="A114" s="3" t="s">
        <v>187</v>
      </c>
      <c r="B114" s="18" t="s">
        <v>17</v>
      </c>
      <c r="C114" s="15" t="s">
        <v>186</v>
      </c>
      <c r="D114" s="15" t="s">
        <v>187</v>
      </c>
      <c r="E114" s="14" t="s">
        <v>188</v>
      </c>
      <c r="F114" s="15" t="s">
        <v>108</v>
      </c>
      <c r="G114" s="14" t="s">
        <v>28</v>
      </c>
      <c r="H114" s="15" t="s">
        <v>23</v>
      </c>
      <c r="I114" s="15" t="s">
        <v>1525</v>
      </c>
      <c r="J114" s="15">
        <v>201409</v>
      </c>
      <c r="K114" s="16">
        <v>-23.18</v>
      </c>
      <c r="L114" s="171">
        <f>VLOOKUP(J114,$U$9:$V$23,2)</f>
        <v>9</v>
      </c>
      <c r="M114" s="17">
        <v>1.4833299999999999E-3</v>
      </c>
      <c r="N114" s="16">
        <f>ROUND(K114*L114*M114,2)</f>
        <v>-0.31</v>
      </c>
      <c r="O114" s="16">
        <f>ROUND(K114*M114*12,2)</f>
        <v>-0.41</v>
      </c>
      <c r="P114" s="14"/>
      <c r="Q114" s="210" t="str">
        <f>VLOOKUP(D114,'WO Descriptions'!$A$5:$D$345,4)</f>
        <v>Approved by: Kevin Driskell on 01/03/2014,  LAY 26'-4" TF STEEL DUE TO EXISTING GAS MAIN EXPOSED ON HILL.  ABANDONED 18FT-4" PCS(B1476A).</v>
      </c>
    </row>
    <row r="115" spans="1:19" outlineLevel="1">
      <c r="A115" s="3" t="s">
        <v>1797</v>
      </c>
      <c r="B115" s="225"/>
      <c r="C115" s="250"/>
      <c r="D115" s="254" t="s">
        <v>1797</v>
      </c>
      <c r="E115" s="223"/>
      <c r="F115" s="250"/>
      <c r="G115" s="223"/>
      <c r="H115" s="250"/>
      <c r="I115" s="250"/>
      <c r="J115" s="250"/>
      <c r="K115" s="251">
        <f>SUBTOTAL(9,K114:K114)</f>
        <v>-23.18</v>
      </c>
      <c r="L115" s="252"/>
      <c r="M115" s="253"/>
      <c r="N115" s="251">
        <f>SUBTOTAL(9,N114:N114)</f>
        <v>-0.31</v>
      </c>
      <c r="O115" s="251">
        <f>SUBTOTAL(9,O114:O114)</f>
        <v>-0.41</v>
      </c>
      <c r="P115" s="223"/>
      <c r="Q115" s="210"/>
      <c r="R115" s="263" t="s">
        <v>2097</v>
      </c>
      <c r="S115" s="263" t="s">
        <v>2099</v>
      </c>
    </row>
    <row r="116" spans="1:19" ht="165" outlineLevel="2">
      <c r="A116" s="3" t="s">
        <v>190</v>
      </c>
      <c r="B116" s="18" t="s">
        <v>17</v>
      </c>
      <c r="C116" s="15" t="s">
        <v>189</v>
      </c>
      <c r="D116" s="15" t="s">
        <v>190</v>
      </c>
      <c r="E116" s="14" t="s">
        <v>191</v>
      </c>
      <c r="F116" s="15" t="s">
        <v>62</v>
      </c>
      <c r="G116" s="14" t="s">
        <v>22</v>
      </c>
      <c r="H116" s="15" t="s">
        <v>23</v>
      </c>
      <c r="I116" s="15" t="s">
        <v>1525</v>
      </c>
      <c r="J116" s="15">
        <v>201409</v>
      </c>
      <c r="K116" s="16">
        <v>-2735.91</v>
      </c>
      <c r="L116" s="171">
        <f>VLOOKUP(J116,$U$9:$V$23,2)</f>
        <v>9</v>
      </c>
      <c r="M116" s="17">
        <v>1.4833299999999999E-3</v>
      </c>
      <c r="N116" s="16">
        <f>ROUND(K116*L116*M116,2)</f>
        <v>-36.520000000000003</v>
      </c>
      <c r="O116" s="16">
        <f>ROUND(K116*M116*12,2)</f>
        <v>-48.7</v>
      </c>
      <c r="P116" s="14"/>
      <c r="Q116" s="210" t="str">
        <f>VLOOKUP(D116,'WO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7" spans="1:19" ht="165" outlineLevel="2">
      <c r="A117" s="3" t="s">
        <v>190</v>
      </c>
      <c r="B117" s="18" t="s">
        <v>17</v>
      </c>
      <c r="C117" s="15" t="s">
        <v>189</v>
      </c>
      <c r="D117" s="15" t="s">
        <v>190</v>
      </c>
      <c r="E117" s="14" t="s">
        <v>191</v>
      </c>
      <c r="F117" s="15" t="s">
        <v>62</v>
      </c>
      <c r="G117" s="14" t="s">
        <v>22</v>
      </c>
      <c r="H117" s="15" t="s">
        <v>23</v>
      </c>
      <c r="I117" s="15" t="s">
        <v>1525</v>
      </c>
      <c r="J117" s="15">
        <v>201411</v>
      </c>
      <c r="K117" s="16">
        <v>-151959.22</v>
      </c>
      <c r="L117" s="171">
        <f>VLOOKUP(J117,$U$9:$V$23,2)</f>
        <v>7</v>
      </c>
      <c r="M117" s="17">
        <v>1.4833299999999999E-3</v>
      </c>
      <c r="N117" s="16">
        <f>ROUND(K117*L117*M117,2)</f>
        <v>-1577.84</v>
      </c>
      <c r="O117" s="16">
        <f>ROUND(K117*M117*12,2)</f>
        <v>-2704.87</v>
      </c>
      <c r="P117" s="14"/>
      <c r="Q117" s="210" t="str">
        <f>VLOOKUP(D117,'WO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8" spans="1:19" ht="165" outlineLevel="2">
      <c r="A118" s="3" t="s">
        <v>190</v>
      </c>
      <c r="B118" s="18" t="s">
        <v>54</v>
      </c>
      <c r="C118" s="15" t="s">
        <v>189</v>
      </c>
      <c r="D118" s="15" t="s">
        <v>190</v>
      </c>
      <c r="E118" s="14" t="s">
        <v>191</v>
      </c>
      <c r="F118" s="15" t="s">
        <v>62</v>
      </c>
      <c r="G118" s="14" t="s">
        <v>22</v>
      </c>
      <c r="H118" s="15" t="s">
        <v>23</v>
      </c>
      <c r="I118" s="15" t="s">
        <v>1525</v>
      </c>
      <c r="J118" s="15">
        <v>201411</v>
      </c>
      <c r="K118" s="16">
        <v>151959.22</v>
      </c>
      <c r="L118" s="171">
        <f>VLOOKUP(J118,$U$9:$V$23,2)</f>
        <v>7</v>
      </c>
      <c r="M118" s="17">
        <v>1.4833299999999999E-3</v>
      </c>
      <c r="N118" s="16">
        <f>ROUND(K118*L118*M118,2)</f>
        <v>1577.84</v>
      </c>
      <c r="O118" s="16">
        <f>ROUND(K118*M118*12,2)</f>
        <v>2704.87</v>
      </c>
      <c r="P118" s="14"/>
      <c r="Q118" s="210" t="str">
        <f>VLOOKUP(D118,'WO Descriptions'!$A$5:$D$345,4)</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row>
    <row r="119" spans="1:19" outlineLevel="1">
      <c r="A119" s="3" t="s">
        <v>1798</v>
      </c>
      <c r="B119" s="225"/>
      <c r="C119" s="250"/>
      <c r="D119" s="254" t="s">
        <v>1798</v>
      </c>
      <c r="E119" s="223"/>
      <c r="F119" s="250"/>
      <c r="G119" s="223"/>
      <c r="H119" s="250"/>
      <c r="I119" s="250"/>
      <c r="J119" s="250"/>
      <c r="K119" s="251">
        <f>SUBTOTAL(9,K116:K118)</f>
        <v>-2735.9100000000035</v>
      </c>
      <c r="L119" s="252"/>
      <c r="M119" s="253"/>
      <c r="N119" s="251">
        <f>SUBTOTAL(9,N116:N118)</f>
        <v>-36.519999999999982</v>
      </c>
      <c r="O119" s="251">
        <f>SUBTOTAL(9,O116:O118)</f>
        <v>-48.699999999999818</v>
      </c>
      <c r="P119" s="223"/>
      <c r="Q119" s="210"/>
      <c r="R119" s="263" t="s">
        <v>2097</v>
      </c>
      <c r="S119" s="263" t="s">
        <v>2098</v>
      </c>
    </row>
    <row r="120" spans="1:19" outlineLevel="2">
      <c r="A120" s="3" t="s">
        <v>193</v>
      </c>
      <c r="B120" s="211" t="s">
        <v>66</v>
      </c>
      <c r="C120" s="212" t="s">
        <v>192</v>
      </c>
      <c r="D120" s="212" t="s">
        <v>193</v>
      </c>
      <c r="E120" s="211" t="s">
        <v>194</v>
      </c>
      <c r="F120" s="212" t="s">
        <v>195</v>
      </c>
      <c r="G120" s="211" t="s">
        <v>196</v>
      </c>
      <c r="H120" s="212" t="s">
        <v>23</v>
      </c>
      <c r="I120" s="212" t="s">
        <v>1530</v>
      </c>
      <c r="J120" s="212">
        <v>201410</v>
      </c>
      <c r="K120" s="213">
        <v>100.15</v>
      </c>
      <c r="L120" s="171">
        <f>VLOOKUP(J120,$U$9:$V$23,2)</f>
        <v>8</v>
      </c>
      <c r="M120" s="214">
        <v>2.23333E-3</v>
      </c>
      <c r="N120" s="213">
        <f>ROUND(K120*L120*M120,2)</f>
        <v>1.79</v>
      </c>
      <c r="O120" s="213">
        <f>ROUND(K120*M120*12,2)</f>
        <v>2.68</v>
      </c>
      <c r="P120" s="14"/>
      <c r="Q120" s="210" t="str">
        <f>VLOOKUP(D120,'WO Descriptions'!$A$5:$D$345,4)</f>
        <v>Line Locates - Service Line Replacements Only (Kansas City - Central Region)</v>
      </c>
    </row>
    <row r="121" spans="1:19" outlineLevel="2">
      <c r="A121" s="3" t="s">
        <v>193</v>
      </c>
      <c r="B121" s="211" t="s">
        <v>66</v>
      </c>
      <c r="C121" s="212" t="s">
        <v>192</v>
      </c>
      <c r="D121" s="212" t="s">
        <v>193</v>
      </c>
      <c r="E121" s="211" t="s">
        <v>194</v>
      </c>
      <c r="F121" s="212" t="s">
        <v>195</v>
      </c>
      <c r="G121" s="211" t="s">
        <v>196</v>
      </c>
      <c r="H121" s="212" t="s">
        <v>23</v>
      </c>
      <c r="I121" s="212" t="s">
        <v>1530</v>
      </c>
      <c r="J121" s="212">
        <v>201411</v>
      </c>
      <c r="K121" s="213">
        <v>-2.78</v>
      </c>
      <c r="L121" s="171">
        <f>VLOOKUP(J121,$U$9:$V$23,2)</f>
        <v>7</v>
      </c>
      <c r="M121" s="214">
        <v>2.23333E-3</v>
      </c>
      <c r="N121" s="213">
        <f>ROUND(K121*L121*M121,2)</f>
        <v>-0.04</v>
      </c>
      <c r="O121" s="213">
        <f>ROUND(K121*M121*12,2)</f>
        <v>-7.0000000000000007E-2</v>
      </c>
      <c r="P121" s="14"/>
      <c r="Q121" s="210" t="str">
        <f>VLOOKUP(D121,'WO Descriptions'!$A$5:$D$345,4)</f>
        <v>Line Locates - Service Line Replacements Only (Kansas City - Central Region)</v>
      </c>
    </row>
    <row r="122" spans="1:19" outlineLevel="2">
      <c r="A122" s="3" t="s">
        <v>193</v>
      </c>
      <c r="B122" s="211" t="s">
        <v>66</v>
      </c>
      <c r="C122" s="212" t="s">
        <v>192</v>
      </c>
      <c r="D122" s="212" t="s">
        <v>193</v>
      </c>
      <c r="E122" s="211" t="s">
        <v>194</v>
      </c>
      <c r="F122" s="212" t="s">
        <v>195</v>
      </c>
      <c r="G122" s="211" t="s">
        <v>196</v>
      </c>
      <c r="H122" s="212" t="s">
        <v>23</v>
      </c>
      <c r="I122" s="212" t="s">
        <v>1530</v>
      </c>
      <c r="J122" s="212">
        <v>201412</v>
      </c>
      <c r="K122" s="213">
        <v>-8.64</v>
      </c>
      <c r="L122" s="171">
        <f>VLOOKUP(J122,$U$9:$V$23,2)</f>
        <v>6</v>
      </c>
      <c r="M122" s="214">
        <v>2.23333E-3</v>
      </c>
      <c r="N122" s="213">
        <f>ROUND(K122*L122*M122,2)</f>
        <v>-0.12</v>
      </c>
      <c r="O122" s="213">
        <f>ROUND(K122*M122*12,2)</f>
        <v>-0.23</v>
      </c>
      <c r="P122" s="14"/>
      <c r="Q122" s="210" t="str">
        <f>VLOOKUP(D122,'WO Descriptions'!$A$5:$D$345,4)</f>
        <v>Line Locates - Service Line Replacements Only (Kansas City - Central Region)</v>
      </c>
    </row>
    <row r="123" spans="1:19" outlineLevel="1">
      <c r="A123" s="3" t="s">
        <v>1799</v>
      </c>
      <c r="B123" s="256"/>
      <c r="C123" s="257"/>
      <c r="D123" s="260" t="s">
        <v>1799</v>
      </c>
      <c r="E123" s="256"/>
      <c r="F123" s="257"/>
      <c r="G123" s="256"/>
      <c r="H123" s="257"/>
      <c r="I123" s="257"/>
      <c r="J123" s="257"/>
      <c r="K123" s="258">
        <f>SUBTOTAL(9,K120:K122)</f>
        <v>88.73</v>
      </c>
      <c r="L123" s="252"/>
      <c r="M123" s="259"/>
      <c r="N123" s="258">
        <f>SUBTOTAL(9,N120:N122)</f>
        <v>1.63</v>
      </c>
      <c r="O123" s="258">
        <f>SUBTOTAL(9,O120:O122)</f>
        <v>2.3800000000000003</v>
      </c>
      <c r="P123" s="223"/>
      <c r="Q123" s="210"/>
      <c r="R123" s="263" t="s">
        <v>2097</v>
      </c>
      <c r="S123" s="263" t="s">
        <v>2102</v>
      </c>
    </row>
    <row r="124" spans="1:19" ht="30" outlineLevel="2">
      <c r="A124" s="3" t="s">
        <v>198</v>
      </c>
      <c r="B124" s="211" t="s">
        <v>66</v>
      </c>
      <c r="C124" s="212" t="s">
        <v>197</v>
      </c>
      <c r="D124" s="212" t="s">
        <v>198</v>
      </c>
      <c r="E124" s="211" t="s">
        <v>69</v>
      </c>
      <c r="F124" s="212" t="s">
        <v>199</v>
      </c>
      <c r="G124" s="211" t="s">
        <v>71</v>
      </c>
      <c r="H124" s="212" t="s">
        <v>23</v>
      </c>
      <c r="I124" s="212" t="s">
        <v>1530</v>
      </c>
      <c r="J124" s="212">
        <v>201409</v>
      </c>
      <c r="K124" s="213">
        <v>4610.79</v>
      </c>
      <c r="L124" s="171">
        <f>VLOOKUP(J124,$U$9:$V$23,2)</f>
        <v>9</v>
      </c>
      <c r="M124" s="214">
        <v>2.23333E-3</v>
      </c>
      <c r="N124" s="213">
        <f>ROUND(K124*L124*M124,2)</f>
        <v>92.68</v>
      </c>
      <c r="O124" s="213">
        <f>ROUND(K124*M124*12,2)</f>
        <v>123.57</v>
      </c>
      <c r="P124" s="14"/>
      <c r="Q124" s="210" t="str">
        <f>VLOOKUP(D124,'WO Descriptions'!$A$5:$D$345,4)</f>
        <v>Service/Yard Line Replacement (SLRP): Company Crew.  Immediate response - replacement single unprotected steel or copper  (Monett - South Region)</v>
      </c>
    </row>
    <row r="125" spans="1:19" ht="30" outlineLevel="2">
      <c r="A125" s="3" t="s">
        <v>198</v>
      </c>
      <c r="B125" s="211" t="s">
        <v>66</v>
      </c>
      <c r="C125" s="212" t="s">
        <v>197</v>
      </c>
      <c r="D125" s="212" t="s">
        <v>198</v>
      </c>
      <c r="E125" s="211" t="s">
        <v>69</v>
      </c>
      <c r="F125" s="212" t="s">
        <v>199</v>
      </c>
      <c r="G125" s="211" t="s">
        <v>71</v>
      </c>
      <c r="H125" s="212" t="s">
        <v>23</v>
      </c>
      <c r="I125" s="212" t="s">
        <v>1530</v>
      </c>
      <c r="J125" s="212">
        <v>201411</v>
      </c>
      <c r="K125" s="213">
        <v>-444.19</v>
      </c>
      <c r="L125" s="171">
        <f>VLOOKUP(J125,$U$9:$V$23,2)</f>
        <v>7</v>
      </c>
      <c r="M125" s="214">
        <v>2.23333E-3</v>
      </c>
      <c r="N125" s="213">
        <f>ROUND(K125*L125*M125,2)</f>
        <v>-6.94</v>
      </c>
      <c r="O125" s="213">
        <f>ROUND(K125*M125*12,2)</f>
        <v>-11.9</v>
      </c>
      <c r="P125" s="14"/>
      <c r="Q125" s="210" t="str">
        <f>VLOOKUP(D125,'WO Descriptions'!$A$5:$D$345,4)</f>
        <v>Service/Yard Line Replacement (SLRP): Company Crew.  Immediate response - replacement single unprotected steel or copper  (Monett - South Region)</v>
      </c>
    </row>
    <row r="126" spans="1:19" ht="30" outlineLevel="2">
      <c r="A126" s="3" t="s">
        <v>198</v>
      </c>
      <c r="B126" s="211" t="s">
        <v>66</v>
      </c>
      <c r="C126" s="212" t="s">
        <v>197</v>
      </c>
      <c r="D126" s="212" t="s">
        <v>198</v>
      </c>
      <c r="E126" s="211" t="s">
        <v>69</v>
      </c>
      <c r="F126" s="212" t="s">
        <v>199</v>
      </c>
      <c r="G126" s="211" t="s">
        <v>71</v>
      </c>
      <c r="H126" s="212" t="s">
        <v>23</v>
      </c>
      <c r="I126" s="212" t="s">
        <v>1530</v>
      </c>
      <c r="J126" s="212">
        <v>201412</v>
      </c>
      <c r="K126" s="213">
        <v>28.04</v>
      </c>
      <c r="L126" s="171">
        <f>VLOOKUP(J126,$U$9:$V$23,2)</f>
        <v>6</v>
      </c>
      <c r="M126" s="214">
        <v>2.23333E-3</v>
      </c>
      <c r="N126" s="213">
        <f>ROUND(K126*L126*M126,2)</f>
        <v>0.38</v>
      </c>
      <c r="O126" s="213">
        <f>ROUND(K126*M126*12,2)</f>
        <v>0.75</v>
      </c>
      <c r="P126" s="14"/>
      <c r="Q126" s="210" t="str">
        <f>VLOOKUP(D126,'WO Descriptions'!$A$5:$D$345,4)</f>
        <v>Service/Yard Line Replacement (SLRP): Company Crew.  Immediate response - replacement single unprotected steel or copper  (Monett - South Region)</v>
      </c>
    </row>
    <row r="127" spans="1:19" outlineLevel="1">
      <c r="A127" s="3" t="s">
        <v>1800</v>
      </c>
      <c r="B127" s="256"/>
      <c r="C127" s="257"/>
      <c r="D127" s="260" t="s">
        <v>1800</v>
      </c>
      <c r="E127" s="256"/>
      <c r="F127" s="257"/>
      <c r="G127" s="256"/>
      <c r="H127" s="257"/>
      <c r="I127" s="257"/>
      <c r="J127" s="257"/>
      <c r="K127" s="258">
        <f>SUBTOTAL(9,K124:K126)</f>
        <v>4194.6400000000003</v>
      </c>
      <c r="L127" s="252"/>
      <c r="M127" s="259"/>
      <c r="N127" s="258">
        <f>SUBTOTAL(9,N124:N126)</f>
        <v>86.12</v>
      </c>
      <c r="O127" s="258">
        <f>SUBTOTAL(9,O124:O126)</f>
        <v>112.41999999999999</v>
      </c>
      <c r="P127" s="223"/>
      <c r="Q127" s="210"/>
      <c r="R127" s="263" t="s">
        <v>2097</v>
      </c>
      <c r="S127" s="263" t="s">
        <v>2102</v>
      </c>
    </row>
    <row r="128" spans="1:19" ht="30" outlineLevel="2">
      <c r="A128" s="3" t="s">
        <v>1592</v>
      </c>
      <c r="B128" s="211" t="s">
        <v>1584</v>
      </c>
      <c r="C128" s="212" t="s">
        <v>1591</v>
      </c>
      <c r="D128" s="212" t="s">
        <v>1592</v>
      </c>
      <c r="E128" s="211" t="s">
        <v>1593</v>
      </c>
      <c r="F128" s="212" t="s">
        <v>1594</v>
      </c>
      <c r="G128" s="211" t="s">
        <v>1590</v>
      </c>
      <c r="H128" s="212" t="s">
        <v>23</v>
      </c>
      <c r="I128" s="212" t="s">
        <v>1530</v>
      </c>
      <c r="J128" s="212">
        <v>201409</v>
      </c>
      <c r="K128" s="213">
        <v>1343.76</v>
      </c>
      <c r="L128" s="171">
        <f>VLOOKUP(J128,$U$9:$V$23,2)</f>
        <v>9</v>
      </c>
      <c r="M128" s="214">
        <v>2.0333333000000001E-3</v>
      </c>
      <c r="N128" s="213">
        <f>ROUND(K128*L128*M128,2)</f>
        <v>24.59</v>
      </c>
      <c r="O128" s="213">
        <f>ROUND(K128*M128*12,2)</f>
        <v>32.79</v>
      </c>
      <c r="P128" s="14"/>
      <c r="Q128" s="210" t="str">
        <f>VLOOKUP(D128,'WO Descriptions'!$A$5:$D$345,4)</f>
        <v>Service/Yard Line Replacement (SLRP): Company Crew.  Immediate response - replacement single unprotected steel or copper  (Monett - South Region)</v>
      </c>
    </row>
    <row r="129" spans="1:19" ht="30" outlineLevel="2">
      <c r="A129" s="3" t="s">
        <v>1592</v>
      </c>
      <c r="B129" s="211" t="s">
        <v>1584</v>
      </c>
      <c r="C129" s="212" t="s">
        <v>1591</v>
      </c>
      <c r="D129" s="212" t="s">
        <v>1592</v>
      </c>
      <c r="E129" s="211" t="s">
        <v>1593</v>
      </c>
      <c r="F129" s="212" t="s">
        <v>1594</v>
      </c>
      <c r="G129" s="211" t="s">
        <v>1590</v>
      </c>
      <c r="H129" s="212" t="s">
        <v>23</v>
      </c>
      <c r="I129" s="212" t="s">
        <v>1530</v>
      </c>
      <c r="J129" s="212">
        <v>201410</v>
      </c>
      <c r="K129" s="213">
        <v>2397.15</v>
      </c>
      <c r="L129" s="171">
        <f>VLOOKUP(J129,$U$9:$V$23,2)</f>
        <v>8</v>
      </c>
      <c r="M129" s="214">
        <v>2.0333333000000001E-3</v>
      </c>
      <c r="N129" s="213">
        <f>ROUND(K129*L129*M129,2)</f>
        <v>38.99</v>
      </c>
      <c r="O129" s="213">
        <f>ROUND(K129*M129*12,2)</f>
        <v>58.49</v>
      </c>
      <c r="P129" s="14"/>
      <c r="Q129" s="210" t="str">
        <f>VLOOKUP(D129,'WO Descriptions'!$A$5:$D$345,4)</f>
        <v>Service/Yard Line Replacement (SLRP): Company Crew.  Immediate response - replacement single unprotected steel or copper  (Monett - South Region)</v>
      </c>
    </row>
    <row r="130" spans="1:19" ht="30" outlineLevel="2">
      <c r="A130" s="3" t="s">
        <v>1592</v>
      </c>
      <c r="B130" s="211" t="s">
        <v>1584</v>
      </c>
      <c r="C130" s="212" t="s">
        <v>1591</v>
      </c>
      <c r="D130" s="212" t="s">
        <v>1592</v>
      </c>
      <c r="E130" s="211" t="s">
        <v>1593</v>
      </c>
      <c r="F130" s="212" t="s">
        <v>1594</v>
      </c>
      <c r="G130" s="211" t="s">
        <v>1590</v>
      </c>
      <c r="H130" s="212" t="s">
        <v>23</v>
      </c>
      <c r="I130" s="212" t="s">
        <v>1530</v>
      </c>
      <c r="J130" s="212">
        <v>201411</v>
      </c>
      <c r="K130" s="213">
        <v>-65.48</v>
      </c>
      <c r="L130" s="171">
        <f>VLOOKUP(J130,$U$9:$V$23,2)</f>
        <v>7</v>
      </c>
      <c r="M130" s="214">
        <v>2.0333333000000001E-3</v>
      </c>
      <c r="N130" s="213">
        <f>ROUND(K130*L130*M130,2)</f>
        <v>-0.93</v>
      </c>
      <c r="O130" s="213">
        <f>ROUND(K130*M130*12,2)</f>
        <v>-1.6</v>
      </c>
      <c r="P130" s="14"/>
      <c r="Q130" s="210" t="str">
        <f>VLOOKUP(D130,'WO Descriptions'!$A$5:$D$345,4)</f>
        <v>Service/Yard Line Replacement (SLRP): Company Crew.  Immediate response - replacement single unprotected steel or copper  (Monett - South Region)</v>
      </c>
    </row>
    <row r="131" spans="1:19" ht="30" outlineLevel="2">
      <c r="A131" s="3" t="s">
        <v>1592</v>
      </c>
      <c r="B131" s="211" t="s">
        <v>1584</v>
      </c>
      <c r="C131" s="212" t="s">
        <v>1591</v>
      </c>
      <c r="D131" s="212" t="s">
        <v>1592</v>
      </c>
      <c r="E131" s="211" t="s">
        <v>1593</v>
      </c>
      <c r="F131" s="212" t="s">
        <v>1594</v>
      </c>
      <c r="G131" s="211" t="s">
        <v>1590</v>
      </c>
      <c r="H131" s="212" t="s">
        <v>23</v>
      </c>
      <c r="I131" s="212" t="s">
        <v>1530</v>
      </c>
      <c r="J131" s="212">
        <v>201412</v>
      </c>
      <c r="K131" s="213">
        <v>-207.19</v>
      </c>
      <c r="L131" s="171">
        <f>VLOOKUP(J131,$U$9:$V$23,2)</f>
        <v>6</v>
      </c>
      <c r="M131" s="214">
        <v>2.0333333000000001E-3</v>
      </c>
      <c r="N131" s="213">
        <f>ROUND(K131*L131*M131,2)</f>
        <v>-2.5299999999999998</v>
      </c>
      <c r="O131" s="213">
        <f>ROUND(K131*M131*12,2)</f>
        <v>-5.0599999999999996</v>
      </c>
      <c r="P131" s="14"/>
      <c r="Q131" s="210" t="str">
        <f>VLOOKUP(D131,'WO Descriptions'!$A$5:$D$345,4)</f>
        <v>Service/Yard Line Replacement (SLRP): Company Crew.  Immediate response - replacement single unprotected steel or copper  (Monett - South Region)</v>
      </c>
    </row>
    <row r="132" spans="1:19" outlineLevel="1">
      <c r="A132" s="3" t="s">
        <v>1801</v>
      </c>
      <c r="B132" s="256"/>
      <c r="C132" s="257"/>
      <c r="D132" s="260" t="s">
        <v>1801</v>
      </c>
      <c r="E132" s="256"/>
      <c r="F132" s="257"/>
      <c r="G132" s="256"/>
      <c r="H132" s="257"/>
      <c r="I132" s="257"/>
      <c r="J132" s="257"/>
      <c r="K132" s="258">
        <f>SUBTOTAL(9,K128:K131)</f>
        <v>3468.24</v>
      </c>
      <c r="L132" s="252"/>
      <c r="M132" s="259"/>
      <c r="N132" s="258">
        <f>SUBTOTAL(9,N128:N131)</f>
        <v>60.12</v>
      </c>
      <c r="O132" s="258">
        <f>SUBTOTAL(9,O128:O131)</f>
        <v>84.62</v>
      </c>
      <c r="P132" s="223"/>
      <c r="Q132" s="210"/>
      <c r="R132" s="263" t="s">
        <v>2097</v>
      </c>
      <c r="S132" s="263" t="s">
        <v>2102</v>
      </c>
    </row>
    <row r="133" spans="1:19" ht="30" outlineLevel="2">
      <c r="A133" s="3" t="s">
        <v>1596</v>
      </c>
      <c r="B133" s="211" t="s">
        <v>1584</v>
      </c>
      <c r="C133" s="212" t="s">
        <v>1595</v>
      </c>
      <c r="D133" s="212" t="s">
        <v>1596</v>
      </c>
      <c r="E133" s="211" t="s">
        <v>1593</v>
      </c>
      <c r="F133" s="212" t="s">
        <v>1597</v>
      </c>
      <c r="G133" s="211" t="s">
        <v>1590</v>
      </c>
      <c r="H133" s="212" t="s">
        <v>23</v>
      </c>
      <c r="I133" s="212" t="s">
        <v>1530</v>
      </c>
      <c r="J133" s="212">
        <v>201409</v>
      </c>
      <c r="K133" s="213">
        <v>34137.56</v>
      </c>
      <c r="L133" s="171">
        <f>VLOOKUP(J133,$U$9:$V$23,2)</f>
        <v>9</v>
      </c>
      <c r="M133" s="214">
        <v>2.0333333000000001E-3</v>
      </c>
      <c r="N133" s="213">
        <f>ROUND(K133*L133*M133,2)</f>
        <v>624.72</v>
      </c>
      <c r="O133" s="213">
        <f>ROUND(K133*M133*12,2)</f>
        <v>832.96</v>
      </c>
      <c r="P133" s="14"/>
      <c r="Q133" s="210" t="str">
        <f>VLOOKUP(D133,'WO Descriptions'!$A$5:$D$345,4)</f>
        <v>Service/Yard Line Replacement (SLRP): Company Crew.  Immediate response - replacement single unprotected steel or copper  (Monett - South Region)</v>
      </c>
    </row>
    <row r="134" spans="1:19" ht="30" outlineLevel="2">
      <c r="A134" s="3" t="s">
        <v>1596</v>
      </c>
      <c r="B134" s="211" t="s">
        <v>1584</v>
      </c>
      <c r="C134" s="212" t="s">
        <v>1595</v>
      </c>
      <c r="D134" s="212" t="s">
        <v>1596</v>
      </c>
      <c r="E134" s="211" t="s">
        <v>1593</v>
      </c>
      <c r="F134" s="212" t="s">
        <v>1597</v>
      </c>
      <c r="G134" s="211" t="s">
        <v>1590</v>
      </c>
      <c r="H134" s="212" t="s">
        <v>23</v>
      </c>
      <c r="I134" s="212" t="s">
        <v>1530</v>
      </c>
      <c r="J134" s="212">
        <v>201410</v>
      </c>
      <c r="K134" s="213">
        <v>26051.41</v>
      </c>
      <c r="L134" s="171">
        <f>VLOOKUP(J134,$U$9:$V$23,2)</f>
        <v>8</v>
      </c>
      <c r="M134" s="214">
        <v>2.0333333000000001E-3</v>
      </c>
      <c r="N134" s="213">
        <f>ROUND(K134*L134*M134,2)</f>
        <v>423.77</v>
      </c>
      <c r="O134" s="213">
        <f>ROUND(K134*M134*12,2)</f>
        <v>635.65</v>
      </c>
      <c r="P134" s="14"/>
      <c r="Q134" s="210" t="str">
        <f>VLOOKUP(D134,'WO Descriptions'!$A$5:$D$345,4)</f>
        <v>Service/Yard Line Replacement (SLRP): Company Crew.  Immediate response - replacement single unprotected steel or copper  (Monett - South Region)</v>
      </c>
    </row>
    <row r="135" spans="1:19" ht="30" outlineLevel="2">
      <c r="A135" s="3" t="s">
        <v>1596</v>
      </c>
      <c r="B135" s="211" t="s">
        <v>1584</v>
      </c>
      <c r="C135" s="212" t="s">
        <v>1595</v>
      </c>
      <c r="D135" s="212" t="s">
        <v>1596</v>
      </c>
      <c r="E135" s="211" t="s">
        <v>1593</v>
      </c>
      <c r="F135" s="212" t="s">
        <v>1597</v>
      </c>
      <c r="G135" s="211" t="s">
        <v>1590</v>
      </c>
      <c r="H135" s="212" t="s">
        <v>23</v>
      </c>
      <c r="I135" s="212" t="s">
        <v>1530</v>
      </c>
      <c r="J135" s="212">
        <v>201411</v>
      </c>
      <c r="K135" s="213">
        <v>12942.18</v>
      </c>
      <c r="L135" s="171">
        <f>VLOOKUP(J135,$U$9:$V$23,2)</f>
        <v>7</v>
      </c>
      <c r="M135" s="214">
        <v>2.0333333000000001E-3</v>
      </c>
      <c r="N135" s="213">
        <f>ROUND(K135*L135*M135,2)</f>
        <v>184.21</v>
      </c>
      <c r="O135" s="213">
        <f>ROUND(K135*M135*12,2)</f>
        <v>315.79000000000002</v>
      </c>
      <c r="P135" s="14"/>
      <c r="Q135" s="210" t="str">
        <f>VLOOKUP(D135,'WO Descriptions'!$A$5:$D$345,4)</f>
        <v>Service/Yard Line Replacement (SLRP): Company Crew.  Immediate response - replacement single unprotected steel or copper  (Monett - South Region)</v>
      </c>
    </row>
    <row r="136" spans="1:19" ht="30" outlineLevel="2">
      <c r="A136" s="3" t="s">
        <v>1596</v>
      </c>
      <c r="B136" s="211" t="s">
        <v>1584</v>
      </c>
      <c r="C136" s="212" t="s">
        <v>1595</v>
      </c>
      <c r="D136" s="212" t="s">
        <v>1596</v>
      </c>
      <c r="E136" s="211" t="s">
        <v>1593</v>
      </c>
      <c r="F136" s="212" t="s">
        <v>1597</v>
      </c>
      <c r="G136" s="211" t="s">
        <v>1590</v>
      </c>
      <c r="H136" s="212" t="s">
        <v>23</v>
      </c>
      <c r="I136" s="212" t="s">
        <v>1530</v>
      </c>
      <c r="J136" s="212">
        <v>201412</v>
      </c>
      <c r="K136" s="213">
        <v>24376.35</v>
      </c>
      <c r="L136" s="171">
        <f>VLOOKUP(J136,$U$9:$V$23,2)</f>
        <v>6</v>
      </c>
      <c r="M136" s="214">
        <v>2.0333333000000001E-3</v>
      </c>
      <c r="N136" s="213">
        <f>ROUND(K136*L136*M136,2)</f>
        <v>297.39</v>
      </c>
      <c r="O136" s="213">
        <f>ROUND(K136*M136*12,2)</f>
        <v>594.78</v>
      </c>
      <c r="P136" s="14"/>
      <c r="Q136" s="210" t="str">
        <f>VLOOKUP(D136,'WO Descriptions'!$A$5:$D$345,4)</f>
        <v>Service/Yard Line Replacement (SLRP): Company Crew.  Immediate response - replacement single unprotected steel or copper  (Monett - South Region)</v>
      </c>
    </row>
    <row r="137" spans="1:19" outlineLevel="1">
      <c r="A137" s="3" t="s">
        <v>1802</v>
      </c>
      <c r="B137" s="256"/>
      <c r="C137" s="257"/>
      <c r="D137" s="260" t="s">
        <v>1802</v>
      </c>
      <c r="E137" s="256"/>
      <c r="F137" s="257"/>
      <c r="G137" s="256"/>
      <c r="H137" s="257"/>
      <c r="I137" s="257"/>
      <c r="J137" s="257"/>
      <c r="K137" s="258">
        <f>SUBTOTAL(9,K133:K136)</f>
        <v>97507.5</v>
      </c>
      <c r="L137" s="252"/>
      <c r="M137" s="259"/>
      <c r="N137" s="258">
        <f>SUBTOTAL(9,N133:N136)</f>
        <v>1530.0900000000001</v>
      </c>
      <c r="O137" s="258">
        <f>SUBTOTAL(9,O133:O136)</f>
        <v>2379.1800000000003</v>
      </c>
      <c r="P137" s="223"/>
      <c r="Q137" s="210"/>
      <c r="R137" s="263" t="s">
        <v>2097</v>
      </c>
      <c r="S137" s="263" t="s">
        <v>2102</v>
      </c>
    </row>
    <row r="138" spans="1:19" ht="30" outlineLevel="2">
      <c r="A138" s="3" t="s">
        <v>201</v>
      </c>
      <c r="B138" s="211" t="s">
        <v>66</v>
      </c>
      <c r="C138" s="212" t="s">
        <v>200</v>
      </c>
      <c r="D138" s="212" t="s">
        <v>201</v>
      </c>
      <c r="E138" s="211" t="s">
        <v>202</v>
      </c>
      <c r="F138" s="212" t="s">
        <v>203</v>
      </c>
      <c r="G138" s="211" t="s">
        <v>80</v>
      </c>
      <c r="H138" s="212" t="s">
        <v>23</v>
      </c>
      <c r="I138" s="212" t="s">
        <v>1530</v>
      </c>
      <c r="J138" s="212">
        <v>201409</v>
      </c>
      <c r="K138" s="213">
        <v>103697.26</v>
      </c>
      <c r="L138" s="171">
        <f>VLOOKUP(J138,$U$9:$V$23,2)</f>
        <v>9</v>
      </c>
      <c r="M138" s="214">
        <v>2.23333E-3</v>
      </c>
      <c r="N138" s="213">
        <f>ROUND(K138*L138*M138,2)</f>
        <v>2084.31</v>
      </c>
      <c r="O138" s="213">
        <f>ROUND(K138*M138*12,2)</f>
        <v>2779.08</v>
      </c>
      <c r="P138" s="14"/>
      <c r="Q138" s="210" t="str">
        <f>VLOOKUP(D138,'WO Descriptions'!$A$5:$D$345,4)</f>
        <v>Service/Yard Line Replacement (SLRP): Company Crew.  Modified Block by Block - Planned replacement of all unprotected steel or copper in a single block.  (Kansas City - Central Region)</v>
      </c>
    </row>
    <row r="139" spans="1:19" ht="30" outlineLevel="2">
      <c r="A139" s="3" t="s">
        <v>201</v>
      </c>
      <c r="B139" s="211" t="s">
        <v>66</v>
      </c>
      <c r="C139" s="212" t="s">
        <v>200</v>
      </c>
      <c r="D139" s="212" t="s">
        <v>201</v>
      </c>
      <c r="E139" s="211" t="s">
        <v>202</v>
      </c>
      <c r="F139" s="212" t="s">
        <v>203</v>
      </c>
      <c r="G139" s="211" t="s">
        <v>80</v>
      </c>
      <c r="H139" s="212" t="s">
        <v>23</v>
      </c>
      <c r="I139" s="212" t="s">
        <v>1530</v>
      </c>
      <c r="J139" s="212">
        <v>201410</v>
      </c>
      <c r="K139" s="213">
        <v>64057.599999999999</v>
      </c>
      <c r="L139" s="171">
        <f>VLOOKUP(J139,$U$9:$V$23,2)</f>
        <v>8</v>
      </c>
      <c r="M139" s="214">
        <v>2.23333E-3</v>
      </c>
      <c r="N139" s="213">
        <f>ROUND(K139*L139*M139,2)</f>
        <v>1144.49</v>
      </c>
      <c r="O139" s="213">
        <f>ROUND(K139*M139*12,2)</f>
        <v>1716.74</v>
      </c>
      <c r="P139" s="14"/>
      <c r="Q139" s="210" t="str">
        <f>VLOOKUP(D139,'WO Descriptions'!$A$5:$D$345,4)</f>
        <v>Service/Yard Line Replacement (SLRP): Company Crew.  Modified Block by Block - Planned replacement of all unprotected steel or copper in a single block.  (Kansas City - Central Region)</v>
      </c>
    </row>
    <row r="140" spans="1:19" ht="30" outlineLevel="2">
      <c r="A140" s="3" t="s">
        <v>201</v>
      </c>
      <c r="B140" s="211" t="s">
        <v>66</v>
      </c>
      <c r="C140" s="212" t="s">
        <v>200</v>
      </c>
      <c r="D140" s="212" t="s">
        <v>201</v>
      </c>
      <c r="E140" s="211" t="s">
        <v>202</v>
      </c>
      <c r="F140" s="212" t="s">
        <v>203</v>
      </c>
      <c r="G140" s="211" t="s">
        <v>80</v>
      </c>
      <c r="H140" s="212" t="s">
        <v>23</v>
      </c>
      <c r="I140" s="212" t="s">
        <v>1530</v>
      </c>
      <c r="J140" s="212">
        <v>201411</v>
      </c>
      <c r="K140" s="213">
        <v>8450.75</v>
      </c>
      <c r="L140" s="171">
        <f>VLOOKUP(J140,$U$9:$V$23,2)</f>
        <v>7</v>
      </c>
      <c r="M140" s="214">
        <v>2.23333E-3</v>
      </c>
      <c r="N140" s="213">
        <f>ROUND(K140*L140*M140,2)</f>
        <v>132.11000000000001</v>
      </c>
      <c r="O140" s="213">
        <f>ROUND(K140*M140*12,2)</f>
        <v>226.48</v>
      </c>
      <c r="P140" s="14"/>
      <c r="Q140" s="210" t="str">
        <f>VLOOKUP(D140,'WO Descriptions'!$A$5:$D$345,4)</f>
        <v>Service/Yard Line Replacement (SLRP): Company Crew.  Modified Block by Block - Planned replacement of all unprotected steel or copper in a single block.  (Kansas City - Central Region)</v>
      </c>
    </row>
    <row r="141" spans="1:19" ht="30" outlineLevel="2">
      <c r="A141" s="3" t="s">
        <v>201</v>
      </c>
      <c r="B141" s="211" t="s">
        <v>66</v>
      </c>
      <c r="C141" s="212" t="s">
        <v>200</v>
      </c>
      <c r="D141" s="212" t="s">
        <v>201</v>
      </c>
      <c r="E141" s="211" t="s">
        <v>202</v>
      </c>
      <c r="F141" s="212" t="s">
        <v>203</v>
      </c>
      <c r="G141" s="211" t="s">
        <v>80</v>
      </c>
      <c r="H141" s="212" t="s">
        <v>23</v>
      </c>
      <c r="I141" s="212" t="s">
        <v>1530</v>
      </c>
      <c r="J141" s="212">
        <v>201412</v>
      </c>
      <c r="K141" s="213">
        <v>23427.599999999999</v>
      </c>
      <c r="L141" s="171">
        <f>VLOOKUP(J141,$U$9:$V$23,2)</f>
        <v>6</v>
      </c>
      <c r="M141" s="214">
        <v>2.23333E-3</v>
      </c>
      <c r="N141" s="213">
        <f>ROUND(K141*L141*M141,2)</f>
        <v>313.93</v>
      </c>
      <c r="O141" s="213">
        <f>ROUND(K141*M141*12,2)</f>
        <v>627.86</v>
      </c>
      <c r="P141" s="14"/>
      <c r="Q141" s="210" t="str">
        <f>VLOOKUP(D141,'WO Descriptions'!$A$5:$D$345,4)</f>
        <v>Service/Yard Line Replacement (SLRP): Company Crew.  Modified Block by Block - Planned replacement of all unprotected steel or copper in a single block.  (Kansas City - Central Region)</v>
      </c>
    </row>
    <row r="142" spans="1:19" outlineLevel="1">
      <c r="A142" s="3" t="s">
        <v>1803</v>
      </c>
      <c r="B142" s="256"/>
      <c r="C142" s="257"/>
      <c r="D142" s="260" t="s">
        <v>1803</v>
      </c>
      <c r="E142" s="256"/>
      <c r="F142" s="257"/>
      <c r="G142" s="256"/>
      <c r="H142" s="257"/>
      <c r="I142" s="257"/>
      <c r="J142" s="257"/>
      <c r="K142" s="258">
        <f>SUBTOTAL(9,K138:K141)</f>
        <v>199633.21</v>
      </c>
      <c r="L142" s="252"/>
      <c r="M142" s="259"/>
      <c r="N142" s="258">
        <f>SUBTOTAL(9,N138:N141)</f>
        <v>3674.84</v>
      </c>
      <c r="O142" s="258">
        <f>SUBTOTAL(9,O138:O141)</f>
        <v>5350.1599999999989</v>
      </c>
      <c r="P142" s="223"/>
      <c r="Q142" s="210"/>
      <c r="R142" s="263" t="s">
        <v>2097</v>
      </c>
      <c r="S142" s="263" t="s">
        <v>2102</v>
      </c>
    </row>
    <row r="143" spans="1:19" ht="30" outlineLevel="2">
      <c r="A143" s="3" t="s">
        <v>205</v>
      </c>
      <c r="B143" s="211" t="s">
        <v>66</v>
      </c>
      <c r="C143" s="212" t="s">
        <v>204</v>
      </c>
      <c r="D143" s="212" t="s">
        <v>205</v>
      </c>
      <c r="E143" s="211" t="s">
        <v>206</v>
      </c>
      <c r="F143" s="212" t="s">
        <v>207</v>
      </c>
      <c r="G143" s="211" t="s">
        <v>97</v>
      </c>
      <c r="H143" s="212" t="s">
        <v>23</v>
      </c>
      <c r="I143" s="212" t="s">
        <v>1530</v>
      </c>
      <c r="J143" s="212">
        <v>201409</v>
      </c>
      <c r="K143" s="213">
        <v>-46.62</v>
      </c>
      <c r="L143" s="171">
        <f>VLOOKUP(J143,$U$9:$V$23,2)</f>
        <v>9</v>
      </c>
      <c r="M143" s="214">
        <v>2.23333E-3</v>
      </c>
      <c r="N143" s="213">
        <f>ROUND(K143*L143*M143,2)</f>
        <v>-0.94</v>
      </c>
      <c r="O143" s="213">
        <f>ROUND(K143*M143*12,2)</f>
        <v>-1.25</v>
      </c>
      <c r="P143" s="14"/>
      <c r="Q143" s="210" t="str">
        <f>VLOOKUP(D143,'WO Descriptions'!$A$5:$D$345,4)</f>
        <v>Service/Yard Line Replacement (SLRP): Company Crew.  Service/yard line replacement - Material Charges Only  (Kansas City - Monett - South Region)</v>
      </c>
    </row>
    <row r="144" spans="1:19" outlineLevel="1">
      <c r="A144" s="3" t="s">
        <v>1804</v>
      </c>
      <c r="B144" s="256"/>
      <c r="C144" s="257"/>
      <c r="D144" s="260" t="s">
        <v>1804</v>
      </c>
      <c r="E144" s="256"/>
      <c r="F144" s="257"/>
      <c r="G144" s="256"/>
      <c r="H144" s="257"/>
      <c r="I144" s="257"/>
      <c r="J144" s="257"/>
      <c r="K144" s="258">
        <f>SUBTOTAL(9,K143:K143)</f>
        <v>-46.62</v>
      </c>
      <c r="L144" s="252"/>
      <c r="M144" s="259"/>
      <c r="N144" s="258">
        <f>SUBTOTAL(9,N143:N143)</f>
        <v>-0.94</v>
      </c>
      <c r="O144" s="258">
        <f>SUBTOTAL(9,O143:O143)</f>
        <v>-1.25</v>
      </c>
      <c r="P144" s="223"/>
      <c r="Q144" s="210"/>
      <c r="R144" s="263" t="s">
        <v>2097</v>
      </c>
      <c r="S144" s="263" t="s">
        <v>2102</v>
      </c>
    </row>
    <row r="145" spans="1:19" ht="30" outlineLevel="2">
      <c r="A145" s="3" t="s">
        <v>209</v>
      </c>
      <c r="B145" s="211" t="s">
        <v>66</v>
      </c>
      <c r="C145" s="212" t="s">
        <v>208</v>
      </c>
      <c r="D145" s="212" t="s">
        <v>209</v>
      </c>
      <c r="E145" s="211" t="s">
        <v>210</v>
      </c>
      <c r="F145" s="212" t="s">
        <v>211</v>
      </c>
      <c r="G145" s="211" t="s">
        <v>212</v>
      </c>
      <c r="H145" s="212" t="s">
        <v>23</v>
      </c>
      <c r="I145" s="212" t="s">
        <v>1530</v>
      </c>
      <c r="J145" s="212">
        <v>201409</v>
      </c>
      <c r="K145" s="213">
        <v>-620.16</v>
      </c>
      <c r="L145" s="171">
        <f>VLOOKUP(J145,$U$9:$V$23,2)</f>
        <v>9</v>
      </c>
      <c r="M145" s="214">
        <v>2.23333E-3</v>
      </c>
      <c r="N145" s="213">
        <f>ROUND(K145*L145*M145,2)</f>
        <v>-12.47</v>
      </c>
      <c r="O145" s="213">
        <f>ROUND(K145*M145*12,2)</f>
        <v>-16.62</v>
      </c>
      <c r="P145" s="14"/>
      <c r="Q145" s="210" t="str">
        <f>VLOOKUP(D145,'WO Descriptions'!$A$5:$D$345,4)</f>
        <v>Service/Yard Line Replacement (SLRP): Contract Crew.  Immediate response - replacement single unprotected steel or copper  (Joplin - South Region)</v>
      </c>
    </row>
    <row r="146" spans="1:19" outlineLevel="1">
      <c r="A146" s="3" t="s">
        <v>1805</v>
      </c>
      <c r="B146" s="256"/>
      <c r="C146" s="257"/>
      <c r="D146" s="260" t="s">
        <v>1805</v>
      </c>
      <c r="E146" s="256"/>
      <c r="F146" s="257"/>
      <c r="G146" s="256"/>
      <c r="H146" s="257"/>
      <c r="I146" s="257"/>
      <c r="J146" s="257"/>
      <c r="K146" s="258">
        <f>SUBTOTAL(9,K145:K145)</f>
        <v>-620.16</v>
      </c>
      <c r="L146" s="252"/>
      <c r="M146" s="259"/>
      <c r="N146" s="258">
        <f>SUBTOTAL(9,N145:N145)</f>
        <v>-12.47</v>
      </c>
      <c r="O146" s="258">
        <f>SUBTOTAL(9,O145:O145)</f>
        <v>-16.62</v>
      </c>
      <c r="P146" s="223"/>
      <c r="Q146" s="210"/>
      <c r="R146" s="263" t="s">
        <v>2097</v>
      </c>
      <c r="S146" s="263" t="s">
        <v>2102</v>
      </c>
    </row>
    <row r="147" spans="1:19" ht="45" outlineLevel="2">
      <c r="A147" s="3" t="s">
        <v>214</v>
      </c>
      <c r="B147" s="18" t="s">
        <v>17</v>
      </c>
      <c r="C147" s="15" t="s">
        <v>213</v>
      </c>
      <c r="D147" s="15" t="s">
        <v>214</v>
      </c>
      <c r="E147" s="14" t="s">
        <v>215</v>
      </c>
      <c r="F147" s="15" t="s">
        <v>216</v>
      </c>
      <c r="G147" s="14" t="s">
        <v>22</v>
      </c>
      <c r="H147" s="15" t="s">
        <v>23</v>
      </c>
      <c r="I147" s="15" t="s">
        <v>1525</v>
      </c>
      <c r="J147" s="15">
        <v>201409</v>
      </c>
      <c r="K147" s="16">
        <v>-587.16999999999996</v>
      </c>
      <c r="L147" s="171">
        <f>VLOOKUP(J147,$U$9:$V$23,2)</f>
        <v>9</v>
      </c>
      <c r="M147" s="17">
        <v>1.4833299999999999E-3</v>
      </c>
      <c r="N147" s="16">
        <f>ROUND(K147*L147*M147,2)</f>
        <v>-7.84</v>
      </c>
      <c r="O147" s="16">
        <f>ROUND(K147*M147*12,2)</f>
        <v>-10.45</v>
      </c>
      <c r="P147" s="14"/>
      <c r="Q147" s="210" t="str">
        <f>VLOOKUP(D147,'WO Descriptions'!$A$5:$D$345,4)</f>
        <v>Approved by: Steve Holcomb on 06/06/2013,  Replace 3308' - 3in PBS (WO#: A7180) with 3310' - 4in PE pipe due to history of leakage. Project Location: Murphy Blvd and Main St; Pressure System: C-1; MOP: 58 psig; MAOP: 58 psig; Design: 58 psig; Test: 100 psig; ISRS $29.97/ft</v>
      </c>
    </row>
    <row r="148" spans="1:19" outlineLevel="1">
      <c r="A148" s="3" t="s">
        <v>1806</v>
      </c>
      <c r="B148" s="225"/>
      <c r="C148" s="250"/>
      <c r="D148" s="254" t="s">
        <v>1806</v>
      </c>
      <c r="E148" s="223"/>
      <c r="F148" s="250"/>
      <c r="G148" s="223"/>
      <c r="H148" s="250"/>
      <c r="I148" s="250"/>
      <c r="J148" s="250"/>
      <c r="K148" s="251">
        <f>SUBTOTAL(9,K147:K147)</f>
        <v>-587.16999999999996</v>
      </c>
      <c r="L148" s="252"/>
      <c r="M148" s="253"/>
      <c r="N148" s="251">
        <f>SUBTOTAL(9,N147:N147)</f>
        <v>-7.84</v>
      </c>
      <c r="O148" s="251">
        <f>SUBTOTAL(9,O147:O147)</f>
        <v>-10.45</v>
      </c>
      <c r="P148" s="223"/>
      <c r="Q148" s="210"/>
      <c r="R148" s="263" t="s">
        <v>2097</v>
      </c>
      <c r="S148" s="263" t="s">
        <v>2098</v>
      </c>
    </row>
    <row r="149" spans="1:19" outlineLevel="2">
      <c r="A149" s="3" t="s">
        <v>219</v>
      </c>
      <c r="B149" s="18" t="s">
        <v>217</v>
      </c>
      <c r="C149" s="15" t="s">
        <v>218</v>
      </c>
      <c r="D149" s="15" t="s">
        <v>219</v>
      </c>
      <c r="E149" s="14" t="s">
        <v>220</v>
      </c>
      <c r="F149" s="15" t="s">
        <v>221</v>
      </c>
      <c r="G149" s="14" t="s">
        <v>222</v>
      </c>
      <c r="H149" s="15" t="s">
        <v>23</v>
      </c>
      <c r="I149" s="15" t="s">
        <v>1524</v>
      </c>
      <c r="J149" s="15">
        <v>201409</v>
      </c>
      <c r="K149" s="16">
        <v>120417.26</v>
      </c>
      <c r="L149" s="171">
        <f>VLOOKUP(J149,$U$9:$V$23,2)</f>
        <v>9</v>
      </c>
      <c r="M149" s="17">
        <v>1.4833299999999999E-3</v>
      </c>
      <c r="N149" s="16">
        <f>ROUND(K149*L149*M149,2)</f>
        <v>1607.57</v>
      </c>
      <c r="O149" s="16">
        <f>ROUND(K149*M149*12,2)</f>
        <v>2143.42</v>
      </c>
      <c r="P149" s="14"/>
      <c r="Q149" s="210" t="str">
        <f>VLOOKUP(D149,'WO Descriptions'!$A$5:$D$345,4)</f>
        <v>Project Type:B</v>
      </c>
    </row>
    <row r="150" spans="1:19" outlineLevel="2">
      <c r="A150" s="3" t="s">
        <v>219</v>
      </c>
      <c r="B150" s="18" t="s">
        <v>217</v>
      </c>
      <c r="C150" s="15" t="s">
        <v>218</v>
      </c>
      <c r="D150" s="15" t="s">
        <v>219</v>
      </c>
      <c r="E150" s="14" t="s">
        <v>220</v>
      </c>
      <c r="F150" s="15" t="s">
        <v>221</v>
      </c>
      <c r="G150" s="14" t="s">
        <v>222</v>
      </c>
      <c r="H150" s="15" t="s">
        <v>23</v>
      </c>
      <c r="I150" s="15" t="s">
        <v>1524</v>
      </c>
      <c r="J150" s="15">
        <v>201410</v>
      </c>
      <c r="K150" s="16">
        <v>70665.899999999994</v>
      </c>
      <c r="L150" s="171">
        <f>VLOOKUP(J150,$U$9:$V$23,2)</f>
        <v>8</v>
      </c>
      <c r="M150" s="17">
        <v>1.4833299999999999E-3</v>
      </c>
      <c r="N150" s="16">
        <f>ROUND(K150*L150*M150,2)</f>
        <v>838.57</v>
      </c>
      <c r="O150" s="16">
        <f>ROUND(K150*M150*12,2)</f>
        <v>1257.8499999999999</v>
      </c>
      <c r="P150" s="14"/>
      <c r="Q150" s="210" t="str">
        <f>VLOOKUP(D150,'WO Descriptions'!$A$5:$D$345,4)</f>
        <v>Project Type:B</v>
      </c>
    </row>
    <row r="151" spans="1:19" outlineLevel="2">
      <c r="A151" s="3" t="s">
        <v>219</v>
      </c>
      <c r="B151" s="18" t="s">
        <v>217</v>
      </c>
      <c r="C151" s="15" t="s">
        <v>218</v>
      </c>
      <c r="D151" s="15" t="s">
        <v>219</v>
      </c>
      <c r="E151" s="14" t="s">
        <v>220</v>
      </c>
      <c r="F151" s="15" t="s">
        <v>221</v>
      </c>
      <c r="G151" s="14" t="s">
        <v>222</v>
      </c>
      <c r="H151" s="15" t="s">
        <v>23</v>
      </c>
      <c r="I151" s="15" t="s">
        <v>1524</v>
      </c>
      <c r="J151" s="15">
        <v>201411</v>
      </c>
      <c r="K151" s="16">
        <v>63472.43</v>
      </c>
      <c r="L151" s="171">
        <f>VLOOKUP(J151,$U$9:$V$23,2)</f>
        <v>7</v>
      </c>
      <c r="M151" s="17">
        <v>1.4833299999999999E-3</v>
      </c>
      <c r="N151" s="16">
        <f>ROUND(K151*L151*M151,2)</f>
        <v>659.05</v>
      </c>
      <c r="O151" s="16">
        <f>ROUND(K151*M151*12,2)</f>
        <v>1129.81</v>
      </c>
      <c r="P151" s="14"/>
      <c r="Q151" s="210" t="str">
        <f>VLOOKUP(D151,'WO Descriptions'!$A$5:$D$345,4)</f>
        <v>Project Type:B</v>
      </c>
    </row>
    <row r="152" spans="1:19" outlineLevel="2">
      <c r="A152" s="3" t="s">
        <v>219</v>
      </c>
      <c r="B152" s="14" t="s">
        <v>217</v>
      </c>
      <c r="C152" s="15" t="s">
        <v>218</v>
      </c>
      <c r="D152" s="15" t="s">
        <v>219</v>
      </c>
      <c r="E152" s="14" t="s">
        <v>220</v>
      </c>
      <c r="F152" s="15" t="s">
        <v>221</v>
      </c>
      <c r="G152" s="14" t="s">
        <v>222</v>
      </c>
      <c r="H152" s="15" t="s">
        <v>23</v>
      </c>
      <c r="I152" s="15" t="s">
        <v>1524</v>
      </c>
      <c r="J152" s="15">
        <v>201412</v>
      </c>
      <c r="K152" s="16">
        <v>30904.42</v>
      </c>
      <c r="L152" s="171">
        <f>VLOOKUP(J152,$U$9:$V$23,2)</f>
        <v>6</v>
      </c>
      <c r="M152" s="17">
        <v>1.4833299999999999E-3</v>
      </c>
      <c r="N152" s="16">
        <f>ROUND(K152*L152*M152,2)</f>
        <v>275.05</v>
      </c>
      <c r="O152" s="16">
        <f>ROUND(K152*M152*12,2)</f>
        <v>550.1</v>
      </c>
      <c r="P152" s="14"/>
      <c r="Q152" s="210" t="str">
        <f>VLOOKUP(D152,'WO Descriptions'!$A$5:$D$345,4)</f>
        <v>Project Type:B</v>
      </c>
    </row>
    <row r="153" spans="1:19" outlineLevel="1">
      <c r="A153" s="3" t="s">
        <v>1807</v>
      </c>
      <c r="B153" s="223"/>
      <c r="C153" s="250"/>
      <c r="D153" s="254" t="s">
        <v>1807</v>
      </c>
      <c r="E153" s="223"/>
      <c r="F153" s="250"/>
      <c r="G153" s="223"/>
      <c r="H153" s="250"/>
      <c r="I153" s="250"/>
      <c r="J153" s="250"/>
      <c r="K153" s="251">
        <f>SUBTOTAL(9,K149:K152)</f>
        <v>285460.00999999995</v>
      </c>
      <c r="L153" s="252"/>
      <c r="M153" s="253"/>
      <c r="N153" s="251">
        <f>SUBTOTAL(9,N149:N152)</f>
        <v>3380.24</v>
      </c>
      <c r="O153" s="251">
        <f>SUBTOTAL(9,O149:O152)</f>
        <v>5081.18</v>
      </c>
      <c r="P153" s="223"/>
      <c r="Q153" s="210"/>
      <c r="R153" s="263" t="s">
        <v>2094</v>
      </c>
      <c r="S153" s="263" t="s">
        <v>2103</v>
      </c>
    </row>
    <row r="154" spans="1:19" ht="30" outlineLevel="2">
      <c r="A154" s="3" t="s">
        <v>224</v>
      </c>
      <c r="B154" s="211" t="s">
        <v>66</v>
      </c>
      <c r="C154" s="212" t="s">
        <v>223</v>
      </c>
      <c r="D154" s="212" t="s">
        <v>224</v>
      </c>
      <c r="E154" s="211" t="s">
        <v>88</v>
      </c>
      <c r="F154" s="212" t="s">
        <v>225</v>
      </c>
      <c r="G154" s="211" t="s">
        <v>85</v>
      </c>
      <c r="H154" s="212" t="s">
        <v>23</v>
      </c>
      <c r="I154" s="212" t="s">
        <v>1530</v>
      </c>
      <c r="J154" s="212">
        <v>201409</v>
      </c>
      <c r="K154" s="213">
        <v>6250.26</v>
      </c>
      <c r="L154" s="171">
        <f>VLOOKUP(J154,$U$9:$V$23,2)</f>
        <v>9</v>
      </c>
      <c r="M154" s="214">
        <v>2.23333E-3</v>
      </c>
      <c r="N154" s="213">
        <f>ROUND(K154*L154*M154,2)</f>
        <v>125.63</v>
      </c>
      <c r="O154" s="213">
        <f>ROUND(K154*M154*12,2)</f>
        <v>167.51</v>
      </c>
      <c r="P154" s="14"/>
      <c r="Q154" s="210" t="str">
        <f>VLOOKUP(D154,'WO Descriptions'!$A$5:$D$345,4)</f>
        <v>Service/Yard Line Replacement (SLRP): Contract Crew.  Block by Block - Planned replacement of all unprotected steel or copper in a single block.  (Joplin - South Region)</v>
      </c>
    </row>
    <row r="155" spans="1:19" ht="30" outlineLevel="2">
      <c r="A155" s="3" t="s">
        <v>224</v>
      </c>
      <c r="B155" s="211" t="s">
        <v>66</v>
      </c>
      <c r="C155" s="212" t="s">
        <v>223</v>
      </c>
      <c r="D155" s="212" t="s">
        <v>224</v>
      </c>
      <c r="E155" s="211" t="s">
        <v>88</v>
      </c>
      <c r="F155" s="212" t="s">
        <v>225</v>
      </c>
      <c r="G155" s="211" t="s">
        <v>85</v>
      </c>
      <c r="H155" s="212" t="s">
        <v>23</v>
      </c>
      <c r="I155" s="212" t="s">
        <v>1530</v>
      </c>
      <c r="J155" s="212">
        <v>201411</v>
      </c>
      <c r="K155" s="213">
        <v>-864.28</v>
      </c>
      <c r="L155" s="171">
        <f>VLOOKUP(J155,$U$9:$V$23,2)</f>
        <v>7</v>
      </c>
      <c r="M155" s="214">
        <v>2.23333E-3</v>
      </c>
      <c r="N155" s="213">
        <f>ROUND(K155*L155*M155,2)</f>
        <v>-13.51</v>
      </c>
      <c r="O155" s="213">
        <f>ROUND(K155*M155*12,2)</f>
        <v>-23.16</v>
      </c>
      <c r="P155" s="14"/>
      <c r="Q155" s="210" t="str">
        <f>VLOOKUP(D155,'WO Descriptions'!$A$5:$D$345,4)</f>
        <v>Service/Yard Line Replacement (SLRP): Contract Crew.  Block by Block - Planned replacement of all unprotected steel or copper in a single block.  (Joplin - South Region)</v>
      </c>
    </row>
    <row r="156" spans="1:19" ht="30" outlineLevel="2">
      <c r="A156" s="3" t="s">
        <v>224</v>
      </c>
      <c r="B156" s="211" t="s">
        <v>66</v>
      </c>
      <c r="C156" s="212" t="s">
        <v>223</v>
      </c>
      <c r="D156" s="212" t="s">
        <v>224</v>
      </c>
      <c r="E156" s="211" t="s">
        <v>88</v>
      </c>
      <c r="F156" s="212" t="s">
        <v>225</v>
      </c>
      <c r="G156" s="211" t="s">
        <v>85</v>
      </c>
      <c r="H156" s="212" t="s">
        <v>23</v>
      </c>
      <c r="I156" s="212" t="s">
        <v>1530</v>
      </c>
      <c r="J156" s="212">
        <v>201412</v>
      </c>
      <c r="K156" s="213">
        <v>18.05</v>
      </c>
      <c r="L156" s="171">
        <f>VLOOKUP(J156,$U$9:$V$23,2)</f>
        <v>6</v>
      </c>
      <c r="M156" s="214">
        <v>2.23333E-3</v>
      </c>
      <c r="N156" s="213">
        <f>ROUND(K156*L156*M156,2)</f>
        <v>0.24</v>
      </c>
      <c r="O156" s="213">
        <f>ROUND(K156*M156*12,2)</f>
        <v>0.48</v>
      </c>
      <c r="P156" s="14"/>
      <c r="Q156" s="210" t="str">
        <f>VLOOKUP(D156,'WO Descriptions'!$A$5:$D$345,4)</f>
        <v>Service/Yard Line Replacement (SLRP): Contract Crew.  Block by Block - Planned replacement of all unprotected steel or copper in a single block.  (Joplin - South Region)</v>
      </c>
    </row>
    <row r="157" spans="1:19" outlineLevel="1">
      <c r="A157" s="3" t="s">
        <v>1808</v>
      </c>
      <c r="B157" s="256"/>
      <c r="C157" s="257"/>
      <c r="D157" s="260" t="s">
        <v>1808</v>
      </c>
      <c r="E157" s="256"/>
      <c r="F157" s="257"/>
      <c r="G157" s="256"/>
      <c r="H157" s="257"/>
      <c r="I157" s="257"/>
      <c r="J157" s="257"/>
      <c r="K157" s="258">
        <f>SUBTOTAL(9,K154:K156)</f>
        <v>5404.0300000000007</v>
      </c>
      <c r="L157" s="252"/>
      <c r="M157" s="259"/>
      <c r="N157" s="258">
        <f>SUBTOTAL(9,N154:N156)</f>
        <v>112.35999999999999</v>
      </c>
      <c r="O157" s="258">
        <f>SUBTOTAL(9,O154:O156)</f>
        <v>144.82999999999998</v>
      </c>
      <c r="P157" s="223"/>
      <c r="Q157" s="210"/>
      <c r="R157" s="263" t="s">
        <v>2097</v>
      </c>
      <c r="S157" s="263" t="s">
        <v>2102</v>
      </c>
    </row>
    <row r="158" spans="1:19" ht="30" outlineLevel="2">
      <c r="A158" s="3" t="s">
        <v>1599</v>
      </c>
      <c r="B158" s="211" t="s">
        <v>1584</v>
      </c>
      <c r="C158" s="212" t="s">
        <v>1598</v>
      </c>
      <c r="D158" s="212" t="s">
        <v>1599</v>
      </c>
      <c r="E158" s="211" t="s">
        <v>1600</v>
      </c>
      <c r="F158" s="212" t="s">
        <v>1601</v>
      </c>
      <c r="G158" s="211" t="s">
        <v>1590</v>
      </c>
      <c r="H158" s="212" t="s">
        <v>23</v>
      </c>
      <c r="I158" s="212" t="s">
        <v>1530</v>
      </c>
      <c r="J158" s="212">
        <v>201409</v>
      </c>
      <c r="K158" s="213">
        <v>34733.839999999997</v>
      </c>
      <c r="L158" s="171">
        <f>VLOOKUP(J158,$U$9:$V$23,2)</f>
        <v>9</v>
      </c>
      <c r="M158" s="214">
        <v>2.0333333000000001E-3</v>
      </c>
      <c r="N158" s="213">
        <f>ROUND(K158*L158*M158,2)</f>
        <v>635.63</v>
      </c>
      <c r="O158" s="213">
        <f>ROUND(K158*M158*12,2)</f>
        <v>847.51</v>
      </c>
      <c r="P158" s="14"/>
      <c r="Q158" s="210" t="str">
        <f>VLOOKUP(D158,'WO Descriptions'!$A$5:$D$345,4)</f>
        <v>Service/Yard Line Replacement (SLRP): Contract Crew.  Block by Block - Planned replacement of all unprotected steel or copper in a single block.  (Joplin - South Region)</v>
      </c>
    </row>
    <row r="159" spans="1:19" ht="30" outlineLevel="2">
      <c r="A159" s="3" t="s">
        <v>1599</v>
      </c>
      <c r="B159" s="211" t="s">
        <v>1584</v>
      </c>
      <c r="C159" s="212" t="s">
        <v>1598</v>
      </c>
      <c r="D159" s="212" t="s">
        <v>1599</v>
      </c>
      <c r="E159" s="211" t="s">
        <v>1600</v>
      </c>
      <c r="F159" s="212" t="s">
        <v>1601</v>
      </c>
      <c r="G159" s="211" t="s">
        <v>1590</v>
      </c>
      <c r="H159" s="212" t="s">
        <v>23</v>
      </c>
      <c r="I159" s="212" t="s">
        <v>1530</v>
      </c>
      <c r="J159" s="212">
        <v>201410</v>
      </c>
      <c r="K159" s="213">
        <v>8169.02</v>
      </c>
      <c r="L159" s="171">
        <f>VLOOKUP(J159,$U$9:$V$23,2)</f>
        <v>8</v>
      </c>
      <c r="M159" s="214">
        <v>2.0333333000000001E-3</v>
      </c>
      <c r="N159" s="213">
        <f>ROUND(K159*L159*M159,2)</f>
        <v>132.88</v>
      </c>
      <c r="O159" s="213">
        <f>ROUND(K159*M159*12,2)</f>
        <v>199.32</v>
      </c>
      <c r="P159" s="14"/>
      <c r="Q159" s="210" t="str">
        <f>VLOOKUP(D159,'WO Descriptions'!$A$5:$D$345,4)</f>
        <v>Service/Yard Line Replacement (SLRP): Contract Crew.  Block by Block - Planned replacement of all unprotected steel or copper in a single block.  (Joplin - South Region)</v>
      </c>
    </row>
    <row r="160" spans="1:19" ht="30" outlineLevel="2">
      <c r="A160" s="3" t="s">
        <v>1599</v>
      </c>
      <c r="B160" s="211" t="s">
        <v>1584</v>
      </c>
      <c r="C160" s="212" t="s">
        <v>1598</v>
      </c>
      <c r="D160" s="212" t="s">
        <v>1599</v>
      </c>
      <c r="E160" s="211" t="s">
        <v>1600</v>
      </c>
      <c r="F160" s="212" t="s">
        <v>1601</v>
      </c>
      <c r="G160" s="211" t="s">
        <v>1590</v>
      </c>
      <c r="H160" s="212" t="s">
        <v>23</v>
      </c>
      <c r="I160" s="212" t="s">
        <v>1530</v>
      </c>
      <c r="J160" s="212">
        <v>201411</v>
      </c>
      <c r="K160" s="213">
        <v>7279.43</v>
      </c>
      <c r="L160" s="171">
        <f>VLOOKUP(J160,$U$9:$V$23,2)</f>
        <v>7</v>
      </c>
      <c r="M160" s="214">
        <v>2.0333333000000001E-3</v>
      </c>
      <c r="N160" s="213">
        <f>ROUND(K160*L160*M160,2)</f>
        <v>103.61</v>
      </c>
      <c r="O160" s="213">
        <f>ROUND(K160*M160*12,2)</f>
        <v>177.62</v>
      </c>
      <c r="P160" s="14"/>
      <c r="Q160" s="210" t="str">
        <f>VLOOKUP(D160,'WO Descriptions'!$A$5:$D$345,4)</f>
        <v>Service/Yard Line Replacement (SLRP): Contract Crew.  Block by Block - Planned replacement of all unprotected steel or copper in a single block.  (Joplin - South Region)</v>
      </c>
    </row>
    <row r="161" spans="1:19" ht="30" outlineLevel="2">
      <c r="A161" s="3" t="s">
        <v>1599</v>
      </c>
      <c r="B161" s="211" t="s">
        <v>1584</v>
      </c>
      <c r="C161" s="212" t="s">
        <v>1598</v>
      </c>
      <c r="D161" s="212" t="s">
        <v>1599</v>
      </c>
      <c r="E161" s="211" t="s">
        <v>1600</v>
      </c>
      <c r="F161" s="212" t="s">
        <v>1601</v>
      </c>
      <c r="G161" s="211" t="s">
        <v>1590</v>
      </c>
      <c r="H161" s="212" t="s">
        <v>23</v>
      </c>
      <c r="I161" s="212" t="s">
        <v>1530</v>
      </c>
      <c r="J161" s="212">
        <v>201412</v>
      </c>
      <c r="K161" s="213">
        <v>23241.21</v>
      </c>
      <c r="L161" s="171">
        <f>VLOOKUP(J161,$U$9:$V$23,2)</f>
        <v>6</v>
      </c>
      <c r="M161" s="214">
        <v>2.0333333000000001E-3</v>
      </c>
      <c r="N161" s="213">
        <f>ROUND(K161*L161*M161,2)</f>
        <v>283.54000000000002</v>
      </c>
      <c r="O161" s="213">
        <f>ROUND(K161*M161*12,2)</f>
        <v>567.09</v>
      </c>
      <c r="P161" s="14"/>
      <c r="Q161" s="210" t="str">
        <f>VLOOKUP(D161,'WO Descriptions'!$A$5:$D$345,4)</f>
        <v>Service/Yard Line Replacement (SLRP): Contract Crew.  Block by Block - Planned replacement of all unprotected steel or copper in a single block.  (Joplin - South Region)</v>
      </c>
    </row>
    <row r="162" spans="1:19" outlineLevel="1">
      <c r="A162" s="3" t="s">
        <v>1809</v>
      </c>
      <c r="B162" s="256"/>
      <c r="C162" s="257"/>
      <c r="D162" s="260" t="s">
        <v>1809</v>
      </c>
      <c r="E162" s="256"/>
      <c r="F162" s="257"/>
      <c r="G162" s="256"/>
      <c r="H162" s="257"/>
      <c r="I162" s="257"/>
      <c r="J162" s="257"/>
      <c r="K162" s="258">
        <f>SUBTOTAL(9,K158:K161)</f>
        <v>73423.5</v>
      </c>
      <c r="L162" s="252"/>
      <c r="M162" s="259"/>
      <c r="N162" s="258">
        <f>SUBTOTAL(9,N158:N161)</f>
        <v>1155.6600000000001</v>
      </c>
      <c r="O162" s="258">
        <f>SUBTOTAL(9,O158:O161)</f>
        <v>1791.54</v>
      </c>
      <c r="P162" s="223"/>
      <c r="Q162" s="210"/>
      <c r="R162" s="263" t="s">
        <v>2097</v>
      </c>
      <c r="S162" s="263" t="s">
        <v>2102</v>
      </c>
    </row>
    <row r="163" spans="1:19" ht="30" outlineLevel="2">
      <c r="A163" s="3" t="s">
        <v>227</v>
      </c>
      <c r="B163" s="211" t="s">
        <v>66</v>
      </c>
      <c r="C163" s="212" t="s">
        <v>226</v>
      </c>
      <c r="D163" s="212" t="s">
        <v>227</v>
      </c>
      <c r="E163" s="211" t="s">
        <v>78</v>
      </c>
      <c r="F163" s="212" t="s">
        <v>228</v>
      </c>
      <c r="G163" s="211" t="s">
        <v>80</v>
      </c>
      <c r="H163" s="212" t="s">
        <v>23</v>
      </c>
      <c r="I163" s="212" t="s">
        <v>1530</v>
      </c>
      <c r="J163" s="212">
        <v>201409</v>
      </c>
      <c r="K163" s="213">
        <v>16732.5</v>
      </c>
      <c r="L163" s="171">
        <f>VLOOKUP(J163,$U$9:$V$23,2)</f>
        <v>9</v>
      </c>
      <c r="M163" s="214">
        <v>2.23333E-3</v>
      </c>
      <c r="N163" s="213">
        <f>ROUND(K163*L163*M163,2)</f>
        <v>336.32</v>
      </c>
      <c r="O163" s="213">
        <f>ROUND(K163*M163*12,2)</f>
        <v>448.43</v>
      </c>
      <c r="P163" s="14"/>
      <c r="Q163" s="210" t="str">
        <f>VLOOKUP(D163,'WO Descriptions'!$A$5:$D$345,4)</f>
        <v>Service/Yard Line Replacement (SLRP): Company Crew.  Modified Block by Block - Planned replacement of all unprotected steel or copper in a single block.  (Joplin - South Region)</v>
      </c>
    </row>
    <row r="164" spans="1:19" ht="30" outlineLevel="2">
      <c r="A164" s="3" t="s">
        <v>227</v>
      </c>
      <c r="B164" s="211" t="s">
        <v>66</v>
      </c>
      <c r="C164" s="212" t="s">
        <v>226</v>
      </c>
      <c r="D164" s="212" t="s">
        <v>227</v>
      </c>
      <c r="E164" s="211" t="s">
        <v>78</v>
      </c>
      <c r="F164" s="212" t="s">
        <v>228</v>
      </c>
      <c r="G164" s="211" t="s">
        <v>80</v>
      </c>
      <c r="H164" s="212" t="s">
        <v>23</v>
      </c>
      <c r="I164" s="212" t="s">
        <v>1530</v>
      </c>
      <c r="J164" s="212">
        <v>201410</v>
      </c>
      <c r="K164" s="213">
        <v>955.76</v>
      </c>
      <c r="L164" s="171">
        <f>VLOOKUP(J164,$U$9:$V$23,2)</f>
        <v>8</v>
      </c>
      <c r="M164" s="214">
        <v>2.23333E-3</v>
      </c>
      <c r="N164" s="213">
        <f>ROUND(K164*L164*M164,2)</f>
        <v>17.079999999999998</v>
      </c>
      <c r="O164" s="213">
        <f>ROUND(K164*M164*12,2)</f>
        <v>25.61</v>
      </c>
      <c r="P164" s="14"/>
      <c r="Q164" s="210" t="str">
        <f>VLOOKUP(D164,'WO Descriptions'!$A$5:$D$345,4)</f>
        <v>Service/Yard Line Replacement (SLRP): Company Crew.  Modified Block by Block - Planned replacement of all unprotected steel or copper in a single block.  (Joplin - South Region)</v>
      </c>
    </row>
    <row r="165" spans="1:19" ht="30" outlineLevel="2">
      <c r="A165" s="3" t="s">
        <v>227</v>
      </c>
      <c r="B165" s="211" t="s">
        <v>66</v>
      </c>
      <c r="C165" s="212" t="s">
        <v>226</v>
      </c>
      <c r="D165" s="212" t="s">
        <v>227</v>
      </c>
      <c r="E165" s="211" t="s">
        <v>78</v>
      </c>
      <c r="F165" s="212" t="s">
        <v>228</v>
      </c>
      <c r="G165" s="211" t="s">
        <v>80</v>
      </c>
      <c r="H165" s="212" t="s">
        <v>23</v>
      </c>
      <c r="I165" s="212" t="s">
        <v>1530</v>
      </c>
      <c r="J165" s="212">
        <v>201411</v>
      </c>
      <c r="K165" s="213">
        <v>-783.88</v>
      </c>
      <c r="L165" s="171">
        <f>VLOOKUP(J165,$U$9:$V$23,2)</f>
        <v>7</v>
      </c>
      <c r="M165" s="214">
        <v>2.23333E-3</v>
      </c>
      <c r="N165" s="213">
        <f>ROUND(K165*L165*M165,2)</f>
        <v>-12.25</v>
      </c>
      <c r="O165" s="213">
        <f>ROUND(K165*M165*12,2)</f>
        <v>-21.01</v>
      </c>
      <c r="P165" s="14"/>
      <c r="Q165" s="210" t="str">
        <f>VLOOKUP(D165,'WO Descriptions'!$A$5:$D$345,4)</f>
        <v>Service/Yard Line Replacement (SLRP): Company Crew.  Modified Block by Block - Planned replacement of all unprotected steel or copper in a single block.  (Joplin - South Region)</v>
      </c>
    </row>
    <row r="166" spans="1:19" ht="30" outlineLevel="2">
      <c r="A166" s="3" t="s">
        <v>227</v>
      </c>
      <c r="B166" s="211" t="s">
        <v>66</v>
      </c>
      <c r="C166" s="212" t="s">
        <v>226</v>
      </c>
      <c r="D166" s="212" t="s">
        <v>227</v>
      </c>
      <c r="E166" s="211" t="s">
        <v>78</v>
      </c>
      <c r="F166" s="212" t="s">
        <v>228</v>
      </c>
      <c r="G166" s="211" t="s">
        <v>80</v>
      </c>
      <c r="H166" s="212" t="s">
        <v>23</v>
      </c>
      <c r="I166" s="212" t="s">
        <v>1530</v>
      </c>
      <c r="J166" s="212">
        <v>201412</v>
      </c>
      <c r="K166" s="213">
        <v>148.91</v>
      </c>
      <c r="L166" s="171">
        <f>VLOOKUP(J166,$U$9:$V$23,2)</f>
        <v>6</v>
      </c>
      <c r="M166" s="214">
        <v>2.23333E-3</v>
      </c>
      <c r="N166" s="213">
        <f>ROUND(K166*L166*M166,2)</f>
        <v>2</v>
      </c>
      <c r="O166" s="213">
        <f>ROUND(K166*M166*12,2)</f>
        <v>3.99</v>
      </c>
      <c r="P166" s="14"/>
      <c r="Q166" s="210" t="str">
        <f>VLOOKUP(D166,'WO Descriptions'!$A$5:$D$345,4)</f>
        <v>Service/Yard Line Replacement (SLRP): Company Crew.  Modified Block by Block - Planned replacement of all unprotected steel or copper in a single block.  (Joplin - South Region)</v>
      </c>
    </row>
    <row r="167" spans="1:19" outlineLevel="1">
      <c r="A167" s="3" t="s">
        <v>1810</v>
      </c>
      <c r="B167" s="256"/>
      <c r="C167" s="257"/>
      <c r="D167" s="260" t="s">
        <v>1810</v>
      </c>
      <c r="E167" s="256"/>
      <c r="F167" s="257"/>
      <c r="G167" s="256"/>
      <c r="H167" s="257"/>
      <c r="I167" s="257"/>
      <c r="J167" s="257"/>
      <c r="K167" s="258">
        <f>SUBTOTAL(9,K163:K166)</f>
        <v>17053.289999999997</v>
      </c>
      <c r="L167" s="252"/>
      <c r="M167" s="259"/>
      <c r="N167" s="258">
        <f>SUBTOTAL(9,N163:N166)</f>
        <v>343.15</v>
      </c>
      <c r="O167" s="258">
        <f>SUBTOTAL(9,O163:O166)</f>
        <v>457.02000000000004</v>
      </c>
      <c r="P167" s="223"/>
      <c r="Q167" s="210"/>
      <c r="R167" s="263" t="s">
        <v>2097</v>
      </c>
      <c r="S167" s="263" t="s">
        <v>2102</v>
      </c>
    </row>
    <row r="168" spans="1:19" ht="30" outlineLevel="2">
      <c r="A168" s="3" t="s">
        <v>230</v>
      </c>
      <c r="B168" s="211" t="s">
        <v>66</v>
      </c>
      <c r="C168" s="212" t="s">
        <v>229</v>
      </c>
      <c r="D168" s="212" t="s">
        <v>230</v>
      </c>
      <c r="E168" s="211" t="s">
        <v>78</v>
      </c>
      <c r="F168" s="212" t="s">
        <v>231</v>
      </c>
      <c r="G168" s="211" t="s">
        <v>80</v>
      </c>
      <c r="H168" s="212" t="s">
        <v>23</v>
      </c>
      <c r="I168" s="212" t="s">
        <v>1530</v>
      </c>
      <c r="J168" s="212">
        <v>201409</v>
      </c>
      <c r="K168" s="213">
        <v>46346.59</v>
      </c>
      <c r="L168" s="171">
        <f>VLOOKUP(J168,$U$9:$V$23,2)</f>
        <v>9</v>
      </c>
      <c r="M168" s="214">
        <v>2.23333E-3</v>
      </c>
      <c r="N168" s="213">
        <f>ROUND(K168*L168*M168,2)</f>
        <v>931.57</v>
      </c>
      <c r="O168" s="213">
        <f>ROUND(K168*M168*12,2)</f>
        <v>1242.0899999999999</v>
      </c>
      <c r="P168" s="14"/>
      <c r="Q168" s="210" t="str">
        <f>VLOOKUP(D168,'WO Descriptions'!$A$5:$D$345,4)</f>
        <v>Service/Yard Line Replacement (SLRP): Company Crew.  Modified Block by Block - Planned replacement of all unprotected steel or copper in a single block.  (Lee's Summit - East Region)</v>
      </c>
    </row>
    <row r="169" spans="1:19" ht="30" outlineLevel="2">
      <c r="A169" s="3" t="s">
        <v>230</v>
      </c>
      <c r="B169" s="211" t="s">
        <v>66</v>
      </c>
      <c r="C169" s="212" t="s">
        <v>229</v>
      </c>
      <c r="D169" s="212" t="s">
        <v>230</v>
      </c>
      <c r="E169" s="211" t="s">
        <v>78</v>
      </c>
      <c r="F169" s="212" t="s">
        <v>231</v>
      </c>
      <c r="G169" s="211" t="s">
        <v>80</v>
      </c>
      <c r="H169" s="212" t="s">
        <v>23</v>
      </c>
      <c r="I169" s="212" t="s">
        <v>1530</v>
      </c>
      <c r="J169" s="212">
        <v>201410</v>
      </c>
      <c r="K169" s="213">
        <v>7523.71</v>
      </c>
      <c r="L169" s="171">
        <f>VLOOKUP(J169,$U$9:$V$23,2)</f>
        <v>8</v>
      </c>
      <c r="M169" s="214">
        <v>2.23333E-3</v>
      </c>
      <c r="N169" s="213">
        <f>ROUND(K169*L169*M169,2)</f>
        <v>134.41999999999999</v>
      </c>
      <c r="O169" s="213">
        <f>ROUND(K169*M169*12,2)</f>
        <v>201.64</v>
      </c>
      <c r="P169" s="14"/>
      <c r="Q169" s="210" t="str">
        <f>VLOOKUP(D169,'WO Descriptions'!$A$5:$D$345,4)</f>
        <v>Service/Yard Line Replacement (SLRP): Company Crew.  Modified Block by Block - Planned replacement of all unprotected steel or copper in a single block.  (Lee's Summit - East Region)</v>
      </c>
    </row>
    <row r="170" spans="1:19" ht="30" outlineLevel="2">
      <c r="A170" s="3" t="s">
        <v>230</v>
      </c>
      <c r="B170" s="211" t="s">
        <v>66</v>
      </c>
      <c r="C170" s="212" t="s">
        <v>229</v>
      </c>
      <c r="D170" s="212" t="s">
        <v>230</v>
      </c>
      <c r="E170" s="211" t="s">
        <v>78</v>
      </c>
      <c r="F170" s="212" t="s">
        <v>231</v>
      </c>
      <c r="G170" s="211" t="s">
        <v>80</v>
      </c>
      <c r="H170" s="212" t="s">
        <v>23</v>
      </c>
      <c r="I170" s="212" t="s">
        <v>1530</v>
      </c>
      <c r="J170" s="212">
        <v>201411</v>
      </c>
      <c r="K170" s="213">
        <v>-3450.23</v>
      </c>
      <c r="L170" s="171">
        <f>VLOOKUP(J170,$U$9:$V$23,2)</f>
        <v>7</v>
      </c>
      <c r="M170" s="214">
        <v>2.23333E-3</v>
      </c>
      <c r="N170" s="213">
        <f>ROUND(K170*L170*M170,2)</f>
        <v>-53.94</v>
      </c>
      <c r="O170" s="213">
        <f>ROUND(K170*M170*12,2)</f>
        <v>-92.47</v>
      </c>
      <c r="P170" s="14"/>
      <c r="Q170" s="210" t="str">
        <f>VLOOKUP(D170,'WO Descriptions'!$A$5:$D$345,4)</f>
        <v>Service/Yard Line Replacement (SLRP): Company Crew.  Modified Block by Block - Planned replacement of all unprotected steel or copper in a single block.  (Lee's Summit - East Region)</v>
      </c>
    </row>
    <row r="171" spans="1:19" ht="30" outlineLevel="2">
      <c r="A171" s="3" t="s">
        <v>230</v>
      </c>
      <c r="B171" s="211" t="s">
        <v>66</v>
      </c>
      <c r="C171" s="212" t="s">
        <v>229</v>
      </c>
      <c r="D171" s="212" t="s">
        <v>230</v>
      </c>
      <c r="E171" s="211" t="s">
        <v>78</v>
      </c>
      <c r="F171" s="212" t="s">
        <v>231</v>
      </c>
      <c r="G171" s="211" t="s">
        <v>80</v>
      </c>
      <c r="H171" s="212" t="s">
        <v>23</v>
      </c>
      <c r="I171" s="212" t="s">
        <v>1530</v>
      </c>
      <c r="J171" s="212">
        <v>201412</v>
      </c>
      <c r="K171" s="213">
        <v>4761.8599999999997</v>
      </c>
      <c r="L171" s="171">
        <f>VLOOKUP(J171,$U$9:$V$23,2)</f>
        <v>6</v>
      </c>
      <c r="M171" s="214">
        <v>2.23333E-3</v>
      </c>
      <c r="N171" s="213">
        <f>ROUND(K171*L171*M171,2)</f>
        <v>63.81</v>
      </c>
      <c r="O171" s="213">
        <f>ROUND(K171*M171*12,2)</f>
        <v>127.62</v>
      </c>
      <c r="P171" s="14"/>
      <c r="Q171" s="210" t="str">
        <f>VLOOKUP(D171,'WO Descriptions'!$A$5:$D$345,4)</f>
        <v>Service/Yard Line Replacement (SLRP): Company Crew.  Modified Block by Block - Planned replacement of all unprotected steel or copper in a single block.  (Lee's Summit - East Region)</v>
      </c>
    </row>
    <row r="172" spans="1:19" outlineLevel="1">
      <c r="A172" s="3" t="s">
        <v>1811</v>
      </c>
      <c r="B172" s="256"/>
      <c r="C172" s="257"/>
      <c r="D172" s="260" t="s">
        <v>1811</v>
      </c>
      <c r="E172" s="256"/>
      <c r="F172" s="257"/>
      <c r="G172" s="256"/>
      <c r="H172" s="257"/>
      <c r="I172" s="257"/>
      <c r="J172" s="257"/>
      <c r="K172" s="258">
        <f>SUBTOTAL(9,K168:K171)</f>
        <v>55181.929999999993</v>
      </c>
      <c r="L172" s="252"/>
      <c r="M172" s="259"/>
      <c r="N172" s="258">
        <f>SUBTOTAL(9,N168:N171)</f>
        <v>1075.8599999999999</v>
      </c>
      <c r="O172" s="258">
        <f>SUBTOTAL(9,O168:O171)</f>
        <v>1478.88</v>
      </c>
      <c r="P172" s="223"/>
      <c r="Q172" s="210"/>
      <c r="R172" s="263" t="s">
        <v>2097</v>
      </c>
      <c r="S172" s="263" t="s">
        <v>2102</v>
      </c>
    </row>
    <row r="173" spans="1:19" ht="30" outlineLevel="2">
      <c r="A173" s="3" t="s">
        <v>1603</v>
      </c>
      <c r="B173" s="211" t="s">
        <v>1584</v>
      </c>
      <c r="C173" s="212" t="s">
        <v>1602</v>
      </c>
      <c r="D173" s="212" t="s">
        <v>1603</v>
      </c>
      <c r="E173" s="211" t="s">
        <v>1588</v>
      </c>
      <c r="F173" s="212" t="s">
        <v>1604</v>
      </c>
      <c r="G173" s="211" t="s">
        <v>1590</v>
      </c>
      <c r="H173" s="212" t="s">
        <v>23</v>
      </c>
      <c r="I173" s="212" t="s">
        <v>1530</v>
      </c>
      <c r="J173" s="212">
        <v>201409</v>
      </c>
      <c r="K173" s="213">
        <v>-4.0199999999999996</v>
      </c>
      <c r="L173" s="171">
        <f>VLOOKUP(J173,$U$9:$V$23,2)</f>
        <v>9</v>
      </c>
      <c r="M173" s="214">
        <v>2.0333333000000001E-3</v>
      </c>
      <c r="N173" s="213">
        <f>ROUND(K173*L173*M173,2)</f>
        <v>-7.0000000000000007E-2</v>
      </c>
      <c r="O173" s="213">
        <f>ROUND(K173*M173*12,2)</f>
        <v>-0.1</v>
      </c>
      <c r="P173" s="14"/>
      <c r="Q173" s="210" t="str">
        <f>VLOOKUP(D173,'WO Descriptions'!$A$5:$D$345,4)</f>
        <v>Service/Yard Line Replacement (SLRP): Company Crew.  Modified Block by Block - Planned replacement of all unprotected steel or copper in a single block.  (Lee's Summit - East Region)</v>
      </c>
    </row>
    <row r="174" spans="1:19" outlineLevel="1">
      <c r="A174" s="3" t="s">
        <v>1812</v>
      </c>
      <c r="B174" s="256"/>
      <c r="C174" s="257"/>
      <c r="D174" s="260" t="s">
        <v>1812</v>
      </c>
      <c r="E174" s="256"/>
      <c r="F174" s="257"/>
      <c r="G174" s="256"/>
      <c r="H174" s="257"/>
      <c r="I174" s="257"/>
      <c r="J174" s="257"/>
      <c r="K174" s="258">
        <f>SUBTOTAL(9,K173:K173)</f>
        <v>-4.0199999999999996</v>
      </c>
      <c r="L174" s="252"/>
      <c r="M174" s="259"/>
      <c r="N174" s="258">
        <f>SUBTOTAL(9,N173:N173)</f>
        <v>-7.0000000000000007E-2</v>
      </c>
      <c r="O174" s="258">
        <f>SUBTOTAL(9,O173:O173)</f>
        <v>-0.1</v>
      </c>
      <c r="P174" s="223"/>
      <c r="Q174" s="210"/>
      <c r="R174" s="263" t="s">
        <v>2097</v>
      </c>
      <c r="S174" s="263" t="s">
        <v>2102</v>
      </c>
    </row>
    <row r="175" spans="1:19" ht="45" outlineLevel="2">
      <c r="A175" s="3" t="s">
        <v>233</v>
      </c>
      <c r="B175" s="18" t="s">
        <v>17</v>
      </c>
      <c r="C175" s="15" t="s">
        <v>232</v>
      </c>
      <c r="D175" s="15" t="s">
        <v>233</v>
      </c>
      <c r="E175" s="14" t="s">
        <v>234</v>
      </c>
      <c r="F175" s="15" t="s">
        <v>40</v>
      </c>
      <c r="G175" s="14" t="s">
        <v>41</v>
      </c>
      <c r="H175" s="15" t="s">
        <v>23</v>
      </c>
      <c r="I175" s="15" t="s">
        <v>1526</v>
      </c>
      <c r="J175" s="15">
        <v>201409</v>
      </c>
      <c r="K175" s="16">
        <v>34.520000000000003</v>
      </c>
      <c r="L175" s="171">
        <f>VLOOKUP(J175,$U$9:$V$23,2)</f>
        <v>9</v>
      </c>
      <c r="M175" s="17">
        <v>1.4833299999999999E-3</v>
      </c>
      <c r="N175" s="16">
        <f>ROUND(K175*L175*M175,2)</f>
        <v>0.46</v>
      </c>
      <c r="O175" s="16">
        <f>ROUND(K175*M175*12,2)</f>
        <v>0.61</v>
      </c>
      <c r="P175" s="14"/>
      <c r="Q175" s="210" t="str">
        <f>VLOOKUP(D175,'WO Descriptions'!$A$5:$D$345,4)</f>
        <v>Approved by: Kevin Driskell on 04/08/2013,  Relocate 50' of 2in PE due to public improvement, grade cuts will put existing gas main at 15in deep. Install 1-1/4in bypass for service to UMB Bank. Retire 10'-2in CS, 1992 wo 92-6977; 40'-2in PE 2009 wo 09-6139.</v>
      </c>
    </row>
    <row r="176" spans="1:19" outlineLevel="1">
      <c r="A176" s="3" t="s">
        <v>1813</v>
      </c>
      <c r="B176" s="225"/>
      <c r="C176" s="250"/>
      <c r="D176" s="254" t="s">
        <v>1813</v>
      </c>
      <c r="E176" s="223"/>
      <c r="F176" s="250"/>
      <c r="G176" s="223"/>
      <c r="H176" s="250"/>
      <c r="I176" s="250"/>
      <c r="J176" s="250"/>
      <c r="K176" s="251">
        <f>SUBTOTAL(9,K175:K175)</f>
        <v>34.520000000000003</v>
      </c>
      <c r="L176" s="252"/>
      <c r="M176" s="253"/>
      <c r="N176" s="251">
        <f>SUBTOTAL(9,N175:N175)</f>
        <v>0.46</v>
      </c>
      <c r="O176" s="251">
        <f>SUBTOTAL(9,O175:O175)</f>
        <v>0.61</v>
      </c>
      <c r="P176" s="223"/>
      <c r="Q176" s="210"/>
      <c r="R176" s="263" t="s">
        <v>2096</v>
      </c>
    </row>
    <row r="177" spans="1:19" ht="105" outlineLevel="2">
      <c r="A177" s="3" t="s">
        <v>236</v>
      </c>
      <c r="B177" s="14" t="s">
        <v>17</v>
      </c>
      <c r="C177" s="15" t="s">
        <v>235</v>
      </c>
      <c r="D177" s="15" t="s">
        <v>236</v>
      </c>
      <c r="E177" s="14" t="s">
        <v>237</v>
      </c>
      <c r="F177" s="15" t="s">
        <v>62</v>
      </c>
      <c r="G177" s="14" t="s">
        <v>22</v>
      </c>
      <c r="H177" s="15" t="s">
        <v>23</v>
      </c>
      <c r="I177" s="15" t="s">
        <v>1525</v>
      </c>
      <c r="J177" s="15">
        <v>201409</v>
      </c>
      <c r="K177" s="16">
        <v>16.510000000000002</v>
      </c>
      <c r="L177" s="171">
        <f>VLOOKUP(J177,$U$9:$V$23,2)</f>
        <v>9</v>
      </c>
      <c r="M177" s="17">
        <v>1.4833299999999999E-3</v>
      </c>
      <c r="N177" s="16">
        <f>ROUND(K177*L177*M177,2)</f>
        <v>0.22</v>
      </c>
      <c r="O177" s="16">
        <f>ROUND(K177*M177*12,2)</f>
        <v>0.28999999999999998</v>
      </c>
      <c r="P177" s="14"/>
      <c r="Q177" s="210" t="str">
        <f>VLOOKUP(D177,'WO Descriptions'!$A$5:$D$345,4)</f>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
    </row>
    <row r="178" spans="1:19" outlineLevel="1">
      <c r="A178" s="3" t="s">
        <v>1814</v>
      </c>
      <c r="B178" s="223"/>
      <c r="C178" s="250"/>
      <c r="D178" s="254" t="s">
        <v>1814</v>
      </c>
      <c r="E178" s="223"/>
      <c r="F178" s="250"/>
      <c r="G178" s="223"/>
      <c r="H178" s="250"/>
      <c r="I178" s="250"/>
      <c r="J178" s="250"/>
      <c r="K178" s="251">
        <f>SUBTOTAL(9,K177:K177)</f>
        <v>16.510000000000002</v>
      </c>
      <c r="L178" s="252"/>
      <c r="M178" s="253"/>
      <c r="N178" s="251">
        <f>SUBTOTAL(9,N177:N177)</f>
        <v>0.22</v>
      </c>
      <c r="O178" s="251">
        <f>SUBTOTAL(9,O177:O177)</f>
        <v>0.28999999999999998</v>
      </c>
      <c r="P178" s="223"/>
      <c r="Q178" s="210"/>
      <c r="R178" s="263" t="s">
        <v>2097</v>
      </c>
      <c r="S178" s="263" t="s">
        <v>2098</v>
      </c>
    </row>
    <row r="179" spans="1:19" ht="105" outlineLevel="2">
      <c r="A179" s="3" t="s">
        <v>240</v>
      </c>
      <c r="B179" s="18" t="s">
        <v>238</v>
      </c>
      <c r="C179" s="15" t="s">
        <v>239</v>
      </c>
      <c r="D179" s="15" t="s">
        <v>240</v>
      </c>
      <c r="E179" s="14" t="s">
        <v>241</v>
      </c>
      <c r="F179" s="15" t="s">
        <v>168</v>
      </c>
      <c r="G179" s="14" t="s">
        <v>169</v>
      </c>
      <c r="H179" s="15" t="s">
        <v>23</v>
      </c>
      <c r="I179" s="15" t="s">
        <v>1528</v>
      </c>
      <c r="J179" s="15">
        <v>201409</v>
      </c>
      <c r="K179" s="16">
        <v>5.08</v>
      </c>
      <c r="L179" s="171">
        <f>VLOOKUP(J179,$U$9:$V$23,2)</f>
        <v>9</v>
      </c>
      <c r="M179" s="17">
        <v>2.3833299999999999E-3</v>
      </c>
      <c r="N179" s="16">
        <f>ROUND(K179*L179*M179,2)</f>
        <v>0.11</v>
      </c>
      <c r="O179" s="16">
        <f>ROUND(K179*M179*12,2)</f>
        <v>0.15</v>
      </c>
      <c r="P179" s="14"/>
      <c r="Q179" s="210" t="str">
        <f>VLOOKUP(D179,'WO Descriptions'!$A$5:$D$345,4)</f>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
    </row>
    <row r="180" spans="1:19" outlineLevel="1">
      <c r="A180" s="3" t="s">
        <v>1815</v>
      </c>
      <c r="B180" s="225"/>
      <c r="C180" s="250"/>
      <c r="D180" s="254" t="s">
        <v>1815</v>
      </c>
      <c r="E180" s="223"/>
      <c r="F180" s="250"/>
      <c r="G180" s="223"/>
      <c r="H180" s="250"/>
      <c r="I180" s="250"/>
      <c r="J180" s="250"/>
      <c r="K180" s="251">
        <f>SUBTOTAL(9,K179:K179)</f>
        <v>5.08</v>
      </c>
      <c r="L180" s="252"/>
      <c r="M180" s="253"/>
      <c r="N180" s="251">
        <f>SUBTOTAL(9,N179:N179)</f>
        <v>0.11</v>
      </c>
      <c r="O180" s="251">
        <f>SUBTOTAL(9,O179:O179)</f>
        <v>0.15</v>
      </c>
      <c r="P180" s="223"/>
      <c r="Q180" s="210"/>
      <c r="R180" s="263" t="s">
        <v>2097</v>
      </c>
      <c r="S180" s="263" t="s">
        <v>2099</v>
      </c>
    </row>
    <row r="181" spans="1:19" ht="30" outlineLevel="2">
      <c r="A181" s="3" t="s">
        <v>244</v>
      </c>
      <c r="B181" s="18" t="s">
        <v>242</v>
      </c>
      <c r="C181" s="15" t="s">
        <v>243</v>
      </c>
      <c r="D181" s="15" t="s">
        <v>244</v>
      </c>
      <c r="E181" s="14" t="s">
        <v>245</v>
      </c>
      <c r="F181" s="15" t="s">
        <v>246</v>
      </c>
      <c r="G181" s="14" t="s">
        <v>247</v>
      </c>
      <c r="H181" s="15" t="s">
        <v>23</v>
      </c>
      <c r="I181" s="15" t="s">
        <v>1525</v>
      </c>
      <c r="J181" s="15">
        <v>201409</v>
      </c>
      <c r="K181" s="16">
        <v>-9517.91</v>
      </c>
      <c r="L181" s="171">
        <f>VLOOKUP(J181,$U$9:$V$23,2)</f>
        <v>9</v>
      </c>
      <c r="M181" s="17">
        <v>1.4833299999999999E-3</v>
      </c>
      <c r="N181" s="16">
        <f>ROUND(K181*L181*M181,2)</f>
        <v>-127.06</v>
      </c>
      <c r="O181" s="16">
        <f>ROUND(K181*M181*12,2)</f>
        <v>-169.42</v>
      </c>
      <c r="P181" s="14"/>
      <c r="Q181" s="210" t="str">
        <f>VLOOKUP(D181,'WO Descriptions'!$A$5:$D$345,4)</f>
        <v>Rob Hack approved through email due to being out of town and copy of email attached with work order in file.  Approved 7/30/2013.  Official approval in WOES 8/5/2013</v>
      </c>
    </row>
    <row r="182" spans="1:19" outlineLevel="1">
      <c r="A182" s="3" t="s">
        <v>1816</v>
      </c>
      <c r="B182" s="225"/>
      <c r="C182" s="250"/>
      <c r="D182" s="254" t="s">
        <v>1816</v>
      </c>
      <c r="E182" s="223"/>
      <c r="F182" s="250"/>
      <c r="G182" s="223"/>
      <c r="H182" s="250"/>
      <c r="I182" s="250"/>
      <c r="J182" s="250"/>
      <c r="K182" s="251">
        <f>SUBTOTAL(9,K181:K181)</f>
        <v>-9517.91</v>
      </c>
      <c r="L182" s="252"/>
      <c r="M182" s="253"/>
      <c r="N182" s="251">
        <f>SUBTOTAL(9,N181:N181)</f>
        <v>-127.06</v>
      </c>
      <c r="O182" s="251">
        <f>SUBTOTAL(9,O181:O181)</f>
        <v>-169.42</v>
      </c>
      <c r="P182" s="223"/>
      <c r="Q182" s="210"/>
      <c r="R182" s="263" t="s">
        <v>2097</v>
      </c>
      <c r="S182" s="263" t="s">
        <v>2101</v>
      </c>
    </row>
    <row r="183" spans="1:19" ht="75" outlineLevel="2">
      <c r="A183" s="3" t="s">
        <v>249</v>
      </c>
      <c r="B183" s="18" t="s">
        <v>17</v>
      </c>
      <c r="C183" s="15" t="s">
        <v>248</v>
      </c>
      <c r="D183" s="15" t="s">
        <v>249</v>
      </c>
      <c r="E183" s="14" t="s">
        <v>250</v>
      </c>
      <c r="F183" s="15" t="s">
        <v>62</v>
      </c>
      <c r="G183" s="14" t="s">
        <v>22</v>
      </c>
      <c r="H183" s="15" t="s">
        <v>23</v>
      </c>
      <c r="I183" s="15" t="s">
        <v>1525</v>
      </c>
      <c r="J183" s="15">
        <v>201409</v>
      </c>
      <c r="K183" s="16">
        <v>-0.82</v>
      </c>
      <c r="L183" s="171">
        <f>VLOOKUP(J183,$U$9:$V$23,2)</f>
        <v>9</v>
      </c>
      <c r="M183" s="17">
        <v>1.4833299999999999E-3</v>
      </c>
      <c r="N183" s="16">
        <f>ROUND(K183*L183*M183,2)</f>
        <v>-0.01</v>
      </c>
      <c r="O183" s="16">
        <f>ROUND(K183*M183*12,2)</f>
        <v>-0.01</v>
      </c>
      <c r="P183" s="14"/>
      <c r="Q183" s="210" t="str">
        <f>VLOOKUP(D183,'WO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184" spans="1:19" ht="75" outlineLevel="2">
      <c r="A184" s="3" t="s">
        <v>249</v>
      </c>
      <c r="B184" s="18" t="s">
        <v>17</v>
      </c>
      <c r="C184" s="15" t="s">
        <v>251</v>
      </c>
      <c r="D184" s="15" t="s">
        <v>249</v>
      </c>
      <c r="E184" s="14" t="s">
        <v>250</v>
      </c>
      <c r="F184" s="15" t="s">
        <v>62</v>
      </c>
      <c r="G184" s="14" t="s">
        <v>22</v>
      </c>
      <c r="H184" s="15" t="s">
        <v>23</v>
      </c>
      <c r="I184" s="15" t="s">
        <v>1525</v>
      </c>
      <c r="J184" s="15">
        <v>201409</v>
      </c>
      <c r="K184" s="16">
        <v>-735.35</v>
      </c>
      <c r="L184" s="171">
        <f>VLOOKUP(J184,$U$9:$V$23,2)</f>
        <v>9</v>
      </c>
      <c r="M184" s="17">
        <v>1.4833299999999999E-3</v>
      </c>
      <c r="N184" s="16">
        <f>ROUND(K184*L184*M184,2)</f>
        <v>-9.82</v>
      </c>
      <c r="O184" s="16">
        <f>ROUND(K184*M184*12,2)</f>
        <v>-13.09</v>
      </c>
      <c r="P184" s="14"/>
      <c r="Q184" s="210" t="str">
        <f>VLOOKUP(D184,'WO Descriptions'!$A$5:$D$345,4)</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row>
    <row r="185" spans="1:19" outlineLevel="1">
      <c r="A185" s="3" t="s">
        <v>1817</v>
      </c>
      <c r="B185" s="225"/>
      <c r="C185" s="250"/>
      <c r="D185" s="254" t="s">
        <v>1817</v>
      </c>
      <c r="E185" s="223"/>
      <c r="F185" s="250"/>
      <c r="G185" s="223"/>
      <c r="H185" s="250"/>
      <c r="I185" s="250"/>
      <c r="J185" s="250"/>
      <c r="K185" s="251">
        <f>SUBTOTAL(9,K183:K184)</f>
        <v>-736.17000000000007</v>
      </c>
      <c r="L185" s="252"/>
      <c r="M185" s="253"/>
      <c r="N185" s="251">
        <f>SUBTOTAL(9,N183:N184)</f>
        <v>-9.83</v>
      </c>
      <c r="O185" s="251">
        <f>SUBTOTAL(9,O183:O184)</f>
        <v>-13.1</v>
      </c>
      <c r="P185" s="223"/>
      <c r="Q185" s="210"/>
      <c r="R185" s="263" t="s">
        <v>2097</v>
      </c>
      <c r="S185" s="263" t="s">
        <v>2098</v>
      </c>
    </row>
    <row r="186" spans="1:19" ht="45" outlineLevel="2">
      <c r="A186" s="3" t="s">
        <v>253</v>
      </c>
      <c r="B186" s="18" t="s">
        <v>17</v>
      </c>
      <c r="C186" s="15" t="s">
        <v>252</v>
      </c>
      <c r="D186" s="15" t="s">
        <v>253</v>
      </c>
      <c r="E186" s="14" t="s">
        <v>254</v>
      </c>
      <c r="F186" s="15" t="s">
        <v>141</v>
      </c>
      <c r="G186" s="14" t="s">
        <v>142</v>
      </c>
      <c r="H186" s="15" t="s">
        <v>23</v>
      </c>
      <c r="I186" s="15" t="s">
        <v>1525</v>
      </c>
      <c r="J186" s="15">
        <v>201409</v>
      </c>
      <c r="K186" s="16">
        <v>-226.18</v>
      </c>
      <c r="L186" s="171">
        <f>VLOOKUP(J186,$U$9:$V$23,2)</f>
        <v>9</v>
      </c>
      <c r="M186" s="17">
        <v>1.4833299999999999E-3</v>
      </c>
      <c r="N186" s="16">
        <f>ROUND(K186*L186*M186,2)</f>
        <v>-3.02</v>
      </c>
      <c r="O186" s="16">
        <f>ROUND(K186*M186*12,2)</f>
        <v>-4.03</v>
      </c>
      <c r="P186" s="14"/>
      <c r="Q186" s="210" t="str">
        <f>VLOOKUP(D186,'WO Descriptions'!$A$5:$D$345,4)</f>
        <v>Approved by: Melvin Burns on 07/28/2013,  Replace 70ft of 4in CI with 4in PE due to broken CI main.  Bag off and Tie-in points should be in greenway to the east of the driveway of 1820 W 38th St.  Tie-over 3 services.  Cost per foot $330.16</v>
      </c>
    </row>
    <row r="187" spans="1:19" outlineLevel="1">
      <c r="A187" s="3" t="s">
        <v>1818</v>
      </c>
      <c r="B187" s="225"/>
      <c r="C187" s="250"/>
      <c r="D187" s="254" t="s">
        <v>1818</v>
      </c>
      <c r="E187" s="223"/>
      <c r="F187" s="250"/>
      <c r="G187" s="223"/>
      <c r="H187" s="250"/>
      <c r="I187" s="250"/>
      <c r="J187" s="250"/>
      <c r="K187" s="251">
        <f>SUBTOTAL(9,K186:K186)</f>
        <v>-226.18</v>
      </c>
      <c r="L187" s="252"/>
      <c r="M187" s="253"/>
      <c r="N187" s="251">
        <f>SUBTOTAL(9,N186:N186)</f>
        <v>-3.02</v>
      </c>
      <c r="O187" s="251">
        <f>SUBTOTAL(9,O186:O186)</f>
        <v>-4.03</v>
      </c>
      <c r="P187" s="223"/>
      <c r="Q187" s="210"/>
      <c r="R187" s="263" t="s">
        <v>2097</v>
      </c>
      <c r="S187" s="263" t="s">
        <v>2100</v>
      </c>
    </row>
    <row r="188" spans="1:19" ht="60" outlineLevel="2">
      <c r="A188" s="3" t="s">
        <v>256</v>
      </c>
      <c r="B188" s="18" t="s">
        <v>17</v>
      </c>
      <c r="C188" s="15" t="s">
        <v>255</v>
      </c>
      <c r="D188" s="15" t="s">
        <v>256</v>
      </c>
      <c r="E188" s="14" t="s">
        <v>257</v>
      </c>
      <c r="F188" s="15" t="s">
        <v>258</v>
      </c>
      <c r="G188" s="14" t="s">
        <v>259</v>
      </c>
      <c r="H188" s="15" t="s">
        <v>23</v>
      </c>
      <c r="I188" s="15" t="s">
        <v>1525</v>
      </c>
      <c r="J188" s="15">
        <v>201409</v>
      </c>
      <c r="K188" s="16">
        <v>-257.27</v>
      </c>
      <c r="L188" s="171">
        <f>VLOOKUP(J188,$U$9:$V$23,2)</f>
        <v>9</v>
      </c>
      <c r="M188" s="17">
        <v>1.4833299999999999E-3</v>
      </c>
      <c r="N188" s="16">
        <f>ROUND(K188*L188*M188,2)</f>
        <v>-3.43</v>
      </c>
      <c r="O188" s="16">
        <f>ROUND(K188*M188*12,2)</f>
        <v>-4.58</v>
      </c>
      <c r="P188" s="14"/>
      <c r="Q188" s="210" t="str">
        <f>VLOOKUP(D188,'WO Descriptions'!$A$5:$D$345,4)</f>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
    </row>
    <row r="189" spans="1:19" outlineLevel="1">
      <c r="A189" s="3" t="s">
        <v>1819</v>
      </c>
      <c r="B189" s="225"/>
      <c r="C189" s="250"/>
      <c r="D189" s="254" t="s">
        <v>1819</v>
      </c>
      <c r="E189" s="223"/>
      <c r="F189" s="250"/>
      <c r="G189" s="223"/>
      <c r="H189" s="250"/>
      <c r="I189" s="250"/>
      <c r="J189" s="250"/>
      <c r="K189" s="251">
        <f>SUBTOTAL(9,K188:K188)</f>
        <v>-257.27</v>
      </c>
      <c r="L189" s="252"/>
      <c r="M189" s="253"/>
      <c r="N189" s="251">
        <f>SUBTOTAL(9,N188:N188)</f>
        <v>-3.43</v>
      </c>
      <c r="O189" s="251">
        <f>SUBTOTAL(9,O188:O188)</f>
        <v>-4.58</v>
      </c>
      <c r="P189" s="223"/>
      <c r="Q189" s="210"/>
      <c r="R189" s="263" t="s">
        <v>2097</v>
      </c>
      <c r="S189" s="263" t="s">
        <v>2101</v>
      </c>
    </row>
    <row r="190" spans="1:19" ht="75" outlineLevel="2">
      <c r="A190" s="3" t="s">
        <v>261</v>
      </c>
      <c r="B190" s="18" t="s">
        <v>17</v>
      </c>
      <c r="C190" s="15" t="s">
        <v>260</v>
      </c>
      <c r="D190" s="15" t="s">
        <v>261</v>
      </c>
      <c r="E190" s="14" t="s">
        <v>262</v>
      </c>
      <c r="F190" s="15" t="s">
        <v>258</v>
      </c>
      <c r="G190" s="14" t="s">
        <v>259</v>
      </c>
      <c r="H190" s="15" t="s">
        <v>23</v>
      </c>
      <c r="I190" s="15" t="s">
        <v>1525</v>
      </c>
      <c r="J190" s="15">
        <v>201409</v>
      </c>
      <c r="K190" s="16">
        <v>-264.56</v>
      </c>
      <c r="L190" s="171">
        <f>VLOOKUP(J190,$U$9:$V$23,2)</f>
        <v>9</v>
      </c>
      <c r="M190" s="17">
        <v>1.4833299999999999E-3</v>
      </c>
      <c r="N190" s="16">
        <f>ROUND(K190*L190*M190,2)</f>
        <v>-3.53</v>
      </c>
      <c r="O190" s="16">
        <f>ROUND(K190*M190*12,2)</f>
        <v>-4.71</v>
      </c>
      <c r="P190" s="14"/>
      <c r="Q190" s="210" t="str">
        <f>VLOOKUP(D190,'WO Descriptions'!$A$5:$D$345,4)</f>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
    </row>
    <row r="191" spans="1:19" outlineLevel="1">
      <c r="A191" s="3" t="s">
        <v>1820</v>
      </c>
      <c r="B191" s="225"/>
      <c r="C191" s="250"/>
      <c r="D191" s="254" t="s">
        <v>1820</v>
      </c>
      <c r="E191" s="223"/>
      <c r="F191" s="250"/>
      <c r="G191" s="223"/>
      <c r="H191" s="250"/>
      <c r="I191" s="250"/>
      <c r="J191" s="250"/>
      <c r="K191" s="251">
        <f>SUBTOTAL(9,K190:K190)</f>
        <v>-264.56</v>
      </c>
      <c r="L191" s="252"/>
      <c r="M191" s="253"/>
      <c r="N191" s="251">
        <f>SUBTOTAL(9,N190:N190)</f>
        <v>-3.53</v>
      </c>
      <c r="O191" s="251">
        <f>SUBTOTAL(9,O190:O190)</f>
        <v>-4.71</v>
      </c>
      <c r="P191" s="223"/>
      <c r="Q191" s="210"/>
      <c r="R191" s="263" t="s">
        <v>2097</v>
      </c>
      <c r="S191" s="263" t="s">
        <v>2101</v>
      </c>
    </row>
    <row r="192" spans="1:19" ht="60" outlineLevel="2">
      <c r="A192" s="3" t="s">
        <v>264</v>
      </c>
      <c r="B192" s="14" t="s">
        <v>17</v>
      </c>
      <c r="C192" s="15" t="s">
        <v>263</v>
      </c>
      <c r="D192" s="15" t="s">
        <v>264</v>
      </c>
      <c r="E192" s="14" t="s">
        <v>265</v>
      </c>
      <c r="F192" s="15" t="s">
        <v>62</v>
      </c>
      <c r="G192" s="14" t="s">
        <v>22</v>
      </c>
      <c r="H192" s="15" t="s">
        <v>23</v>
      </c>
      <c r="I192" s="15" t="s">
        <v>1525</v>
      </c>
      <c r="J192" s="15">
        <v>201409</v>
      </c>
      <c r="K192" s="16">
        <v>-405.55</v>
      </c>
      <c r="L192" s="171">
        <f>VLOOKUP(J192,$U$9:$V$23,2)</f>
        <v>9</v>
      </c>
      <c r="M192" s="17">
        <v>1.4833299999999999E-3</v>
      </c>
      <c r="N192" s="16">
        <f>ROUND(K192*L192*M192,2)</f>
        <v>-5.41</v>
      </c>
      <c r="O192" s="16">
        <f>ROUND(K192*M192*12,2)</f>
        <v>-7.22</v>
      </c>
      <c r="P192" s="14"/>
      <c r="Q192" s="210" t="str">
        <f>VLOOKUP(D192,'WO Descriptions'!$A$5:$D$345,4)</f>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
    </row>
    <row r="193" spans="1:19" outlineLevel="1">
      <c r="A193" s="3" t="s">
        <v>1821</v>
      </c>
      <c r="B193" s="223"/>
      <c r="C193" s="250"/>
      <c r="D193" s="254" t="s">
        <v>1821</v>
      </c>
      <c r="E193" s="223"/>
      <c r="F193" s="250"/>
      <c r="G193" s="223"/>
      <c r="H193" s="250"/>
      <c r="I193" s="250"/>
      <c r="J193" s="250"/>
      <c r="K193" s="251">
        <f>SUBTOTAL(9,K192:K192)</f>
        <v>-405.55</v>
      </c>
      <c r="L193" s="252"/>
      <c r="M193" s="253"/>
      <c r="N193" s="251">
        <f>SUBTOTAL(9,N192:N192)</f>
        <v>-5.41</v>
      </c>
      <c r="O193" s="251">
        <f>SUBTOTAL(9,O192:O192)</f>
        <v>-7.22</v>
      </c>
      <c r="P193" s="223"/>
      <c r="Q193" s="210"/>
      <c r="R193" s="263" t="s">
        <v>2097</v>
      </c>
      <c r="S193" s="263" t="s">
        <v>2098</v>
      </c>
    </row>
    <row r="194" spans="1:19" ht="45" outlineLevel="2">
      <c r="A194" s="3" t="s">
        <v>267</v>
      </c>
      <c r="B194" s="14" t="s">
        <v>17</v>
      </c>
      <c r="C194" s="15" t="s">
        <v>266</v>
      </c>
      <c r="D194" s="15" t="s">
        <v>267</v>
      </c>
      <c r="E194" s="14" t="s">
        <v>268</v>
      </c>
      <c r="F194" s="15" t="s">
        <v>104</v>
      </c>
      <c r="G194" s="14" t="s">
        <v>41</v>
      </c>
      <c r="H194" s="15" t="s">
        <v>23</v>
      </c>
      <c r="I194" s="15" t="s">
        <v>1526</v>
      </c>
      <c r="J194" s="15">
        <v>201409</v>
      </c>
      <c r="K194" s="16">
        <v>3</v>
      </c>
      <c r="L194" s="171">
        <f>VLOOKUP(J194,$U$9:$V$23,2)</f>
        <v>9</v>
      </c>
      <c r="M194" s="17">
        <v>1.4833299999999999E-3</v>
      </c>
      <c r="N194" s="16">
        <f>ROUND(K194*L194*M194,2)</f>
        <v>0.04</v>
      </c>
      <c r="O194" s="16">
        <f>ROUND(K194*M194*12,2)</f>
        <v>0.05</v>
      </c>
      <c r="P194" s="14"/>
      <c r="Q194" s="210" t="str">
        <f>VLOOKUP(D194,'WO Descriptions'!$A$5:$D$345,4)</f>
        <v>Approved by: Ralph Janes on 09/05/2013,  Public Improvement Project: Country Lane Storm. Install a 20' x 5' dogleg for a new storm inlet at Country Lane and Country Place. Install 30' of 2in PE and retire 20' of 3in PE (WO# 78-3836). ISRS</v>
      </c>
    </row>
    <row r="195" spans="1:19" outlineLevel="1">
      <c r="A195" s="3" t="s">
        <v>1822</v>
      </c>
      <c r="B195" s="223"/>
      <c r="C195" s="250"/>
      <c r="D195" s="254" t="s">
        <v>1822</v>
      </c>
      <c r="E195" s="223"/>
      <c r="F195" s="250"/>
      <c r="G195" s="223"/>
      <c r="H195" s="250"/>
      <c r="I195" s="250"/>
      <c r="J195" s="250"/>
      <c r="K195" s="251">
        <f>SUBTOTAL(9,K194:K194)</f>
        <v>3</v>
      </c>
      <c r="L195" s="252"/>
      <c r="M195" s="253"/>
      <c r="N195" s="251">
        <f>SUBTOTAL(9,N194:N194)</f>
        <v>0.04</v>
      </c>
      <c r="O195" s="251">
        <f>SUBTOTAL(9,O194:O194)</f>
        <v>0.05</v>
      </c>
      <c r="P195" s="223"/>
      <c r="Q195" s="210"/>
      <c r="R195" s="263" t="s">
        <v>2096</v>
      </c>
    </row>
    <row r="196" spans="1:19" ht="75" outlineLevel="2">
      <c r="A196" s="3" t="s">
        <v>270</v>
      </c>
      <c r="B196" s="14" t="s">
        <v>17</v>
      </c>
      <c r="C196" s="15" t="s">
        <v>269</v>
      </c>
      <c r="D196" s="15" t="s">
        <v>270</v>
      </c>
      <c r="E196" s="14" t="s">
        <v>271</v>
      </c>
      <c r="F196" s="15" t="s">
        <v>62</v>
      </c>
      <c r="G196" s="14" t="s">
        <v>22</v>
      </c>
      <c r="H196" s="15" t="s">
        <v>23</v>
      </c>
      <c r="I196" s="15" t="s">
        <v>1525</v>
      </c>
      <c r="J196" s="15">
        <v>201409</v>
      </c>
      <c r="K196" s="16">
        <v>0.82</v>
      </c>
      <c r="L196" s="171">
        <f>VLOOKUP(J196,$U$9:$V$23,2)</f>
        <v>9</v>
      </c>
      <c r="M196" s="17">
        <v>1.4833299999999999E-3</v>
      </c>
      <c r="N196" s="16">
        <f>ROUND(K196*L196*M196,2)</f>
        <v>0.01</v>
      </c>
      <c r="O196" s="16">
        <f>ROUND(K196*M196*12,2)</f>
        <v>0.01</v>
      </c>
      <c r="P196" s="14"/>
      <c r="Q196" s="210" t="str">
        <f>VLOOKUP(D196,'WO Descriptions'!$A$5:$D$345,4)</f>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
    </row>
    <row r="197" spans="1:19" outlineLevel="1">
      <c r="A197" s="3" t="s">
        <v>1823</v>
      </c>
      <c r="B197" s="223"/>
      <c r="C197" s="250"/>
      <c r="D197" s="254" t="s">
        <v>1823</v>
      </c>
      <c r="E197" s="223"/>
      <c r="F197" s="250"/>
      <c r="G197" s="223"/>
      <c r="H197" s="250"/>
      <c r="I197" s="250"/>
      <c r="J197" s="250"/>
      <c r="K197" s="251">
        <f>SUBTOTAL(9,K196:K196)</f>
        <v>0.82</v>
      </c>
      <c r="L197" s="252"/>
      <c r="M197" s="253"/>
      <c r="N197" s="251">
        <f>SUBTOTAL(9,N196:N196)</f>
        <v>0.01</v>
      </c>
      <c r="O197" s="251">
        <f>SUBTOTAL(9,O196:O196)</f>
        <v>0.01</v>
      </c>
      <c r="P197" s="223"/>
      <c r="Q197" s="210"/>
      <c r="R197" s="263" t="s">
        <v>2097</v>
      </c>
      <c r="S197" s="263" t="s">
        <v>2098</v>
      </c>
    </row>
    <row r="198" spans="1:19" ht="45" outlineLevel="2">
      <c r="A198" s="3" t="s">
        <v>273</v>
      </c>
      <c r="B198" s="14" t="s">
        <v>17</v>
      </c>
      <c r="C198" s="15" t="s">
        <v>272</v>
      </c>
      <c r="D198" s="15" t="s">
        <v>273</v>
      </c>
      <c r="E198" s="14" t="s">
        <v>274</v>
      </c>
      <c r="F198" s="15" t="s">
        <v>36</v>
      </c>
      <c r="G198" s="14" t="s">
        <v>22</v>
      </c>
      <c r="H198" s="15" t="s">
        <v>23</v>
      </c>
      <c r="I198" s="15" t="s">
        <v>1525</v>
      </c>
      <c r="J198" s="15">
        <v>201409</v>
      </c>
      <c r="K198" s="16">
        <v>-319.74</v>
      </c>
      <c r="L198" s="171">
        <f>VLOOKUP(J198,$U$9:$V$23,2)</f>
        <v>9</v>
      </c>
      <c r="M198" s="17">
        <v>1.4833299999999999E-3</v>
      </c>
      <c r="N198" s="16">
        <f>ROUND(K198*L198*M198,2)</f>
        <v>-4.2699999999999996</v>
      </c>
      <c r="O198" s="16">
        <f>ROUND(K198*M198*12,2)</f>
        <v>-5.69</v>
      </c>
      <c r="P198" s="14"/>
      <c r="Q198" s="210" t="str">
        <f>VLOOKUP(D198,'WO Descriptions'!$A$5:$D$345,4)</f>
        <v>Approved by: Gary Williams on 03/03/2014,  TO LAY 680FT-4PE MAIN TO REPLACE 666FT-4 BARE STEEL MAIN.Due to other leakage on pipe.Cost per foot:$40.16 MOP:14oz MAOP: 21oz Design MAOP:14oz Test Pressure:100 PSIG.</v>
      </c>
    </row>
    <row r="199" spans="1:19" ht="45" outlineLevel="2">
      <c r="A199" s="3" t="s">
        <v>273</v>
      </c>
      <c r="B199" s="14" t="s">
        <v>17</v>
      </c>
      <c r="C199" s="15" t="s">
        <v>272</v>
      </c>
      <c r="D199" s="15" t="s">
        <v>273</v>
      </c>
      <c r="E199" s="14" t="s">
        <v>274</v>
      </c>
      <c r="F199" s="15" t="s">
        <v>36</v>
      </c>
      <c r="G199" s="14" t="s">
        <v>22</v>
      </c>
      <c r="H199" s="15" t="s">
        <v>23</v>
      </c>
      <c r="I199" s="15" t="s">
        <v>1525</v>
      </c>
      <c r="J199" s="15">
        <v>201410</v>
      </c>
      <c r="K199" s="16">
        <v>-30089.42</v>
      </c>
      <c r="L199" s="171">
        <f>VLOOKUP(J199,$U$9:$V$23,2)</f>
        <v>8</v>
      </c>
      <c r="M199" s="17">
        <v>1.4833299999999999E-3</v>
      </c>
      <c r="N199" s="16">
        <f>ROUND(K199*L199*M199,2)</f>
        <v>-357.06</v>
      </c>
      <c r="O199" s="16">
        <f>ROUND(K199*M199*12,2)</f>
        <v>-535.59</v>
      </c>
      <c r="P199" s="14"/>
      <c r="Q199" s="210" t="str">
        <f>VLOOKUP(D199,'WO Descriptions'!$A$5:$D$345,4)</f>
        <v>Approved by: Gary Williams on 03/03/2014,  TO LAY 680FT-4PE MAIN TO REPLACE 666FT-4 BARE STEEL MAIN.Due to other leakage on pipe.Cost per foot:$40.16 MOP:14oz MAOP: 21oz Design MAOP:14oz Test Pressure:100 PSIG.</v>
      </c>
    </row>
    <row r="200" spans="1:19" ht="45" outlineLevel="2">
      <c r="A200" s="3" t="s">
        <v>273</v>
      </c>
      <c r="B200" s="14" t="s">
        <v>54</v>
      </c>
      <c r="C200" s="15" t="s">
        <v>272</v>
      </c>
      <c r="D200" s="15" t="s">
        <v>273</v>
      </c>
      <c r="E200" s="14" t="s">
        <v>274</v>
      </c>
      <c r="F200" s="15" t="s">
        <v>36</v>
      </c>
      <c r="G200" s="14" t="s">
        <v>22</v>
      </c>
      <c r="H200" s="15" t="s">
        <v>23</v>
      </c>
      <c r="I200" s="15" t="s">
        <v>1525</v>
      </c>
      <c r="J200" s="15">
        <v>201410</v>
      </c>
      <c r="K200" s="16">
        <v>30089.42</v>
      </c>
      <c r="L200" s="171">
        <f>VLOOKUP(J200,$U$9:$V$23,2)</f>
        <v>8</v>
      </c>
      <c r="M200" s="17">
        <v>1.4833299999999999E-3</v>
      </c>
      <c r="N200" s="16">
        <f>ROUND(K200*L200*M200,2)</f>
        <v>357.06</v>
      </c>
      <c r="O200" s="16">
        <f>ROUND(K200*M200*12,2)</f>
        <v>535.59</v>
      </c>
      <c r="P200" s="14"/>
      <c r="Q200" s="210" t="str">
        <f>VLOOKUP(D200,'WO Descriptions'!$A$5:$D$345,4)</f>
        <v>Approved by: Gary Williams on 03/03/2014,  TO LAY 680FT-4PE MAIN TO REPLACE 666FT-4 BARE STEEL MAIN.Due to other leakage on pipe.Cost per foot:$40.16 MOP:14oz MAOP: 21oz Design MAOP:14oz Test Pressure:100 PSIG.</v>
      </c>
    </row>
    <row r="201" spans="1:19" outlineLevel="1">
      <c r="A201" s="3" t="s">
        <v>1824</v>
      </c>
      <c r="B201" s="223"/>
      <c r="C201" s="250"/>
      <c r="D201" s="254" t="s">
        <v>1824</v>
      </c>
      <c r="E201" s="223"/>
      <c r="F201" s="250"/>
      <c r="G201" s="223"/>
      <c r="H201" s="250"/>
      <c r="I201" s="250"/>
      <c r="J201" s="250"/>
      <c r="K201" s="251">
        <f>SUBTOTAL(9,K198:K200)</f>
        <v>-319.7400000000016</v>
      </c>
      <c r="L201" s="252"/>
      <c r="M201" s="253"/>
      <c r="N201" s="251">
        <f>SUBTOTAL(9,N198:N200)</f>
        <v>-4.2699999999999818</v>
      </c>
      <c r="O201" s="251">
        <f>SUBTOTAL(9,O198:O200)</f>
        <v>-5.6900000000000546</v>
      </c>
      <c r="P201" s="223"/>
      <c r="Q201" s="210"/>
      <c r="R201" s="263" t="s">
        <v>2097</v>
      </c>
      <c r="S201" s="263" t="s">
        <v>2098</v>
      </c>
    </row>
    <row r="202" spans="1:19" ht="60" outlineLevel="2">
      <c r="A202" s="3" t="s">
        <v>276</v>
      </c>
      <c r="B202" s="14" t="s">
        <v>17</v>
      </c>
      <c r="C202" s="15" t="s">
        <v>275</v>
      </c>
      <c r="D202" s="15" t="s">
        <v>276</v>
      </c>
      <c r="E202" s="14" t="s">
        <v>277</v>
      </c>
      <c r="F202" s="15" t="s">
        <v>40</v>
      </c>
      <c r="G202" s="14" t="s">
        <v>41</v>
      </c>
      <c r="H202" s="15" t="s">
        <v>23</v>
      </c>
      <c r="I202" s="15" t="s">
        <v>1526</v>
      </c>
      <c r="J202" s="15">
        <v>201409</v>
      </c>
      <c r="K202" s="16">
        <v>-955.41</v>
      </c>
      <c r="L202" s="171">
        <f>VLOOKUP(J202,$U$9:$V$23,2)</f>
        <v>9</v>
      </c>
      <c r="M202" s="17">
        <v>1.4833299999999999E-3</v>
      </c>
      <c r="N202" s="16">
        <f>ROUND(K202*L202*M202,2)</f>
        <v>-12.75</v>
      </c>
      <c r="O202" s="16">
        <f>ROUND(K202*M202*12,2)</f>
        <v>-17.010000000000002</v>
      </c>
      <c r="P202" s="14"/>
      <c r="Q202" s="210" t="str">
        <f>VLOOKUP(D202,'WO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203" spans="1:19" ht="60" outlineLevel="2">
      <c r="A203" s="3" t="s">
        <v>276</v>
      </c>
      <c r="B203" s="14" t="s">
        <v>54</v>
      </c>
      <c r="C203" s="15" t="s">
        <v>275</v>
      </c>
      <c r="D203" s="15" t="s">
        <v>276</v>
      </c>
      <c r="E203" s="14" t="s">
        <v>277</v>
      </c>
      <c r="F203" s="15" t="s">
        <v>40</v>
      </c>
      <c r="G203" s="14" t="s">
        <v>41</v>
      </c>
      <c r="H203" s="15" t="s">
        <v>23</v>
      </c>
      <c r="I203" s="15" t="s">
        <v>1526</v>
      </c>
      <c r="J203" s="15">
        <v>201409</v>
      </c>
      <c r="K203" s="16">
        <v>-211.86</v>
      </c>
      <c r="L203" s="171">
        <f>VLOOKUP(J203,$U$9:$V$23,2)</f>
        <v>9</v>
      </c>
      <c r="M203" s="17">
        <v>1.4833299999999999E-3</v>
      </c>
      <c r="N203" s="16">
        <f>ROUND(K203*L203*M203,2)</f>
        <v>-2.83</v>
      </c>
      <c r="O203" s="16">
        <f>ROUND(K203*M203*12,2)</f>
        <v>-3.77</v>
      </c>
      <c r="P203" s="14"/>
      <c r="Q203" s="210" t="str">
        <f>VLOOKUP(D203,'WO Descriptions'!$A$5:$D$345,4)</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row>
    <row r="204" spans="1:19" outlineLevel="1">
      <c r="A204" s="3" t="s">
        <v>1825</v>
      </c>
      <c r="B204" s="223"/>
      <c r="C204" s="250"/>
      <c r="D204" s="254" t="s">
        <v>1825</v>
      </c>
      <c r="E204" s="223"/>
      <c r="F204" s="250"/>
      <c r="G204" s="223"/>
      <c r="H204" s="250"/>
      <c r="I204" s="250"/>
      <c r="J204" s="250"/>
      <c r="K204" s="251">
        <f>SUBTOTAL(9,K202:K203)</f>
        <v>-1167.27</v>
      </c>
      <c r="L204" s="252"/>
      <c r="M204" s="253"/>
      <c r="N204" s="251">
        <f>SUBTOTAL(9,N202:N203)</f>
        <v>-15.58</v>
      </c>
      <c r="O204" s="251">
        <f>SUBTOTAL(9,O202:O203)</f>
        <v>-20.78</v>
      </c>
      <c r="P204" s="223"/>
      <c r="Q204" s="210"/>
      <c r="R204" s="263" t="s">
        <v>2096</v>
      </c>
    </row>
    <row r="205" spans="1:19" ht="45" outlineLevel="2">
      <c r="A205" s="3" t="s">
        <v>279</v>
      </c>
      <c r="B205" s="14" t="s">
        <v>17</v>
      </c>
      <c r="C205" s="15" t="s">
        <v>278</v>
      </c>
      <c r="D205" s="15" t="s">
        <v>279</v>
      </c>
      <c r="E205" s="14" t="s">
        <v>280</v>
      </c>
      <c r="F205" s="15" t="s">
        <v>104</v>
      </c>
      <c r="G205" s="14" t="s">
        <v>41</v>
      </c>
      <c r="H205" s="15" t="s">
        <v>23</v>
      </c>
      <c r="I205" s="15" t="s">
        <v>1526</v>
      </c>
      <c r="J205" s="15">
        <v>201409</v>
      </c>
      <c r="K205" s="16">
        <v>-53.52</v>
      </c>
      <c r="L205" s="171">
        <f>VLOOKUP(J205,$U$9:$V$23,2)</f>
        <v>9</v>
      </c>
      <c r="M205" s="17">
        <v>1.4833299999999999E-3</v>
      </c>
      <c r="N205" s="16">
        <f>ROUND(K205*L205*M205,2)</f>
        <v>-0.71</v>
      </c>
      <c r="O205" s="16">
        <f>ROUND(K205*M205*12,2)</f>
        <v>-0.95</v>
      </c>
      <c r="P205" s="14"/>
      <c r="Q205" s="210" t="str">
        <f>VLOOKUP(D205,'WO Descriptions'!$A$5:$D$345,4)</f>
        <v>Approved by: Ralph Janes on 03/05/2014,  Relocate and abandon 15' - 4" pe main (00-1895) by installing 30' - temporary 2" pe main and then 15' - 4" pe main to allow the rural water district to install a new water tower main and tap. (ISRS)</v>
      </c>
    </row>
    <row r="206" spans="1:19" ht="45" outlineLevel="2">
      <c r="A206" s="3" t="s">
        <v>279</v>
      </c>
      <c r="B206" s="14" t="s">
        <v>17</v>
      </c>
      <c r="C206" s="15" t="s">
        <v>278</v>
      </c>
      <c r="D206" s="15" t="s">
        <v>279</v>
      </c>
      <c r="E206" s="14" t="s">
        <v>280</v>
      </c>
      <c r="F206" s="15" t="s">
        <v>104</v>
      </c>
      <c r="G206" s="14" t="s">
        <v>41</v>
      </c>
      <c r="H206" s="15" t="s">
        <v>23</v>
      </c>
      <c r="I206" s="15" t="s">
        <v>1526</v>
      </c>
      <c r="J206" s="15">
        <v>201412</v>
      </c>
      <c r="K206" s="16">
        <v>-1972.63</v>
      </c>
      <c r="L206" s="171">
        <f>VLOOKUP(J206,$U$9:$V$23,2)</f>
        <v>6</v>
      </c>
      <c r="M206" s="17">
        <v>1.4833299999999999E-3</v>
      </c>
      <c r="N206" s="16">
        <f>ROUND(K206*L206*M206,2)</f>
        <v>-17.559999999999999</v>
      </c>
      <c r="O206" s="16">
        <f>ROUND(K206*M206*12,2)</f>
        <v>-35.11</v>
      </c>
      <c r="P206" s="14"/>
      <c r="Q206" s="210" t="str">
        <f>VLOOKUP(D206,'WO Descriptions'!$A$5:$D$345,4)</f>
        <v>Approved by: Ralph Janes on 03/05/2014,  Relocate and abandon 15' - 4" pe main (00-1895) by installing 30' - temporary 2" pe main and then 15' - 4" pe main to allow the rural water district to install a new water tower main and tap. (ISRS)</v>
      </c>
    </row>
    <row r="207" spans="1:19" ht="45" outlineLevel="2">
      <c r="A207" s="3" t="s">
        <v>279</v>
      </c>
      <c r="B207" s="14" t="s">
        <v>54</v>
      </c>
      <c r="C207" s="15" t="s">
        <v>278</v>
      </c>
      <c r="D207" s="15" t="s">
        <v>279</v>
      </c>
      <c r="E207" s="14" t="s">
        <v>280</v>
      </c>
      <c r="F207" s="15" t="s">
        <v>104</v>
      </c>
      <c r="G207" s="14" t="s">
        <v>41</v>
      </c>
      <c r="H207" s="15" t="s">
        <v>23</v>
      </c>
      <c r="I207" s="15" t="s">
        <v>1526</v>
      </c>
      <c r="J207" s="15">
        <v>201412</v>
      </c>
      <c r="K207" s="16">
        <v>1972.63</v>
      </c>
      <c r="L207" s="171">
        <f>VLOOKUP(J207,$U$9:$V$23,2)</f>
        <v>6</v>
      </c>
      <c r="M207" s="17">
        <v>1.4833299999999999E-3</v>
      </c>
      <c r="N207" s="16">
        <f>ROUND(K207*L207*M207,2)</f>
        <v>17.559999999999999</v>
      </c>
      <c r="O207" s="16">
        <f>ROUND(K207*M207*12,2)</f>
        <v>35.11</v>
      </c>
      <c r="P207" s="14"/>
      <c r="Q207" s="210" t="str">
        <f>VLOOKUP(D207,'WO Descriptions'!$A$5:$D$345,4)</f>
        <v>Approved by: Ralph Janes on 03/05/2014,  Relocate and abandon 15' - 4" pe main (00-1895) by installing 30' - temporary 2" pe main and then 15' - 4" pe main to allow the rural water district to install a new water tower main and tap. (ISRS)</v>
      </c>
    </row>
    <row r="208" spans="1:19" outlineLevel="1">
      <c r="A208" s="3" t="s">
        <v>1826</v>
      </c>
      <c r="B208" s="223"/>
      <c r="C208" s="250"/>
      <c r="D208" s="254" t="s">
        <v>1826</v>
      </c>
      <c r="E208" s="223"/>
      <c r="F208" s="250"/>
      <c r="G208" s="223"/>
      <c r="H208" s="250"/>
      <c r="I208" s="250"/>
      <c r="J208" s="250"/>
      <c r="K208" s="251">
        <f>SUBTOTAL(9,K205:K207)</f>
        <v>-53.519999999999982</v>
      </c>
      <c r="L208" s="252"/>
      <c r="M208" s="253"/>
      <c r="N208" s="251">
        <f>SUBTOTAL(9,N205:N207)</f>
        <v>-0.71000000000000085</v>
      </c>
      <c r="O208" s="251">
        <f>SUBTOTAL(9,O205:O207)</f>
        <v>-0.95000000000000284</v>
      </c>
      <c r="P208" s="223"/>
      <c r="Q208" s="210"/>
      <c r="R208" s="263" t="s">
        <v>2096</v>
      </c>
    </row>
    <row r="209" spans="1:19" ht="105" outlineLevel="2">
      <c r="A209" s="3" t="s">
        <v>282</v>
      </c>
      <c r="B209" s="14" t="s">
        <v>17</v>
      </c>
      <c r="C209" s="15" t="s">
        <v>281</v>
      </c>
      <c r="D209" s="15" t="s">
        <v>282</v>
      </c>
      <c r="E209" s="14" t="s">
        <v>283</v>
      </c>
      <c r="F209" s="15" t="s">
        <v>40</v>
      </c>
      <c r="G209" s="14" t="s">
        <v>41</v>
      </c>
      <c r="H209" s="15" t="s">
        <v>23</v>
      </c>
      <c r="I209" s="15" t="s">
        <v>1526</v>
      </c>
      <c r="J209" s="15">
        <v>201409</v>
      </c>
      <c r="K209" s="16">
        <v>-3433.06</v>
      </c>
      <c r="L209" s="171">
        <f>VLOOKUP(J209,$U$9:$V$23,2)</f>
        <v>9</v>
      </c>
      <c r="M209" s="17">
        <v>1.4833299999999999E-3</v>
      </c>
      <c r="N209" s="16">
        <f>ROUND(K209*L209*M209,2)</f>
        <v>-45.83</v>
      </c>
      <c r="O209" s="16">
        <f>ROUND(K209*M209*12,2)</f>
        <v>-61.11</v>
      </c>
      <c r="P209" s="14"/>
      <c r="Q209" s="210" t="str">
        <f>VLOOKUP(D209,'WO Descriptions'!$A$5:$D$345,4)</f>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
    </row>
    <row r="210" spans="1:19" outlineLevel="1">
      <c r="A210" s="3" t="s">
        <v>1827</v>
      </c>
      <c r="B210" s="223"/>
      <c r="C210" s="250"/>
      <c r="D210" s="254" t="s">
        <v>1827</v>
      </c>
      <c r="E210" s="223"/>
      <c r="F210" s="250"/>
      <c r="G210" s="223"/>
      <c r="H210" s="250"/>
      <c r="I210" s="250"/>
      <c r="J210" s="250"/>
      <c r="K210" s="251">
        <f>SUBTOTAL(9,K209:K209)</f>
        <v>-3433.06</v>
      </c>
      <c r="L210" s="252"/>
      <c r="M210" s="253"/>
      <c r="N210" s="251">
        <f>SUBTOTAL(9,N209:N209)</f>
        <v>-45.83</v>
      </c>
      <c r="O210" s="251">
        <f>SUBTOTAL(9,O209:O209)</f>
        <v>-61.11</v>
      </c>
      <c r="P210" s="223"/>
      <c r="Q210" s="210"/>
      <c r="R210" s="263" t="s">
        <v>2096</v>
      </c>
    </row>
    <row r="211" spans="1:19" ht="75" outlineLevel="2">
      <c r="A211" s="3" t="s">
        <v>285</v>
      </c>
      <c r="B211" s="14" t="s">
        <v>54</v>
      </c>
      <c r="C211" s="15" t="s">
        <v>284</v>
      </c>
      <c r="D211" s="15" t="s">
        <v>285</v>
      </c>
      <c r="E211" s="14" t="s">
        <v>286</v>
      </c>
      <c r="F211" s="15" t="s">
        <v>58</v>
      </c>
      <c r="G211" s="14" t="s">
        <v>22</v>
      </c>
      <c r="H211" s="15" t="s">
        <v>23</v>
      </c>
      <c r="I211" s="15" t="s">
        <v>1525</v>
      </c>
      <c r="J211" s="15">
        <v>201410</v>
      </c>
      <c r="K211" s="16">
        <v>258234.64</v>
      </c>
      <c r="L211" s="171">
        <f>VLOOKUP(J211,$U$9:$V$23,2)</f>
        <v>8</v>
      </c>
      <c r="M211" s="17">
        <v>1.4833299999999999E-3</v>
      </c>
      <c r="N211" s="16">
        <f>ROUND(K211*L211*M211,2)</f>
        <v>3064.38</v>
      </c>
      <c r="O211" s="16">
        <f>ROUND(K211*M211*12,2)</f>
        <v>4596.57</v>
      </c>
      <c r="P211" s="14"/>
      <c r="Q211" s="210" t="str">
        <f>VLOOKUP(D211,'WO Descriptions'!$A$5:$D$345,4)</f>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
    </row>
    <row r="212" spans="1:19" outlineLevel="1">
      <c r="A212" s="3" t="s">
        <v>1828</v>
      </c>
      <c r="B212" s="223"/>
      <c r="C212" s="250"/>
      <c r="D212" s="254" t="s">
        <v>1828</v>
      </c>
      <c r="E212" s="223"/>
      <c r="F212" s="250"/>
      <c r="G212" s="223"/>
      <c r="H212" s="250"/>
      <c r="I212" s="250"/>
      <c r="J212" s="250"/>
      <c r="K212" s="251">
        <f>SUBTOTAL(9,K211:K211)</f>
        <v>258234.64</v>
      </c>
      <c r="L212" s="252"/>
      <c r="M212" s="253"/>
      <c r="N212" s="251">
        <f>SUBTOTAL(9,N211:N211)</f>
        <v>3064.38</v>
      </c>
      <c r="O212" s="251">
        <f>SUBTOTAL(9,O211:O211)</f>
        <v>4596.57</v>
      </c>
      <c r="P212" s="223"/>
      <c r="Q212" s="210"/>
      <c r="R212" s="263" t="s">
        <v>2097</v>
      </c>
      <c r="S212" s="263" t="s">
        <v>2098</v>
      </c>
    </row>
    <row r="213" spans="1:19" ht="60" outlineLevel="2">
      <c r="A213" s="3" t="s">
        <v>288</v>
      </c>
      <c r="B213" s="14" t="s">
        <v>17</v>
      </c>
      <c r="C213" s="15" t="s">
        <v>287</v>
      </c>
      <c r="D213" s="15" t="s">
        <v>288</v>
      </c>
      <c r="E213" s="14" t="s">
        <v>289</v>
      </c>
      <c r="F213" s="15" t="s">
        <v>21</v>
      </c>
      <c r="G213" s="14" t="s">
        <v>22</v>
      </c>
      <c r="H213" s="15" t="s">
        <v>23</v>
      </c>
      <c r="I213" s="15" t="s">
        <v>1525</v>
      </c>
      <c r="J213" s="15">
        <v>201409</v>
      </c>
      <c r="K213" s="16">
        <v>-258.58</v>
      </c>
      <c r="L213" s="171">
        <f>VLOOKUP(J213,$U$9:$V$23,2)</f>
        <v>9</v>
      </c>
      <c r="M213" s="17">
        <v>1.4833299999999999E-3</v>
      </c>
      <c r="N213" s="16">
        <f>ROUND(K213*L213*M213,2)</f>
        <v>-3.45</v>
      </c>
      <c r="O213" s="16">
        <f>ROUND(K213*M213*12,2)</f>
        <v>-4.5999999999999996</v>
      </c>
      <c r="P213" s="14"/>
      <c r="Q213" s="210" t="str">
        <f>VLOOKUP(D213,'WO Descriptions'!$A$5:$D$345,4)</f>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
    </row>
    <row r="214" spans="1:19" outlineLevel="1">
      <c r="A214" s="3" t="s">
        <v>1829</v>
      </c>
      <c r="B214" s="223"/>
      <c r="C214" s="250"/>
      <c r="D214" s="254" t="s">
        <v>1829</v>
      </c>
      <c r="E214" s="223"/>
      <c r="F214" s="250"/>
      <c r="G214" s="223"/>
      <c r="H214" s="250"/>
      <c r="I214" s="250"/>
      <c r="J214" s="250"/>
      <c r="K214" s="251">
        <f>SUBTOTAL(9,K213:K213)</f>
        <v>-258.58</v>
      </c>
      <c r="L214" s="252"/>
      <c r="M214" s="253"/>
      <c r="N214" s="251">
        <f>SUBTOTAL(9,N213:N213)</f>
        <v>-3.45</v>
      </c>
      <c r="O214" s="251">
        <f>SUBTOTAL(9,O213:O213)</f>
        <v>-4.5999999999999996</v>
      </c>
      <c r="P214" s="223"/>
      <c r="Q214" s="210"/>
      <c r="R214" s="263" t="s">
        <v>2097</v>
      </c>
      <c r="S214" s="263" t="s">
        <v>2098</v>
      </c>
    </row>
    <row r="215" spans="1:19" ht="60" outlineLevel="2">
      <c r="A215" s="3" t="s">
        <v>291</v>
      </c>
      <c r="B215" s="14" t="s">
        <v>17</v>
      </c>
      <c r="C215" s="15" t="s">
        <v>290</v>
      </c>
      <c r="D215" s="15" t="s">
        <v>291</v>
      </c>
      <c r="E215" s="14" t="s">
        <v>292</v>
      </c>
      <c r="F215" s="15" t="s">
        <v>62</v>
      </c>
      <c r="G215" s="14" t="s">
        <v>22</v>
      </c>
      <c r="H215" s="15" t="s">
        <v>23</v>
      </c>
      <c r="I215" s="15" t="s">
        <v>1525</v>
      </c>
      <c r="J215" s="15">
        <v>201409</v>
      </c>
      <c r="K215" s="16">
        <v>-309.68</v>
      </c>
      <c r="L215" s="171">
        <f>VLOOKUP(J215,$U$9:$V$23,2)</f>
        <v>9</v>
      </c>
      <c r="M215" s="17">
        <v>1.4833299999999999E-3</v>
      </c>
      <c r="N215" s="16">
        <f>ROUND(K215*L215*M215,2)</f>
        <v>-4.13</v>
      </c>
      <c r="O215" s="16">
        <f>ROUND(K215*M215*12,2)</f>
        <v>-5.51</v>
      </c>
      <c r="P215" s="14"/>
      <c r="Q215" s="210" t="str">
        <f>VLOOKUP(D215,'WO Descriptions'!$A$5:$D$345,4)</f>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
    </row>
    <row r="216" spans="1:19" outlineLevel="1">
      <c r="A216" s="3" t="s">
        <v>1830</v>
      </c>
      <c r="B216" s="223"/>
      <c r="C216" s="250"/>
      <c r="D216" s="254" t="s">
        <v>1830</v>
      </c>
      <c r="E216" s="223"/>
      <c r="F216" s="250"/>
      <c r="G216" s="223"/>
      <c r="H216" s="250"/>
      <c r="I216" s="250"/>
      <c r="J216" s="250"/>
      <c r="K216" s="251">
        <f>SUBTOTAL(9,K215:K215)</f>
        <v>-309.68</v>
      </c>
      <c r="L216" s="252"/>
      <c r="M216" s="253"/>
      <c r="N216" s="251">
        <f>SUBTOTAL(9,N215:N215)</f>
        <v>-4.13</v>
      </c>
      <c r="O216" s="251">
        <f>SUBTOTAL(9,O215:O215)</f>
        <v>-5.51</v>
      </c>
      <c r="P216" s="223"/>
      <c r="Q216" s="210"/>
      <c r="R216" s="263" t="s">
        <v>2097</v>
      </c>
      <c r="S216" s="263" t="s">
        <v>2098</v>
      </c>
    </row>
    <row r="217" spans="1:19" ht="60" outlineLevel="2">
      <c r="A217" s="3" t="s">
        <v>294</v>
      </c>
      <c r="B217" s="14" t="s">
        <v>17</v>
      </c>
      <c r="C217" s="15" t="s">
        <v>293</v>
      </c>
      <c r="D217" s="15" t="s">
        <v>294</v>
      </c>
      <c r="E217" s="14" t="s">
        <v>295</v>
      </c>
      <c r="F217" s="15" t="s">
        <v>296</v>
      </c>
      <c r="G217" s="14" t="s">
        <v>28</v>
      </c>
      <c r="H217" s="15" t="s">
        <v>23</v>
      </c>
      <c r="I217" s="15" t="s">
        <v>1525</v>
      </c>
      <c r="J217" s="15">
        <v>201409</v>
      </c>
      <c r="K217" s="16">
        <v>-79.17</v>
      </c>
      <c r="L217" s="171">
        <f>VLOOKUP(J217,$U$9:$V$23,2)</f>
        <v>9</v>
      </c>
      <c r="M217" s="17">
        <v>1.4833299999999999E-3</v>
      </c>
      <c r="N217" s="16">
        <f>ROUND(K217*L217*M217,2)</f>
        <v>-1.06</v>
      </c>
      <c r="O217" s="16">
        <f>ROUND(K217*M217*12,2)</f>
        <v>-1.41</v>
      </c>
      <c r="P217" s="14"/>
      <c r="Q217" s="210" t="str">
        <f>VLOOKUP(D217,'WO Descriptions'!$A$5:$D$345,4)</f>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
    </row>
    <row r="218" spans="1:19" outlineLevel="1">
      <c r="A218" s="3" t="s">
        <v>1831</v>
      </c>
      <c r="B218" s="223"/>
      <c r="C218" s="250"/>
      <c r="D218" s="254" t="s">
        <v>1831</v>
      </c>
      <c r="E218" s="223"/>
      <c r="F218" s="250"/>
      <c r="G218" s="223"/>
      <c r="H218" s="250"/>
      <c r="I218" s="250"/>
      <c r="J218" s="250"/>
      <c r="K218" s="251">
        <f>SUBTOTAL(9,K217:K217)</f>
        <v>-79.17</v>
      </c>
      <c r="L218" s="252"/>
      <c r="M218" s="253"/>
      <c r="N218" s="251">
        <f>SUBTOTAL(9,N217:N217)</f>
        <v>-1.06</v>
      </c>
      <c r="O218" s="251">
        <f>SUBTOTAL(9,O217:O217)</f>
        <v>-1.41</v>
      </c>
      <c r="P218" s="223"/>
      <c r="Q218" s="210"/>
      <c r="R218" s="263" t="s">
        <v>2097</v>
      </c>
      <c r="S218" s="263" t="s">
        <v>2099</v>
      </c>
    </row>
    <row r="219" spans="1:19" ht="60" outlineLevel="2">
      <c r="A219" s="3" t="s">
        <v>298</v>
      </c>
      <c r="B219" s="14" t="s">
        <v>17</v>
      </c>
      <c r="C219" s="15" t="s">
        <v>297</v>
      </c>
      <c r="D219" s="15" t="s">
        <v>298</v>
      </c>
      <c r="E219" s="14" t="s">
        <v>299</v>
      </c>
      <c r="F219" s="15" t="s">
        <v>21</v>
      </c>
      <c r="G219" s="14" t="s">
        <v>22</v>
      </c>
      <c r="H219" s="15" t="s">
        <v>23</v>
      </c>
      <c r="I219" s="15" t="s">
        <v>1525</v>
      </c>
      <c r="J219" s="15">
        <v>201409</v>
      </c>
      <c r="K219" s="16">
        <v>-1027.9100000000001</v>
      </c>
      <c r="L219" s="171">
        <f>VLOOKUP(J219,$U$9:$V$23,2)</f>
        <v>9</v>
      </c>
      <c r="M219" s="17">
        <v>1.4833299999999999E-3</v>
      </c>
      <c r="N219" s="16">
        <f>ROUND(K219*L219*M219,2)</f>
        <v>-13.72</v>
      </c>
      <c r="O219" s="16">
        <f>ROUND(K219*M219*12,2)</f>
        <v>-18.3</v>
      </c>
      <c r="P219" s="14"/>
      <c r="Q219" s="210" t="str">
        <f>VLOOKUP(D219,'WO Descriptions'!$A$5:$D$345,4)</f>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
    </row>
    <row r="220" spans="1:19" outlineLevel="1">
      <c r="A220" s="3" t="s">
        <v>1832</v>
      </c>
      <c r="B220" s="223"/>
      <c r="C220" s="250"/>
      <c r="D220" s="254" t="s">
        <v>1832</v>
      </c>
      <c r="E220" s="223"/>
      <c r="F220" s="250"/>
      <c r="G220" s="223"/>
      <c r="H220" s="250"/>
      <c r="I220" s="250"/>
      <c r="J220" s="250"/>
      <c r="K220" s="251">
        <f>SUBTOTAL(9,K219:K219)</f>
        <v>-1027.9100000000001</v>
      </c>
      <c r="L220" s="252"/>
      <c r="M220" s="253"/>
      <c r="N220" s="251">
        <f>SUBTOTAL(9,N219:N219)</f>
        <v>-13.72</v>
      </c>
      <c r="O220" s="251">
        <f>SUBTOTAL(9,O219:O219)</f>
        <v>-18.3</v>
      </c>
      <c r="P220" s="223"/>
      <c r="Q220" s="210"/>
      <c r="R220" s="263" t="s">
        <v>2097</v>
      </c>
      <c r="S220" s="263" t="s">
        <v>2098</v>
      </c>
    </row>
    <row r="221" spans="1:19" ht="45" outlineLevel="2">
      <c r="A221" s="3" t="s">
        <v>301</v>
      </c>
      <c r="B221" s="14" t="s">
        <v>17</v>
      </c>
      <c r="C221" s="15" t="s">
        <v>300</v>
      </c>
      <c r="D221" s="15" t="s">
        <v>301</v>
      </c>
      <c r="E221" s="14" t="s">
        <v>302</v>
      </c>
      <c r="F221" s="15" t="s">
        <v>141</v>
      </c>
      <c r="G221" s="14" t="s">
        <v>142</v>
      </c>
      <c r="H221" s="15" t="s">
        <v>23</v>
      </c>
      <c r="I221" s="15" t="s">
        <v>1525</v>
      </c>
      <c r="J221" s="15">
        <v>201409</v>
      </c>
      <c r="K221" s="16">
        <v>-683.05</v>
      </c>
      <c r="L221" s="171">
        <f>VLOOKUP(J221,$U$9:$V$23,2)</f>
        <v>9</v>
      </c>
      <c r="M221" s="17">
        <v>1.4833299999999999E-3</v>
      </c>
      <c r="N221" s="16">
        <f>ROUND(K221*L221*M221,2)</f>
        <v>-9.1199999999999992</v>
      </c>
      <c r="O221" s="16">
        <f>ROUND(K221*M221*12,2)</f>
        <v>-12.16</v>
      </c>
      <c r="P221" s="14"/>
      <c r="Q221" s="210" t="str">
        <f>VLOOKUP(D221,'WO Descriptions'!$A$5:$D$345,4)</f>
        <v>Approved by: Kevin Driskell on 12/16/2013,  AOR.  Replace 35' of 4in CI with PE main.  CI is in angle of repose due to 12' of parallel excavation next to main.  This project must be completed by Feb 16, 2014.  AOR happened 119' SSCB of 45th Street.  Tie-over 1 service at 4505 Agnes.</v>
      </c>
    </row>
    <row r="222" spans="1:19" outlineLevel="1">
      <c r="A222" s="3" t="s">
        <v>1833</v>
      </c>
      <c r="B222" s="223"/>
      <c r="C222" s="250"/>
      <c r="D222" s="254" t="s">
        <v>1833</v>
      </c>
      <c r="E222" s="223"/>
      <c r="F222" s="250"/>
      <c r="G222" s="223"/>
      <c r="H222" s="250"/>
      <c r="I222" s="250"/>
      <c r="J222" s="250"/>
      <c r="K222" s="251">
        <f>SUBTOTAL(9,K221:K221)</f>
        <v>-683.05</v>
      </c>
      <c r="L222" s="252"/>
      <c r="M222" s="253"/>
      <c r="N222" s="251">
        <f>SUBTOTAL(9,N221:N221)</f>
        <v>-9.1199999999999992</v>
      </c>
      <c r="O222" s="251">
        <f>SUBTOTAL(9,O221:O221)</f>
        <v>-12.16</v>
      </c>
      <c r="P222" s="223"/>
      <c r="Q222" s="210"/>
      <c r="R222" s="263" t="s">
        <v>2097</v>
      </c>
      <c r="S222" s="263" t="s">
        <v>2100</v>
      </c>
    </row>
    <row r="223" spans="1:19" ht="90" outlineLevel="2">
      <c r="A223" s="3" t="s">
        <v>1025</v>
      </c>
      <c r="B223" s="14" t="s">
        <v>17</v>
      </c>
      <c r="C223" s="15" t="s">
        <v>1024</v>
      </c>
      <c r="D223" s="15" t="s">
        <v>1025</v>
      </c>
      <c r="E223" s="14" t="s">
        <v>1026</v>
      </c>
      <c r="F223" s="15" t="s">
        <v>216</v>
      </c>
      <c r="G223" s="14" t="s">
        <v>22</v>
      </c>
      <c r="H223" s="15" t="s">
        <v>23</v>
      </c>
      <c r="I223" s="15" t="s">
        <v>1525</v>
      </c>
      <c r="J223" s="15">
        <v>201412</v>
      </c>
      <c r="K223" s="16">
        <v>48840.31</v>
      </c>
      <c r="L223" s="171">
        <f>VLOOKUP(J223,$U$9:$V$23,2)</f>
        <v>6</v>
      </c>
      <c r="M223" s="17">
        <v>1.4833299999999999E-3</v>
      </c>
      <c r="N223" s="16">
        <f>ROUND(K223*L223*M223,2)</f>
        <v>434.68</v>
      </c>
      <c r="O223" s="16">
        <f>ROUND(K223*M223*12,2)</f>
        <v>869.36</v>
      </c>
      <c r="P223" s="14"/>
      <c r="Q223" s="210" t="str">
        <f>VLOOKUP(D223,'WO Descriptions'!$A$5:$D$345,4)</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row>
    <row r="224" spans="1:19" outlineLevel="1">
      <c r="A224" s="3" t="s">
        <v>1834</v>
      </c>
      <c r="B224" s="223"/>
      <c r="C224" s="250"/>
      <c r="D224" s="254" t="s">
        <v>1834</v>
      </c>
      <c r="E224" s="223"/>
      <c r="F224" s="250"/>
      <c r="G224" s="223"/>
      <c r="H224" s="250"/>
      <c r="I224" s="250"/>
      <c r="J224" s="250"/>
      <c r="K224" s="251">
        <f>SUBTOTAL(9,K223:K223)</f>
        <v>48840.31</v>
      </c>
      <c r="L224" s="252"/>
      <c r="M224" s="253"/>
      <c r="N224" s="251">
        <f>SUBTOTAL(9,N223:N223)</f>
        <v>434.68</v>
      </c>
      <c r="O224" s="251">
        <f>SUBTOTAL(9,O223:O223)</f>
        <v>869.36</v>
      </c>
      <c r="P224" s="223"/>
      <c r="Q224" s="210"/>
      <c r="R224" s="263" t="s">
        <v>2097</v>
      </c>
      <c r="S224" s="263" t="s">
        <v>2098</v>
      </c>
    </row>
    <row r="225" spans="1:19" ht="75" outlineLevel="2">
      <c r="A225" s="3" t="s">
        <v>304</v>
      </c>
      <c r="B225" s="14" t="s">
        <v>54</v>
      </c>
      <c r="C225" s="15" t="s">
        <v>303</v>
      </c>
      <c r="D225" s="15" t="s">
        <v>304</v>
      </c>
      <c r="E225" s="14" t="s">
        <v>305</v>
      </c>
      <c r="F225" s="15" t="s">
        <v>104</v>
      </c>
      <c r="G225" s="14" t="s">
        <v>41</v>
      </c>
      <c r="H225" s="15" t="s">
        <v>23</v>
      </c>
      <c r="I225" s="15" t="s">
        <v>1526</v>
      </c>
      <c r="J225" s="15">
        <v>201409</v>
      </c>
      <c r="K225" s="16">
        <v>-52.25</v>
      </c>
      <c r="L225" s="171">
        <f>VLOOKUP(J225,$U$9:$V$23,2)</f>
        <v>9</v>
      </c>
      <c r="M225" s="17">
        <v>1.4833299999999999E-3</v>
      </c>
      <c r="N225" s="16">
        <f>ROUND(K225*L225*M225,2)</f>
        <v>-0.7</v>
      </c>
      <c r="O225" s="16">
        <f>ROUND(K225*M225*12,2)</f>
        <v>-0.93</v>
      </c>
      <c r="P225" s="14"/>
      <c r="Q225" s="210" t="str">
        <f>VLOOKUP(D225,'WO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226" spans="1:19" ht="75" outlineLevel="2">
      <c r="A226" s="3" t="s">
        <v>304</v>
      </c>
      <c r="B226" s="14" t="s">
        <v>54</v>
      </c>
      <c r="C226" s="15" t="s">
        <v>303</v>
      </c>
      <c r="D226" s="15" t="s">
        <v>304</v>
      </c>
      <c r="E226" s="14" t="s">
        <v>305</v>
      </c>
      <c r="F226" s="15" t="s">
        <v>104</v>
      </c>
      <c r="G226" s="14" t="s">
        <v>41</v>
      </c>
      <c r="H226" s="15" t="s">
        <v>23</v>
      </c>
      <c r="I226" s="15" t="s">
        <v>1526</v>
      </c>
      <c r="J226" s="15">
        <v>201411</v>
      </c>
      <c r="K226" s="16">
        <v>0</v>
      </c>
      <c r="L226" s="171">
        <f>VLOOKUP(J226,$U$9:$V$23,2)</f>
        <v>7</v>
      </c>
      <c r="M226" s="17">
        <v>1.4833299999999999E-3</v>
      </c>
      <c r="N226" s="16">
        <f>ROUND(K226*L226*M226,2)</f>
        <v>0</v>
      </c>
      <c r="O226" s="16">
        <f>ROUND(K226*M226*12,2)</f>
        <v>0</v>
      </c>
      <c r="P226" s="14"/>
      <c r="Q226" s="210" t="str">
        <f>VLOOKUP(D226,'WO Descriptions'!$A$5:$D$345,4)</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row>
    <row r="227" spans="1:19" outlineLevel="1">
      <c r="A227" s="3" t="s">
        <v>1835</v>
      </c>
      <c r="B227" s="223"/>
      <c r="C227" s="250"/>
      <c r="D227" s="254" t="s">
        <v>1835</v>
      </c>
      <c r="E227" s="223"/>
      <c r="F227" s="250"/>
      <c r="G227" s="223"/>
      <c r="H227" s="250"/>
      <c r="I227" s="250"/>
      <c r="J227" s="250"/>
      <c r="K227" s="251">
        <f>SUBTOTAL(9,K225:K226)</f>
        <v>-52.25</v>
      </c>
      <c r="L227" s="252"/>
      <c r="M227" s="253"/>
      <c r="N227" s="251">
        <f>SUBTOTAL(9,N225:N226)</f>
        <v>-0.7</v>
      </c>
      <c r="O227" s="251">
        <f>SUBTOTAL(9,O225:O226)</f>
        <v>-0.93</v>
      </c>
      <c r="P227" s="223"/>
      <c r="Q227" s="210"/>
      <c r="R227" s="263" t="s">
        <v>2096</v>
      </c>
    </row>
    <row r="228" spans="1:19" ht="30" outlineLevel="2">
      <c r="A228" s="3" t="s">
        <v>307</v>
      </c>
      <c r="B228" s="14" t="s">
        <v>54</v>
      </c>
      <c r="C228" s="15" t="s">
        <v>306</v>
      </c>
      <c r="D228" s="15" t="s">
        <v>307</v>
      </c>
      <c r="E228" s="14" t="s">
        <v>308</v>
      </c>
      <c r="F228" s="15" t="s">
        <v>36</v>
      </c>
      <c r="G228" s="14" t="s">
        <v>22</v>
      </c>
      <c r="H228" s="15" t="s">
        <v>23</v>
      </c>
      <c r="I228" s="15" t="s">
        <v>1525</v>
      </c>
      <c r="J228" s="15">
        <v>201409</v>
      </c>
      <c r="K228" s="16">
        <v>-195.22</v>
      </c>
      <c r="L228" s="171">
        <f>VLOOKUP(J228,$U$9:$V$23,2)</f>
        <v>9</v>
      </c>
      <c r="M228" s="17">
        <v>1.4833299999999999E-3</v>
      </c>
      <c r="N228" s="16">
        <f>ROUND(K228*L228*M228,2)</f>
        <v>-2.61</v>
      </c>
      <c r="O228" s="16">
        <f>ROUND(K228*M228*12,2)</f>
        <v>-3.47</v>
      </c>
      <c r="P228" s="14"/>
      <c r="Q228" s="210" t="str">
        <f>VLOOKUP(D228,'WO Descriptions'!$A$5:$D$345,4)</f>
        <v>Approved by: Gary Williams on 03/14/2014,  TO lay 288FT-2IN PE main to replace 288FT-2IN PBS (WO#35207) due to down project.</v>
      </c>
    </row>
    <row r="229" spans="1:19" ht="30" outlineLevel="2">
      <c r="A229" s="3" t="s">
        <v>307</v>
      </c>
      <c r="B229" s="14" t="s">
        <v>54</v>
      </c>
      <c r="C229" s="15" t="s">
        <v>306</v>
      </c>
      <c r="D229" s="15" t="s">
        <v>307</v>
      </c>
      <c r="E229" s="14" t="s">
        <v>308</v>
      </c>
      <c r="F229" s="15" t="s">
        <v>36</v>
      </c>
      <c r="G229" s="14" t="s">
        <v>22</v>
      </c>
      <c r="H229" s="15" t="s">
        <v>23</v>
      </c>
      <c r="I229" s="15" t="s">
        <v>1525</v>
      </c>
      <c r="J229" s="15">
        <v>201410</v>
      </c>
      <c r="K229" s="16">
        <v>0</v>
      </c>
      <c r="L229" s="171">
        <f>VLOOKUP(J229,$U$9:$V$23,2)</f>
        <v>8</v>
      </c>
      <c r="M229" s="17">
        <v>1.4833299999999999E-3</v>
      </c>
      <c r="N229" s="16">
        <f>ROUND(K229*L229*M229,2)</f>
        <v>0</v>
      </c>
      <c r="O229" s="16">
        <f>ROUND(K229*M229*12,2)</f>
        <v>0</v>
      </c>
      <c r="P229" s="14"/>
      <c r="Q229" s="210" t="str">
        <f>VLOOKUP(D229,'WO Descriptions'!$A$5:$D$345,4)</f>
        <v>Approved by: Gary Williams on 03/14/2014,  TO lay 288FT-2IN PE main to replace 288FT-2IN PBS (WO#35207) due to down project.</v>
      </c>
    </row>
    <row r="230" spans="1:19" outlineLevel="1">
      <c r="A230" s="3" t="s">
        <v>1836</v>
      </c>
      <c r="B230" s="223"/>
      <c r="C230" s="250"/>
      <c r="D230" s="254" t="s">
        <v>1836</v>
      </c>
      <c r="E230" s="223"/>
      <c r="F230" s="250"/>
      <c r="G230" s="223"/>
      <c r="H230" s="250"/>
      <c r="I230" s="250"/>
      <c r="J230" s="250"/>
      <c r="K230" s="251">
        <f>SUBTOTAL(9,K228:K229)</f>
        <v>-195.22</v>
      </c>
      <c r="L230" s="252"/>
      <c r="M230" s="253"/>
      <c r="N230" s="251">
        <f>SUBTOTAL(9,N228:N229)</f>
        <v>-2.61</v>
      </c>
      <c r="O230" s="251">
        <f>SUBTOTAL(9,O228:O229)</f>
        <v>-3.47</v>
      </c>
      <c r="P230" s="223"/>
      <c r="Q230" s="210"/>
      <c r="R230" s="263" t="s">
        <v>2097</v>
      </c>
      <c r="S230" s="263" t="s">
        <v>2098</v>
      </c>
    </row>
    <row r="231" spans="1:19" ht="75" outlineLevel="2">
      <c r="A231" s="3" t="s">
        <v>310</v>
      </c>
      <c r="B231" s="14" t="s">
        <v>54</v>
      </c>
      <c r="C231" s="15" t="s">
        <v>309</v>
      </c>
      <c r="D231" s="15" t="s">
        <v>310</v>
      </c>
      <c r="E231" s="14" t="s">
        <v>311</v>
      </c>
      <c r="F231" s="15" t="s">
        <v>216</v>
      </c>
      <c r="G231" s="14" t="s">
        <v>22</v>
      </c>
      <c r="H231" s="15" t="s">
        <v>23</v>
      </c>
      <c r="I231" s="15" t="s">
        <v>1525</v>
      </c>
      <c r="J231" s="15">
        <v>201411</v>
      </c>
      <c r="K231" s="16">
        <v>40780.9</v>
      </c>
      <c r="L231" s="171">
        <f>VLOOKUP(J231,$U$9:$V$23,2)</f>
        <v>7</v>
      </c>
      <c r="M231" s="17">
        <v>1.4833299999999999E-3</v>
      </c>
      <c r="N231" s="16">
        <f>ROUND(K231*L231*M231,2)</f>
        <v>423.44</v>
      </c>
      <c r="O231" s="16">
        <f>ROUND(K231*M231*12,2)</f>
        <v>725.9</v>
      </c>
      <c r="P231" s="14"/>
      <c r="Q231" s="210" t="str">
        <f>VLOOKUP(D231,'WO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232" spans="1:19" ht="75" outlineLevel="2">
      <c r="A232" s="3" t="s">
        <v>310</v>
      </c>
      <c r="B232" s="14" t="s">
        <v>54</v>
      </c>
      <c r="C232" s="15" t="s">
        <v>309</v>
      </c>
      <c r="D232" s="15" t="s">
        <v>310</v>
      </c>
      <c r="E232" s="14" t="s">
        <v>311</v>
      </c>
      <c r="F232" s="15" t="s">
        <v>216</v>
      </c>
      <c r="G232" s="14" t="s">
        <v>22</v>
      </c>
      <c r="H232" s="15" t="s">
        <v>23</v>
      </c>
      <c r="I232" s="15" t="s">
        <v>1525</v>
      </c>
      <c r="J232" s="15">
        <v>201412</v>
      </c>
      <c r="K232" s="16">
        <v>-104.47</v>
      </c>
      <c r="L232" s="171">
        <f>VLOOKUP(J232,$U$9:$V$23,2)</f>
        <v>6</v>
      </c>
      <c r="M232" s="17">
        <v>1.4833299999999999E-3</v>
      </c>
      <c r="N232" s="16">
        <f>ROUND(K232*L232*M232,2)</f>
        <v>-0.93</v>
      </c>
      <c r="O232" s="16">
        <f>ROUND(K232*M232*12,2)</f>
        <v>-1.86</v>
      </c>
      <c r="P232" s="14"/>
      <c r="Q232" s="210" t="str">
        <f>VLOOKUP(D232,'WO Descriptions'!$A$5:$D$345,4)</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row>
    <row r="233" spans="1:19" outlineLevel="1">
      <c r="A233" s="3" t="s">
        <v>1837</v>
      </c>
      <c r="B233" s="223"/>
      <c r="C233" s="250"/>
      <c r="D233" s="254" t="s">
        <v>1837</v>
      </c>
      <c r="E233" s="223"/>
      <c r="F233" s="250"/>
      <c r="G233" s="223"/>
      <c r="H233" s="250"/>
      <c r="I233" s="250"/>
      <c r="J233" s="250"/>
      <c r="K233" s="251">
        <f>SUBTOTAL(9,K231:K232)</f>
        <v>40676.43</v>
      </c>
      <c r="L233" s="252"/>
      <c r="M233" s="253"/>
      <c r="N233" s="251">
        <f>SUBTOTAL(9,N231:N232)</f>
        <v>422.51</v>
      </c>
      <c r="O233" s="251">
        <f>SUBTOTAL(9,O231:O232)</f>
        <v>724.04</v>
      </c>
      <c r="P233" s="223"/>
      <c r="Q233" s="210"/>
      <c r="R233" s="263" t="s">
        <v>2097</v>
      </c>
      <c r="S233" s="263" t="s">
        <v>2098</v>
      </c>
    </row>
    <row r="234" spans="1:19" ht="45" outlineLevel="2">
      <c r="A234" s="3" t="s">
        <v>313</v>
      </c>
      <c r="B234" s="14" t="s">
        <v>17</v>
      </c>
      <c r="C234" s="15" t="s">
        <v>312</v>
      </c>
      <c r="D234" s="15" t="s">
        <v>313</v>
      </c>
      <c r="E234" s="14" t="s">
        <v>314</v>
      </c>
      <c r="F234" s="15" t="s">
        <v>176</v>
      </c>
      <c r="G234" s="14" t="s">
        <v>28</v>
      </c>
      <c r="H234" s="15" t="s">
        <v>23</v>
      </c>
      <c r="I234" s="15" t="s">
        <v>1525</v>
      </c>
      <c r="J234" s="15">
        <v>201409</v>
      </c>
      <c r="K234" s="16">
        <v>5.0199999999999996</v>
      </c>
      <c r="L234" s="171">
        <f>VLOOKUP(J234,$U$9:$V$23,2)</f>
        <v>9</v>
      </c>
      <c r="M234" s="17">
        <v>1.4833299999999999E-3</v>
      </c>
      <c r="N234" s="16">
        <f>ROUND(K234*L234*M234,2)</f>
        <v>7.0000000000000007E-2</v>
      </c>
      <c r="O234" s="16">
        <f>ROUND(K234*M234*12,2)</f>
        <v>0.09</v>
      </c>
      <c r="P234" s="14"/>
      <c r="Q234" s="210" t="str">
        <f>VLOOKUP(D234,'WO Descriptions'!$A$5:$D$345,4)</f>
        <v>Approved by: Galen Shoemaker on 10/08/2013,  To replace 5ft of 2in Plastic Main from WO 72-6600 with 2in Plastic to repair a third party damage on leak #13-133. Service was interrupted to five homes and there was loss of blowing gas. MOP=30# MAOP=30# SYSTEM=S-6 TEST=100#</v>
      </c>
    </row>
    <row r="235" spans="1:19" outlineLevel="1">
      <c r="A235" s="3" t="s">
        <v>1838</v>
      </c>
      <c r="B235" s="223"/>
      <c r="C235" s="250"/>
      <c r="D235" s="254" t="s">
        <v>1838</v>
      </c>
      <c r="E235" s="223"/>
      <c r="F235" s="250"/>
      <c r="G235" s="223"/>
      <c r="H235" s="250"/>
      <c r="I235" s="250"/>
      <c r="J235" s="250"/>
      <c r="K235" s="251">
        <f>SUBTOTAL(9,K234:K234)</f>
        <v>5.0199999999999996</v>
      </c>
      <c r="L235" s="252"/>
      <c r="M235" s="253"/>
      <c r="N235" s="251">
        <f>SUBTOTAL(9,N234:N234)</f>
        <v>7.0000000000000007E-2</v>
      </c>
      <c r="O235" s="251">
        <f>SUBTOTAL(9,O234:O234)</f>
        <v>0.09</v>
      </c>
      <c r="P235" s="223"/>
      <c r="Q235" s="210"/>
      <c r="R235" s="263" t="s">
        <v>2097</v>
      </c>
      <c r="S235" s="263" t="s">
        <v>2099</v>
      </c>
    </row>
    <row r="236" spans="1:19" ht="60" outlineLevel="2">
      <c r="A236" s="3" t="s">
        <v>316</v>
      </c>
      <c r="B236" s="14" t="s">
        <v>17</v>
      </c>
      <c r="C236" s="15" t="s">
        <v>315</v>
      </c>
      <c r="D236" s="15" t="s">
        <v>316</v>
      </c>
      <c r="E236" s="14" t="s">
        <v>317</v>
      </c>
      <c r="F236" s="15" t="s">
        <v>141</v>
      </c>
      <c r="G236" s="14" t="s">
        <v>142</v>
      </c>
      <c r="H236" s="15" t="s">
        <v>23</v>
      </c>
      <c r="I236" s="15" t="s">
        <v>1525</v>
      </c>
      <c r="J236" s="15">
        <v>201409</v>
      </c>
      <c r="K236" s="16">
        <v>-417.76</v>
      </c>
      <c r="L236" s="171">
        <f>VLOOKUP(J236,$U$9:$V$23,2)</f>
        <v>9</v>
      </c>
      <c r="M236" s="17">
        <v>1.4833299999999999E-3</v>
      </c>
      <c r="N236" s="16">
        <f>ROUND(K236*L236*M236,2)</f>
        <v>-5.58</v>
      </c>
      <c r="O236" s="16">
        <f>ROUND(K236*M236*12,2)</f>
        <v>-7.44</v>
      </c>
      <c r="P236" s="14"/>
      <c r="Q236" s="210" t="str">
        <f>VLOOKUP(D236,'WO Descriptions'!$A$5:$D$345,4)</f>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
    </row>
    <row r="237" spans="1:19" outlineLevel="1">
      <c r="A237" s="3" t="s">
        <v>1839</v>
      </c>
      <c r="B237" s="223"/>
      <c r="C237" s="250"/>
      <c r="D237" s="254" t="s">
        <v>1839</v>
      </c>
      <c r="E237" s="223"/>
      <c r="F237" s="250"/>
      <c r="G237" s="223"/>
      <c r="H237" s="250"/>
      <c r="I237" s="250"/>
      <c r="J237" s="250"/>
      <c r="K237" s="251">
        <f>SUBTOTAL(9,K236:K236)</f>
        <v>-417.76</v>
      </c>
      <c r="L237" s="252"/>
      <c r="M237" s="253"/>
      <c r="N237" s="251">
        <f>SUBTOTAL(9,N236:N236)</f>
        <v>-5.58</v>
      </c>
      <c r="O237" s="251">
        <f>SUBTOTAL(9,O236:O236)</f>
        <v>-7.44</v>
      </c>
      <c r="P237" s="223"/>
      <c r="Q237" s="210"/>
      <c r="R237" s="263" t="s">
        <v>2097</v>
      </c>
      <c r="S237" s="263" t="s">
        <v>2100</v>
      </c>
    </row>
    <row r="238" spans="1:19" ht="45" outlineLevel="2">
      <c r="A238" s="3" t="s">
        <v>319</v>
      </c>
      <c r="B238" s="14" t="s">
        <v>17</v>
      </c>
      <c r="C238" s="15" t="s">
        <v>318</v>
      </c>
      <c r="D238" s="15" t="s">
        <v>319</v>
      </c>
      <c r="E238" s="14" t="s">
        <v>320</v>
      </c>
      <c r="F238" s="15" t="s">
        <v>141</v>
      </c>
      <c r="G238" s="14" t="s">
        <v>142</v>
      </c>
      <c r="H238" s="15" t="s">
        <v>23</v>
      </c>
      <c r="I238" s="15" t="s">
        <v>1525</v>
      </c>
      <c r="J238" s="15">
        <v>201409</v>
      </c>
      <c r="K238" s="16">
        <v>-427.59</v>
      </c>
      <c r="L238" s="171">
        <f>VLOOKUP(J238,$U$9:$V$23,2)</f>
        <v>9</v>
      </c>
      <c r="M238" s="17">
        <v>1.4833299999999999E-3</v>
      </c>
      <c r="N238" s="16">
        <f>ROUND(K238*L238*M238,2)</f>
        <v>-5.71</v>
      </c>
      <c r="O238" s="16">
        <f>ROUND(K238*M238*12,2)</f>
        <v>-7.61</v>
      </c>
      <c r="P238" s="14"/>
      <c r="Q238" s="210" t="str">
        <f>VLOOKUP(D238,'WO Descriptions'!$A$5:$D$345,4)</f>
        <v>Approved by: Kevin Driskell on 10/15/2013,  AOR.  This job must be completed by Dec 19, 2013.  Replace 6" CI with 30' of 6in PE due to parallel excavation.  Retire 30'-6in CI, WO A1585, year 1926.</v>
      </c>
    </row>
    <row r="239" spans="1:19" outlineLevel="1">
      <c r="A239" s="3" t="s">
        <v>1840</v>
      </c>
      <c r="B239" s="223"/>
      <c r="C239" s="250"/>
      <c r="D239" s="254" t="s">
        <v>1840</v>
      </c>
      <c r="E239" s="223"/>
      <c r="F239" s="250"/>
      <c r="G239" s="223"/>
      <c r="H239" s="250"/>
      <c r="I239" s="250"/>
      <c r="J239" s="250"/>
      <c r="K239" s="251">
        <f>SUBTOTAL(9,K238:K238)</f>
        <v>-427.59</v>
      </c>
      <c r="L239" s="252"/>
      <c r="M239" s="253"/>
      <c r="N239" s="251">
        <f>SUBTOTAL(9,N238:N238)</f>
        <v>-5.71</v>
      </c>
      <c r="O239" s="251">
        <f>SUBTOTAL(9,O238:O238)</f>
        <v>-7.61</v>
      </c>
      <c r="P239" s="223"/>
      <c r="Q239" s="210"/>
      <c r="R239" s="263" t="s">
        <v>2097</v>
      </c>
      <c r="S239" s="263" t="s">
        <v>2100</v>
      </c>
    </row>
    <row r="240" spans="1:19" ht="105" outlineLevel="2">
      <c r="A240" s="3" t="s">
        <v>322</v>
      </c>
      <c r="B240" s="14" t="s">
        <v>17</v>
      </c>
      <c r="C240" s="15" t="s">
        <v>321</v>
      </c>
      <c r="D240" s="15" t="s">
        <v>322</v>
      </c>
      <c r="E240" s="14" t="s">
        <v>323</v>
      </c>
      <c r="F240" s="15" t="s">
        <v>324</v>
      </c>
      <c r="G240" s="14" t="s">
        <v>325</v>
      </c>
      <c r="H240" s="15" t="s">
        <v>23</v>
      </c>
      <c r="I240" s="15" t="s">
        <v>1525</v>
      </c>
      <c r="J240" s="15">
        <v>201409</v>
      </c>
      <c r="K240" s="16">
        <v>-370.12</v>
      </c>
      <c r="L240" s="171">
        <f>VLOOKUP(J240,$U$9:$V$23,2)</f>
        <v>9</v>
      </c>
      <c r="M240" s="17">
        <v>1.4833299999999999E-3</v>
      </c>
      <c r="N240" s="16">
        <f>ROUND(K240*L240*M240,2)</f>
        <v>-4.9400000000000004</v>
      </c>
      <c r="O240" s="16">
        <f>ROUND(K240*M240*12,2)</f>
        <v>-6.59</v>
      </c>
      <c r="P240" s="14"/>
      <c r="Q240" s="210" t="str">
        <f>VLOOKUP(D240,'WO Descriptions'!$A$5:$D$345,4)</f>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
    </row>
    <row r="241" spans="1:19" outlineLevel="1">
      <c r="A241" s="3" t="s">
        <v>1841</v>
      </c>
      <c r="B241" s="223"/>
      <c r="C241" s="250"/>
      <c r="D241" s="254" t="s">
        <v>1841</v>
      </c>
      <c r="E241" s="223"/>
      <c r="F241" s="250"/>
      <c r="G241" s="223"/>
      <c r="H241" s="250"/>
      <c r="I241" s="250"/>
      <c r="J241" s="250"/>
      <c r="K241" s="251">
        <f>SUBTOTAL(9,K240:K240)</f>
        <v>-370.12</v>
      </c>
      <c r="L241" s="252"/>
      <c r="M241" s="253"/>
      <c r="N241" s="251">
        <f>SUBTOTAL(9,N240:N240)</f>
        <v>-4.9400000000000004</v>
      </c>
      <c r="O241" s="251">
        <f>SUBTOTAL(9,O240:O240)</f>
        <v>-6.59</v>
      </c>
      <c r="P241" s="223"/>
      <c r="Q241" s="210"/>
      <c r="R241" s="263" t="s">
        <v>2094</v>
      </c>
      <c r="S241" s="263" t="s">
        <v>2095</v>
      </c>
    </row>
    <row r="242" spans="1:19" ht="60" outlineLevel="2">
      <c r="A242" s="3" t="s">
        <v>327</v>
      </c>
      <c r="B242" s="14" t="s">
        <v>54</v>
      </c>
      <c r="C242" s="15" t="s">
        <v>326</v>
      </c>
      <c r="D242" s="15" t="s">
        <v>327</v>
      </c>
      <c r="E242" s="14" t="s">
        <v>328</v>
      </c>
      <c r="F242" s="15" t="s">
        <v>32</v>
      </c>
      <c r="G242" s="14" t="s">
        <v>22</v>
      </c>
      <c r="H242" s="15" t="s">
        <v>23</v>
      </c>
      <c r="I242" s="15" t="s">
        <v>1525</v>
      </c>
      <c r="J242" s="15">
        <v>201409</v>
      </c>
      <c r="K242" s="16">
        <v>-118.82</v>
      </c>
      <c r="L242" s="171">
        <f>VLOOKUP(J242,$U$9:$V$23,2)</f>
        <v>9</v>
      </c>
      <c r="M242" s="17">
        <v>1.4833299999999999E-3</v>
      </c>
      <c r="N242" s="16">
        <f>ROUND(K242*L242*M242,2)</f>
        <v>-1.59</v>
      </c>
      <c r="O242" s="16">
        <f>ROUND(K242*M242*12,2)</f>
        <v>-2.11</v>
      </c>
      <c r="P242" s="14"/>
      <c r="Q242" s="210" t="str">
        <f>VLOOKUP(D242,'WO Descriptions'!$A$5:$D$345,4)</f>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
    </row>
    <row r="243" spans="1:19" outlineLevel="1">
      <c r="A243" s="3" t="s">
        <v>1842</v>
      </c>
      <c r="B243" s="223"/>
      <c r="C243" s="250"/>
      <c r="D243" s="254" t="s">
        <v>1842</v>
      </c>
      <c r="E243" s="223"/>
      <c r="F243" s="250"/>
      <c r="G243" s="223"/>
      <c r="H243" s="250"/>
      <c r="I243" s="250"/>
      <c r="J243" s="250"/>
      <c r="K243" s="251">
        <f>SUBTOTAL(9,K242:K242)</f>
        <v>-118.82</v>
      </c>
      <c r="L243" s="252"/>
      <c r="M243" s="253"/>
      <c r="N243" s="251">
        <f>SUBTOTAL(9,N242:N242)</f>
        <v>-1.59</v>
      </c>
      <c r="O243" s="251">
        <f>SUBTOTAL(9,O242:O242)</f>
        <v>-2.11</v>
      </c>
      <c r="P243" s="223"/>
      <c r="Q243" s="210"/>
      <c r="R243" s="263" t="s">
        <v>2097</v>
      </c>
      <c r="S243" s="263" t="s">
        <v>2098</v>
      </c>
    </row>
    <row r="244" spans="1:19" ht="30" outlineLevel="2">
      <c r="A244" s="3" t="s">
        <v>330</v>
      </c>
      <c r="B244" s="14" t="s">
        <v>17</v>
      </c>
      <c r="C244" s="15" t="s">
        <v>329</v>
      </c>
      <c r="D244" s="15" t="s">
        <v>330</v>
      </c>
      <c r="E244" s="14" t="s">
        <v>331</v>
      </c>
      <c r="F244" s="15" t="s">
        <v>108</v>
      </c>
      <c r="G244" s="14" t="s">
        <v>28</v>
      </c>
      <c r="H244" s="15" t="s">
        <v>23</v>
      </c>
      <c r="I244" s="15" t="s">
        <v>1525</v>
      </c>
      <c r="J244" s="15">
        <v>201409</v>
      </c>
      <c r="K244" s="16">
        <v>5.61</v>
      </c>
      <c r="L244" s="171">
        <f>VLOOKUP(J244,$U$9:$V$23,2)</f>
        <v>9</v>
      </c>
      <c r="M244" s="17">
        <v>1.4833299999999999E-3</v>
      </c>
      <c r="N244" s="16">
        <f>ROUND(K244*L244*M244,2)</f>
        <v>7.0000000000000007E-2</v>
      </c>
      <c r="O244" s="16">
        <f>ROUND(K244*M244*12,2)</f>
        <v>0.1</v>
      </c>
      <c r="P244" s="14"/>
      <c r="Q244" s="210" t="str">
        <f>VLOOKUP(D244,'WO Descriptions'!$A$5:$D$345,4)</f>
        <v>Approved by: Kevin Driskell on 02/28/2014,  Replacement due to to exposed 2" main caused by erosion. Lay 200'-2in PE and retire 307'-2in PE Retire 1973, 73-3024.</v>
      </c>
    </row>
    <row r="245" spans="1:19" outlineLevel="1">
      <c r="A245" s="3" t="s">
        <v>1843</v>
      </c>
      <c r="B245" s="223"/>
      <c r="C245" s="250"/>
      <c r="D245" s="254" t="s">
        <v>1843</v>
      </c>
      <c r="E245" s="223"/>
      <c r="F245" s="250"/>
      <c r="G245" s="223"/>
      <c r="H245" s="250"/>
      <c r="I245" s="250"/>
      <c r="J245" s="250"/>
      <c r="K245" s="251">
        <f>SUBTOTAL(9,K244:K244)</f>
        <v>5.61</v>
      </c>
      <c r="L245" s="252"/>
      <c r="M245" s="253"/>
      <c r="N245" s="251">
        <f>SUBTOTAL(9,N244:N244)</f>
        <v>7.0000000000000007E-2</v>
      </c>
      <c r="O245" s="251">
        <f>SUBTOTAL(9,O244:O244)</f>
        <v>0.1</v>
      </c>
      <c r="P245" s="223"/>
      <c r="Q245" s="210"/>
      <c r="R245" s="263" t="s">
        <v>2097</v>
      </c>
      <c r="S245" s="263" t="s">
        <v>2099</v>
      </c>
    </row>
    <row r="246" spans="1:19" ht="45" outlineLevel="2">
      <c r="A246" s="3" t="s">
        <v>333</v>
      </c>
      <c r="B246" s="14" t="s">
        <v>54</v>
      </c>
      <c r="C246" s="15" t="s">
        <v>332</v>
      </c>
      <c r="D246" s="15" t="s">
        <v>333</v>
      </c>
      <c r="E246" s="14" t="s">
        <v>334</v>
      </c>
      <c r="F246" s="15" t="s">
        <v>36</v>
      </c>
      <c r="G246" s="14" t="s">
        <v>22</v>
      </c>
      <c r="H246" s="15" t="s">
        <v>23</v>
      </c>
      <c r="I246" s="15" t="s">
        <v>1525</v>
      </c>
      <c r="J246" s="15">
        <v>201409</v>
      </c>
      <c r="K246" s="16">
        <v>-149.47999999999999</v>
      </c>
      <c r="L246" s="171">
        <f>VLOOKUP(J246,$U$9:$V$23,2)</f>
        <v>9</v>
      </c>
      <c r="M246" s="17">
        <v>1.4833299999999999E-3</v>
      </c>
      <c r="N246" s="16">
        <f>ROUND(K246*L246*M246,2)</f>
        <v>-2</v>
      </c>
      <c r="O246" s="16">
        <f>ROUND(K246*M246*12,2)</f>
        <v>-2.66</v>
      </c>
      <c r="P246" s="14"/>
      <c r="Q246" s="210" t="str">
        <f>VLOOKUP(D246,'WO Descriptions'!$A$5:$D$345,4)</f>
        <v>Approved by: Gary Williams on 03/03/2014,  To lay 414ft-4pe main.to replace 414ft-bs main due to down project. Install 2" bypaas before completing tie in. Cost per foot:$49.16.ID:C-03 MOP:20oz MAOP:30oz Design MAOP:20oz Pressure Test:100 PSIG.</v>
      </c>
    </row>
    <row r="247" spans="1:19" outlineLevel="1">
      <c r="A247" s="3" t="s">
        <v>1844</v>
      </c>
      <c r="B247" s="223"/>
      <c r="C247" s="250"/>
      <c r="D247" s="254" t="s">
        <v>1844</v>
      </c>
      <c r="E247" s="223"/>
      <c r="F247" s="250"/>
      <c r="G247" s="223"/>
      <c r="H247" s="250"/>
      <c r="I247" s="250"/>
      <c r="J247" s="250"/>
      <c r="K247" s="251">
        <f>SUBTOTAL(9,K246:K246)</f>
        <v>-149.47999999999999</v>
      </c>
      <c r="L247" s="252"/>
      <c r="M247" s="253"/>
      <c r="N247" s="251">
        <f>SUBTOTAL(9,N246:N246)</f>
        <v>-2</v>
      </c>
      <c r="O247" s="251">
        <f>SUBTOTAL(9,O246:O246)</f>
        <v>-2.66</v>
      </c>
      <c r="P247" s="223"/>
      <c r="Q247" s="210"/>
      <c r="R247" s="263" t="s">
        <v>2097</v>
      </c>
      <c r="S247" s="263" t="s">
        <v>2098</v>
      </c>
    </row>
    <row r="248" spans="1:19" ht="60" outlineLevel="2">
      <c r="A248" s="3" t="s">
        <v>336</v>
      </c>
      <c r="B248" s="14" t="s">
        <v>17</v>
      </c>
      <c r="C248" s="15" t="s">
        <v>335</v>
      </c>
      <c r="D248" s="15" t="s">
        <v>336</v>
      </c>
      <c r="E248" s="14" t="s">
        <v>337</v>
      </c>
      <c r="F248" s="15" t="s">
        <v>62</v>
      </c>
      <c r="G248" s="14" t="s">
        <v>22</v>
      </c>
      <c r="H248" s="15" t="s">
        <v>23</v>
      </c>
      <c r="I248" s="15" t="s">
        <v>1525</v>
      </c>
      <c r="J248" s="15">
        <v>201409</v>
      </c>
      <c r="K248" s="16">
        <v>-2164.7800000000002</v>
      </c>
      <c r="L248" s="171">
        <f>VLOOKUP(J248,$U$9:$V$23,2)</f>
        <v>9</v>
      </c>
      <c r="M248" s="17">
        <v>1.4833299999999999E-3</v>
      </c>
      <c r="N248" s="16">
        <f>ROUND(K248*L248*M248,2)</f>
        <v>-28.9</v>
      </c>
      <c r="O248" s="16">
        <f>ROUND(K248*M248*12,2)</f>
        <v>-38.53</v>
      </c>
      <c r="P248" s="14"/>
      <c r="Q248" s="210" t="str">
        <f>VLOOKUP(D248,'WO Descriptions'!$A$5:$D$345,4)</f>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
    </row>
    <row r="249" spans="1:19" outlineLevel="1">
      <c r="A249" s="3" t="s">
        <v>1845</v>
      </c>
      <c r="B249" s="223"/>
      <c r="C249" s="250"/>
      <c r="D249" s="254" t="s">
        <v>1845</v>
      </c>
      <c r="E249" s="223"/>
      <c r="F249" s="250"/>
      <c r="G249" s="223"/>
      <c r="H249" s="250"/>
      <c r="I249" s="250"/>
      <c r="J249" s="250"/>
      <c r="K249" s="251">
        <f>SUBTOTAL(9,K248:K248)</f>
        <v>-2164.7800000000002</v>
      </c>
      <c r="L249" s="252"/>
      <c r="M249" s="253"/>
      <c r="N249" s="251">
        <f>SUBTOTAL(9,N248:N248)</f>
        <v>-28.9</v>
      </c>
      <c r="O249" s="251">
        <f>SUBTOTAL(9,O248:O248)</f>
        <v>-38.53</v>
      </c>
      <c r="P249" s="223"/>
      <c r="Q249" s="210"/>
      <c r="R249" s="263" t="s">
        <v>2097</v>
      </c>
      <c r="S249" s="263" t="s">
        <v>2098</v>
      </c>
    </row>
    <row r="250" spans="1:19" ht="195" outlineLevel="2">
      <c r="A250" s="3" t="s">
        <v>339</v>
      </c>
      <c r="B250" s="14" t="s">
        <v>17</v>
      </c>
      <c r="C250" s="15" t="s">
        <v>338</v>
      </c>
      <c r="D250" s="15" t="s">
        <v>339</v>
      </c>
      <c r="E250" s="14" t="s">
        <v>340</v>
      </c>
      <c r="F250" s="15" t="s">
        <v>62</v>
      </c>
      <c r="G250" s="14" t="s">
        <v>22</v>
      </c>
      <c r="H250" s="15" t="s">
        <v>23</v>
      </c>
      <c r="I250" s="15" t="s">
        <v>1525</v>
      </c>
      <c r="J250" s="15">
        <v>201409</v>
      </c>
      <c r="K250" s="16">
        <v>-1152.29</v>
      </c>
      <c r="L250" s="171">
        <f>VLOOKUP(J250,$U$9:$V$23,2)</f>
        <v>9</v>
      </c>
      <c r="M250" s="17">
        <v>1.4833299999999999E-3</v>
      </c>
      <c r="N250" s="16">
        <f>ROUND(K250*L250*M250,2)</f>
        <v>-15.38</v>
      </c>
      <c r="O250" s="16">
        <f>ROUND(K250*M250*12,2)</f>
        <v>-20.51</v>
      </c>
      <c r="P250" s="14"/>
      <c r="Q250" s="210" t="str">
        <f>VLOOKUP(D250,'WO Descriptions'!$A$5:$D$345,4)</f>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
    </row>
    <row r="251" spans="1:19" outlineLevel="1">
      <c r="A251" s="3" t="s">
        <v>1846</v>
      </c>
      <c r="B251" s="223"/>
      <c r="C251" s="250"/>
      <c r="D251" s="254" t="s">
        <v>1846</v>
      </c>
      <c r="E251" s="223"/>
      <c r="F251" s="250"/>
      <c r="G251" s="223"/>
      <c r="H251" s="250"/>
      <c r="I251" s="250"/>
      <c r="J251" s="250"/>
      <c r="K251" s="251">
        <f>SUBTOTAL(9,K250:K250)</f>
        <v>-1152.29</v>
      </c>
      <c r="L251" s="252"/>
      <c r="M251" s="253"/>
      <c r="N251" s="251">
        <f>SUBTOTAL(9,N250:N250)</f>
        <v>-15.38</v>
      </c>
      <c r="O251" s="251">
        <f>SUBTOTAL(9,O250:O250)</f>
        <v>-20.51</v>
      </c>
      <c r="P251" s="223"/>
      <c r="Q251" s="210"/>
      <c r="R251" s="263" t="s">
        <v>2097</v>
      </c>
      <c r="S251" s="263" t="s">
        <v>2098</v>
      </c>
    </row>
    <row r="252" spans="1:19" ht="45" outlineLevel="2">
      <c r="A252" s="3" t="s">
        <v>342</v>
      </c>
      <c r="B252" s="14" t="s">
        <v>164</v>
      </c>
      <c r="C252" s="15" t="s">
        <v>341</v>
      </c>
      <c r="D252" s="15" t="s">
        <v>342</v>
      </c>
      <c r="E252" s="14" t="s">
        <v>343</v>
      </c>
      <c r="F252" s="15" t="s">
        <v>168</v>
      </c>
      <c r="G252" s="14" t="s">
        <v>169</v>
      </c>
      <c r="H252" s="15" t="s">
        <v>23</v>
      </c>
      <c r="I252" s="15" t="s">
        <v>1528</v>
      </c>
      <c r="J252" s="15">
        <v>201409</v>
      </c>
      <c r="K252" s="16">
        <v>-787.04</v>
      </c>
      <c r="L252" s="171">
        <f>VLOOKUP(J252,$U$9:$V$23,2)</f>
        <v>9</v>
      </c>
      <c r="M252" s="17">
        <v>2.1916700000000002E-3</v>
      </c>
      <c r="N252" s="16">
        <f>ROUND(K252*L252*M252,2)</f>
        <v>-15.52</v>
      </c>
      <c r="O252" s="16">
        <f>ROUND(K252*M252*12,2)</f>
        <v>-20.7</v>
      </c>
      <c r="P252" s="14"/>
      <c r="Q252" s="210" t="str">
        <f>VLOOKUP(D252,'WO Descriptions'!$A$5:$D$345,4)</f>
        <v>Approved by: Rob Kitterman on 08/14/2013,  Purchase Bulk Odorant storage tank for REX site.  This tank is to store additional odorant for use in various divisions as needs arise.  The unit is self contained for spill emergencies.  Tank provided by Milton Roy,YZ Systems, Total Systems.</v>
      </c>
    </row>
    <row r="253" spans="1:19" outlineLevel="1">
      <c r="A253" s="3" t="s">
        <v>1847</v>
      </c>
      <c r="B253" s="223"/>
      <c r="C253" s="250"/>
      <c r="D253" s="254" t="s">
        <v>1847</v>
      </c>
      <c r="E253" s="223"/>
      <c r="F253" s="250"/>
      <c r="G253" s="223"/>
      <c r="H253" s="250"/>
      <c r="I253" s="250"/>
      <c r="J253" s="250"/>
      <c r="K253" s="251">
        <f>SUBTOTAL(9,K252:K252)</f>
        <v>-787.04</v>
      </c>
      <c r="L253" s="252"/>
      <c r="M253" s="253"/>
      <c r="N253" s="251">
        <f>SUBTOTAL(9,N252:N252)</f>
        <v>-15.52</v>
      </c>
      <c r="O253" s="251">
        <f>SUBTOTAL(9,O252:O252)</f>
        <v>-20.7</v>
      </c>
      <c r="P253" s="223"/>
      <c r="Q253" s="210"/>
      <c r="R253" s="263" t="s">
        <v>2097</v>
      </c>
      <c r="S253" s="263" t="s">
        <v>2099</v>
      </c>
    </row>
    <row r="254" spans="1:19" ht="60" outlineLevel="2">
      <c r="A254" s="3" t="s">
        <v>345</v>
      </c>
      <c r="B254" s="14" t="s">
        <v>17</v>
      </c>
      <c r="C254" s="15" t="s">
        <v>344</v>
      </c>
      <c r="D254" s="15" t="s">
        <v>345</v>
      </c>
      <c r="E254" s="14" t="s">
        <v>346</v>
      </c>
      <c r="F254" s="15" t="s">
        <v>53</v>
      </c>
      <c r="G254" s="14" t="s">
        <v>41</v>
      </c>
      <c r="H254" s="15" t="s">
        <v>23</v>
      </c>
      <c r="I254" s="15" t="s">
        <v>1526</v>
      </c>
      <c r="J254" s="15">
        <v>201409</v>
      </c>
      <c r="K254" s="16">
        <v>-1802.78</v>
      </c>
      <c r="L254" s="171">
        <f>VLOOKUP(J254,$U$9:$V$23,2)</f>
        <v>9</v>
      </c>
      <c r="M254" s="17">
        <v>1.4833299999999999E-3</v>
      </c>
      <c r="N254" s="16">
        <f>ROUND(K254*L254*M254,2)</f>
        <v>-24.07</v>
      </c>
      <c r="O254" s="16">
        <f>ROUND(K254*M254*12,2)</f>
        <v>-32.090000000000003</v>
      </c>
      <c r="P254" s="14"/>
      <c r="Q254" s="210" t="str">
        <f>VLOOKUP(D254,'WO Descriptions'!$A$5:$D$345,4)</f>
        <v>Approved by: Ken Thomas on 09/17/2013,  Replace 510' - 6in PBS (WO#: A8634A) with 510' - 6in PE due to roadway improvements and shallow existing main. Project Location: 11th and Highview; Pressure System: C-1; MOP: 58 psig; MAOP: 58 psig; Design: 58 psig; Test: 100 psig; ISRS $67.22/ft</v>
      </c>
    </row>
    <row r="255" spans="1:19" outlineLevel="1">
      <c r="A255" s="3" t="s">
        <v>1848</v>
      </c>
      <c r="B255" s="223"/>
      <c r="C255" s="250"/>
      <c r="D255" s="254" t="s">
        <v>1848</v>
      </c>
      <c r="E255" s="223"/>
      <c r="F255" s="250"/>
      <c r="G255" s="223"/>
      <c r="H255" s="250"/>
      <c r="I255" s="250"/>
      <c r="J255" s="250"/>
      <c r="K255" s="251">
        <f>SUBTOTAL(9,K254:K254)</f>
        <v>-1802.78</v>
      </c>
      <c r="L255" s="252"/>
      <c r="M255" s="253"/>
      <c r="N255" s="251">
        <f>SUBTOTAL(9,N254:N254)</f>
        <v>-24.07</v>
      </c>
      <c r="O255" s="251">
        <f>SUBTOTAL(9,O254:O254)</f>
        <v>-32.090000000000003</v>
      </c>
      <c r="P255" s="223"/>
      <c r="Q255" s="210"/>
      <c r="R255" s="263" t="s">
        <v>2096</v>
      </c>
    </row>
    <row r="256" spans="1:19" ht="105" outlineLevel="2">
      <c r="A256" s="3" t="s">
        <v>348</v>
      </c>
      <c r="B256" s="14" t="s">
        <v>17</v>
      </c>
      <c r="C256" s="15" t="s">
        <v>347</v>
      </c>
      <c r="D256" s="15" t="s">
        <v>348</v>
      </c>
      <c r="E256" s="14" t="s">
        <v>349</v>
      </c>
      <c r="F256" s="15" t="s">
        <v>324</v>
      </c>
      <c r="G256" s="14" t="s">
        <v>325</v>
      </c>
      <c r="H256" s="15" t="s">
        <v>23</v>
      </c>
      <c r="I256" s="15" t="s">
        <v>1525</v>
      </c>
      <c r="J256" s="15">
        <v>201409</v>
      </c>
      <c r="K256" s="16">
        <v>478.42</v>
      </c>
      <c r="L256" s="171">
        <f>VLOOKUP(J256,$U$9:$V$23,2)</f>
        <v>9</v>
      </c>
      <c r="M256" s="17">
        <v>1.4833299999999999E-3</v>
      </c>
      <c r="N256" s="16">
        <f>ROUND(K256*L256*M256,2)</f>
        <v>6.39</v>
      </c>
      <c r="O256" s="16">
        <f>ROUND(K256*M256*12,2)</f>
        <v>8.52</v>
      </c>
      <c r="P256" s="14"/>
      <c r="Q256" s="210" t="str">
        <f>VLOOKUP(D256,'WO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R256" s="263"/>
      <c r="S256" s="263"/>
    </row>
    <row r="257" spans="1:19" ht="105" outlineLevel="2">
      <c r="A257" s="3" t="s">
        <v>348</v>
      </c>
      <c r="B257" s="14" t="s">
        <v>17</v>
      </c>
      <c r="C257" s="15" t="s">
        <v>347</v>
      </c>
      <c r="D257" s="15" t="s">
        <v>348</v>
      </c>
      <c r="E257" s="14" t="s">
        <v>349</v>
      </c>
      <c r="F257" s="15" t="s">
        <v>324</v>
      </c>
      <c r="G257" s="14" t="s">
        <v>325</v>
      </c>
      <c r="H257" s="15" t="s">
        <v>23</v>
      </c>
      <c r="I257" s="15" t="s">
        <v>1525</v>
      </c>
      <c r="J257" s="15">
        <v>201410</v>
      </c>
      <c r="K257" s="16">
        <v>940.85</v>
      </c>
      <c r="L257" s="171">
        <f>VLOOKUP(J257,$U$9:$V$23,2)</f>
        <v>8</v>
      </c>
      <c r="M257" s="17">
        <v>1.4833299999999999E-3</v>
      </c>
      <c r="N257" s="16">
        <f>ROUND(K257*L257*M257,2)</f>
        <v>11.16</v>
      </c>
      <c r="O257" s="16">
        <f>ROUND(K257*M257*12,2)</f>
        <v>16.75</v>
      </c>
      <c r="P257" s="14"/>
      <c r="Q257" s="210" t="str">
        <f>VLOOKUP(D257,'WO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58" spans="1:19" ht="105" outlineLevel="2">
      <c r="A258" s="3" t="s">
        <v>348</v>
      </c>
      <c r="B258" s="14" t="s">
        <v>17</v>
      </c>
      <c r="C258" s="15" t="s">
        <v>347</v>
      </c>
      <c r="D258" s="15" t="s">
        <v>348</v>
      </c>
      <c r="E258" s="14" t="s">
        <v>349</v>
      </c>
      <c r="F258" s="15" t="s">
        <v>324</v>
      </c>
      <c r="G258" s="14" t="s">
        <v>325</v>
      </c>
      <c r="H258" s="15" t="s">
        <v>23</v>
      </c>
      <c r="I258" s="15" t="s">
        <v>1525</v>
      </c>
      <c r="J258" s="15">
        <v>201411</v>
      </c>
      <c r="K258" s="16">
        <v>1085.29</v>
      </c>
      <c r="L258" s="171">
        <f>VLOOKUP(J258,$U$9:$V$23,2)</f>
        <v>7</v>
      </c>
      <c r="M258" s="17">
        <v>1.4833299999999999E-3</v>
      </c>
      <c r="N258" s="16">
        <f>ROUND(K258*L258*M258,2)</f>
        <v>11.27</v>
      </c>
      <c r="O258" s="16">
        <f>ROUND(K258*M258*12,2)</f>
        <v>19.32</v>
      </c>
      <c r="P258" s="14"/>
      <c r="Q258" s="210" t="str">
        <f>VLOOKUP(D258,'WO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59" spans="1:19" ht="105" outlineLevel="2">
      <c r="A259" s="3" t="s">
        <v>348</v>
      </c>
      <c r="B259" s="14" t="s">
        <v>17</v>
      </c>
      <c r="C259" s="15" t="s">
        <v>347</v>
      </c>
      <c r="D259" s="15" t="s">
        <v>348</v>
      </c>
      <c r="E259" s="14" t="s">
        <v>349</v>
      </c>
      <c r="F259" s="15" t="s">
        <v>324</v>
      </c>
      <c r="G259" s="14" t="s">
        <v>325</v>
      </c>
      <c r="H259" s="15" t="s">
        <v>23</v>
      </c>
      <c r="I259" s="15" t="s">
        <v>1525</v>
      </c>
      <c r="J259" s="15">
        <v>201412</v>
      </c>
      <c r="K259" s="16">
        <v>5.46</v>
      </c>
      <c r="L259" s="171">
        <f>VLOOKUP(J259,$U$9:$V$23,2)</f>
        <v>6</v>
      </c>
      <c r="M259" s="17">
        <v>1.4833299999999999E-3</v>
      </c>
      <c r="N259" s="16">
        <f>ROUND(K259*L259*M259,2)</f>
        <v>0.05</v>
      </c>
      <c r="O259" s="16">
        <f>ROUND(K259*M259*12,2)</f>
        <v>0.1</v>
      </c>
      <c r="P259" s="14"/>
      <c r="Q259" s="210" t="str">
        <f>VLOOKUP(D259,'WO Descriptions'!$A$5:$D$345,4)</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row>
    <row r="260" spans="1:19" outlineLevel="1">
      <c r="A260" s="3" t="s">
        <v>1849</v>
      </c>
      <c r="B260" s="223"/>
      <c r="C260" s="250"/>
      <c r="D260" s="254" t="s">
        <v>1849</v>
      </c>
      <c r="E260" s="223"/>
      <c r="F260" s="250"/>
      <c r="G260" s="223"/>
      <c r="H260" s="250"/>
      <c r="I260" s="250"/>
      <c r="J260" s="250"/>
      <c r="K260" s="251">
        <f>SUBTOTAL(9,K256:K259)</f>
        <v>2510.02</v>
      </c>
      <c r="L260" s="252"/>
      <c r="M260" s="253"/>
      <c r="N260" s="251">
        <f>SUBTOTAL(9,N256:N259)</f>
        <v>28.87</v>
      </c>
      <c r="O260" s="251">
        <f>SUBTOTAL(9,O256:O259)</f>
        <v>44.690000000000005</v>
      </c>
      <c r="P260" s="223"/>
      <c r="Q260" s="210"/>
      <c r="R260" s="263" t="s">
        <v>2094</v>
      </c>
      <c r="S260" s="263" t="s">
        <v>2095</v>
      </c>
    </row>
    <row r="261" spans="1:19" ht="30" outlineLevel="2">
      <c r="A261" s="3" t="s">
        <v>351</v>
      </c>
      <c r="B261" s="14" t="s">
        <v>17</v>
      </c>
      <c r="C261" s="15" t="s">
        <v>350</v>
      </c>
      <c r="D261" s="15" t="s">
        <v>351</v>
      </c>
      <c r="E261" s="14" t="s">
        <v>352</v>
      </c>
      <c r="F261" s="15" t="s">
        <v>108</v>
      </c>
      <c r="G261" s="14" t="s">
        <v>28</v>
      </c>
      <c r="H261" s="15" t="s">
        <v>23</v>
      </c>
      <c r="I261" s="15" t="s">
        <v>1525</v>
      </c>
      <c r="J261" s="15">
        <v>201409</v>
      </c>
      <c r="K261" s="16">
        <v>8.58</v>
      </c>
      <c r="L261" s="171">
        <f>VLOOKUP(J261,$U$9:$V$23,2)</f>
        <v>9</v>
      </c>
      <c r="M261" s="17">
        <v>1.4833299999999999E-3</v>
      </c>
      <c r="N261" s="16">
        <f>ROUND(K261*L261*M261,2)</f>
        <v>0.11</v>
      </c>
      <c r="O261" s="16">
        <f>ROUND(K261*M261*12,2)</f>
        <v>0.15</v>
      </c>
      <c r="P261" s="14"/>
      <c r="Q261" s="210" t="str">
        <f>VLOOKUP(D261,'WO Descriptions'!$A$5:$D$345,4)</f>
        <v>Approved by: Kevin Driskell on 09/18/2013,  Installed welded yoke around leaking dresser and valve. 12' of 2in PCS was installed and 6' of 2in PCS was abandoned.</v>
      </c>
    </row>
    <row r="262" spans="1:19" outlineLevel="1">
      <c r="A262" s="3" t="s">
        <v>1850</v>
      </c>
      <c r="B262" s="223"/>
      <c r="C262" s="250"/>
      <c r="D262" s="254" t="s">
        <v>1850</v>
      </c>
      <c r="E262" s="223"/>
      <c r="F262" s="250"/>
      <c r="G262" s="223"/>
      <c r="H262" s="250"/>
      <c r="I262" s="250"/>
      <c r="J262" s="250"/>
      <c r="K262" s="251">
        <f>SUBTOTAL(9,K261:K261)</f>
        <v>8.58</v>
      </c>
      <c r="L262" s="252"/>
      <c r="M262" s="253"/>
      <c r="N262" s="251">
        <f>SUBTOTAL(9,N261:N261)</f>
        <v>0.11</v>
      </c>
      <c r="O262" s="251">
        <f>SUBTOTAL(9,O261:O261)</f>
        <v>0.15</v>
      </c>
      <c r="P262" s="223"/>
      <c r="Q262" s="210"/>
      <c r="R262" s="263" t="s">
        <v>2097</v>
      </c>
      <c r="S262" s="263" t="s">
        <v>2099</v>
      </c>
    </row>
    <row r="263" spans="1:19" ht="180" outlineLevel="2">
      <c r="A263" s="3" t="s">
        <v>354</v>
      </c>
      <c r="B263" s="14" t="s">
        <v>17</v>
      </c>
      <c r="C263" s="15" t="s">
        <v>353</v>
      </c>
      <c r="D263" s="15" t="s">
        <v>354</v>
      </c>
      <c r="E263" s="14" t="s">
        <v>355</v>
      </c>
      <c r="F263" s="15" t="s">
        <v>62</v>
      </c>
      <c r="G263" s="14" t="s">
        <v>22</v>
      </c>
      <c r="H263" s="15" t="s">
        <v>23</v>
      </c>
      <c r="I263" s="15" t="s">
        <v>1525</v>
      </c>
      <c r="J263" s="15">
        <v>201409</v>
      </c>
      <c r="K263" s="16">
        <v>-1349</v>
      </c>
      <c r="L263" s="171">
        <f>VLOOKUP(J263,$U$9:$V$23,2)</f>
        <v>9</v>
      </c>
      <c r="M263" s="17">
        <v>1.4833299999999999E-3</v>
      </c>
      <c r="N263" s="16">
        <f>ROUND(K263*L263*M263,2)</f>
        <v>-18.010000000000002</v>
      </c>
      <c r="O263" s="16">
        <f>ROUND(K263*M263*12,2)</f>
        <v>-24.01</v>
      </c>
      <c r="P263" s="14"/>
      <c r="Q263" s="210" t="str">
        <f>VLOOKUP(D263,'WO Descriptions'!$A$5:$D$345,4)</f>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
    </row>
    <row r="264" spans="1:19" outlineLevel="1">
      <c r="A264" s="3" t="s">
        <v>1851</v>
      </c>
      <c r="B264" s="223"/>
      <c r="C264" s="250"/>
      <c r="D264" s="254" t="s">
        <v>1851</v>
      </c>
      <c r="E264" s="223"/>
      <c r="F264" s="250"/>
      <c r="G264" s="223"/>
      <c r="H264" s="250"/>
      <c r="I264" s="250"/>
      <c r="J264" s="250"/>
      <c r="K264" s="251">
        <f>SUBTOTAL(9,K263:K263)</f>
        <v>-1349</v>
      </c>
      <c r="L264" s="252"/>
      <c r="M264" s="253"/>
      <c r="N264" s="251">
        <f>SUBTOTAL(9,N263:N263)</f>
        <v>-18.010000000000002</v>
      </c>
      <c r="O264" s="251">
        <f>SUBTOTAL(9,O263:O263)</f>
        <v>-24.01</v>
      </c>
      <c r="P264" s="223"/>
      <c r="Q264" s="210"/>
      <c r="R264" s="263" t="s">
        <v>2097</v>
      </c>
      <c r="S264" s="263" t="s">
        <v>2098</v>
      </c>
    </row>
    <row r="265" spans="1:19" ht="30" outlineLevel="2">
      <c r="A265" s="3" t="s">
        <v>357</v>
      </c>
      <c r="B265" s="14" t="s">
        <v>238</v>
      </c>
      <c r="C265" s="15" t="s">
        <v>356</v>
      </c>
      <c r="D265" s="15" t="s">
        <v>357</v>
      </c>
      <c r="E265" s="14" t="s">
        <v>358</v>
      </c>
      <c r="F265" s="15" t="s">
        <v>168</v>
      </c>
      <c r="G265" s="14" t="s">
        <v>169</v>
      </c>
      <c r="H265" s="15" t="s">
        <v>23</v>
      </c>
      <c r="I265" s="15" t="s">
        <v>1528</v>
      </c>
      <c r="J265" s="15">
        <v>201409</v>
      </c>
      <c r="K265" s="16">
        <v>-2239.5500000000002</v>
      </c>
      <c r="L265" s="171">
        <f>VLOOKUP(J265,$U$9:$V$23,2)</f>
        <v>9</v>
      </c>
      <c r="M265" s="17">
        <v>2.3833299999999999E-3</v>
      </c>
      <c r="N265" s="16">
        <f>ROUND(K265*L265*M265,2)</f>
        <v>-48.04</v>
      </c>
      <c r="O265" s="16">
        <f>ROUND(K265*M265*12,2)</f>
        <v>-64.05</v>
      </c>
      <c r="P265" s="14"/>
      <c r="Q265" s="210" t="str">
        <f>VLOOKUP(D265,'WO Descriptions'!$A$5:$D$345,4)</f>
        <v>Approved by: Steve Holcomb on 10/07/2013,  Rebuild DRS 356 due to complications arising during Hydro Test. Construct 1- 10" run utilizing existing regulators, and 1- 6" run for bypass.</v>
      </c>
    </row>
    <row r="266" spans="1:19" outlineLevel="1">
      <c r="A266" s="3" t="s">
        <v>1852</v>
      </c>
      <c r="B266" s="223"/>
      <c r="C266" s="250"/>
      <c r="D266" s="254" t="s">
        <v>1852</v>
      </c>
      <c r="E266" s="223"/>
      <c r="F266" s="250"/>
      <c r="G266" s="223"/>
      <c r="H266" s="250"/>
      <c r="I266" s="250"/>
      <c r="J266" s="250"/>
      <c r="K266" s="251">
        <f>SUBTOTAL(9,K265:K265)</f>
        <v>-2239.5500000000002</v>
      </c>
      <c r="L266" s="252"/>
      <c r="M266" s="253"/>
      <c r="N266" s="251">
        <f>SUBTOTAL(9,N265:N265)</f>
        <v>-48.04</v>
      </c>
      <c r="O266" s="251">
        <f>SUBTOTAL(9,O265:O265)</f>
        <v>-64.05</v>
      </c>
      <c r="P266" s="223"/>
      <c r="Q266" s="210"/>
      <c r="R266" s="263" t="s">
        <v>2097</v>
      </c>
      <c r="S266" s="263" t="s">
        <v>2099</v>
      </c>
    </row>
    <row r="267" spans="1:19" ht="90" outlineLevel="2">
      <c r="A267" s="3" t="s">
        <v>360</v>
      </c>
      <c r="B267" s="14" t="s">
        <v>54</v>
      </c>
      <c r="C267" s="15" t="s">
        <v>359</v>
      </c>
      <c r="D267" s="15" t="s">
        <v>360</v>
      </c>
      <c r="E267" s="14" t="s">
        <v>361</v>
      </c>
      <c r="F267" s="15" t="s">
        <v>362</v>
      </c>
      <c r="G267" s="14" t="s">
        <v>41</v>
      </c>
      <c r="H267" s="15" t="s">
        <v>23</v>
      </c>
      <c r="I267" s="15" t="s">
        <v>1526</v>
      </c>
      <c r="J267" s="15">
        <v>201409</v>
      </c>
      <c r="K267" s="16">
        <v>-2592.5700000000002</v>
      </c>
      <c r="L267" s="171">
        <f>VLOOKUP(J267,$U$9:$V$23,2)</f>
        <v>9</v>
      </c>
      <c r="M267" s="17">
        <v>1.4833299999999999E-3</v>
      </c>
      <c r="N267" s="16">
        <f>ROUND(K267*L267*M267,2)</f>
        <v>-34.61</v>
      </c>
      <c r="O267" s="16">
        <f>ROUND(K267*M267*12,2)</f>
        <v>-46.15</v>
      </c>
      <c r="P267" s="14"/>
      <c r="Q267" s="210" t="str">
        <f>VLOOKUP(D267,'WO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68" spans="1:19" ht="90" outlineLevel="2">
      <c r="A268" s="3" t="s">
        <v>360</v>
      </c>
      <c r="B268" s="14" t="s">
        <v>54</v>
      </c>
      <c r="C268" s="15" t="s">
        <v>359</v>
      </c>
      <c r="D268" s="15" t="s">
        <v>360</v>
      </c>
      <c r="E268" s="14" t="s">
        <v>361</v>
      </c>
      <c r="F268" s="15" t="s">
        <v>362</v>
      </c>
      <c r="G268" s="14" t="s">
        <v>41</v>
      </c>
      <c r="H268" s="15" t="s">
        <v>23</v>
      </c>
      <c r="I268" s="15" t="s">
        <v>1526</v>
      </c>
      <c r="J268" s="15">
        <v>201410</v>
      </c>
      <c r="K268" s="16">
        <v>2800.39</v>
      </c>
      <c r="L268" s="171">
        <f>VLOOKUP(J268,$U$9:$V$23,2)</f>
        <v>8</v>
      </c>
      <c r="M268" s="17">
        <v>1.4833299999999999E-3</v>
      </c>
      <c r="N268" s="16">
        <f>ROUND(K268*L268*M268,2)</f>
        <v>33.229999999999997</v>
      </c>
      <c r="O268" s="16">
        <f>ROUND(K268*M268*12,2)</f>
        <v>49.85</v>
      </c>
      <c r="P268" s="14"/>
      <c r="Q268" s="210" t="str">
        <f>VLOOKUP(D268,'WO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69" spans="1:19" ht="90" outlineLevel="2">
      <c r="A269" s="3" t="s">
        <v>360</v>
      </c>
      <c r="B269" s="14" t="s">
        <v>54</v>
      </c>
      <c r="C269" s="15" t="s">
        <v>359</v>
      </c>
      <c r="D269" s="15" t="s">
        <v>360</v>
      </c>
      <c r="E269" s="14" t="s">
        <v>361</v>
      </c>
      <c r="F269" s="15" t="s">
        <v>362</v>
      </c>
      <c r="G269" s="14" t="s">
        <v>41</v>
      </c>
      <c r="H269" s="15" t="s">
        <v>23</v>
      </c>
      <c r="I269" s="15" t="s">
        <v>1526</v>
      </c>
      <c r="J269" s="15">
        <v>201411</v>
      </c>
      <c r="K269" s="16">
        <v>-76.47</v>
      </c>
      <c r="L269" s="171">
        <f>VLOOKUP(J269,$U$9:$V$23,2)</f>
        <v>7</v>
      </c>
      <c r="M269" s="17">
        <v>1.4833299999999999E-3</v>
      </c>
      <c r="N269" s="16">
        <f>ROUND(K269*L269*M269,2)</f>
        <v>-0.79</v>
      </c>
      <c r="O269" s="16">
        <f>ROUND(K269*M269*12,2)</f>
        <v>-1.36</v>
      </c>
      <c r="P269" s="14"/>
      <c r="Q269" s="210" t="str">
        <f>VLOOKUP(D269,'WO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70" spans="1:19" ht="90" outlineLevel="2">
      <c r="A270" s="3" t="s">
        <v>360</v>
      </c>
      <c r="B270" s="14" t="s">
        <v>54</v>
      </c>
      <c r="C270" s="15" t="s">
        <v>359</v>
      </c>
      <c r="D270" s="15" t="s">
        <v>360</v>
      </c>
      <c r="E270" s="14" t="s">
        <v>361</v>
      </c>
      <c r="F270" s="15" t="s">
        <v>362</v>
      </c>
      <c r="G270" s="14" t="s">
        <v>41</v>
      </c>
      <c r="H270" s="15" t="s">
        <v>23</v>
      </c>
      <c r="I270" s="15" t="s">
        <v>1526</v>
      </c>
      <c r="J270" s="15">
        <v>201412</v>
      </c>
      <c r="K270" s="16">
        <v>-242.08</v>
      </c>
      <c r="L270" s="171">
        <f>VLOOKUP(J270,$U$9:$V$23,2)</f>
        <v>6</v>
      </c>
      <c r="M270" s="17">
        <v>1.4833299999999999E-3</v>
      </c>
      <c r="N270" s="16">
        <f>ROUND(K270*L270*M270,2)</f>
        <v>-2.15</v>
      </c>
      <c r="O270" s="16">
        <f>ROUND(K270*M270*12,2)</f>
        <v>-4.3099999999999996</v>
      </c>
      <c r="P270" s="14"/>
      <c r="Q270" s="210" t="str">
        <f>VLOOKUP(D270,'WO Descriptions'!$A$5:$D$345,4)</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row>
    <row r="271" spans="1:19" outlineLevel="1">
      <c r="A271" s="3" t="s">
        <v>1853</v>
      </c>
      <c r="B271" s="223"/>
      <c r="C271" s="250"/>
      <c r="D271" s="254" t="s">
        <v>1853</v>
      </c>
      <c r="E271" s="223"/>
      <c r="F271" s="250"/>
      <c r="G271" s="223"/>
      <c r="H271" s="250"/>
      <c r="I271" s="250"/>
      <c r="J271" s="250"/>
      <c r="K271" s="251">
        <f>SUBTOTAL(9,K267:K270)</f>
        <v>-110.7300000000003</v>
      </c>
      <c r="L271" s="252"/>
      <c r="M271" s="253"/>
      <c r="N271" s="251">
        <f>SUBTOTAL(9,N267:N270)</f>
        <v>-4.3200000000000021</v>
      </c>
      <c r="O271" s="251">
        <f>SUBTOTAL(9,O267:O270)</f>
        <v>-1.9699999999999971</v>
      </c>
      <c r="P271" s="223"/>
      <c r="Q271" s="210"/>
      <c r="R271" s="263" t="s">
        <v>2096</v>
      </c>
    </row>
    <row r="272" spans="1:19" ht="30" outlineLevel="2">
      <c r="A272" s="3" t="s">
        <v>364</v>
      </c>
      <c r="B272" s="14" t="s">
        <v>17</v>
      </c>
      <c r="C272" s="15" t="s">
        <v>363</v>
      </c>
      <c r="D272" s="15" t="s">
        <v>364</v>
      </c>
      <c r="E272" s="14" t="s">
        <v>365</v>
      </c>
      <c r="F272" s="15" t="s">
        <v>21</v>
      </c>
      <c r="G272" s="14" t="s">
        <v>22</v>
      </c>
      <c r="H272" s="15" t="s">
        <v>23</v>
      </c>
      <c r="I272" s="15" t="s">
        <v>1525</v>
      </c>
      <c r="J272" s="15">
        <v>201409</v>
      </c>
      <c r="K272" s="16">
        <v>25.47</v>
      </c>
      <c r="L272" s="171">
        <f>VLOOKUP(J272,$U$9:$V$23,2)</f>
        <v>9</v>
      </c>
      <c r="M272" s="17">
        <v>1.4833299999999999E-3</v>
      </c>
      <c r="N272" s="16">
        <f>ROUND(K272*L272*M272,2)</f>
        <v>0.34</v>
      </c>
      <c r="O272" s="16">
        <f>ROUND(K272*M272*12,2)</f>
        <v>0.45</v>
      </c>
      <c r="P272" s="14"/>
      <c r="Q272" s="210" t="str">
        <f>VLOOKUP(D272,'WO Descriptions'!$A$5:$D$345,4)</f>
        <v>Approved by: Kevin Driskell on 08/23/2013,  Replace 10' of 2in PBS, original JO A6962C, year 1956 with 10'-2in PCS due to #3 leak at 113th Ter and Jackson.  Gate valve was removed.</v>
      </c>
    </row>
    <row r="273" spans="1:19" outlineLevel="1">
      <c r="A273" s="3" t="s">
        <v>1854</v>
      </c>
      <c r="B273" s="223"/>
      <c r="C273" s="250"/>
      <c r="D273" s="254" t="s">
        <v>1854</v>
      </c>
      <c r="E273" s="223"/>
      <c r="F273" s="250"/>
      <c r="G273" s="223"/>
      <c r="H273" s="250"/>
      <c r="I273" s="250"/>
      <c r="J273" s="250"/>
      <c r="K273" s="251">
        <f>SUBTOTAL(9,K272:K272)</f>
        <v>25.47</v>
      </c>
      <c r="L273" s="252"/>
      <c r="M273" s="253"/>
      <c r="N273" s="251">
        <f>SUBTOTAL(9,N272:N272)</f>
        <v>0.34</v>
      </c>
      <c r="O273" s="251">
        <f>SUBTOTAL(9,O272:O272)</f>
        <v>0.45</v>
      </c>
      <c r="P273" s="223"/>
      <c r="Q273" s="210"/>
      <c r="R273" s="263" t="s">
        <v>2097</v>
      </c>
      <c r="S273" s="263" t="s">
        <v>2098</v>
      </c>
    </row>
    <row r="274" spans="1:19" ht="180" outlineLevel="2">
      <c r="A274" s="3" t="s">
        <v>367</v>
      </c>
      <c r="B274" s="14" t="s">
        <v>17</v>
      </c>
      <c r="C274" s="15" t="s">
        <v>366</v>
      </c>
      <c r="D274" s="15" t="s">
        <v>367</v>
      </c>
      <c r="E274" s="14" t="s">
        <v>368</v>
      </c>
      <c r="F274" s="15" t="s">
        <v>369</v>
      </c>
      <c r="G274" s="14" t="s">
        <v>41</v>
      </c>
      <c r="H274" s="15" t="s">
        <v>23</v>
      </c>
      <c r="I274" s="15" t="s">
        <v>1526</v>
      </c>
      <c r="J274" s="15">
        <v>201411</v>
      </c>
      <c r="K274" s="16">
        <v>3575265.61</v>
      </c>
      <c r="L274" s="171">
        <f>VLOOKUP(J274,$U$9:$V$23,2)</f>
        <v>7</v>
      </c>
      <c r="M274" s="17">
        <v>1.4833299999999999E-3</v>
      </c>
      <c r="N274" s="16">
        <f>ROUND(K274*L274*M274,2)</f>
        <v>37123.089999999997</v>
      </c>
      <c r="O274" s="16">
        <f>ROUND(K274*M274*12,2)</f>
        <v>63639.58</v>
      </c>
      <c r="P274" s="14"/>
      <c r="Q274" s="210" t="str">
        <f>VLOOKUP(D274,'WO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5" spans="1:19" ht="180" outlineLevel="2">
      <c r="A275" s="3" t="s">
        <v>367</v>
      </c>
      <c r="B275" s="14" t="s">
        <v>17</v>
      </c>
      <c r="C275" s="15" t="s">
        <v>366</v>
      </c>
      <c r="D275" s="15" t="s">
        <v>367</v>
      </c>
      <c r="E275" s="14" t="s">
        <v>370</v>
      </c>
      <c r="F275" s="15" t="s">
        <v>369</v>
      </c>
      <c r="G275" s="14" t="s">
        <v>41</v>
      </c>
      <c r="H275" s="15" t="s">
        <v>23</v>
      </c>
      <c r="I275" s="15" t="s">
        <v>1526</v>
      </c>
      <c r="J275" s="15">
        <v>201411</v>
      </c>
      <c r="K275" s="16">
        <v>-1179275</v>
      </c>
      <c r="L275" s="171">
        <f>VLOOKUP(J275,$U$9:$V$23,2)</f>
        <v>7</v>
      </c>
      <c r="M275" s="17">
        <v>1.4833299999999999E-3</v>
      </c>
      <c r="N275" s="16">
        <f>ROUND(K275*L275*M275,2)</f>
        <v>-12244.78</v>
      </c>
      <c r="O275" s="16">
        <f>ROUND(K275*M275*12,2)</f>
        <v>-20991.05</v>
      </c>
      <c r="P275" s="14"/>
      <c r="Q275" s="210" t="str">
        <f>VLOOKUP(D275,'WO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6" spans="1:19" ht="180" outlineLevel="2">
      <c r="A276" s="3" t="s">
        <v>367</v>
      </c>
      <c r="B276" s="14" t="s">
        <v>17</v>
      </c>
      <c r="C276" s="15" t="s">
        <v>366</v>
      </c>
      <c r="D276" s="15" t="s">
        <v>367</v>
      </c>
      <c r="E276" s="14" t="s">
        <v>368</v>
      </c>
      <c r="F276" s="15" t="s">
        <v>369</v>
      </c>
      <c r="G276" s="14" t="s">
        <v>41</v>
      </c>
      <c r="H276" s="15" t="s">
        <v>23</v>
      </c>
      <c r="I276" s="15" t="s">
        <v>1526</v>
      </c>
      <c r="J276" s="15">
        <v>201412</v>
      </c>
      <c r="K276" s="16">
        <v>11025.12</v>
      </c>
      <c r="L276" s="171">
        <f>VLOOKUP(J276,$U$9:$V$23,2)</f>
        <v>6</v>
      </c>
      <c r="M276" s="17">
        <v>1.4833299999999999E-3</v>
      </c>
      <c r="N276" s="16">
        <f>ROUND(K276*L276*M276,2)</f>
        <v>98.12</v>
      </c>
      <c r="O276" s="16">
        <f>ROUND(K276*M276*12,2)</f>
        <v>196.25</v>
      </c>
      <c r="P276" s="14"/>
      <c r="Q276" s="210" t="str">
        <f>VLOOKUP(D276,'WO Descriptions'!$A$5:$D$345,4)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row>
    <row r="277" spans="1:19" outlineLevel="1">
      <c r="A277" s="3" t="s">
        <v>1855</v>
      </c>
      <c r="B277" s="223"/>
      <c r="C277" s="250"/>
      <c r="D277" s="254" t="s">
        <v>1855</v>
      </c>
      <c r="E277" s="223"/>
      <c r="F277" s="250"/>
      <c r="G277" s="223"/>
      <c r="H277" s="250"/>
      <c r="I277" s="250"/>
      <c r="J277" s="250"/>
      <c r="K277" s="251">
        <f>SUBTOTAL(9,K274:K276)</f>
        <v>2407015.73</v>
      </c>
      <c r="L277" s="252"/>
      <c r="M277" s="253"/>
      <c r="N277" s="251">
        <f>SUBTOTAL(9,N274:N276)</f>
        <v>24976.429999999997</v>
      </c>
      <c r="O277" s="251">
        <f>SUBTOTAL(9,O274:O276)</f>
        <v>42844.78</v>
      </c>
      <c r="P277" s="223"/>
      <c r="Q277" s="210"/>
      <c r="R277" s="263" t="s">
        <v>2096</v>
      </c>
    </row>
    <row r="278" spans="1:19" ht="30" outlineLevel="2">
      <c r="A278" s="3" t="s">
        <v>372</v>
      </c>
      <c r="B278" s="211" t="s">
        <v>66</v>
      </c>
      <c r="C278" s="212" t="s">
        <v>371</v>
      </c>
      <c r="D278" s="212" t="s">
        <v>372</v>
      </c>
      <c r="E278" s="211" t="s">
        <v>88</v>
      </c>
      <c r="F278" s="212" t="s">
        <v>373</v>
      </c>
      <c r="G278" s="211" t="s">
        <v>85</v>
      </c>
      <c r="H278" s="212" t="s">
        <v>23</v>
      </c>
      <c r="I278" s="212" t="s">
        <v>1530</v>
      </c>
      <c r="J278" s="212">
        <v>201409</v>
      </c>
      <c r="K278" s="213">
        <v>47214.32</v>
      </c>
      <c r="L278" s="171">
        <f>VLOOKUP(J278,$U$9:$V$23,2)</f>
        <v>9</v>
      </c>
      <c r="M278" s="214">
        <v>2.23333E-3</v>
      </c>
      <c r="N278" s="213">
        <f>ROUND(K278*L278*M278,2)</f>
        <v>949.01</v>
      </c>
      <c r="O278" s="213">
        <f>ROUND(K278*M278*12,2)</f>
        <v>1265.3399999999999</v>
      </c>
      <c r="P278" s="14"/>
      <c r="Q278" s="210" t="str">
        <f>VLOOKUP(D278,'WO Descriptions'!$A$5:$D$345,4)</f>
        <v>Service/Yard Line Replacement (SLRP): Contract Crew.  Block by Block - Planned replacement of all unprotected steel or copper in a single block.  (Lee's Summit - East Region)</v>
      </c>
    </row>
    <row r="279" spans="1:19" ht="30" outlineLevel="2">
      <c r="A279" s="3" t="s">
        <v>372</v>
      </c>
      <c r="B279" s="211" t="s">
        <v>66</v>
      </c>
      <c r="C279" s="212" t="s">
        <v>371</v>
      </c>
      <c r="D279" s="212" t="s">
        <v>372</v>
      </c>
      <c r="E279" s="211" t="s">
        <v>88</v>
      </c>
      <c r="F279" s="212" t="s">
        <v>373</v>
      </c>
      <c r="G279" s="211" t="s">
        <v>85</v>
      </c>
      <c r="H279" s="212" t="s">
        <v>23</v>
      </c>
      <c r="I279" s="212" t="s">
        <v>1530</v>
      </c>
      <c r="J279" s="212">
        <v>201410</v>
      </c>
      <c r="K279" s="213">
        <v>13638.55</v>
      </c>
      <c r="L279" s="171">
        <f>VLOOKUP(J279,$U$9:$V$23,2)</f>
        <v>8</v>
      </c>
      <c r="M279" s="214">
        <v>2.23333E-3</v>
      </c>
      <c r="N279" s="213">
        <f>ROUND(K279*L279*M279,2)</f>
        <v>243.68</v>
      </c>
      <c r="O279" s="213">
        <f>ROUND(K279*M279*12,2)</f>
        <v>365.51</v>
      </c>
      <c r="P279" s="14"/>
      <c r="Q279" s="210" t="str">
        <f>VLOOKUP(D279,'WO Descriptions'!$A$5:$D$345,4)</f>
        <v>Service/Yard Line Replacement (SLRP): Contract Crew.  Block by Block - Planned replacement of all unprotected steel or copper in a single block.  (Lee's Summit - East Region)</v>
      </c>
    </row>
    <row r="280" spans="1:19" ht="30" outlineLevel="2">
      <c r="A280" s="3" t="s">
        <v>372</v>
      </c>
      <c r="B280" s="211" t="s">
        <v>66</v>
      </c>
      <c r="C280" s="212" t="s">
        <v>371</v>
      </c>
      <c r="D280" s="212" t="s">
        <v>372</v>
      </c>
      <c r="E280" s="211" t="s">
        <v>88</v>
      </c>
      <c r="F280" s="212" t="s">
        <v>373</v>
      </c>
      <c r="G280" s="211" t="s">
        <v>85</v>
      </c>
      <c r="H280" s="212" t="s">
        <v>23</v>
      </c>
      <c r="I280" s="212" t="s">
        <v>1530</v>
      </c>
      <c r="J280" s="212">
        <v>201411</v>
      </c>
      <c r="K280" s="213">
        <v>-288.35000000000002</v>
      </c>
      <c r="L280" s="171">
        <f>VLOOKUP(J280,$U$9:$V$23,2)</f>
        <v>7</v>
      </c>
      <c r="M280" s="214">
        <v>2.23333E-3</v>
      </c>
      <c r="N280" s="213">
        <f>ROUND(K280*L280*M280,2)</f>
        <v>-4.51</v>
      </c>
      <c r="O280" s="213">
        <f>ROUND(K280*M280*12,2)</f>
        <v>-7.73</v>
      </c>
      <c r="P280" s="14"/>
      <c r="Q280" s="210" t="str">
        <f>VLOOKUP(D280,'WO Descriptions'!$A$5:$D$345,4)</f>
        <v>Service/Yard Line Replacement (SLRP): Contract Crew.  Block by Block - Planned replacement of all unprotected steel or copper in a single block.  (Lee's Summit - East Region)</v>
      </c>
    </row>
    <row r="281" spans="1:19" ht="30" outlineLevel="2">
      <c r="A281" s="3" t="s">
        <v>372</v>
      </c>
      <c r="B281" s="211" t="s">
        <v>66</v>
      </c>
      <c r="C281" s="212" t="s">
        <v>371</v>
      </c>
      <c r="D281" s="212" t="s">
        <v>372</v>
      </c>
      <c r="E281" s="211" t="s">
        <v>88</v>
      </c>
      <c r="F281" s="212" t="s">
        <v>373</v>
      </c>
      <c r="G281" s="211" t="s">
        <v>85</v>
      </c>
      <c r="H281" s="212" t="s">
        <v>23</v>
      </c>
      <c r="I281" s="212" t="s">
        <v>1530</v>
      </c>
      <c r="J281" s="212">
        <v>201412</v>
      </c>
      <c r="K281" s="213">
        <v>2148.71</v>
      </c>
      <c r="L281" s="171">
        <f>VLOOKUP(J281,$U$9:$V$23,2)</f>
        <v>6</v>
      </c>
      <c r="M281" s="214">
        <v>2.23333E-3</v>
      </c>
      <c r="N281" s="213">
        <f>ROUND(K281*L281*M281,2)</f>
        <v>28.79</v>
      </c>
      <c r="O281" s="213">
        <f>ROUND(K281*M281*12,2)</f>
        <v>57.59</v>
      </c>
      <c r="P281" s="14"/>
      <c r="Q281" s="210" t="str">
        <f>VLOOKUP(D281,'WO Descriptions'!$A$5:$D$345,4)</f>
        <v>Service/Yard Line Replacement (SLRP): Contract Crew.  Block by Block - Planned replacement of all unprotected steel or copper in a single block.  (Lee's Summit - East Region)</v>
      </c>
    </row>
    <row r="282" spans="1:19" outlineLevel="1">
      <c r="A282" s="3" t="s">
        <v>1856</v>
      </c>
      <c r="B282" s="256"/>
      <c r="C282" s="257"/>
      <c r="D282" s="260" t="s">
        <v>1856</v>
      </c>
      <c r="E282" s="256"/>
      <c r="F282" s="257"/>
      <c r="G282" s="256"/>
      <c r="H282" s="257"/>
      <c r="I282" s="257"/>
      <c r="J282" s="257"/>
      <c r="K282" s="258">
        <f>SUBTOTAL(9,K278:K281)</f>
        <v>62713.229999999996</v>
      </c>
      <c r="L282" s="252"/>
      <c r="M282" s="259"/>
      <c r="N282" s="258">
        <f>SUBTOTAL(9,N278:N281)</f>
        <v>1216.97</v>
      </c>
      <c r="O282" s="258">
        <f>SUBTOTAL(9,O278:O281)</f>
        <v>1680.7099999999998</v>
      </c>
      <c r="P282" s="223"/>
      <c r="Q282" s="210"/>
      <c r="R282" s="263" t="s">
        <v>2097</v>
      </c>
      <c r="S282" s="263" t="s">
        <v>2102</v>
      </c>
    </row>
    <row r="283" spans="1:19" ht="30" outlineLevel="2">
      <c r="A283" s="3" t="s">
        <v>375</v>
      </c>
      <c r="B283" s="211" t="s">
        <v>66</v>
      </c>
      <c r="C283" s="212" t="s">
        <v>374</v>
      </c>
      <c r="D283" s="212" t="s">
        <v>375</v>
      </c>
      <c r="E283" s="211" t="s">
        <v>376</v>
      </c>
      <c r="F283" s="212" t="s">
        <v>377</v>
      </c>
      <c r="G283" s="211" t="s">
        <v>378</v>
      </c>
      <c r="H283" s="212" t="s">
        <v>23</v>
      </c>
      <c r="I283" s="212" t="s">
        <v>1530</v>
      </c>
      <c r="J283" s="212">
        <v>201409</v>
      </c>
      <c r="K283" s="213">
        <v>23482.38</v>
      </c>
      <c r="L283" s="171">
        <f>VLOOKUP(J283,$U$9:$V$23,2)</f>
        <v>9</v>
      </c>
      <c r="M283" s="214">
        <v>2.23333E-3</v>
      </c>
      <c r="N283" s="213">
        <f>ROUND(K283*L283*M283,2)</f>
        <v>472</v>
      </c>
      <c r="O283" s="213">
        <f>ROUND(K283*M283*12,2)</f>
        <v>629.33000000000004</v>
      </c>
      <c r="P283" s="14"/>
      <c r="Q283" s="210" t="str">
        <f>VLOOKUP(D283,'WO Descriptions'!$A$5:$D$345,4)</f>
        <v>Service/Yard Line Replacement (SLRP): Contract Crew.  Service/yard line replacement - Material Charges Only  (Joplin - South Region)</v>
      </c>
    </row>
    <row r="284" spans="1:19" ht="30" outlineLevel="2">
      <c r="A284" s="3" t="s">
        <v>375</v>
      </c>
      <c r="B284" s="211" t="s">
        <v>66</v>
      </c>
      <c r="C284" s="212" t="s">
        <v>374</v>
      </c>
      <c r="D284" s="212" t="s">
        <v>375</v>
      </c>
      <c r="E284" s="211" t="s">
        <v>376</v>
      </c>
      <c r="F284" s="212" t="s">
        <v>377</v>
      </c>
      <c r="G284" s="211" t="s">
        <v>378</v>
      </c>
      <c r="H284" s="212" t="s">
        <v>23</v>
      </c>
      <c r="I284" s="212" t="s">
        <v>1530</v>
      </c>
      <c r="J284" s="212">
        <v>201410</v>
      </c>
      <c r="K284" s="213">
        <v>18639.88</v>
      </c>
      <c r="L284" s="171">
        <f>VLOOKUP(J284,$U$9:$V$23,2)</f>
        <v>8</v>
      </c>
      <c r="M284" s="214">
        <v>2.23333E-3</v>
      </c>
      <c r="N284" s="213">
        <f>ROUND(K284*L284*M284,2)</f>
        <v>333.03</v>
      </c>
      <c r="O284" s="213">
        <f>ROUND(K284*M284*12,2)</f>
        <v>499.55</v>
      </c>
      <c r="P284" s="14"/>
      <c r="Q284" s="210" t="str">
        <f>VLOOKUP(D284,'WO Descriptions'!$A$5:$D$345,4)</f>
        <v>Service/Yard Line Replacement (SLRP): Contract Crew.  Service/yard line replacement - Material Charges Only  (Joplin - South Region)</v>
      </c>
    </row>
    <row r="285" spans="1:19" ht="30" outlineLevel="2">
      <c r="A285" s="3" t="s">
        <v>375</v>
      </c>
      <c r="B285" s="211" t="s">
        <v>66</v>
      </c>
      <c r="C285" s="212" t="s">
        <v>374</v>
      </c>
      <c r="D285" s="212" t="s">
        <v>375</v>
      </c>
      <c r="E285" s="211" t="s">
        <v>376</v>
      </c>
      <c r="F285" s="212" t="s">
        <v>377</v>
      </c>
      <c r="G285" s="211" t="s">
        <v>378</v>
      </c>
      <c r="H285" s="212" t="s">
        <v>23</v>
      </c>
      <c r="I285" s="212" t="s">
        <v>1530</v>
      </c>
      <c r="J285" s="212">
        <v>201411</v>
      </c>
      <c r="K285" s="213">
        <v>-119.93</v>
      </c>
      <c r="L285" s="171">
        <f>VLOOKUP(J285,$U$9:$V$23,2)</f>
        <v>7</v>
      </c>
      <c r="M285" s="214">
        <v>2.23333E-3</v>
      </c>
      <c r="N285" s="213">
        <f>ROUND(K285*L285*M285,2)</f>
        <v>-1.87</v>
      </c>
      <c r="O285" s="213">
        <f>ROUND(K285*M285*12,2)</f>
        <v>-3.21</v>
      </c>
      <c r="P285" s="14"/>
      <c r="Q285" s="210" t="str">
        <f>VLOOKUP(D285,'WO Descriptions'!$A$5:$D$345,4)</f>
        <v>Service/Yard Line Replacement (SLRP): Contract Crew.  Service/yard line replacement - Material Charges Only  (Joplin - South Region)</v>
      </c>
    </row>
    <row r="286" spans="1:19" ht="30" outlineLevel="2">
      <c r="A286" s="3" t="s">
        <v>375</v>
      </c>
      <c r="B286" s="211" t="s">
        <v>66</v>
      </c>
      <c r="C286" s="212" t="s">
        <v>374</v>
      </c>
      <c r="D286" s="212" t="s">
        <v>375</v>
      </c>
      <c r="E286" s="211" t="s">
        <v>376</v>
      </c>
      <c r="F286" s="212" t="s">
        <v>377</v>
      </c>
      <c r="G286" s="211" t="s">
        <v>378</v>
      </c>
      <c r="H286" s="212" t="s">
        <v>23</v>
      </c>
      <c r="I286" s="212" t="s">
        <v>1530</v>
      </c>
      <c r="J286" s="212">
        <v>201412</v>
      </c>
      <c r="K286" s="213">
        <v>1572.18</v>
      </c>
      <c r="L286" s="171">
        <f>VLOOKUP(J286,$U$9:$V$23,2)</f>
        <v>6</v>
      </c>
      <c r="M286" s="214">
        <v>2.23333E-3</v>
      </c>
      <c r="N286" s="213">
        <f>ROUND(K286*L286*M286,2)</f>
        <v>21.07</v>
      </c>
      <c r="O286" s="213">
        <f>ROUND(K286*M286*12,2)</f>
        <v>42.13</v>
      </c>
      <c r="P286" s="14"/>
      <c r="Q286" s="210" t="str">
        <f>VLOOKUP(D286,'WO Descriptions'!$A$5:$D$345,4)</f>
        <v>Service/Yard Line Replacement (SLRP): Contract Crew.  Service/yard line replacement - Material Charges Only  (Joplin - South Region)</v>
      </c>
    </row>
    <row r="287" spans="1:19" outlineLevel="1">
      <c r="A287" s="3" t="s">
        <v>1857</v>
      </c>
      <c r="B287" s="256"/>
      <c r="C287" s="257"/>
      <c r="D287" s="260" t="s">
        <v>1857</v>
      </c>
      <c r="E287" s="256"/>
      <c r="F287" s="257"/>
      <c r="G287" s="256"/>
      <c r="H287" s="257"/>
      <c r="I287" s="257"/>
      <c r="J287" s="257"/>
      <c r="K287" s="258">
        <f>SUBTOTAL(9,K283:K286)</f>
        <v>43574.51</v>
      </c>
      <c r="L287" s="252"/>
      <c r="M287" s="259"/>
      <c r="N287" s="258">
        <f>SUBTOTAL(9,N283:N286)</f>
        <v>824.23</v>
      </c>
      <c r="O287" s="258">
        <f>SUBTOTAL(9,O283:O286)</f>
        <v>1167.8000000000002</v>
      </c>
      <c r="P287" s="223"/>
      <c r="Q287" s="210"/>
      <c r="R287" s="263" t="s">
        <v>2097</v>
      </c>
      <c r="S287" s="263" t="s">
        <v>2102</v>
      </c>
    </row>
    <row r="288" spans="1:19" ht="30" outlineLevel="2">
      <c r="A288" s="3" t="s">
        <v>380</v>
      </c>
      <c r="B288" s="211" t="s">
        <v>66</v>
      </c>
      <c r="C288" s="212" t="s">
        <v>379</v>
      </c>
      <c r="D288" s="212" t="s">
        <v>380</v>
      </c>
      <c r="E288" s="211" t="s">
        <v>381</v>
      </c>
      <c r="F288" s="212" t="s">
        <v>382</v>
      </c>
      <c r="G288" s="211" t="s">
        <v>212</v>
      </c>
      <c r="H288" s="212" t="s">
        <v>23</v>
      </c>
      <c r="I288" s="212" t="s">
        <v>1530</v>
      </c>
      <c r="J288" s="212">
        <v>201409</v>
      </c>
      <c r="K288" s="213">
        <v>51541.52</v>
      </c>
      <c r="L288" s="171">
        <f>VLOOKUP(J288,$U$9:$V$23,2)</f>
        <v>9</v>
      </c>
      <c r="M288" s="214">
        <v>2.23333E-3</v>
      </c>
      <c r="N288" s="213">
        <f>ROUND(K288*L288*M288,2)</f>
        <v>1035.98</v>
      </c>
      <c r="O288" s="213">
        <f>ROUND(K288*M288*12,2)</f>
        <v>1381.31</v>
      </c>
      <c r="P288" s="14"/>
      <c r="Q288" s="210" t="str">
        <f>VLOOKUP(D288,'WO Descriptions'!$A$5:$D$345,4)</f>
        <v>Service/Yard Line Replacement (SLRP): Contract Crew.  Immediate response - replacement single unprotected steel or copper  (Kansas City - Central Region)</v>
      </c>
    </row>
    <row r="289" spans="1:19" ht="30" outlineLevel="2">
      <c r="A289" s="3" t="s">
        <v>380</v>
      </c>
      <c r="B289" s="211" t="s">
        <v>66</v>
      </c>
      <c r="C289" s="212" t="s">
        <v>379</v>
      </c>
      <c r="D289" s="212" t="s">
        <v>380</v>
      </c>
      <c r="E289" s="211" t="s">
        <v>381</v>
      </c>
      <c r="F289" s="212" t="s">
        <v>382</v>
      </c>
      <c r="G289" s="211" t="s">
        <v>212</v>
      </c>
      <c r="H289" s="212" t="s">
        <v>23</v>
      </c>
      <c r="I289" s="212" t="s">
        <v>1530</v>
      </c>
      <c r="J289" s="212">
        <v>201410</v>
      </c>
      <c r="K289" s="213">
        <v>44071.92</v>
      </c>
      <c r="L289" s="171">
        <f>VLOOKUP(J289,$U$9:$V$23,2)</f>
        <v>8</v>
      </c>
      <c r="M289" s="214">
        <v>2.23333E-3</v>
      </c>
      <c r="N289" s="213">
        <f>ROUND(K289*L289*M289,2)</f>
        <v>787.42</v>
      </c>
      <c r="O289" s="213">
        <f>ROUND(K289*M289*12,2)</f>
        <v>1181.1300000000001</v>
      </c>
      <c r="P289" s="14"/>
      <c r="Q289" s="210" t="str">
        <f>VLOOKUP(D289,'WO Descriptions'!$A$5:$D$345,4)</f>
        <v>Service/Yard Line Replacement (SLRP): Contract Crew.  Immediate response - replacement single unprotected steel or copper  (Kansas City - Central Region)</v>
      </c>
    </row>
    <row r="290" spans="1:19" ht="30" outlineLevel="2">
      <c r="A290" s="3" t="s">
        <v>380</v>
      </c>
      <c r="B290" s="211" t="s">
        <v>66</v>
      </c>
      <c r="C290" s="212" t="s">
        <v>379</v>
      </c>
      <c r="D290" s="212" t="s">
        <v>380</v>
      </c>
      <c r="E290" s="211" t="s">
        <v>381</v>
      </c>
      <c r="F290" s="212" t="s">
        <v>382</v>
      </c>
      <c r="G290" s="211" t="s">
        <v>212</v>
      </c>
      <c r="H290" s="212" t="s">
        <v>23</v>
      </c>
      <c r="I290" s="212" t="s">
        <v>1530</v>
      </c>
      <c r="J290" s="212">
        <v>201411</v>
      </c>
      <c r="K290" s="213">
        <v>8632.84</v>
      </c>
      <c r="L290" s="171">
        <f>VLOOKUP(J290,$U$9:$V$23,2)</f>
        <v>7</v>
      </c>
      <c r="M290" s="214">
        <v>2.23333E-3</v>
      </c>
      <c r="N290" s="213">
        <f>ROUND(K290*L290*M290,2)</f>
        <v>134.96</v>
      </c>
      <c r="O290" s="213">
        <f>ROUND(K290*M290*12,2)</f>
        <v>231.36</v>
      </c>
      <c r="P290" s="14"/>
      <c r="Q290" s="210" t="str">
        <f>VLOOKUP(D290,'WO Descriptions'!$A$5:$D$345,4)</f>
        <v>Service/Yard Line Replacement (SLRP): Contract Crew.  Immediate response - replacement single unprotected steel or copper  (Kansas City - Central Region)</v>
      </c>
    </row>
    <row r="291" spans="1:19" ht="30" outlineLevel="2">
      <c r="A291" s="3" t="s">
        <v>380</v>
      </c>
      <c r="B291" s="211" t="s">
        <v>66</v>
      </c>
      <c r="C291" s="212" t="s">
        <v>379</v>
      </c>
      <c r="D291" s="212" t="s">
        <v>380</v>
      </c>
      <c r="E291" s="211" t="s">
        <v>381</v>
      </c>
      <c r="F291" s="212" t="s">
        <v>382</v>
      </c>
      <c r="G291" s="211" t="s">
        <v>212</v>
      </c>
      <c r="H291" s="212" t="s">
        <v>23</v>
      </c>
      <c r="I291" s="212" t="s">
        <v>1530</v>
      </c>
      <c r="J291" s="212">
        <v>201412</v>
      </c>
      <c r="K291" s="213">
        <v>-3419.01</v>
      </c>
      <c r="L291" s="171">
        <f>VLOOKUP(J291,$U$9:$V$23,2)</f>
        <v>6</v>
      </c>
      <c r="M291" s="214">
        <v>2.23333E-3</v>
      </c>
      <c r="N291" s="213">
        <f>ROUND(K291*L291*M291,2)</f>
        <v>-45.81</v>
      </c>
      <c r="O291" s="213">
        <f>ROUND(K291*M291*12,2)</f>
        <v>-91.63</v>
      </c>
      <c r="P291" s="14"/>
      <c r="Q291" s="210" t="str">
        <f>VLOOKUP(D291,'WO Descriptions'!$A$5:$D$345,4)</f>
        <v>Service/Yard Line Replacement (SLRP): Contract Crew.  Immediate response - replacement single unprotected steel or copper  (Kansas City - Central Region)</v>
      </c>
    </row>
    <row r="292" spans="1:19" outlineLevel="1">
      <c r="A292" s="3" t="s">
        <v>1858</v>
      </c>
      <c r="B292" s="256"/>
      <c r="C292" s="257"/>
      <c r="D292" s="260" t="s">
        <v>1858</v>
      </c>
      <c r="E292" s="256"/>
      <c r="F292" s="257"/>
      <c r="G292" s="256"/>
      <c r="H292" s="257"/>
      <c r="I292" s="257"/>
      <c r="J292" s="257"/>
      <c r="K292" s="258">
        <f>SUBTOTAL(9,K288:K291)</f>
        <v>100827.27</v>
      </c>
      <c r="L292" s="252"/>
      <c r="M292" s="259"/>
      <c r="N292" s="258">
        <f>SUBTOTAL(9,N288:N291)</f>
        <v>1912.5500000000002</v>
      </c>
      <c r="O292" s="258">
        <f>SUBTOTAL(9,O288:O291)</f>
        <v>2702.17</v>
      </c>
      <c r="P292" s="223"/>
      <c r="Q292" s="210"/>
      <c r="R292" s="263" t="s">
        <v>2097</v>
      </c>
      <c r="S292" s="263" t="s">
        <v>2102</v>
      </c>
    </row>
    <row r="293" spans="1:19" ht="30" outlineLevel="2">
      <c r="A293" s="3" t="s">
        <v>384</v>
      </c>
      <c r="B293" s="211" t="s">
        <v>66</v>
      </c>
      <c r="C293" s="212" t="s">
        <v>383</v>
      </c>
      <c r="D293" s="212" t="s">
        <v>384</v>
      </c>
      <c r="E293" s="211" t="s">
        <v>385</v>
      </c>
      <c r="F293" s="212" t="s">
        <v>386</v>
      </c>
      <c r="G293" s="211" t="s">
        <v>387</v>
      </c>
      <c r="H293" s="212" t="s">
        <v>23</v>
      </c>
      <c r="I293" s="212" t="s">
        <v>1530</v>
      </c>
      <c r="J293" s="212">
        <v>201409</v>
      </c>
      <c r="K293" s="213">
        <v>103600.86</v>
      </c>
      <c r="L293" s="171">
        <f>VLOOKUP(J293,$U$9:$V$23,2)</f>
        <v>9</v>
      </c>
      <c r="M293" s="214">
        <v>2.23333E-3</v>
      </c>
      <c r="N293" s="213">
        <f>ROUND(K293*L293*M293,2)</f>
        <v>2082.37</v>
      </c>
      <c r="O293" s="213">
        <f>ROUND(K293*M293*12,2)</f>
        <v>2776.5</v>
      </c>
      <c r="P293" s="14"/>
      <c r="Q293" s="210" t="str">
        <f>VLOOKUP(D293,'WO Descriptions'!$A$5:$D$345,4)</f>
        <v>Replacement and/or removal of existing protected steel or plastic (Kansas City - Central Region)</v>
      </c>
    </row>
    <row r="294" spans="1:19" ht="30" outlineLevel="2">
      <c r="A294" s="3" t="s">
        <v>384</v>
      </c>
      <c r="B294" s="211" t="s">
        <v>66</v>
      </c>
      <c r="C294" s="212" t="s">
        <v>383</v>
      </c>
      <c r="D294" s="212" t="s">
        <v>384</v>
      </c>
      <c r="E294" s="211" t="s">
        <v>385</v>
      </c>
      <c r="F294" s="212" t="s">
        <v>386</v>
      </c>
      <c r="G294" s="211" t="s">
        <v>387</v>
      </c>
      <c r="H294" s="212" t="s">
        <v>23</v>
      </c>
      <c r="I294" s="212" t="s">
        <v>1530</v>
      </c>
      <c r="J294" s="212">
        <v>201410</v>
      </c>
      <c r="K294" s="213">
        <v>183813.51</v>
      </c>
      <c r="L294" s="171">
        <f>VLOOKUP(J294,$U$9:$V$23,2)</f>
        <v>8</v>
      </c>
      <c r="M294" s="214">
        <v>2.23333E-3</v>
      </c>
      <c r="N294" s="213">
        <f>ROUND(K294*L294*M294,2)</f>
        <v>3284.13</v>
      </c>
      <c r="O294" s="213">
        <f>ROUND(K294*M294*12,2)</f>
        <v>4926.1899999999996</v>
      </c>
      <c r="P294" s="14"/>
      <c r="Q294" s="210" t="str">
        <f>VLOOKUP(D294,'WO Descriptions'!$A$5:$D$345,4)</f>
        <v>Replacement and/or removal of existing protected steel or plastic (Kansas City - Central Region)</v>
      </c>
    </row>
    <row r="295" spans="1:19" ht="30" outlineLevel="2">
      <c r="A295" s="3" t="s">
        <v>384</v>
      </c>
      <c r="B295" s="211" t="s">
        <v>66</v>
      </c>
      <c r="C295" s="212" t="s">
        <v>383</v>
      </c>
      <c r="D295" s="212" t="s">
        <v>384</v>
      </c>
      <c r="E295" s="211" t="s">
        <v>385</v>
      </c>
      <c r="F295" s="212" t="s">
        <v>386</v>
      </c>
      <c r="G295" s="211" t="s">
        <v>387</v>
      </c>
      <c r="H295" s="212" t="s">
        <v>23</v>
      </c>
      <c r="I295" s="212" t="s">
        <v>1530</v>
      </c>
      <c r="J295" s="212">
        <v>201411</v>
      </c>
      <c r="K295" s="213">
        <v>112142.79</v>
      </c>
      <c r="L295" s="171">
        <f>VLOOKUP(J295,$U$9:$V$23,2)</f>
        <v>7</v>
      </c>
      <c r="M295" s="214">
        <v>2.23333E-3</v>
      </c>
      <c r="N295" s="213">
        <f>ROUND(K295*L295*M295,2)</f>
        <v>1753.16</v>
      </c>
      <c r="O295" s="213">
        <f>ROUND(K295*M295*12,2)</f>
        <v>3005.42</v>
      </c>
      <c r="P295" s="14"/>
      <c r="Q295" s="210" t="str">
        <f>VLOOKUP(D295,'WO Descriptions'!$A$5:$D$345,4)</f>
        <v>Replacement and/or removal of existing protected steel or plastic (Kansas City - Central Region)</v>
      </c>
    </row>
    <row r="296" spans="1:19" ht="30" outlineLevel="2">
      <c r="A296" s="3" t="s">
        <v>384</v>
      </c>
      <c r="B296" s="211" t="s">
        <v>66</v>
      </c>
      <c r="C296" s="212" t="s">
        <v>383</v>
      </c>
      <c r="D296" s="212" t="s">
        <v>384</v>
      </c>
      <c r="E296" s="211" t="s">
        <v>385</v>
      </c>
      <c r="F296" s="212" t="s">
        <v>386</v>
      </c>
      <c r="G296" s="211" t="s">
        <v>387</v>
      </c>
      <c r="H296" s="212" t="s">
        <v>23</v>
      </c>
      <c r="I296" s="212" t="s">
        <v>1530</v>
      </c>
      <c r="J296" s="212">
        <v>201412</v>
      </c>
      <c r="K296" s="213">
        <v>155294.04</v>
      </c>
      <c r="L296" s="171">
        <f>VLOOKUP(J296,$U$9:$V$23,2)</f>
        <v>6</v>
      </c>
      <c r="M296" s="214">
        <v>2.23333E-3</v>
      </c>
      <c r="N296" s="213">
        <f>ROUND(K296*L296*M296,2)</f>
        <v>2080.94</v>
      </c>
      <c r="O296" s="213">
        <f>ROUND(K296*M296*12,2)</f>
        <v>4161.87</v>
      </c>
      <c r="P296" s="14"/>
      <c r="Q296" s="210" t="str">
        <f>VLOOKUP(D296,'WO Descriptions'!$A$5:$D$345,4)</f>
        <v>Replacement and/or removal of existing protected steel or plastic (Kansas City - Central Region)</v>
      </c>
    </row>
    <row r="297" spans="1:19" outlineLevel="1">
      <c r="A297" s="3" t="s">
        <v>1859</v>
      </c>
      <c r="B297" s="256"/>
      <c r="C297" s="257"/>
      <c r="D297" s="260" t="s">
        <v>1859</v>
      </c>
      <c r="E297" s="256"/>
      <c r="F297" s="257"/>
      <c r="G297" s="256"/>
      <c r="H297" s="257"/>
      <c r="I297" s="257"/>
      <c r="J297" s="257"/>
      <c r="K297" s="258">
        <f>SUBTOTAL(9,K293:K296)</f>
        <v>554851.19999999995</v>
      </c>
      <c r="L297" s="252"/>
      <c r="M297" s="259"/>
      <c r="N297" s="258">
        <f>SUBTOTAL(9,N293:N296)</f>
        <v>9200.6</v>
      </c>
      <c r="O297" s="258">
        <f>SUBTOTAL(9,O293:O296)</f>
        <v>14869.98</v>
      </c>
      <c r="P297" s="223"/>
      <c r="Q297" s="210"/>
      <c r="R297" s="263" t="s">
        <v>2097</v>
      </c>
      <c r="S297" s="263" t="s">
        <v>2102</v>
      </c>
    </row>
    <row r="298" spans="1:19" outlineLevel="2">
      <c r="A298" s="3" t="s">
        <v>389</v>
      </c>
      <c r="B298" s="211" t="s">
        <v>66</v>
      </c>
      <c r="C298" s="212" t="s">
        <v>388</v>
      </c>
      <c r="D298" s="212" t="s">
        <v>389</v>
      </c>
      <c r="E298" s="211" t="s">
        <v>385</v>
      </c>
      <c r="F298" s="212" t="s">
        <v>390</v>
      </c>
      <c r="G298" s="211" t="s">
        <v>387</v>
      </c>
      <c r="H298" s="212" t="s">
        <v>23</v>
      </c>
      <c r="I298" s="212" t="s">
        <v>1530</v>
      </c>
      <c r="J298" s="212">
        <v>201409</v>
      </c>
      <c r="K298" s="213">
        <v>42682.33</v>
      </c>
      <c r="L298" s="171">
        <f>VLOOKUP(J298,$U$9:$V$23,2)</f>
        <v>9</v>
      </c>
      <c r="M298" s="214">
        <v>2.23333E-3</v>
      </c>
      <c r="N298" s="213">
        <f>ROUND(K298*L298*M298,2)</f>
        <v>857.91</v>
      </c>
      <c r="O298" s="213">
        <f>ROUND(K298*M298*12,2)</f>
        <v>1143.8800000000001</v>
      </c>
      <c r="P298" s="14"/>
      <c r="Q298" s="210" t="str">
        <f>VLOOKUP(D298,'WO Descriptions'!$A$5:$D$345,4)</f>
        <v>Replacement and/or removal of existing protected steel or plastic (Lee's Summit - East Region)</v>
      </c>
    </row>
    <row r="299" spans="1:19" outlineLevel="2">
      <c r="A299" s="3" t="s">
        <v>389</v>
      </c>
      <c r="B299" s="211" t="s">
        <v>66</v>
      </c>
      <c r="C299" s="212" t="s">
        <v>388</v>
      </c>
      <c r="D299" s="212" t="s">
        <v>389</v>
      </c>
      <c r="E299" s="211" t="s">
        <v>385</v>
      </c>
      <c r="F299" s="212" t="s">
        <v>390</v>
      </c>
      <c r="G299" s="211" t="s">
        <v>387</v>
      </c>
      <c r="H299" s="212" t="s">
        <v>23</v>
      </c>
      <c r="I299" s="212" t="s">
        <v>1530</v>
      </c>
      <c r="J299" s="212">
        <v>201410</v>
      </c>
      <c r="K299" s="213">
        <v>30625.17</v>
      </c>
      <c r="L299" s="171">
        <f>VLOOKUP(J299,$U$9:$V$23,2)</f>
        <v>8</v>
      </c>
      <c r="M299" s="214">
        <v>2.23333E-3</v>
      </c>
      <c r="N299" s="213">
        <f>ROUND(K299*L299*M299,2)</f>
        <v>547.16999999999996</v>
      </c>
      <c r="O299" s="213">
        <f>ROUND(K299*M299*12,2)</f>
        <v>820.75</v>
      </c>
      <c r="P299" s="14"/>
      <c r="Q299" s="210" t="str">
        <f>VLOOKUP(D299,'WO Descriptions'!$A$5:$D$345,4)</f>
        <v>Replacement and/or removal of existing protected steel or plastic (Lee's Summit - East Region)</v>
      </c>
    </row>
    <row r="300" spans="1:19" outlineLevel="2">
      <c r="A300" s="3" t="s">
        <v>389</v>
      </c>
      <c r="B300" s="211" t="s">
        <v>66</v>
      </c>
      <c r="C300" s="212" t="s">
        <v>388</v>
      </c>
      <c r="D300" s="212" t="s">
        <v>389</v>
      </c>
      <c r="E300" s="211" t="s">
        <v>385</v>
      </c>
      <c r="F300" s="212" t="s">
        <v>390</v>
      </c>
      <c r="G300" s="211" t="s">
        <v>387</v>
      </c>
      <c r="H300" s="212" t="s">
        <v>23</v>
      </c>
      <c r="I300" s="212" t="s">
        <v>1530</v>
      </c>
      <c r="J300" s="212">
        <v>201411</v>
      </c>
      <c r="K300" s="213">
        <v>8594.43</v>
      </c>
      <c r="L300" s="171">
        <f>VLOOKUP(J300,$U$9:$V$23,2)</f>
        <v>7</v>
      </c>
      <c r="M300" s="214">
        <v>2.23333E-3</v>
      </c>
      <c r="N300" s="213">
        <f>ROUND(K300*L300*M300,2)</f>
        <v>134.36000000000001</v>
      </c>
      <c r="O300" s="213">
        <f>ROUND(K300*M300*12,2)</f>
        <v>230.33</v>
      </c>
      <c r="P300" s="14"/>
      <c r="Q300" s="210" t="str">
        <f>VLOOKUP(D300,'WO Descriptions'!$A$5:$D$345,4)</f>
        <v>Replacement and/or removal of existing protected steel or plastic (Lee's Summit - East Region)</v>
      </c>
    </row>
    <row r="301" spans="1:19" outlineLevel="2">
      <c r="A301" s="3" t="s">
        <v>389</v>
      </c>
      <c r="B301" s="211" t="s">
        <v>66</v>
      </c>
      <c r="C301" s="212" t="s">
        <v>388</v>
      </c>
      <c r="D301" s="212" t="s">
        <v>389</v>
      </c>
      <c r="E301" s="211" t="s">
        <v>385</v>
      </c>
      <c r="F301" s="212" t="s">
        <v>390</v>
      </c>
      <c r="G301" s="211" t="s">
        <v>387</v>
      </c>
      <c r="H301" s="212" t="s">
        <v>23</v>
      </c>
      <c r="I301" s="212" t="s">
        <v>1530</v>
      </c>
      <c r="J301" s="212">
        <v>201412</v>
      </c>
      <c r="K301" s="213">
        <v>24453.55</v>
      </c>
      <c r="L301" s="171">
        <f>VLOOKUP(J301,$U$9:$V$23,2)</f>
        <v>6</v>
      </c>
      <c r="M301" s="214">
        <v>2.23333E-3</v>
      </c>
      <c r="N301" s="213">
        <f>ROUND(K301*L301*M301,2)</f>
        <v>327.68</v>
      </c>
      <c r="O301" s="213">
        <f>ROUND(K301*M301*12,2)</f>
        <v>655.35</v>
      </c>
      <c r="P301" s="14"/>
      <c r="Q301" s="210" t="str">
        <f>VLOOKUP(D301,'WO Descriptions'!$A$5:$D$345,4)</f>
        <v>Replacement and/or removal of existing protected steel or plastic (Lee's Summit - East Region)</v>
      </c>
    </row>
    <row r="302" spans="1:19" outlineLevel="1">
      <c r="A302" s="3" t="s">
        <v>1860</v>
      </c>
      <c r="B302" s="256"/>
      <c r="C302" s="257"/>
      <c r="D302" s="260" t="s">
        <v>1860</v>
      </c>
      <c r="E302" s="256"/>
      <c r="F302" s="257"/>
      <c r="G302" s="256"/>
      <c r="H302" s="257"/>
      <c r="I302" s="257"/>
      <c r="J302" s="257"/>
      <c r="K302" s="258">
        <f>SUBTOTAL(9,K298:K301)</f>
        <v>106355.48</v>
      </c>
      <c r="L302" s="252"/>
      <c r="M302" s="259"/>
      <c r="N302" s="258">
        <f>SUBTOTAL(9,N298:N301)</f>
        <v>1867.1200000000001</v>
      </c>
      <c r="O302" s="258">
        <f>SUBTOTAL(9,O298:O301)</f>
        <v>2850.31</v>
      </c>
      <c r="P302" s="223"/>
      <c r="Q302" s="210"/>
      <c r="R302" s="263" t="s">
        <v>2097</v>
      </c>
      <c r="S302" s="263" t="s">
        <v>2102</v>
      </c>
    </row>
    <row r="303" spans="1:19" ht="165" outlineLevel="2">
      <c r="A303" s="3" t="s">
        <v>392</v>
      </c>
      <c r="B303" s="14" t="s">
        <v>17</v>
      </c>
      <c r="C303" s="15" t="s">
        <v>391</v>
      </c>
      <c r="D303" s="15" t="s">
        <v>392</v>
      </c>
      <c r="E303" s="14" t="s">
        <v>393</v>
      </c>
      <c r="F303" s="15" t="s">
        <v>394</v>
      </c>
      <c r="G303" s="14" t="s">
        <v>137</v>
      </c>
      <c r="H303" s="15" t="s">
        <v>23</v>
      </c>
      <c r="I303" s="15" t="s">
        <v>1526</v>
      </c>
      <c r="J303" s="15">
        <v>201409</v>
      </c>
      <c r="K303" s="16">
        <v>-762.66</v>
      </c>
      <c r="L303" s="171">
        <f>VLOOKUP(J303,$U$9:$V$23,2)</f>
        <v>9</v>
      </c>
      <c r="M303" s="17">
        <v>1.4833299999999999E-3</v>
      </c>
      <c r="N303" s="16">
        <f>ROUND(K303*L303*M303,2)</f>
        <v>-10.18</v>
      </c>
      <c r="O303" s="16">
        <f>ROUND(K303*M303*12,2)</f>
        <v>-13.58</v>
      </c>
      <c r="P303" s="14"/>
      <c r="Q303" s="210" t="str">
        <f>VLOOKUP(D303,'WO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4" spans="1:19" ht="165" outlineLevel="2">
      <c r="A304" s="3" t="s">
        <v>392</v>
      </c>
      <c r="B304" s="14" t="s">
        <v>17</v>
      </c>
      <c r="C304" s="15" t="s">
        <v>391</v>
      </c>
      <c r="D304" s="15" t="s">
        <v>392</v>
      </c>
      <c r="E304" s="14" t="s">
        <v>393</v>
      </c>
      <c r="F304" s="15" t="s">
        <v>394</v>
      </c>
      <c r="G304" s="14" t="s">
        <v>137</v>
      </c>
      <c r="H304" s="15" t="s">
        <v>23</v>
      </c>
      <c r="I304" s="15" t="s">
        <v>1526</v>
      </c>
      <c r="J304" s="15">
        <v>201410</v>
      </c>
      <c r="K304" s="16">
        <v>3963.65</v>
      </c>
      <c r="L304" s="171">
        <f>VLOOKUP(J304,$U$9:$V$23,2)</f>
        <v>8</v>
      </c>
      <c r="M304" s="17">
        <v>1.4833299999999999E-3</v>
      </c>
      <c r="N304" s="16">
        <f>ROUND(K304*L304*M304,2)</f>
        <v>47.04</v>
      </c>
      <c r="O304" s="16">
        <f>ROUND(K304*M304*12,2)</f>
        <v>70.55</v>
      </c>
      <c r="P304" s="14"/>
      <c r="Q304" s="210" t="str">
        <f>VLOOKUP(D304,'WO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5" spans="1:19" ht="165" outlineLevel="2">
      <c r="A305" s="3" t="s">
        <v>392</v>
      </c>
      <c r="B305" s="14" t="s">
        <v>17</v>
      </c>
      <c r="C305" s="15" t="s">
        <v>391</v>
      </c>
      <c r="D305" s="15" t="s">
        <v>392</v>
      </c>
      <c r="E305" s="14" t="s">
        <v>393</v>
      </c>
      <c r="F305" s="15" t="s">
        <v>394</v>
      </c>
      <c r="G305" s="14" t="s">
        <v>137</v>
      </c>
      <c r="H305" s="15" t="s">
        <v>23</v>
      </c>
      <c r="I305" s="15" t="s">
        <v>1526</v>
      </c>
      <c r="J305" s="15">
        <v>201411</v>
      </c>
      <c r="K305" s="16">
        <v>5763.59</v>
      </c>
      <c r="L305" s="171">
        <f>VLOOKUP(J305,$U$9:$V$23,2)</f>
        <v>7</v>
      </c>
      <c r="M305" s="17">
        <v>1.4833299999999999E-3</v>
      </c>
      <c r="N305" s="16">
        <f>ROUND(K305*L305*M305,2)</f>
        <v>59.85</v>
      </c>
      <c r="O305" s="16">
        <f>ROUND(K305*M305*12,2)</f>
        <v>102.59</v>
      </c>
      <c r="P305" s="14"/>
      <c r="Q305" s="210" t="str">
        <f>VLOOKUP(D305,'WO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6" spans="1:19" ht="165" outlineLevel="2">
      <c r="A306" s="3" t="s">
        <v>392</v>
      </c>
      <c r="B306" s="14" t="s">
        <v>17</v>
      </c>
      <c r="C306" s="15" t="s">
        <v>391</v>
      </c>
      <c r="D306" s="15" t="s">
        <v>392</v>
      </c>
      <c r="E306" s="14" t="s">
        <v>393</v>
      </c>
      <c r="F306" s="15" t="s">
        <v>394</v>
      </c>
      <c r="G306" s="14" t="s">
        <v>137</v>
      </c>
      <c r="H306" s="15" t="s">
        <v>23</v>
      </c>
      <c r="I306" s="15" t="s">
        <v>1526</v>
      </c>
      <c r="J306" s="15">
        <v>201412</v>
      </c>
      <c r="K306" s="16">
        <v>-583.21</v>
      </c>
      <c r="L306" s="171">
        <f>VLOOKUP(J306,$U$9:$V$23,2)</f>
        <v>6</v>
      </c>
      <c r="M306" s="17">
        <v>1.4833299999999999E-3</v>
      </c>
      <c r="N306" s="16">
        <f>ROUND(K306*L306*M306,2)</f>
        <v>-5.19</v>
      </c>
      <c r="O306" s="16">
        <f>ROUND(K306*M306*12,2)</f>
        <v>-10.38</v>
      </c>
      <c r="P306" s="14"/>
      <c r="Q306" s="210" t="str">
        <f>VLOOKUP(D306,'WO Descriptions'!$A$5:$D$345,4)</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row>
    <row r="307" spans="1:19" outlineLevel="1">
      <c r="A307" s="3" t="s">
        <v>1861</v>
      </c>
      <c r="B307" s="223"/>
      <c r="C307" s="250"/>
      <c r="D307" s="254" t="s">
        <v>1861</v>
      </c>
      <c r="E307" s="223"/>
      <c r="F307" s="250"/>
      <c r="G307" s="223"/>
      <c r="H307" s="250"/>
      <c r="I307" s="250"/>
      <c r="J307" s="250"/>
      <c r="K307" s="251">
        <f>SUBTOTAL(9,K303:K306)</f>
        <v>8381.369999999999</v>
      </c>
      <c r="L307" s="252"/>
      <c r="M307" s="253"/>
      <c r="N307" s="251">
        <f>SUBTOTAL(9,N303:N306)</f>
        <v>91.52000000000001</v>
      </c>
      <c r="O307" s="251">
        <f>SUBTOTAL(9,O303:O306)</f>
        <v>149.18</v>
      </c>
      <c r="P307" s="223"/>
      <c r="Q307" s="210"/>
      <c r="R307" s="263" t="s">
        <v>2096</v>
      </c>
    </row>
    <row r="308" spans="1:19" ht="60" outlineLevel="2">
      <c r="A308" s="3" t="s">
        <v>396</v>
      </c>
      <c r="B308" s="14" t="s">
        <v>17</v>
      </c>
      <c r="C308" s="15" t="s">
        <v>395</v>
      </c>
      <c r="D308" s="15" t="s">
        <v>396</v>
      </c>
      <c r="E308" s="14" t="s">
        <v>397</v>
      </c>
      <c r="F308" s="15" t="s">
        <v>49</v>
      </c>
      <c r="G308" s="14" t="s">
        <v>22</v>
      </c>
      <c r="H308" s="15" t="s">
        <v>23</v>
      </c>
      <c r="I308" s="15" t="s">
        <v>1525</v>
      </c>
      <c r="J308" s="15">
        <v>201409</v>
      </c>
      <c r="K308" s="16">
        <v>-5.66</v>
      </c>
      <c r="L308" s="171">
        <f>VLOOKUP(J308,$U$9:$V$23,2)</f>
        <v>9</v>
      </c>
      <c r="M308" s="17">
        <v>1.4833299999999999E-3</v>
      </c>
      <c r="N308" s="16">
        <f>ROUND(K308*L308*M308,2)</f>
        <v>-0.08</v>
      </c>
      <c r="O308" s="16">
        <f>ROUND(K308*M308*12,2)</f>
        <v>-0.1</v>
      </c>
      <c r="P308" s="14"/>
      <c r="Q308" s="210" t="str">
        <f>VLOOKUP(D308,'WO Descriptions'!$A$5:$D$345,4)</f>
        <v>Approved by: Galen Shoemaker on 01/14/2013,  Abandon 148' - 2&amp;quot; PBS (WO#: 29003) and replace with 165' - 2&amp;quot; PE to clear one (1) - #3 leak. Project Location: Mill and Cliborne; Pressure System: C-1; MOP: 39.5 psig; MAOP: 39.5 psig; Design: 58 psig; Test: 100 psig; ISRS $50.24/ft</v>
      </c>
    </row>
    <row r="309" spans="1:19" outlineLevel="1">
      <c r="A309" s="3" t="s">
        <v>1862</v>
      </c>
      <c r="B309" s="223"/>
      <c r="C309" s="250"/>
      <c r="D309" s="254" t="s">
        <v>1862</v>
      </c>
      <c r="E309" s="223"/>
      <c r="F309" s="250"/>
      <c r="G309" s="223"/>
      <c r="H309" s="250"/>
      <c r="I309" s="250"/>
      <c r="J309" s="250"/>
      <c r="K309" s="251">
        <f>SUBTOTAL(9,K308:K308)</f>
        <v>-5.66</v>
      </c>
      <c r="L309" s="252"/>
      <c r="M309" s="253"/>
      <c r="N309" s="251">
        <f>SUBTOTAL(9,N308:N308)</f>
        <v>-0.08</v>
      </c>
      <c r="O309" s="251">
        <f>SUBTOTAL(9,O308:O308)</f>
        <v>-0.1</v>
      </c>
      <c r="P309" s="223"/>
      <c r="Q309" s="210"/>
      <c r="R309" s="263" t="s">
        <v>2097</v>
      </c>
      <c r="S309" s="263" t="s">
        <v>2098</v>
      </c>
    </row>
    <row r="310" spans="1:19" ht="60" outlineLevel="2">
      <c r="A310" s="3" t="s">
        <v>399</v>
      </c>
      <c r="B310" s="14" t="s">
        <v>17</v>
      </c>
      <c r="C310" s="15" t="s">
        <v>398</v>
      </c>
      <c r="D310" s="15" t="s">
        <v>399</v>
      </c>
      <c r="E310" s="14" t="s">
        <v>400</v>
      </c>
      <c r="F310" s="15" t="s">
        <v>104</v>
      </c>
      <c r="G310" s="14" t="s">
        <v>41</v>
      </c>
      <c r="H310" s="15" t="s">
        <v>23</v>
      </c>
      <c r="I310" s="15" t="s">
        <v>1526</v>
      </c>
      <c r="J310" s="15">
        <v>201409</v>
      </c>
      <c r="K310" s="16">
        <v>-13.72</v>
      </c>
      <c r="L310" s="171">
        <f>VLOOKUP(J310,$U$9:$V$23,2)</f>
        <v>9</v>
      </c>
      <c r="M310" s="17">
        <v>1.4833299999999999E-3</v>
      </c>
      <c r="N310" s="16">
        <f>ROUND(K310*L310*M310,2)</f>
        <v>-0.18</v>
      </c>
      <c r="O310" s="16">
        <f>ROUND(K310*M310*12,2)</f>
        <v>-0.24</v>
      </c>
      <c r="P310" s="14"/>
      <c r="Q310" s="210" t="str">
        <f>VLOOKUP(D310,'WO Descriptions'!$A$5:$D$345,4)</f>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
    </row>
    <row r="311" spans="1:19" outlineLevel="1">
      <c r="A311" s="3" t="s">
        <v>1863</v>
      </c>
      <c r="B311" s="223"/>
      <c r="C311" s="250"/>
      <c r="D311" s="254" t="s">
        <v>1863</v>
      </c>
      <c r="E311" s="223"/>
      <c r="F311" s="250"/>
      <c r="G311" s="223"/>
      <c r="H311" s="250"/>
      <c r="I311" s="250"/>
      <c r="J311" s="250"/>
      <c r="K311" s="251">
        <f>SUBTOTAL(9,K310:K310)</f>
        <v>-13.72</v>
      </c>
      <c r="L311" s="252"/>
      <c r="M311" s="253"/>
      <c r="N311" s="251">
        <f>SUBTOTAL(9,N310:N310)</f>
        <v>-0.18</v>
      </c>
      <c r="O311" s="251">
        <f>SUBTOTAL(9,O310:O310)</f>
        <v>-0.24</v>
      </c>
      <c r="P311" s="223"/>
      <c r="Q311" s="210"/>
      <c r="R311" s="263" t="s">
        <v>2096</v>
      </c>
    </row>
    <row r="312" spans="1:19" ht="105" outlineLevel="2">
      <c r="A312" s="3" t="s">
        <v>402</v>
      </c>
      <c r="B312" s="14" t="s">
        <v>238</v>
      </c>
      <c r="C312" s="15" t="s">
        <v>401</v>
      </c>
      <c r="D312" s="15" t="s">
        <v>402</v>
      </c>
      <c r="E312" s="14" t="s">
        <v>403</v>
      </c>
      <c r="F312" s="15" t="s">
        <v>168</v>
      </c>
      <c r="G312" s="14" t="s">
        <v>169</v>
      </c>
      <c r="H312" s="15" t="s">
        <v>23</v>
      </c>
      <c r="I312" s="15" t="s">
        <v>1528</v>
      </c>
      <c r="J312" s="15">
        <v>201409</v>
      </c>
      <c r="K312" s="16">
        <v>-304.64</v>
      </c>
      <c r="L312" s="171">
        <f>VLOOKUP(J312,$U$9:$V$23,2)</f>
        <v>9</v>
      </c>
      <c r="M312" s="17">
        <v>2.3833299999999999E-3</v>
      </c>
      <c r="N312" s="16">
        <f>ROUND(K312*L312*M312,2)</f>
        <v>-6.53</v>
      </c>
      <c r="O312" s="16">
        <f>ROUND(K312*M312*12,2)</f>
        <v>-8.7100000000000009</v>
      </c>
      <c r="P312" s="14"/>
      <c r="Q312" s="210" t="str">
        <f>VLOOKUP(D312,'WO Descriptions'!$A$5:$D$345,4)</f>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
    </row>
    <row r="313" spans="1:19" outlineLevel="1">
      <c r="A313" s="3" t="s">
        <v>1864</v>
      </c>
      <c r="B313" s="223"/>
      <c r="C313" s="250"/>
      <c r="D313" s="254" t="s">
        <v>1864</v>
      </c>
      <c r="E313" s="223"/>
      <c r="F313" s="250"/>
      <c r="G313" s="223"/>
      <c r="H313" s="250"/>
      <c r="I313" s="250"/>
      <c r="J313" s="250"/>
      <c r="K313" s="251">
        <f>SUBTOTAL(9,K312:K312)</f>
        <v>-304.64</v>
      </c>
      <c r="L313" s="252"/>
      <c r="M313" s="253"/>
      <c r="N313" s="251">
        <f>SUBTOTAL(9,N312:N312)</f>
        <v>-6.53</v>
      </c>
      <c r="O313" s="251">
        <f>SUBTOTAL(9,O312:O312)</f>
        <v>-8.7100000000000009</v>
      </c>
      <c r="P313" s="223"/>
      <c r="Q313" s="210"/>
      <c r="R313" s="263" t="s">
        <v>2097</v>
      </c>
      <c r="S313" s="263" t="s">
        <v>2099</v>
      </c>
    </row>
    <row r="314" spans="1:19" ht="60" outlineLevel="2">
      <c r="A314" s="3" t="s">
        <v>405</v>
      </c>
      <c r="B314" s="14" t="s">
        <v>17</v>
      </c>
      <c r="C314" s="15" t="s">
        <v>404</v>
      </c>
      <c r="D314" s="15" t="s">
        <v>405</v>
      </c>
      <c r="E314" s="14" t="s">
        <v>406</v>
      </c>
      <c r="F314" s="15" t="s">
        <v>58</v>
      </c>
      <c r="G314" s="14" t="s">
        <v>22</v>
      </c>
      <c r="H314" s="15" t="s">
        <v>23</v>
      </c>
      <c r="I314" s="15" t="s">
        <v>1525</v>
      </c>
      <c r="J314" s="15">
        <v>201409</v>
      </c>
      <c r="K314" s="16">
        <v>-346.31</v>
      </c>
      <c r="L314" s="171">
        <f>VLOOKUP(J314,$U$9:$V$23,2)</f>
        <v>9</v>
      </c>
      <c r="M314" s="17">
        <v>1.4833299999999999E-3</v>
      </c>
      <c r="N314" s="16">
        <f>ROUND(K314*L314*M314,2)</f>
        <v>-4.62</v>
      </c>
      <c r="O314" s="16">
        <f>ROUND(K314*M314*12,2)</f>
        <v>-6.16</v>
      </c>
      <c r="P314" s="14"/>
      <c r="Q314" s="210" t="str">
        <f>VLOOKUP(D314,'WO Descriptions'!$A$5:$D$345,4)</f>
        <v>Approved by: Galen Shoemaker on 02/18/2013,  Abandon 583' - 2in PBS (WO#: NONE) and replace with 585' - 2in PE to clear 3 - #3 Leaks (Leak No's: 09-0089, 12-0056, 13-0014). Project Location: Poplar and Tennessee; Pressure System: C-1; MOP: 1.50 psig; MAOP: 1.69 psig; Design: 58 psig; Test: 100 psig; ISRS $33.30/ft</v>
      </c>
    </row>
    <row r="315" spans="1:19" outlineLevel="1">
      <c r="A315" s="3" t="s">
        <v>1865</v>
      </c>
      <c r="B315" s="223"/>
      <c r="C315" s="250"/>
      <c r="D315" s="254" t="s">
        <v>1865</v>
      </c>
      <c r="E315" s="223"/>
      <c r="F315" s="250"/>
      <c r="G315" s="223"/>
      <c r="H315" s="250"/>
      <c r="I315" s="250"/>
      <c r="J315" s="250"/>
      <c r="K315" s="251">
        <f>SUBTOTAL(9,K314:K314)</f>
        <v>-346.31</v>
      </c>
      <c r="L315" s="252"/>
      <c r="M315" s="253"/>
      <c r="N315" s="251">
        <f>SUBTOTAL(9,N314:N314)</f>
        <v>-4.62</v>
      </c>
      <c r="O315" s="251">
        <f>SUBTOTAL(9,O314:O314)</f>
        <v>-6.16</v>
      </c>
      <c r="P315" s="223"/>
      <c r="Q315" s="210"/>
      <c r="R315" s="263" t="s">
        <v>2097</v>
      </c>
      <c r="S315" s="263" t="s">
        <v>2098</v>
      </c>
    </row>
    <row r="316" spans="1:19" ht="90" outlineLevel="2">
      <c r="A316" s="3" t="s">
        <v>408</v>
      </c>
      <c r="B316" s="14" t="s">
        <v>17</v>
      </c>
      <c r="C316" s="15" t="s">
        <v>407</v>
      </c>
      <c r="D316" s="15" t="s">
        <v>408</v>
      </c>
      <c r="E316" s="14" t="s">
        <v>409</v>
      </c>
      <c r="F316" s="15" t="s">
        <v>53</v>
      </c>
      <c r="G316" s="14" t="s">
        <v>41</v>
      </c>
      <c r="H316" s="15" t="s">
        <v>23</v>
      </c>
      <c r="I316" s="15" t="s">
        <v>1526</v>
      </c>
      <c r="J316" s="15">
        <v>201409</v>
      </c>
      <c r="K316" s="16">
        <v>-191.38</v>
      </c>
      <c r="L316" s="171">
        <f>VLOOKUP(J316,$U$9:$V$23,2)</f>
        <v>9</v>
      </c>
      <c r="M316" s="17">
        <v>1.4833299999999999E-3</v>
      </c>
      <c r="N316" s="16">
        <f>ROUND(K316*L316*M316,2)</f>
        <v>-2.5499999999999998</v>
      </c>
      <c r="O316" s="16">
        <f>ROUND(K316*M316*12,2)</f>
        <v>-3.41</v>
      </c>
      <c r="P316" s="14"/>
      <c r="Q316" s="210" t="str">
        <f>VLOOKUP(D316,'WO Descriptions'!$A$5:$D$345,4)</f>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
    </row>
    <row r="317" spans="1:19" outlineLevel="1">
      <c r="A317" s="3" t="s">
        <v>1866</v>
      </c>
      <c r="B317" s="223"/>
      <c r="C317" s="250"/>
      <c r="D317" s="254" t="s">
        <v>1866</v>
      </c>
      <c r="E317" s="223"/>
      <c r="F317" s="250"/>
      <c r="G317" s="223"/>
      <c r="H317" s="250"/>
      <c r="I317" s="250"/>
      <c r="J317" s="250"/>
      <c r="K317" s="251">
        <f>SUBTOTAL(9,K316:K316)</f>
        <v>-191.38</v>
      </c>
      <c r="L317" s="252"/>
      <c r="M317" s="253"/>
      <c r="N317" s="251">
        <f>SUBTOTAL(9,N316:N316)</f>
        <v>-2.5499999999999998</v>
      </c>
      <c r="O317" s="251">
        <f>SUBTOTAL(9,O316:O316)</f>
        <v>-3.41</v>
      </c>
      <c r="P317" s="223"/>
      <c r="Q317" s="210"/>
      <c r="R317" s="263" t="s">
        <v>2096</v>
      </c>
    </row>
    <row r="318" spans="1:19" ht="45" outlineLevel="2">
      <c r="A318" s="3" t="s">
        <v>411</v>
      </c>
      <c r="B318" s="14" t="s">
        <v>54</v>
      </c>
      <c r="C318" s="15" t="s">
        <v>410</v>
      </c>
      <c r="D318" s="15" t="s">
        <v>411</v>
      </c>
      <c r="E318" s="14" t="s">
        <v>412</v>
      </c>
      <c r="F318" s="15" t="s">
        <v>62</v>
      </c>
      <c r="G318" s="14" t="s">
        <v>22</v>
      </c>
      <c r="H318" s="15" t="s">
        <v>23</v>
      </c>
      <c r="I318" s="15" t="s">
        <v>1525</v>
      </c>
      <c r="J318" s="15">
        <v>201409</v>
      </c>
      <c r="K318" s="16">
        <v>-363.84</v>
      </c>
      <c r="L318" s="171">
        <f>VLOOKUP(J318,$U$9:$V$23,2)</f>
        <v>9</v>
      </c>
      <c r="M318" s="17">
        <v>1.4833299999999999E-3</v>
      </c>
      <c r="N318" s="16">
        <f>ROUND(K318*L318*M318,2)</f>
        <v>-4.8600000000000003</v>
      </c>
      <c r="O318" s="16">
        <f>ROUND(K318*M318*12,2)</f>
        <v>-6.48</v>
      </c>
      <c r="P318" s="14"/>
      <c r="Q318" s="210" t="str">
        <f>VLOOKUP(D318,'WO Descriptions'!$A$5:$D$345,4)</f>
        <v>Approved by: Ralph Janes on 10/30/2012,  Replace and abandon 340' - 3in PBS (unknown WO), 23' - 2in PE (WO# 10-6676), and 154' - 2in PCS (WO# 63-2399) with 500' - 2in PE main. The existing main has a history of leakage. Price per ft = $49.44  (ISRS)</v>
      </c>
    </row>
    <row r="319" spans="1:19" outlineLevel="1">
      <c r="A319" s="3" t="s">
        <v>1867</v>
      </c>
      <c r="B319" s="223"/>
      <c r="C319" s="250"/>
      <c r="D319" s="254" t="s">
        <v>1867</v>
      </c>
      <c r="E319" s="223"/>
      <c r="F319" s="250"/>
      <c r="G319" s="223"/>
      <c r="H319" s="250"/>
      <c r="I319" s="250"/>
      <c r="J319" s="250"/>
      <c r="K319" s="251">
        <f>SUBTOTAL(9,K318:K318)</f>
        <v>-363.84</v>
      </c>
      <c r="L319" s="252"/>
      <c r="M319" s="253"/>
      <c r="N319" s="251">
        <f>SUBTOTAL(9,N318:N318)</f>
        <v>-4.8600000000000003</v>
      </c>
      <c r="O319" s="251">
        <f>SUBTOTAL(9,O318:O318)</f>
        <v>-6.48</v>
      </c>
      <c r="P319" s="223"/>
      <c r="Q319" s="210"/>
      <c r="R319" s="263" t="s">
        <v>2097</v>
      </c>
      <c r="S319" s="263" t="s">
        <v>2098</v>
      </c>
    </row>
    <row r="320" spans="1:19" ht="45" outlineLevel="2">
      <c r="A320" s="3" t="s">
        <v>414</v>
      </c>
      <c r="B320" s="14" t="s">
        <v>17</v>
      </c>
      <c r="C320" s="15" t="s">
        <v>413</v>
      </c>
      <c r="D320" s="15" t="s">
        <v>414</v>
      </c>
      <c r="E320" s="14" t="s">
        <v>415</v>
      </c>
      <c r="F320" s="15" t="s">
        <v>104</v>
      </c>
      <c r="G320" s="14" t="s">
        <v>41</v>
      </c>
      <c r="H320" s="15" t="s">
        <v>23</v>
      </c>
      <c r="I320" s="15" t="s">
        <v>1526</v>
      </c>
      <c r="J320" s="15">
        <v>201409</v>
      </c>
      <c r="K320" s="16">
        <v>-174.39</v>
      </c>
      <c r="L320" s="171">
        <f>VLOOKUP(J320,$U$9:$V$23,2)</f>
        <v>9</v>
      </c>
      <c r="M320" s="17">
        <v>1.4833299999999999E-3</v>
      </c>
      <c r="N320" s="16">
        <f>ROUND(K320*L320*M320,2)</f>
        <v>-2.33</v>
      </c>
      <c r="O320" s="16">
        <f>ROUND(K320*M320*12,2)</f>
        <v>-3.1</v>
      </c>
      <c r="P320" s="14"/>
      <c r="Q320" s="210" t="str">
        <f>VLOOKUP(D320,'WO Descriptions'!$A$5:$D$345,4)</f>
        <v>Approved by: Ralph Janes on 09/23/2013,  Main to abandon: 90' of 6" PCS from wo# 62-1425 and 108' of 2" PE from wo# 89-1285. Also, remove EV 704. Install 114' of 6" PCS on WO# 13-2741. Main relocation is due to "Main Street Drainage Improvements Phase 1" in Concordia, MO.</v>
      </c>
    </row>
    <row r="321" spans="1:19" outlineLevel="1">
      <c r="A321" s="3" t="s">
        <v>1868</v>
      </c>
      <c r="B321" s="223"/>
      <c r="C321" s="250"/>
      <c r="D321" s="254" t="s">
        <v>1868</v>
      </c>
      <c r="E321" s="223"/>
      <c r="F321" s="250"/>
      <c r="G321" s="223"/>
      <c r="H321" s="250"/>
      <c r="I321" s="250"/>
      <c r="J321" s="250"/>
      <c r="K321" s="251">
        <f>SUBTOTAL(9,K320:K320)</f>
        <v>-174.39</v>
      </c>
      <c r="L321" s="252"/>
      <c r="M321" s="253"/>
      <c r="N321" s="251">
        <f>SUBTOTAL(9,N320:N320)</f>
        <v>-2.33</v>
      </c>
      <c r="O321" s="251">
        <f>SUBTOTAL(9,O320:O320)</f>
        <v>-3.1</v>
      </c>
      <c r="P321" s="223"/>
      <c r="Q321" s="210"/>
      <c r="R321" s="263" t="s">
        <v>2096</v>
      </c>
    </row>
    <row r="322" spans="1:19" ht="60" outlineLevel="2">
      <c r="A322" s="3" t="s">
        <v>417</v>
      </c>
      <c r="B322" s="14" t="s">
        <v>54</v>
      </c>
      <c r="C322" s="15" t="s">
        <v>416</v>
      </c>
      <c r="D322" s="15" t="s">
        <v>417</v>
      </c>
      <c r="E322" s="14" t="s">
        <v>418</v>
      </c>
      <c r="F322" s="15" t="s">
        <v>141</v>
      </c>
      <c r="G322" s="14" t="s">
        <v>142</v>
      </c>
      <c r="H322" s="15" t="s">
        <v>23</v>
      </c>
      <c r="I322" s="15" t="s">
        <v>1525</v>
      </c>
      <c r="J322" s="15">
        <v>201409</v>
      </c>
      <c r="K322" s="16">
        <v>679.2</v>
      </c>
      <c r="L322" s="171">
        <f>VLOOKUP(J322,$U$9:$V$23,2)</f>
        <v>9</v>
      </c>
      <c r="M322" s="17">
        <v>1.4833299999999999E-3</v>
      </c>
      <c r="N322" s="16">
        <f>ROUND(K322*L322*M322,2)</f>
        <v>9.07</v>
      </c>
      <c r="O322" s="16">
        <f>ROUND(K322*M322*12,2)</f>
        <v>12.09</v>
      </c>
      <c r="P322" s="14"/>
      <c r="Q322" s="210" t="str">
        <f>VLOOKUP(D322,'WO Descriptions'!$A$5:$D$345,4)</f>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
    </row>
    <row r="323" spans="1:19" outlineLevel="1">
      <c r="A323" s="3" t="s">
        <v>1869</v>
      </c>
      <c r="B323" s="223"/>
      <c r="C323" s="250"/>
      <c r="D323" s="254" t="s">
        <v>1869</v>
      </c>
      <c r="E323" s="223"/>
      <c r="F323" s="250"/>
      <c r="G323" s="223"/>
      <c r="H323" s="250"/>
      <c r="I323" s="250"/>
      <c r="J323" s="250"/>
      <c r="K323" s="251">
        <f>SUBTOTAL(9,K322:K322)</f>
        <v>679.2</v>
      </c>
      <c r="L323" s="252"/>
      <c r="M323" s="253"/>
      <c r="N323" s="251">
        <f>SUBTOTAL(9,N322:N322)</f>
        <v>9.07</v>
      </c>
      <c r="O323" s="251">
        <f>SUBTOTAL(9,O322:O322)</f>
        <v>12.09</v>
      </c>
      <c r="P323" s="223"/>
      <c r="Q323" s="210"/>
      <c r="R323" s="263" t="s">
        <v>2097</v>
      </c>
      <c r="S323" s="263" t="s">
        <v>2100</v>
      </c>
    </row>
    <row r="324" spans="1:19" ht="75" outlineLevel="2">
      <c r="A324" s="3" t="s">
        <v>420</v>
      </c>
      <c r="B324" s="14" t="s">
        <v>54</v>
      </c>
      <c r="C324" s="15" t="s">
        <v>419</v>
      </c>
      <c r="D324" s="15" t="s">
        <v>420</v>
      </c>
      <c r="E324" s="14" t="s">
        <v>421</v>
      </c>
      <c r="F324" s="15" t="s">
        <v>32</v>
      </c>
      <c r="G324" s="14" t="s">
        <v>22</v>
      </c>
      <c r="H324" s="15" t="s">
        <v>23</v>
      </c>
      <c r="I324" s="15" t="s">
        <v>1525</v>
      </c>
      <c r="J324" s="15">
        <v>201409</v>
      </c>
      <c r="K324" s="16">
        <v>-1167.31</v>
      </c>
      <c r="L324" s="171">
        <f>VLOOKUP(J324,$U$9:$V$23,2)</f>
        <v>9</v>
      </c>
      <c r="M324" s="17">
        <v>1.4833299999999999E-3</v>
      </c>
      <c r="N324" s="16">
        <f>ROUND(K324*L324*M324,2)</f>
        <v>-15.58</v>
      </c>
      <c r="O324" s="16">
        <f>ROUND(K324*M324*12,2)</f>
        <v>-20.78</v>
      </c>
      <c r="P324" s="14"/>
      <c r="Q324" s="210" t="str">
        <f>VLOOKUP(D324,'WO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5" spans="1:19" ht="75" outlineLevel="2">
      <c r="A325" s="3" t="s">
        <v>420</v>
      </c>
      <c r="B325" s="14" t="s">
        <v>54</v>
      </c>
      <c r="C325" s="15" t="s">
        <v>419</v>
      </c>
      <c r="D325" s="15" t="s">
        <v>420</v>
      </c>
      <c r="E325" s="14" t="s">
        <v>421</v>
      </c>
      <c r="F325" s="15" t="s">
        <v>32</v>
      </c>
      <c r="G325" s="14" t="s">
        <v>22</v>
      </c>
      <c r="H325" s="15" t="s">
        <v>23</v>
      </c>
      <c r="I325" s="15" t="s">
        <v>1525</v>
      </c>
      <c r="J325" s="15">
        <v>201410</v>
      </c>
      <c r="K325" s="16">
        <v>129.69</v>
      </c>
      <c r="L325" s="171">
        <f>VLOOKUP(J325,$U$9:$V$23,2)</f>
        <v>8</v>
      </c>
      <c r="M325" s="17">
        <v>1.4833299999999999E-3</v>
      </c>
      <c r="N325" s="16">
        <f>ROUND(K325*L325*M325,2)</f>
        <v>1.54</v>
      </c>
      <c r="O325" s="16">
        <f>ROUND(K325*M325*12,2)</f>
        <v>2.31</v>
      </c>
      <c r="P325" s="14"/>
      <c r="Q325" s="210" t="str">
        <f>VLOOKUP(D325,'WO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6" spans="1:19" ht="75" outlineLevel="2">
      <c r="A326" s="3" t="s">
        <v>420</v>
      </c>
      <c r="B326" s="14" t="s">
        <v>54</v>
      </c>
      <c r="C326" s="15" t="s">
        <v>419</v>
      </c>
      <c r="D326" s="15" t="s">
        <v>420</v>
      </c>
      <c r="E326" s="14" t="s">
        <v>421</v>
      </c>
      <c r="F326" s="15" t="s">
        <v>32</v>
      </c>
      <c r="G326" s="14" t="s">
        <v>22</v>
      </c>
      <c r="H326" s="15" t="s">
        <v>23</v>
      </c>
      <c r="I326" s="15" t="s">
        <v>1525</v>
      </c>
      <c r="J326" s="15">
        <v>201411</v>
      </c>
      <c r="K326" s="16">
        <v>-3.53</v>
      </c>
      <c r="L326" s="171">
        <f>VLOOKUP(J326,$U$9:$V$23,2)</f>
        <v>7</v>
      </c>
      <c r="M326" s="17">
        <v>1.4833299999999999E-3</v>
      </c>
      <c r="N326" s="16">
        <f>ROUND(K326*L326*M326,2)</f>
        <v>-0.04</v>
      </c>
      <c r="O326" s="16">
        <f>ROUND(K326*M326*12,2)</f>
        <v>-0.06</v>
      </c>
      <c r="P326" s="14"/>
      <c r="Q326" s="210" t="str">
        <f>VLOOKUP(D326,'WO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7" spans="1:19" ht="75" outlineLevel="2">
      <c r="A327" s="3" t="s">
        <v>420</v>
      </c>
      <c r="B327" s="14" t="s">
        <v>54</v>
      </c>
      <c r="C327" s="15" t="s">
        <v>419</v>
      </c>
      <c r="D327" s="15" t="s">
        <v>420</v>
      </c>
      <c r="E327" s="14" t="s">
        <v>421</v>
      </c>
      <c r="F327" s="15" t="s">
        <v>32</v>
      </c>
      <c r="G327" s="14" t="s">
        <v>22</v>
      </c>
      <c r="H327" s="15" t="s">
        <v>23</v>
      </c>
      <c r="I327" s="15" t="s">
        <v>1525</v>
      </c>
      <c r="J327" s="15">
        <v>201412</v>
      </c>
      <c r="K327" s="16">
        <v>-11.23</v>
      </c>
      <c r="L327" s="171">
        <f>VLOOKUP(J327,$U$9:$V$23,2)</f>
        <v>6</v>
      </c>
      <c r="M327" s="17">
        <v>1.4833299999999999E-3</v>
      </c>
      <c r="N327" s="16">
        <f>ROUND(K327*L327*M327,2)</f>
        <v>-0.1</v>
      </c>
      <c r="O327" s="16">
        <f>ROUND(K327*M327*12,2)</f>
        <v>-0.2</v>
      </c>
      <c r="P327" s="14"/>
      <c r="Q327" s="210" t="str">
        <f>VLOOKUP(D327,'WO Descriptions'!$A$5:$D$345,4)</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row>
    <row r="328" spans="1:19" outlineLevel="1">
      <c r="A328" s="3" t="s">
        <v>1870</v>
      </c>
      <c r="B328" s="223"/>
      <c r="C328" s="250"/>
      <c r="D328" s="254" t="s">
        <v>1870</v>
      </c>
      <c r="E328" s="223"/>
      <c r="F328" s="250"/>
      <c r="G328" s="223"/>
      <c r="H328" s="250"/>
      <c r="I328" s="250"/>
      <c r="J328" s="250"/>
      <c r="K328" s="251">
        <f>SUBTOTAL(9,K324:K327)</f>
        <v>-1052.3799999999999</v>
      </c>
      <c r="L328" s="252"/>
      <c r="M328" s="253"/>
      <c r="N328" s="251">
        <f>SUBTOTAL(9,N324:N327)</f>
        <v>-14.179999999999998</v>
      </c>
      <c r="O328" s="251">
        <f>SUBTOTAL(9,O324:O327)</f>
        <v>-18.73</v>
      </c>
      <c r="P328" s="223"/>
      <c r="Q328" s="210"/>
      <c r="R328" s="263" t="s">
        <v>2097</v>
      </c>
      <c r="S328" s="263" t="s">
        <v>2098</v>
      </c>
    </row>
    <row r="329" spans="1:19" ht="135" outlineLevel="2">
      <c r="A329" s="3" t="s">
        <v>423</v>
      </c>
      <c r="B329" s="14" t="s">
        <v>17</v>
      </c>
      <c r="C329" s="15" t="s">
        <v>422</v>
      </c>
      <c r="D329" s="15" t="s">
        <v>423</v>
      </c>
      <c r="E329" s="14" t="s">
        <v>424</v>
      </c>
      <c r="F329" s="15" t="s">
        <v>246</v>
      </c>
      <c r="G329" s="14" t="s">
        <v>247</v>
      </c>
      <c r="H329" s="15" t="s">
        <v>23</v>
      </c>
      <c r="I329" s="15" t="s">
        <v>1525</v>
      </c>
      <c r="J329" s="15">
        <v>201409</v>
      </c>
      <c r="K329" s="16">
        <v>-418.81</v>
      </c>
      <c r="L329" s="171">
        <f>VLOOKUP(J329,$U$9:$V$23,2)</f>
        <v>9</v>
      </c>
      <c r="M329" s="17">
        <v>1.4833299999999999E-3</v>
      </c>
      <c r="N329" s="16">
        <f>ROUND(K329*L329*M329,2)</f>
        <v>-5.59</v>
      </c>
      <c r="O329" s="16">
        <f>ROUND(K329*M329*12,2)</f>
        <v>-7.45</v>
      </c>
      <c r="P329" s="14"/>
      <c r="Q329" s="210" t="str">
        <f>VLOOKUP(D329,'WO Descriptions'!$A$5:$D$345,4)</f>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
    </row>
    <row r="330" spans="1:19" outlineLevel="1">
      <c r="A330" s="3" t="s">
        <v>1871</v>
      </c>
      <c r="B330" s="223"/>
      <c r="C330" s="250"/>
      <c r="D330" s="254" t="s">
        <v>1871</v>
      </c>
      <c r="E330" s="223"/>
      <c r="F330" s="250"/>
      <c r="G330" s="223"/>
      <c r="H330" s="250"/>
      <c r="I330" s="250"/>
      <c r="J330" s="250"/>
      <c r="K330" s="251">
        <f>SUBTOTAL(9,K329:K329)</f>
        <v>-418.81</v>
      </c>
      <c r="L330" s="252"/>
      <c r="M330" s="253"/>
      <c r="N330" s="251">
        <f>SUBTOTAL(9,N329:N329)</f>
        <v>-5.59</v>
      </c>
      <c r="O330" s="251">
        <f>SUBTOTAL(9,O329:O329)</f>
        <v>-7.45</v>
      </c>
      <c r="P330" s="223"/>
      <c r="Q330" s="210"/>
      <c r="R330" s="263" t="s">
        <v>2097</v>
      </c>
      <c r="S330" s="263" t="s">
        <v>2101</v>
      </c>
    </row>
    <row r="331" spans="1:19" ht="30" outlineLevel="2">
      <c r="A331" s="3" t="s">
        <v>426</v>
      </c>
      <c r="B331" s="14" t="s">
        <v>17</v>
      </c>
      <c r="C331" s="15" t="s">
        <v>425</v>
      </c>
      <c r="D331" s="15" t="s">
        <v>426</v>
      </c>
      <c r="E331" s="14" t="s">
        <v>427</v>
      </c>
      <c r="F331" s="15" t="s">
        <v>104</v>
      </c>
      <c r="G331" s="14" t="s">
        <v>41</v>
      </c>
      <c r="H331" s="15" t="s">
        <v>23</v>
      </c>
      <c r="I331" s="15" t="s">
        <v>1526</v>
      </c>
      <c r="J331" s="15">
        <v>201409</v>
      </c>
      <c r="K331" s="16">
        <v>1.99</v>
      </c>
      <c r="L331" s="171">
        <f>VLOOKUP(J331,$U$9:$V$23,2)</f>
        <v>9</v>
      </c>
      <c r="M331" s="17">
        <v>1.4833299999999999E-3</v>
      </c>
      <c r="N331" s="16">
        <f>ROUND(K331*L331*M331,2)</f>
        <v>0.03</v>
      </c>
      <c r="O331" s="16">
        <f>ROUND(K331*M331*12,2)</f>
        <v>0.04</v>
      </c>
      <c r="P331" s="14"/>
      <c r="Q331" s="210" t="str">
        <f>VLOOKUP(D331,'WO Descriptions'!$A$5:$D$345,4)</f>
        <v>Approved by: Ralph Janes on 10/09/2013,  Public Improvement Project: Country Lane Storm. Relocate 10' of 2in PE for a storm sewer installation. Main to retire: 8' - 2in PE (WO# 78-3732).</v>
      </c>
    </row>
    <row r="332" spans="1:19" outlineLevel="1">
      <c r="A332" s="3" t="s">
        <v>1872</v>
      </c>
      <c r="B332" s="223"/>
      <c r="C332" s="250"/>
      <c r="D332" s="254" t="s">
        <v>1872</v>
      </c>
      <c r="E332" s="223"/>
      <c r="F332" s="250"/>
      <c r="G332" s="223"/>
      <c r="H332" s="250"/>
      <c r="I332" s="250"/>
      <c r="J332" s="250"/>
      <c r="K332" s="251">
        <f>SUBTOTAL(9,K331:K331)</f>
        <v>1.99</v>
      </c>
      <c r="L332" s="252"/>
      <c r="M332" s="253"/>
      <c r="N332" s="251">
        <f>SUBTOTAL(9,N331:N331)</f>
        <v>0.03</v>
      </c>
      <c r="O332" s="251">
        <f>SUBTOTAL(9,O331:O331)</f>
        <v>0.04</v>
      </c>
      <c r="P332" s="223"/>
      <c r="Q332" s="210"/>
      <c r="R332" s="263" t="s">
        <v>2096</v>
      </c>
    </row>
    <row r="333" spans="1:19" ht="60" outlineLevel="2">
      <c r="A333" s="3" t="s">
        <v>429</v>
      </c>
      <c r="B333" s="14" t="s">
        <v>17</v>
      </c>
      <c r="C333" s="15" t="s">
        <v>428</v>
      </c>
      <c r="D333" s="15" t="s">
        <v>429</v>
      </c>
      <c r="E333" s="14" t="s">
        <v>430</v>
      </c>
      <c r="F333" s="15" t="s">
        <v>32</v>
      </c>
      <c r="G333" s="14" t="s">
        <v>22</v>
      </c>
      <c r="H333" s="15" t="s">
        <v>23</v>
      </c>
      <c r="I333" s="15" t="s">
        <v>1525</v>
      </c>
      <c r="J333" s="15">
        <v>201409</v>
      </c>
      <c r="K333" s="16">
        <v>-61.26</v>
      </c>
      <c r="L333" s="171">
        <f>VLOOKUP(J333,$U$9:$V$23,2)</f>
        <v>9</v>
      </c>
      <c r="M333" s="17">
        <v>1.4833299999999999E-3</v>
      </c>
      <c r="N333" s="16">
        <f>ROUND(K333*L333*M333,2)</f>
        <v>-0.82</v>
      </c>
      <c r="O333" s="16">
        <f>ROUND(K333*M333*12,2)</f>
        <v>-1.0900000000000001</v>
      </c>
      <c r="P333" s="14"/>
      <c r="Q333" s="210" t="str">
        <f>VLOOKUP(D333,'WO Descriptions'!$A$5:$D$345,4)</f>
        <v>Approved by: Ken Thomas on 11/15/2013,  Abandon 314' - 2" PBS (WO#'s: 43781, 44486) and replace with 315' - 2" PE due to history of leakage and isolated bare steel. Project Location: Purdy West of Pine; Pressure System: S-1; MOP: 20 psig; MAOP: 20 psig; Design: 58 psig; Test: 100 psig; ISRS $35.77/ft</v>
      </c>
    </row>
    <row r="334" spans="1:19" outlineLevel="1">
      <c r="A334" s="3" t="s">
        <v>1873</v>
      </c>
      <c r="B334" s="223"/>
      <c r="C334" s="250"/>
      <c r="D334" s="254" t="s">
        <v>1873</v>
      </c>
      <c r="E334" s="223"/>
      <c r="F334" s="250"/>
      <c r="G334" s="223"/>
      <c r="H334" s="250"/>
      <c r="I334" s="250"/>
      <c r="J334" s="250"/>
      <c r="K334" s="251">
        <f>SUBTOTAL(9,K333:K333)</f>
        <v>-61.26</v>
      </c>
      <c r="L334" s="252"/>
      <c r="M334" s="253"/>
      <c r="N334" s="251">
        <f>SUBTOTAL(9,N333:N333)</f>
        <v>-0.82</v>
      </c>
      <c r="O334" s="251">
        <f>SUBTOTAL(9,O333:O333)</f>
        <v>-1.0900000000000001</v>
      </c>
      <c r="P334" s="223"/>
      <c r="Q334" s="210"/>
      <c r="R334" s="263" t="s">
        <v>2097</v>
      </c>
      <c r="S334" s="263" t="s">
        <v>2098</v>
      </c>
    </row>
    <row r="335" spans="1:19" ht="60" outlineLevel="2">
      <c r="A335" s="3" t="s">
        <v>432</v>
      </c>
      <c r="B335" s="14" t="s">
        <v>17</v>
      </c>
      <c r="C335" s="15" t="s">
        <v>431</v>
      </c>
      <c r="D335" s="15" t="s">
        <v>432</v>
      </c>
      <c r="E335" s="14" t="s">
        <v>433</v>
      </c>
      <c r="F335" s="15" t="s">
        <v>258</v>
      </c>
      <c r="G335" s="14" t="s">
        <v>259</v>
      </c>
      <c r="H335" s="15" t="s">
        <v>23</v>
      </c>
      <c r="I335" s="15" t="s">
        <v>1525</v>
      </c>
      <c r="J335" s="15">
        <v>201409</v>
      </c>
      <c r="K335" s="16">
        <v>-175.94</v>
      </c>
      <c r="L335" s="171">
        <f>VLOOKUP(J335,$U$9:$V$23,2)</f>
        <v>9</v>
      </c>
      <c r="M335" s="17">
        <v>1.4833299999999999E-3</v>
      </c>
      <c r="N335" s="16">
        <f>ROUND(K335*L335*M335,2)</f>
        <v>-2.35</v>
      </c>
      <c r="O335" s="16">
        <f>ROUND(K335*M335*12,2)</f>
        <v>-3.13</v>
      </c>
      <c r="P335" s="14"/>
      <c r="Q335" s="210" t="str">
        <f>VLOOKUP(D335,'WO Descriptions'!$A$5:$D$345,4)</f>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
    </row>
    <row r="336" spans="1:19" outlineLevel="1">
      <c r="A336" s="3" t="s">
        <v>1874</v>
      </c>
      <c r="B336" s="223"/>
      <c r="C336" s="250"/>
      <c r="D336" s="254" t="s">
        <v>1874</v>
      </c>
      <c r="E336" s="223"/>
      <c r="F336" s="250"/>
      <c r="G336" s="223"/>
      <c r="H336" s="250"/>
      <c r="I336" s="250"/>
      <c r="J336" s="250"/>
      <c r="K336" s="251">
        <f>SUBTOTAL(9,K335:K335)</f>
        <v>-175.94</v>
      </c>
      <c r="L336" s="252"/>
      <c r="M336" s="253"/>
      <c r="N336" s="251">
        <f>SUBTOTAL(9,N335:N335)</f>
        <v>-2.35</v>
      </c>
      <c r="O336" s="251">
        <f>SUBTOTAL(9,O335:O335)</f>
        <v>-3.13</v>
      </c>
      <c r="P336" s="223"/>
      <c r="Q336" s="210"/>
      <c r="R336" s="263" t="s">
        <v>2097</v>
      </c>
      <c r="S336" s="263" t="s">
        <v>2101</v>
      </c>
    </row>
    <row r="337" spans="1:19" ht="60" outlineLevel="2">
      <c r="A337" s="3" t="s">
        <v>435</v>
      </c>
      <c r="B337" s="14" t="s">
        <v>54</v>
      </c>
      <c r="C337" s="15" t="s">
        <v>434</v>
      </c>
      <c r="D337" s="15" t="s">
        <v>435</v>
      </c>
      <c r="E337" s="14" t="s">
        <v>436</v>
      </c>
      <c r="F337" s="15" t="s">
        <v>58</v>
      </c>
      <c r="G337" s="14" t="s">
        <v>22</v>
      </c>
      <c r="H337" s="15" t="s">
        <v>23</v>
      </c>
      <c r="I337" s="15" t="s">
        <v>1525</v>
      </c>
      <c r="J337" s="15">
        <v>201409</v>
      </c>
      <c r="K337" s="16">
        <v>-94.86</v>
      </c>
      <c r="L337" s="171">
        <f>VLOOKUP(J337,$U$9:$V$23,2)</f>
        <v>9</v>
      </c>
      <c r="M337" s="17">
        <v>1.4833299999999999E-3</v>
      </c>
      <c r="N337" s="16">
        <f>ROUND(K337*L337*M337,2)</f>
        <v>-1.27</v>
      </c>
      <c r="O337" s="16">
        <f>ROUND(K337*M337*12,2)</f>
        <v>-1.69</v>
      </c>
      <c r="P337" s="14"/>
      <c r="Q337" s="210" t="str">
        <f>VLOOKUP(D337,'WO Descriptions'!$A$5:$D$345,4)</f>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
    </row>
    <row r="338" spans="1:19" outlineLevel="1">
      <c r="A338" s="3" t="s">
        <v>1875</v>
      </c>
      <c r="B338" s="223"/>
      <c r="C338" s="250"/>
      <c r="D338" s="254" t="s">
        <v>1875</v>
      </c>
      <c r="E338" s="223"/>
      <c r="F338" s="250"/>
      <c r="G338" s="223"/>
      <c r="H338" s="250"/>
      <c r="I338" s="250"/>
      <c r="J338" s="250"/>
      <c r="K338" s="251">
        <f>SUBTOTAL(9,K337:K337)</f>
        <v>-94.86</v>
      </c>
      <c r="L338" s="252"/>
      <c r="M338" s="253"/>
      <c r="N338" s="251">
        <f>SUBTOTAL(9,N337:N337)</f>
        <v>-1.27</v>
      </c>
      <c r="O338" s="251">
        <f>SUBTOTAL(9,O337:O337)</f>
        <v>-1.69</v>
      </c>
      <c r="P338" s="223"/>
      <c r="Q338" s="210"/>
      <c r="R338" s="263" t="s">
        <v>2097</v>
      </c>
      <c r="S338" s="263" t="s">
        <v>2098</v>
      </c>
    </row>
    <row r="339" spans="1:19" ht="30" outlineLevel="2">
      <c r="A339" s="3" t="s">
        <v>438</v>
      </c>
      <c r="B339" s="14" t="s">
        <v>17</v>
      </c>
      <c r="C339" s="15" t="s">
        <v>437</v>
      </c>
      <c r="D339" s="15" t="s">
        <v>438</v>
      </c>
      <c r="E339" s="14" t="s">
        <v>439</v>
      </c>
      <c r="F339" s="15" t="s">
        <v>440</v>
      </c>
      <c r="G339" s="14" t="s">
        <v>28</v>
      </c>
      <c r="H339" s="15" t="s">
        <v>23</v>
      </c>
      <c r="I339" s="15" t="s">
        <v>1525</v>
      </c>
      <c r="J339" s="15">
        <v>201409</v>
      </c>
      <c r="K339" s="16">
        <v>8.2100000000000009</v>
      </c>
      <c r="L339" s="171">
        <f>VLOOKUP(J339,$U$9:$V$23,2)</f>
        <v>9</v>
      </c>
      <c r="M339" s="17">
        <v>1.4833299999999999E-3</v>
      </c>
      <c r="N339" s="16">
        <f>ROUND(K339*L339*M339,2)</f>
        <v>0.11</v>
      </c>
      <c r="O339" s="16">
        <f>ROUND(K339*M339*12,2)</f>
        <v>0.15</v>
      </c>
      <c r="P339" s="14"/>
      <c r="Q339" s="210" t="str">
        <f>VLOOKUP(D339,'WO Descriptions'!$A$5:$D$345,4)</f>
        <v>Approved by: Kevin Driskell on 09/05/2013,  Replaced 62' of 2in PCS year 1981(WO# 81-0254) with 62'-2in PE due to leak.</v>
      </c>
    </row>
    <row r="340" spans="1:19" outlineLevel="1">
      <c r="A340" s="3" t="s">
        <v>1876</v>
      </c>
      <c r="B340" s="223"/>
      <c r="C340" s="250"/>
      <c r="D340" s="254" t="s">
        <v>1876</v>
      </c>
      <c r="E340" s="223"/>
      <c r="F340" s="250"/>
      <c r="G340" s="223"/>
      <c r="H340" s="250"/>
      <c r="I340" s="250"/>
      <c r="J340" s="250"/>
      <c r="K340" s="251">
        <f>SUBTOTAL(9,K339:K339)</f>
        <v>8.2100000000000009</v>
      </c>
      <c r="L340" s="252"/>
      <c r="M340" s="253"/>
      <c r="N340" s="251">
        <f>SUBTOTAL(9,N339:N339)</f>
        <v>0.11</v>
      </c>
      <c r="O340" s="251">
        <f>SUBTOTAL(9,O339:O339)</f>
        <v>0.15</v>
      </c>
      <c r="P340" s="223"/>
      <c r="Q340" s="210"/>
      <c r="R340" s="263" t="s">
        <v>2097</v>
      </c>
      <c r="S340" s="263" t="s">
        <v>2099</v>
      </c>
    </row>
    <row r="341" spans="1:19" ht="150" outlineLevel="2">
      <c r="A341" s="3" t="s">
        <v>442</v>
      </c>
      <c r="B341" s="14" t="s">
        <v>54</v>
      </c>
      <c r="C341" s="15" t="s">
        <v>441</v>
      </c>
      <c r="D341" s="15" t="s">
        <v>442</v>
      </c>
      <c r="E341" s="14" t="s">
        <v>443</v>
      </c>
      <c r="F341" s="15" t="s">
        <v>141</v>
      </c>
      <c r="G341" s="14" t="s">
        <v>142</v>
      </c>
      <c r="H341" s="15" t="s">
        <v>23</v>
      </c>
      <c r="I341" s="15" t="s">
        <v>1525</v>
      </c>
      <c r="J341" s="15">
        <v>201409</v>
      </c>
      <c r="K341" s="16">
        <v>-15549.44</v>
      </c>
      <c r="L341" s="171">
        <f>VLOOKUP(J341,$U$9:$V$23,2)</f>
        <v>9</v>
      </c>
      <c r="M341" s="17">
        <v>1.4833299999999999E-3</v>
      </c>
      <c r="N341" s="16">
        <f>ROUND(K341*L341*M341,2)</f>
        <v>-207.58</v>
      </c>
      <c r="O341" s="16">
        <f>ROUND(K341*M341*12,2)</f>
        <v>-276.77999999999997</v>
      </c>
      <c r="P341" s="14"/>
      <c r="Q341" s="210" t="str">
        <f>VLOOKUP(D341,'WO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342" spans="1:19" ht="150" outlineLevel="2">
      <c r="A342" s="3" t="s">
        <v>442</v>
      </c>
      <c r="B342" s="14" t="s">
        <v>54</v>
      </c>
      <c r="C342" s="15" t="s">
        <v>441</v>
      </c>
      <c r="D342" s="15" t="s">
        <v>442</v>
      </c>
      <c r="E342" s="14" t="s">
        <v>443</v>
      </c>
      <c r="F342" s="15" t="s">
        <v>141</v>
      </c>
      <c r="G342" s="14" t="s">
        <v>142</v>
      </c>
      <c r="H342" s="15" t="s">
        <v>23</v>
      </c>
      <c r="I342" s="15" t="s">
        <v>1525</v>
      </c>
      <c r="J342" s="15">
        <v>201410</v>
      </c>
      <c r="K342" s="16">
        <v>0</v>
      </c>
      <c r="L342" s="171">
        <f>VLOOKUP(J342,$U$9:$V$23,2)</f>
        <v>8</v>
      </c>
      <c r="M342" s="17">
        <v>1.4833299999999999E-3</v>
      </c>
      <c r="N342" s="16">
        <f>ROUND(K342*L342*M342,2)</f>
        <v>0</v>
      </c>
      <c r="O342" s="16">
        <f>ROUND(K342*M342*12,2)</f>
        <v>0</v>
      </c>
      <c r="P342" s="14"/>
      <c r="Q342" s="210" t="str">
        <f>VLOOKUP(D342,'WO Descriptions'!$A$5:$D$345,4)</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row>
    <row r="343" spans="1:19" outlineLevel="1">
      <c r="A343" s="3" t="s">
        <v>1877</v>
      </c>
      <c r="B343" s="223"/>
      <c r="C343" s="250"/>
      <c r="D343" s="254" t="s">
        <v>1877</v>
      </c>
      <c r="E343" s="223"/>
      <c r="F343" s="250"/>
      <c r="G343" s="223"/>
      <c r="H343" s="250"/>
      <c r="I343" s="250"/>
      <c r="J343" s="250"/>
      <c r="K343" s="251">
        <f>SUBTOTAL(9,K341:K342)</f>
        <v>-15549.44</v>
      </c>
      <c r="L343" s="252"/>
      <c r="M343" s="253"/>
      <c r="N343" s="251">
        <f>SUBTOTAL(9,N341:N342)</f>
        <v>-207.58</v>
      </c>
      <c r="O343" s="251">
        <f>SUBTOTAL(9,O341:O342)</f>
        <v>-276.77999999999997</v>
      </c>
      <c r="P343" s="223"/>
      <c r="Q343" s="210"/>
      <c r="R343" s="263" t="s">
        <v>2097</v>
      </c>
      <c r="S343" s="263" t="s">
        <v>2100</v>
      </c>
    </row>
    <row r="344" spans="1:19" ht="30" outlineLevel="2">
      <c r="A344" s="3" t="s">
        <v>445</v>
      </c>
      <c r="B344" s="14" t="s">
        <v>54</v>
      </c>
      <c r="C344" s="15" t="s">
        <v>444</v>
      </c>
      <c r="D344" s="15" t="s">
        <v>445</v>
      </c>
      <c r="E344" s="14" t="s">
        <v>446</v>
      </c>
      <c r="F344" s="15" t="s">
        <v>62</v>
      </c>
      <c r="G344" s="14" t="s">
        <v>22</v>
      </c>
      <c r="H344" s="15" t="s">
        <v>23</v>
      </c>
      <c r="I344" s="15" t="s">
        <v>1525</v>
      </c>
      <c r="J344" s="15">
        <v>201409</v>
      </c>
      <c r="K344" s="16">
        <v>-148.77000000000001</v>
      </c>
      <c r="L344" s="171">
        <f>VLOOKUP(J344,$U$9:$V$23,2)</f>
        <v>9</v>
      </c>
      <c r="M344" s="17">
        <v>1.4833299999999999E-3</v>
      </c>
      <c r="N344" s="16">
        <f>ROUND(K344*L344*M344,2)</f>
        <v>-1.99</v>
      </c>
      <c r="O344" s="16">
        <f>ROUND(K344*M344*12,2)</f>
        <v>-2.65</v>
      </c>
      <c r="P344" s="14"/>
      <c r="Q344" s="210" t="str">
        <f>VLOOKUP(D344,'WO Descriptions'!$A$5:$D$345,4)</f>
        <v>Approved by: Ralph Janes on 01/30/2014,  Replace and retire 333' - 2" pbs main (Unknown wo) and 265' - 2" pcs main (wo 671296) by installing 600' - 2" pe main due to leakage.  (ISRS)</v>
      </c>
    </row>
    <row r="345" spans="1:19" outlineLevel="1">
      <c r="A345" s="3" t="s">
        <v>1878</v>
      </c>
      <c r="B345" s="223"/>
      <c r="C345" s="250"/>
      <c r="D345" s="254" t="s">
        <v>1878</v>
      </c>
      <c r="E345" s="223"/>
      <c r="F345" s="250"/>
      <c r="G345" s="223"/>
      <c r="H345" s="250"/>
      <c r="I345" s="250"/>
      <c r="J345" s="250"/>
      <c r="K345" s="251">
        <f>SUBTOTAL(9,K344:K344)</f>
        <v>-148.77000000000001</v>
      </c>
      <c r="L345" s="252"/>
      <c r="M345" s="253"/>
      <c r="N345" s="251">
        <f>SUBTOTAL(9,N344:N344)</f>
        <v>-1.99</v>
      </c>
      <c r="O345" s="251">
        <f>SUBTOTAL(9,O344:O344)</f>
        <v>-2.65</v>
      </c>
      <c r="P345" s="223"/>
      <c r="Q345" s="210"/>
      <c r="R345" s="263" t="s">
        <v>2097</v>
      </c>
      <c r="S345" s="263" t="s">
        <v>2098</v>
      </c>
    </row>
    <row r="346" spans="1:19" ht="90" outlineLevel="2">
      <c r="A346" s="3" t="s">
        <v>448</v>
      </c>
      <c r="B346" s="14" t="s">
        <v>17</v>
      </c>
      <c r="C346" s="15" t="s">
        <v>447</v>
      </c>
      <c r="D346" s="15" t="s">
        <v>448</v>
      </c>
      <c r="E346" s="14" t="s">
        <v>449</v>
      </c>
      <c r="F346" s="15" t="s">
        <v>296</v>
      </c>
      <c r="G346" s="14" t="s">
        <v>28</v>
      </c>
      <c r="H346" s="15" t="s">
        <v>23</v>
      </c>
      <c r="I346" s="15" t="s">
        <v>1525</v>
      </c>
      <c r="J346" s="15">
        <v>201409</v>
      </c>
      <c r="K346" s="16">
        <v>-625.21</v>
      </c>
      <c r="L346" s="171">
        <f>VLOOKUP(J346,$U$9:$V$23,2)</f>
        <v>9</v>
      </c>
      <c r="M346" s="17">
        <v>1.4833299999999999E-3</v>
      </c>
      <c r="N346" s="16">
        <f>ROUND(K346*L346*M346,2)</f>
        <v>-8.35</v>
      </c>
      <c r="O346" s="16">
        <f>ROUND(K346*M346*12,2)</f>
        <v>-11.13</v>
      </c>
      <c r="P346" s="14"/>
      <c r="Q346" s="210" t="str">
        <f>VLOOKUP(D346,'WO Descriptions'!$A$5:$D$345,4)</f>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
    </row>
    <row r="347" spans="1:19" outlineLevel="1">
      <c r="A347" s="3" t="s">
        <v>1879</v>
      </c>
      <c r="B347" s="223"/>
      <c r="C347" s="250"/>
      <c r="D347" s="254" t="s">
        <v>1879</v>
      </c>
      <c r="E347" s="223"/>
      <c r="F347" s="250"/>
      <c r="G347" s="223"/>
      <c r="H347" s="250"/>
      <c r="I347" s="250"/>
      <c r="J347" s="250"/>
      <c r="K347" s="251">
        <f>SUBTOTAL(9,K346:K346)</f>
        <v>-625.21</v>
      </c>
      <c r="L347" s="252"/>
      <c r="M347" s="253"/>
      <c r="N347" s="251">
        <f>SUBTOTAL(9,N346:N346)</f>
        <v>-8.35</v>
      </c>
      <c r="O347" s="251">
        <f>SUBTOTAL(9,O346:O346)</f>
        <v>-11.13</v>
      </c>
      <c r="P347" s="223"/>
      <c r="Q347" s="210"/>
      <c r="R347" s="263" t="s">
        <v>2097</v>
      </c>
      <c r="S347" s="263" t="s">
        <v>2099</v>
      </c>
    </row>
    <row r="348" spans="1:19" ht="30" outlineLevel="2">
      <c r="A348" s="3" t="s">
        <v>451</v>
      </c>
      <c r="B348" s="14" t="s">
        <v>17</v>
      </c>
      <c r="C348" s="15" t="s">
        <v>450</v>
      </c>
      <c r="D348" s="15" t="s">
        <v>451</v>
      </c>
      <c r="E348" s="14" t="s">
        <v>452</v>
      </c>
      <c r="F348" s="15" t="s">
        <v>45</v>
      </c>
      <c r="G348" s="14" t="s">
        <v>22</v>
      </c>
      <c r="H348" s="15" t="s">
        <v>23</v>
      </c>
      <c r="I348" s="15" t="s">
        <v>1525</v>
      </c>
      <c r="J348" s="15">
        <v>201409</v>
      </c>
      <c r="K348" s="16">
        <v>-5.2</v>
      </c>
      <c r="L348" s="171">
        <f>VLOOKUP(J348,$U$9:$V$23,2)</f>
        <v>9</v>
      </c>
      <c r="M348" s="17">
        <v>1.4833299999999999E-3</v>
      </c>
      <c r="N348" s="16">
        <f>ROUND(K348*L348*M348,2)</f>
        <v>-7.0000000000000007E-2</v>
      </c>
      <c r="O348" s="16">
        <f>ROUND(K348*M348*12,2)</f>
        <v>-0.09</v>
      </c>
      <c r="P348" s="14"/>
      <c r="Q348" s="210" t="str">
        <f>VLOOKUP(D348,'WO Descriptions'!$A$5:$D$345,4)</f>
        <v>Approved by: Gary Williams on 12/16/2013,  LAY 12'-2" PCS ALONG E 92ND ST-EAST OF TENNESSEE AVE.; IN ORDER TO REPAIR LEAK. INSTALL 2" PCS STEEL YOKE.</v>
      </c>
    </row>
    <row r="349" spans="1:19" outlineLevel="1">
      <c r="A349" s="3" t="s">
        <v>1880</v>
      </c>
      <c r="B349" s="223"/>
      <c r="C349" s="250"/>
      <c r="D349" s="254" t="s">
        <v>1880</v>
      </c>
      <c r="E349" s="223"/>
      <c r="F349" s="250"/>
      <c r="G349" s="223"/>
      <c r="H349" s="250"/>
      <c r="I349" s="250"/>
      <c r="J349" s="250"/>
      <c r="K349" s="251">
        <f>SUBTOTAL(9,K348:K348)</f>
        <v>-5.2</v>
      </c>
      <c r="L349" s="252"/>
      <c r="M349" s="253"/>
      <c r="N349" s="251">
        <f>SUBTOTAL(9,N348:N348)</f>
        <v>-7.0000000000000007E-2</v>
      </c>
      <c r="O349" s="251">
        <f>SUBTOTAL(9,O348:O348)</f>
        <v>-0.09</v>
      </c>
      <c r="P349" s="223"/>
      <c r="Q349" s="210"/>
      <c r="R349" s="263" t="s">
        <v>2097</v>
      </c>
      <c r="S349" s="263" t="s">
        <v>2098</v>
      </c>
    </row>
    <row r="350" spans="1:19" ht="75" outlineLevel="2">
      <c r="A350" s="3" t="s">
        <v>454</v>
      </c>
      <c r="B350" s="14" t="s">
        <v>54</v>
      </c>
      <c r="C350" s="15" t="s">
        <v>453</v>
      </c>
      <c r="D350" s="15" t="s">
        <v>454</v>
      </c>
      <c r="E350" s="14" t="s">
        <v>455</v>
      </c>
      <c r="F350" s="15" t="s">
        <v>62</v>
      </c>
      <c r="G350" s="14" t="s">
        <v>22</v>
      </c>
      <c r="H350" s="15" t="s">
        <v>23</v>
      </c>
      <c r="I350" s="15" t="s">
        <v>1525</v>
      </c>
      <c r="J350" s="15">
        <v>201409</v>
      </c>
      <c r="K350" s="16">
        <v>-184.89</v>
      </c>
      <c r="L350" s="171">
        <f>VLOOKUP(J350,$U$9:$V$23,2)</f>
        <v>9</v>
      </c>
      <c r="M350" s="17">
        <v>1.4833299999999999E-3</v>
      </c>
      <c r="N350" s="16">
        <f>ROUND(K350*L350*M350,2)</f>
        <v>-2.4700000000000002</v>
      </c>
      <c r="O350" s="16">
        <f>ROUND(K350*M350*12,2)</f>
        <v>-3.29</v>
      </c>
      <c r="P350" s="14"/>
      <c r="Q350" s="210" t="str">
        <f>VLOOKUP(D350,'WO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1" spans="1:19" ht="75" outlineLevel="2">
      <c r="A351" s="3" t="s">
        <v>454</v>
      </c>
      <c r="B351" s="14" t="s">
        <v>54</v>
      </c>
      <c r="C351" s="15" t="s">
        <v>453</v>
      </c>
      <c r="D351" s="15" t="s">
        <v>454</v>
      </c>
      <c r="E351" s="14" t="s">
        <v>455</v>
      </c>
      <c r="F351" s="15" t="s">
        <v>62</v>
      </c>
      <c r="G351" s="14" t="s">
        <v>22</v>
      </c>
      <c r="H351" s="15" t="s">
        <v>23</v>
      </c>
      <c r="I351" s="15" t="s">
        <v>1525</v>
      </c>
      <c r="J351" s="15">
        <v>201410</v>
      </c>
      <c r="K351" s="16">
        <v>1085.5999999999999</v>
      </c>
      <c r="L351" s="171">
        <f>VLOOKUP(J351,$U$9:$V$23,2)</f>
        <v>8</v>
      </c>
      <c r="M351" s="17">
        <v>1.4833299999999999E-3</v>
      </c>
      <c r="N351" s="16">
        <f>ROUND(K351*L351*M351,2)</f>
        <v>12.88</v>
      </c>
      <c r="O351" s="16">
        <f>ROUND(K351*M351*12,2)</f>
        <v>19.32</v>
      </c>
      <c r="P351" s="14"/>
      <c r="Q351" s="210" t="str">
        <f>VLOOKUP(D351,'WO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2" spans="1:19" ht="75" outlineLevel="2">
      <c r="A352" s="3" t="s">
        <v>454</v>
      </c>
      <c r="B352" s="14" t="s">
        <v>54</v>
      </c>
      <c r="C352" s="15" t="s">
        <v>453</v>
      </c>
      <c r="D352" s="15" t="s">
        <v>454</v>
      </c>
      <c r="E352" s="14" t="s">
        <v>455</v>
      </c>
      <c r="F352" s="15" t="s">
        <v>62</v>
      </c>
      <c r="G352" s="14" t="s">
        <v>22</v>
      </c>
      <c r="H352" s="15" t="s">
        <v>23</v>
      </c>
      <c r="I352" s="15" t="s">
        <v>1525</v>
      </c>
      <c r="J352" s="15">
        <v>201411</v>
      </c>
      <c r="K352" s="16">
        <v>-29.65</v>
      </c>
      <c r="L352" s="171">
        <f>VLOOKUP(J352,$U$9:$V$23,2)</f>
        <v>7</v>
      </c>
      <c r="M352" s="17">
        <v>1.4833299999999999E-3</v>
      </c>
      <c r="N352" s="16">
        <f>ROUND(K352*L352*M352,2)</f>
        <v>-0.31</v>
      </c>
      <c r="O352" s="16">
        <f>ROUND(K352*M352*12,2)</f>
        <v>-0.53</v>
      </c>
      <c r="P352" s="14"/>
      <c r="Q352" s="210" t="str">
        <f>VLOOKUP(D352,'WO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3" spans="1:19" ht="75" outlineLevel="2">
      <c r="A353" s="3" t="s">
        <v>454</v>
      </c>
      <c r="B353" s="14" t="s">
        <v>54</v>
      </c>
      <c r="C353" s="15" t="s">
        <v>453</v>
      </c>
      <c r="D353" s="15" t="s">
        <v>454</v>
      </c>
      <c r="E353" s="14" t="s">
        <v>455</v>
      </c>
      <c r="F353" s="15" t="s">
        <v>62</v>
      </c>
      <c r="G353" s="14" t="s">
        <v>22</v>
      </c>
      <c r="H353" s="15" t="s">
        <v>23</v>
      </c>
      <c r="I353" s="15" t="s">
        <v>1525</v>
      </c>
      <c r="J353" s="15">
        <v>201412</v>
      </c>
      <c r="K353" s="16">
        <v>-93.8</v>
      </c>
      <c r="L353" s="171">
        <f>VLOOKUP(J353,$U$9:$V$23,2)</f>
        <v>6</v>
      </c>
      <c r="M353" s="17">
        <v>1.4833299999999999E-3</v>
      </c>
      <c r="N353" s="16">
        <f>ROUND(K353*L353*M353,2)</f>
        <v>-0.83</v>
      </c>
      <c r="O353" s="16">
        <f>ROUND(K353*M353*12,2)</f>
        <v>-1.67</v>
      </c>
      <c r="P353" s="14"/>
      <c r="Q353" s="210" t="str">
        <f>VLOOKUP(D353,'WO Descriptions'!$A$5:$D$345,4)</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row>
    <row r="354" spans="1:19" outlineLevel="1">
      <c r="A354" s="3" t="s">
        <v>1881</v>
      </c>
      <c r="B354" s="223"/>
      <c r="C354" s="250"/>
      <c r="D354" s="254" t="s">
        <v>1881</v>
      </c>
      <c r="E354" s="223"/>
      <c r="F354" s="250"/>
      <c r="G354" s="223"/>
      <c r="H354" s="250"/>
      <c r="I354" s="250"/>
      <c r="J354" s="250"/>
      <c r="K354" s="251">
        <f>SUBTOTAL(9,K350:K353)</f>
        <v>777.26</v>
      </c>
      <c r="L354" s="252"/>
      <c r="M354" s="253"/>
      <c r="N354" s="251">
        <f>SUBTOTAL(9,N350:N353)</f>
        <v>9.27</v>
      </c>
      <c r="O354" s="251">
        <f>SUBTOTAL(9,O350:O353)</f>
        <v>13.830000000000002</v>
      </c>
      <c r="P354" s="223"/>
      <c r="Q354" s="210"/>
      <c r="R354" s="263" t="s">
        <v>2097</v>
      </c>
      <c r="S354" s="263" t="s">
        <v>2098</v>
      </c>
    </row>
    <row r="355" spans="1:19" ht="45" outlineLevel="2">
      <c r="A355" s="3" t="s">
        <v>457</v>
      </c>
      <c r="B355" s="14" t="s">
        <v>17</v>
      </c>
      <c r="C355" s="15" t="s">
        <v>456</v>
      </c>
      <c r="D355" s="15" t="s">
        <v>457</v>
      </c>
      <c r="E355" s="14" t="s">
        <v>458</v>
      </c>
      <c r="F355" s="15" t="s">
        <v>21</v>
      </c>
      <c r="G355" s="14" t="s">
        <v>22</v>
      </c>
      <c r="H355" s="15" t="s">
        <v>23</v>
      </c>
      <c r="I355" s="15" t="s">
        <v>1525</v>
      </c>
      <c r="J355" s="15">
        <v>201409</v>
      </c>
      <c r="K355" s="16">
        <v>-591.12</v>
      </c>
      <c r="L355" s="171">
        <f>VLOOKUP(J355,$U$9:$V$23,2)</f>
        <v>9</v>
      </c>
      <c r="M355" s="17">
        <v>1.4833299999999999E-3</v>
      </c>
      <c r="N355" s="16">
        <f>ROUND(K355*L355*M355,2)</f>
        <v>-7.89</v>
      </c>
      <c r="O355" s="16">
        <f>ROUND(K355*M355*12,2)</f>
        <v>-10.52</v>
      </c>
      <c r="P355" s="14"/>
      <c r="Q355" s="210" t="str">
        <f>VLOOKUP(D355,'WO Descriptions'!$A$5:$D$345,4)</f>
        <v>Approved by: Kevin Driskell on 12/31/2013,  ISRS. To abandon 60' of 1.5" CU main and replace with 70' of 2" TF main. Main is on the C-3 pressure system with a MOP=25psig and MAOP=25psig. See attached sheet for size, length, type, and work orders of main to be retired.</v>
      </c>
    </row>
    <row r="356" spans="1:19" outlineLevel="1">
      <c r="A356" s="3" t="s">
        <v>1882</v>
      </c>
      <c r="B356" s="223"/>
      <c r="C356" s="250"/>
      <c r="D356" s="254" t="s">
        <v>1882</v>
      </c>
      <c r="E356" s="223"/>
      <c r="F356" s="250"/>
      <c r="G356" s="223"/>
      <c r="H356" s="250"/>
      <c r="I356" s="250"/>
      <c r="J356" s="250"/>
      <c r="K356" s="251">
        <f>SUBTOTAL(9,K355:K355)</f>
        <v>-591.12</v>
      </c>
      <c r="L356" s="252"/>
      <c r="M356" s="253"/>
      <c r="N356" s="251">
        <f>SUBTOTAL(9,N355:N355)</f>
        <v>-7.89</v>
      </c>
      <c r="O356" s="251">
        <f>SUBTOTAL(9,O355:O355)</f>
        <v>-10.52</v>
      </c>
      <c r="P356" s="223"/>
      <c r="Q356" s="210"/>
      <c r="R356" s="263" t="s">
        <v>2097</v>
      </c>
      <c r="S356" s="263" t="s">
        <v>2098</v>
      </c>
    </row>
    <row r="357" spans="1:19" ht="45" outlineLevel="2">
      <c r="A357" s="3" t="s">
        <v>460</v>
      </c>
      <c r="B357" s="14" t="s">
        <v>54</v>
      </c>
      <c r="C357" s="15" t="s">
        <v>459</v>
      </c>
      <c r="D357" s="15" t="s">
        <v>460</v>
      </c>
      <c r="E357" s="14" t="s">
        <v>461</v>
      </c>
      <c r="F357" s="15" t="s">
        <v>462</v>
      </c>
      <c r="G357" s="14" t="s">
        <v>142</v>
      </c>
      <c r="H357" s="15" t="s">
        <v>23</v>
      </c>
      <c r="I357" s="15" t="s">
        <v>1525</v>
      </c>
      <c r="J357" s="15">
        <v>201409</v>
      </c>
      <c r="K357" s="16">
        <v>-771.19</v>
      </c>
      <c r="L357" s="171">
        <f>VLOOKUP(J357,$U$9:$V$23,2)</f>
        <v>9</v>
      </c>
      <c r="M357" s="17">
        <v>1.4833299999999999E-3</v>
      </c>
      <c r="N357" s="16">
        <f>ROUND(K357*L357*M357,2)</f>
        <v>-10.3</v>
      </c>
      <c r="O357" s="16">
        <f>ROUND(K357*M357*12,2)</f>
        <v>-13.73</v>
      </c>
      <c r="P357" s="14"/>
      <c r="Q357" s="210" t="str">
        <f>VLOOKUP(D357,'WO Descriptions'!$A$5:$D$345,4)</f>
        <v>Approved by: Gary Williams on 11/07/2013,  Replace 4in CI with 4in PE 620' due to leaks and condition of gas main. Original work order #B1P38. Pressure system C-001. Retire 600'-4in CI, year 1922.</v>
      </c>
    </row>
    <row r="358" spans="1:19" outlineLevel="1">
      <c r="A358" s="3" t="s">
        <v>1883</v>
      </c>
      <c r="B358" s="223"/>
      <c r="C358" s="250"/>
      <c r="D358" s="254" t="s">
        <v>1883</v>
      </c>
      <c r="E358" s="223"/>
      <c r="F358" s="250"/>
      <c r="G358" s="223"/>
      <c r="H358" s="250"/>
      <c r="I358" s="250"/>
      <c r="J358" s="250"/>
      <c r="K358" s="251">
        <f>SUBTOTAL(9,K357:K357)</f>
        <v>-771.19</v>
      </c>
      <c r="L358" s="252"/>
      <c r="M358" s="253"/>
      <c r="N358" s="251">
        <f>SUBTOTAL(9,N357:N357)</f>
        <v>-10.3</v>
      </c>
      <c r="O358" s="251">
        <f>SUBTOTAL(9,O357:O357)</f>
        <v>-13.73</v>
      </c>
      <c r="P358" s="223"/>
      <c r="Q358" s="210"/>
      <c r="R358" s="263" t="s">
        <v>2097</v>
      </c>
      <c r="S358" s="263" t="s">
        <v>2100</v>
      </c>
    </row>
    <row r="359" spans="1:19" ht="45" outlineLevel="2">
      <c r="A359" s="3" t="s">
        <v>464</v>
      </c>
      <c r="B359" s="14" t="s">
        <v>66</v>
      </c>
      <c r="C359" s="15" t="s">
        <v>463</v>
      </c>
      <c r="D359" s="15" t="s">
        <v>464</v>
      </c>
      <c r="E359" s="14" t="s">
        <v>465</v>
      </c>
      <c r="F359" s="15" t="s">
        <v>466</v>
      </c>
      <c r="G359" s="14" t="s">
        <v>467</v>
      </c>
      <c r="H359" s="15" t="s">
        <v>23</v>
      </c>
      <c r="I359" s="15" t="s">
        <v>1527</v>
      </c>
      <c r="J359" s="15">
        <v>201409</v>
      </c>
      <c r="K359" s="16">
        <v>-442.33</v>
      </c>
      <c r="L359" s="171">
        <f>VLOOKUP(J359,$U$9:$V$23,2)</f>
        <v>9</v>
      </c>
      <c r="M359" s="17">
        <v>2.23333E-3</v>
      </c>
      <c r="N359" s="16">
        <f>ROUND(K359*L359*M359,2)</f>
        <v>-8.89</v>
      </c>
      <c r="O359" s="16">
        <f>ROUND(K359*M359*12,2)</f>
        <v>-11.85</v>
      </c>
      <c r="P359" s="14"/>
      <c r="Q359" s="210" t="str">
        <f>VLOOKUP(D359,'WO Descriptions'!$A$5:$D$345,4)</f>
        <v>Approved by: Kevin Driskell on 09/18/2013,  REPLACING - 14ft-1in cs and 482ft-1-1/4 pe service with 100ft - 4in th film to first cut, 430ft- 4in pe service line  due to commercial account adding addtional load (20,000 cfh). ECONOMIC EVALUATION WILL COVER COST OF PROJECT.</v>
      </c>
    </row>
    <row r="360" spans="1:19" outlineLevel="1">
      <c r="A360" s="3" t="s">
        <v>1884</v>
      </c>
      <c r="B360" s="223"/>
      <c r="C360" s="250"/>
      <c r="D360" s="254" t="s">
        <v>1884</v>
      </c>
      <c r="E360" s="223"/>
      <c r="F360" s="250"/>
      <c r="G360" s="223"/>
      <c r="H360" s="250"/>
      <c r="I360" s="250"/>
      <c r="J360" s="250"/>
      <c r="K360" s="251">
        <f>SUBTOTAL(9,K359:K359)</f>
        <v>-442.33</v>
      </c>
      <c r="L360" s="252"/>
      <c r="M360" s="253"/>
      <c r="N360" s="251">
        <f>SUBTOTAL(9,N359:N359)</f>
        <v>-8.89</v>
      </c>
      <c r="O360" s="251">
        <f>SUBTOTAL(9,O359:O359)</f>
        <v>-11.85</v>
      </c>
      <c r="P360" s="223"/>
      <c r="Q360" s="210"/>
      <c r="R360" s="263" t="s">
        <v>2097</v>
      </c>
      <c r="S360" s="263" t="s">
        <v>2104</v>
      </c>
    </row>
    <row r="361" spans="1:19" ht="60" outlineLevel="2">
      <c r="A361" s="3" t="s">
        <v>469</v>
      </c>
      <c r="B361" s="14" t="s">
        <v>54</v>
      </c>
      <c r="C361" s="15" t="s">
        <v>468</v>
      </c>
      <c r="D361" s="15" t="s">
        <v>469</v>
      </c>
      <c r="E361" s="14" t="s">
        <v>470</v>
      </c>
      <c r="F361" s="15" t="s">
        <v>136</v>
      </c>
      <c r="G361" s="14" t="s">
        <v>137</v>
      </c>
      <c r="H361" s="15" t="s">
        <v>23</v>
      </c>
      <c r="I361" s="15" t="s">
        <v>1526</v>
      </c>
      <c r="J361" s="15">
        <v>201409</v>
      </c>
      <c r="K361" s="16">
        <v>-992.83</v>
      </c>
      <c r="L361" s="171">
        <f>VLOOKUP(J361,$U$9:$V$23,2)</f>
        <v>9</v>
      </c>
      <c r="M361" s="17">
        <v>1.4833299999999999E-3</v>
      </c>
      <c r="N361" s="16">
        <f>ROUND(K361*L361*M361,2)</f>
        <v>-13.25</v>
      </c>
      <c r="O361" s="16">
        <f>ROUND(K361*M361*12,2)</f>
        <v>-17.670000000000002</v>
      </c>
      <c r="P361" s="14"/>
      <c r="Q361" s="210" t="str">
        <f>VLOOKUP(D361,'WO Descriptions'!$A$5:$D$345,4)</f>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
    </row>
    <row r="362" spans="1:19" outlineLevel="1">
      <c r="A362" s="3" t="s">
        <v>1885</v>
      </c>
      <c r="B362" s="223"/>
      <c r="C362" s="250"/>
      <c r="D362" s="254" t="s">
        <v>1885</v>
      </c>
      <c r="E362" s="223"/>
      <c r="F362" s="250"/>
      <c r="G362" s="223"/>
      <c r="H362" s="250"/>
      <c r="I362" s="250"/>
      <c r="J362" s="250"/>
      <c r="K362" s="251">
        <f>SUBTOTAL(9,K361:K361)</f>
        <v>-992.83</v>
      </c>
      <c r="L362" s="252"/>
      <c r="M362" s="253"/>
      <c r="N362" s="251">
        <f>SUBTOTAL(9,N361:N361)</f>
        <v>-13.25</v>
      </c>
      <c r="O362" s="251">
        <f>SUBTOTAL(9,O361:O361)</f>
        <v>-17.670000000000002</v>
      </c>
      <c r="P362" s="223"/>
      <c r="Q362" s="210"/>
      <c r="R362" s="263" t="s">
        <v>2096</v>
      </c>
    </row>
    <row r="363" spans="1:19" ht="30" outlineLevel="2">
      <c r="A363" s="3" t="s">
        <v>472</v>
      </c>
      <c r="B363" s="14" t="s">
        <v>17</v>
      </c>
      <c r="C363" s="15" t="s">
        <v>471</v>
      </c>
      <c r="D363" s="15" t="s">
        <v>472</v>
      </c>
      <c r="E363" s="14" t="s">
        <v>473</v>
      </c>
      <c r="F363" s="15" t="s">
        <v>27</v>
      </c>
      <c r="G363" s="14" t="s">
        <v>28</v>
      </c>
      <c r="H363" s="15" t="s">
        <v>23</v>
      </c>
      <c r="I363" s="15" t="s">
        <v>1525</v>
      </c>
      <c r="J363" s="15">
        <v>201409</v>
      </c>
      <c r="K363" s="16">
        <v>-48.87</v>
      </c>
      <c r="L363" s="171">
        <f>VLOOKUP(J363,$U$9:$V$23,2)</f>
        <v>9</v>
      </c>
      <c r="M363" s="17">
        <v>1.4833299999999999E-3</v>
      </c>
      <c r="N363" s="16">
        <f>ROUND(K363*L363*M363,2)</f>
        <v>-0.65</v>
      </c>
      <c r="O363" s="16">
        <f>ROUND(K363*M363*12,2)</f>
        <v>-0.87</v>
      </c>
      <c r="P363" s="14"/>
      <c r="Q363" s="210" t="str">
        <f>VLOOKUP(D363,'WO Descriptions'!$A$5:$D$345,4)</f>
        <v>Approved by: Ralph Janes on 09/19/2013,  Move drip for odorant tank and tie 8in PCS to 4in PCS down stream with 4' of 4in thin film. Main to abandon: 2' of 4in PCS from wo# A7311A.</v>
      </c>
    </row>
    <row r="364" spans="1:19" outlineLevel="1">
      <c r="A364" s="3" t="s">
        <v>1886</v>
      </c>
      <c r="B364" s="223"/>
      <c r="C364" s="250"/>
      <c r="D364" s="254" t="s">
        <v>1886</v>
      </c>
      <c r="E364" s="223"/>
      <c r="F364" s="250"/>
      <c r="G364" s="223"/>
      <c r="H364" s="250"/>
      <c r="I364" s="250"/>
      <c r="J364" s="250"/>
      <c r="K364" s="251">
        <f>SUBTOTAL(9,K363:K363)</f>
        <v>-48.87</v>
      </c>
      <c r="L364" s="252"/>
      <c r="M364" s="253"/>
      <c r="N364" s="251">
        <f>SUBTOTAL(9,N363:N363)</f>
        <v>-0.65</v>
      </c>
      <c r="O364" s="251">
        <f>SUBTOTAL(9,O363:O363)</f>
        <v>-0.87</v>
      </c>
      <c r="P364" s="223"/>
      <c r="Q364" s="210"/>
      <c r="R364" s="263" t="s">
        <v>2097</v>
      </c>
      <c r="S364" s="263" t="s">
        <v>2099</v>
      </c>
    </row>
    <row r="365" spans="1:19" ht="90" outlineLevel="2">
      <c r="A365" s="3" t="s">
        <v>475</v>
      </c>
      <c r="B365" s="14" t="s">
        <v>17</v>
      </c>
      <c r="C365" s="15" t="s">
        <v>474</v>
      </c>
      <c r="D365" s="15" t="s">
        <v>475</v>
      </c>
      <c r="E365" s="14" t="s">
        <v>476</v>
      </c>
      <c r="F365" s="15" t="s">
        <v>40</v>
      </c>
      <c r="G365" s="14" t="s">
        <v>41</v>
      </c>
      <c r="H365" s="15" t="s">
        <v>23</v>
      </c>
      <c r="I365" s="15" t="s">
        <v>1526</v>
      </c>
      <c r="J365" s="15">
        <v>201409</v>
      </c>
      <c r="K365" s="16">
        <v>-659.04</v>
      </c>
      <c r="L365" s="171">
        <f>VLOOKUP(J365,$U$9:$V$23,2)</f>
        <v>9</v>
      </c>
      <c r="M365" s="17">
        <v>1.4833299999999999E-3</v>
      </c>
      <c r="N365" s="16">
        <f>ROUND(K365*L365*M365,2)</f>
        <v>-8.8000000000000007</v>
      </c>
      <c r="O365" s="16">
        <f>ROUND(K365*M365*12,2)</f>
        <v>-11.73</v>
      </c>
      <c r="P365" s="14"/>
      <c r="Q365" s="210" t="str">
        <f>VLOOKUP(D365,'WO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366" spans="1:19" ht="90" outlineLevel="2">
      <c r="A366" s="3" t="s">
        <v>475</v>
      </c>
      <c r="B366" s="14" t="s">
        <v>17</v>
      </c>
      <c r="C366" s="15" t="s">
        <v>474</v>
      </c>
      <c r="D366" s="15" t="s">
        <v>475</v>
      </c>
      <c r="E366" s="14" t="s">
        <v>476</v>
      </c>
      <c r="F366" s="15" t="s">
        <v>40</v>
      </c>
      <c r="G366" s="14" t="s">
        <v>41</v>
      </c>
      <c r="H366" s="15" t="s">
        <v>23</v>
      </c>
      <c r="I366" s="15" t="s">
        <v>1526</v>
      </c>
      <c r="J366" s="15">
        <v>201410</v>
      </c>
      <c r="K366" s="16">
        <v>0</v>
      </c>
      <c r="L366" s="171">
        <f>VLOOKUP(J366,$U$9:$V$23,2)</f>
        <v>8</v>
      </c>
      <c r="M366" s="17">
        <v>1.4833299999999999E-3</v>
      </c>
      <c r="N366" s="16">
        <f>ROUND(K366*L366*M366,2)</f>
        <v>0</v>
      </c>
      <c r="O366" s="16">
        <f>ROUND(K366*M366*12,2)</f>
        <v>0</v>
      </c>
      <c r="P366" s="14"/>
      <c r="Q366" s="210" t="str">
        <f>VLOOKUP(D366,'WO Descriptions'!$A$5:$D$345,4)</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row>
    <row r="367" spans="1:19" outlineLevel="1">
      <c r="A367" s="3" t="s">
        <v>1887</v>
      </c>
      <c r="B367" s="223"/>
      <c r="C367" s="250"/>
      <c r="D367" s="254" t="s">
        <v>1887</v>
      </c>
      <c r="E367" s="223"/>
      <c r="F367" s="250"/>
      <c r="G367" s="223"/>
      <c r="H367" s="250"/>
      <c r="I367" s="250"/>
      <c r="J367" s="250"/>
      <c r="K367" s="251">
        <f>SUBTOTAL(9,K365:K366)</f>
        <v>-659.04</v>
      </c>
      <c r="L367" s="252"/>
      <c r="M367" s="253"/>
      <c r="N367" s="251">
        <f>SUBTOTAL(9,N365:N366)</f>
        <v>-8.8000000000000007</v>
      </c>
      <c r="O367" s="251">
        <f>SUBTOTAL(9,O365:O366)</f>
        <v>-11.73</v>
      </c>
      <c r="P367" s="223"/>
      <c r="Q367" s="210"/>
      <c r="R367" s="263" t="s">
        <v>2096</v>
      </c>
    </row>
    <row r="368" spans="1:19" ht="60" outlineLevel="2">
      <c r="A368" s="3" t="s">
        <v>478</v>
      </c>
      <c r="B368" s="14" t="s">
        <v>17</v>
      </c>
      <c r="C368" s="15" t="s">
        <v>477</v>
      </c>
      <c r="D368" s="15" t="s">
        <v>478</v>
      </c>
      <c r="E368" s="14" t="s">
        <v>479</v>
      </c>
      <c r="F368" s="15" t="s">
        <v>440</v>
      </c>
      <c r="G368" s="14" t="s">
        <v>28</v>
      </c>
      <c r="H368" s="15" t="s">
        <v>23</v>
      </c>
      <c r="I368" s="15" t="s">
        <v>1525</v>
      </c>
      <c r="J368" s="15">
        <v>201409</v>
      </c>
      <c r="K368" s="16">
        <v>-15.86</v>
      </c>
      <c r="L368" s="171">
        <f>VLOOKUP(J368,$U$9:$V$23,2)</f>
        <v>9</v>
      </c>
      <c r="M368" s="17">
        <v>1.4833299999999999E-3</v>
      </c>
      <c r="N368" s="16">
        <f>ROUND(K368*L368*M368,2)</f>
        <v>-0.21</v>
      </c>
      <c r="O368" s="16">
        <f>ROUND(K368*M368*12,2)</f>
        <v>-0.28000000000000003</v>
      </c>
      <c r="P368" s="14"/>
      <c r="Q368" s="210" t="str">
        <f>VLOOKUP(D368,'WO Descriptions'!$A$5:$D$345,4)</f>
        <v>Approved by: Kevin Driskell on 02/20/2014,  RELOCATE 4'-2" PLEXCO DUE TO WATER DEPARTMENT SHUTTING OFF BALL VALVE IN ERROR.  MGE DIDN'T WANT WATER DEPARTMENT TO ACCIDENTALLY DO THIS AGAIN; SO REMOVED 3-WAY TEE &amp; BALL VALVE.  ABANDONED 3'-2" PE (98-8159).</v>
      </c>
    </row>
    <row r="369" spans="1:19" outlineLevel="1">
      <c r="A369" s="3" t="s">
        <v>1888</v>
      </c>
      <c r="B369" s="223"/>
      <c r="C369" s="250"/>
      <c r="D369" s="254" t="s">
        <v>1888</v>
      </c>
      <c r="E369" s="223"/>
      <c r="F369" s="250"/>
      <c r="G369" s="223"/>
      <c r="H369" s="250"/>
      <c r="I369" s="250"/>
      <c r="J369" s="250"/>
      <c r="K369" s="251">
        <f>SUBTOTAL(9,K368:K368)</f>
        <v>-15.86</v>
      </c>
      <c r="L369" s="252"/>
      <c r="M369" s="253"/>
      <c r="N369" s="251">
        <f>SUBTOTAL(9,N368:N368)</f>
        <v>-0.21</v>
      </c>
      <c r="O369" s="251">
        <f>SUBTOTAL(9,O368:O368)</f>
        <v>-0.28000000000000003</v>
      </c>
      <c r="P369" s="223"/>
      <c r="Q369" s="210"/>
      <c r="R369" s="263" t="s">
        <v>2097</v>
      </c>
      <c r="S369" s="263" t="s">
        <v>2099</v>
      </c>
    </row>
    <row r="370" spans="1:19" ht="45" outlineLevel="2">
      <c r="A370" s="3" t="s">
        <v>481</v>
      </c>
      <c r="B370" s="14" t="s">
        <v>17</v>
      </c>
      <c r="C370" s="15" t="s">
        <v>480</v>
      </c>
      <c r="D370" s="15" t="s">
        <v>481</v>
      </c>
      <c r="E370" s="14" t="s">
        <v>482</v>
      </c>
      <c r="F370" s="15" t="s">
        <v>141</v>
      </c>
      <c r="G370" s="14" t="s">
        <v>142</v>
      </c>
      <c r="H370" s="15" t="s">
        <v>23</v>
      </c>
      <c r="I370" s="15" t="s">
        <v>1525</v>
      </c>
      <c r="J370" s="15">
        <v>201409</v>
      </c>
      <c r="K370" s="16">
        <v>-482.88</v>
      </c>
      <c r="L370" s="171">
        <f>VLOOKUP(J370,$U$9:$V$23,2)</f>
        <v>9</v>
      </c>
      <c r="M370" s="17">
        <v>1.4833299999999999E-3</v>
      </c>
      <c r="N370" s="16">
        <f>ROUND(K370*L370*M370,2)</f>
        <v>-6.45</v>
      </c>
      <c r="O370" s="16">
        <f>ROUND(K370*M370*12,2)</f>
        <v>-8.6</v>
      </c>
      <c r="P370" s="14"/>
      <c r="Q370" s="210" t="str">
        <f>VLOOKUP(D370,'WO Descriptions'!$A$5:$D$345,4)</f>
        <v>Approved by: Gary Williams on 12/02/2013,  AOR.  Replace 40'-6in CI with 6in PE.  13' of CI was exposed at 2551 Chelsea.  Tie-over two services and replace one service (2553 Chelsea).Retire 35'-6in CI, B30P88; 5'-6in CI, B18P103.</v>
      </c>
    </row>
    <row r="371" spans="1:19" ht="45" outlineLevel="2">
      <c r="A371" s="3" t="s">
        <v>481</v>
      </c>
      <c r="B371" s="14" t="s">
        <v>17</v>
      </c>
      <c r="C371" s="15" t="s">
        <v>480</v>
      </c>
      <c r="D371" s="15" t="s">
        <v>481</v>
      </c>
      <c r="E371" s="14" t="s">
        <v>482</v>
      </c>
      <c r="F371" s="15" t="s">
        <v>141</v>
      </c>
      <c r="G371" s="14" t="s">
        <v>142</v>
      </c>
      <c r="H371" s="15" t="s">
        <v>23</v>
      </c>
      <c r="I371" s="15" t="s">
        <v>1525</v>
      </c>
      <c r="J371" s="15">
        <v>201410</v>
      </c>
      <c r="K371" s="16">
        <v>307.39</v>
      </c>
      <c r="L371" s="171">
        <f>VLOOKUP(J371,$U$9:$V$23,2)</f>
        <v>8</v>
      </c>
      <c r="M371" s="17">
        <v>1.4833299999999999E-3</v>
      </c>
      <c r="N371" s="16">
        <f>ROUND(K371*L371*M371,2)</f>
        <v>3.65</v>
      </c>
      <c r="O371" s="16">
        <f>ROUND(K371*M371*12,2)</f>
        <v>5.47</v>
      </c>
      <c r="P371" s="14"/>
      <c r="Q371" s="210" t="str">
        <f>VLOOKUP(D371,'WO Descriptions'!$A$5:$D$345,4)</f>
        <v>Approved by: Gary Williams on 12/02/2013,  AOR.  Replace 40'-6in CI with 6in PE.  13' of CI was exposed at 2551 Chelsea.  Tie-over two services and replace one service (2553 Chelsea).Retire 35'-6in CI, B30P88; 5'-6in CI, B18P103.</v>
      </c>
    </row>
    <row r="372" spans="1:19" ht="45" outlineLevel="2">
      <c r="A372" s="3" t="s">
        <v>481</v>
      </c>
      <c r="B372" s="14" t="s">
        <v>17</v>
      </c>
      <c r="C372" s="15" t="s">
        <v>480</v>
      </c>
      <c r="D372" s="15" t="s">
        <v>481</v>
      </c>
      <c r="E372" s="14" t="s">
        <v>482</v>
      </c>
      <c r="F372" s="15" t="s">
        <v>141</v>
      </c>
      <c r="G372" s="14" t="s">
        <v>142</v>
      </c>
      <c r="H372" s="15" t="s">
        <v>23</v>
      </c>
      <c r="I372" s="15" t="s">
        <v>1525</v>
      </c>
      <c r="J372" s="15">
        <v>201411</v>
      </c>
      <c r="K372" s="16">
        <v>-143.49</v>
      </c>
      <c r="L372" s="171">
        <f>VLOOKUP(J372,$U$9:$V$23,2)</f>
        <v>7</v>
      </c>
      <c r="M372" s="17">
        <v>1.4833299999999999E-3</v>
      </c>
      <c r="N372" s="16">
        <f>ROUND(K372*L372*M372,2)</f>
        <v>-1.49</v>
      </c>
      <c r="O372" s="16">
        <f>ROUND(K372*M372*12,2)</f>
        <v>-2.5499999999999998</v>
      </c>
      <c r="P372" s="14"/>
      <c r="Q372" s="210" t="str">
        <f>VLOOKUP(D372,'WO Descriptions'!$A$5:$D$345,4)</f>
        <v>Approved by: Gary Williams on 12/02/2013,  AOR.  Replace 40'-6in CI with 6in PE.  13' of CI was exposed at 2551 Chelsea.  Tie-over two services and replace one service (2553 Chelsea).Retire 35'-6in CI, B30P88; 5'-6in CI, B18P103.</v>
      </c>
    </row>
    <row r="373" spans="1:19" ht="45" outlineLevel="2">
      <c r="A373" s="3" t="s">
        <v>481</v>
      </c>
      <c r="B373" s="14" t="s">
        <v>17</v>
      </c>
      <c r="C373" s="15" t="s">
        <v>480</v>
      </c>
      <c r="D373" s="15" t="s">
        <v>481</v>
      </c>
      <c r="E373" s="14" t="s">
        <v>482</v>
      </c>
      <c r="F373" s="15" t="s">
        <v>141</v>
      </c>
      <c r="G373" s="14" t="s">
        <v>142</v>
      </c>
      <c r="H373" s="15" t="s">
        <v>23</v>
      </c>
      <c r="I373" s="15" t="s">
        <v>1525</v>
      </c>
      <c r="J373" s="15">
        <v>201412</v>
      </c>
      <c r="K373" s="16">
        <v>-12.75</v>
      </c>
      <c r="L373" s="171">
        <f>VLOOKUP(J373,$U$9:$V$23,2)</f>
        <v>6</v>
      </c>
      <c r="M373" s="17">
        <v>1.4833299999999999E-3</v>
      </c>
      <c r="N373" s="16">
        <f>ROUND(K373*L373*M373,2)</f>
        <v>-0.11</v>
      </c>
      <c r="O373" s="16">
        <f>ROUND(K373*M373*12,2)</f>
        <v>-0.23</v>
      </c>
      <c r="P373" s="14"/>
      <c r="Q373" s="210" t="str">
        <f>VLOOKUP(D373,'WO Descriptions'!$A$5:$D$345,4)</f>
        <v>Approved by: Gary Williams on 12/02/2013,  AOR.  Replace 40'-6in CI with 6in PE.  13' of CI was exposed at 2551 Chelsea.  Tie-over two services and replace one service (2553 Chelsea).Retire 35'-6in CI, B30P88; 5'-6in CI, B18P103.</v>
      </c>
    </row>
    <row r="374" spans="1:19" outlineLevel="1">
      <c r="A374" s="3" t="s">
        <v>1889</v>
      </c>
      <c r="B374" s="223"/>
      <c r="C374" s="250"/>
      <c r="D374" s="254" t="s">
        <v>1889</v>
      </c>
      <c r="E374" s="223"/>
      <c r="F374" s="250"/>
      <c r="G374" s="223"/>
      <c r="H374" s="250"/>
      <c r="I374" s="250"/>
      <c r="J374" s="250"/>
      <c r="K374" s="251">
        <f>SUBTOTAL(9,K370:K373)</f>
        <v>-331.73</v>
      </c>
      <c r="L374" s="252"/>
      <c r="M374" s="253"/>
      <c r="N374" s="251">
        <f>SUBTOTAL(9,N370:N373)</f>
        <v>-4.4000000000000004</v>
      </c>
      <c r="O374" s="251">
        <f>SUBTOTAL(9,O370:O373)</f>
        <v>-5.91</v>
      </c>
      <c r="P374" s="223"/>
      <c r="Q374" s="210"/>
      <c r="R374" s="263" t="s">
        <v>2097</v>
      </c>
      <c r="S374" s="263" t="s">
        <v>2100</v>
      </c>
    </row>
    <row r="375" spans="1:19" ht="120" outlineLevel="2">
      <c r="A375" s="3" t="s">
        <v>484</v>
      </c>
      <c r="B375" s="14" t="s">
        <v>17</v>
      </c>
      <c r="C375" s="15" t="s">
        <v>483</v>
      </c>
      <c r="D375" s="15" t="s">
        <v>484</v>
      </c>
      <c r="E375" s="14" t="s">
        <v>485</v>
      </c>
      <c r="F375" s="15" t="s">
        <v>324</v>
      </c>
      <c r="G375" s="14" t="s">
        <v>325</v>
      </c>
      <c r="H375" s="15" t="s">
        <v>23</v>
      </c>
      <c r="I375" s="15" t="s">
        <v>1525</v>
      </c>
      <c r="J375" s="15">
        <v>201409</v>
      </c>
      <c r="K375" s="16">
        <v>-297.13</v>
      </c>
      <c r="L375" s="171">
        <f>VLOOKUP(J375,$U$9:$V$23,2)</f>
        <v>9</v>
      </c>
      <c r="M375" s="17">
        <v>1.4833299999999999E-3</v>
      </c>
      <c r="N375" s="16">
        <f>ROUND(K375*L375*M375,2)</f>
        <v>-3.97</v>
      </c>
      <c r="O375" s="16">
        <f>ROUND(K375*M375*12,2)</f>
        <v>-5.29</v>
      </c>
      <c r="P375" s="14"/>
      <c r="Q375" s="210" t="str">
        <f>VLOOKUP(D375,'WO Descriptions'!$A$5:$D$345,4)</f>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
    </row>
    <row r="376" spans="1:19" outlineLevel="1">
      <c r="A376" s="3" t="s">
        <v>1890</v>
      </c>
      <c r="B376" s="223"/>
      <c r="C376" s="250"/>
      <c r="D376" s="254" t="s">
        <v>1890</v>
      </c>
      <c r="E376" s="223"/>
      <c r="F376" s="250"/>
      <c r="G376" s="223"/>
      <c r="H376" s="250"/>
      <c r="I376" s="250"/>
      <c r="J376" s="250"/>
      <c r="K376" s="251">
        <f>SUBTOTAL(9,K375:K375)</f>
        <v>-297.13</v>
      </c>
      <c r="L376" s="252"/>
      <c r="M376" s="253"/>
      <c r="N376" s="251">
        <f>SUBTOTAL(9,N375:N375)</f>
        <v>-3.97</v>
      </c>
      <c r="O376" s="251">
        <f>SUBTOTAL(9,O375:O375)</f>
        <v>-5.29</v>
      </c>
      <c r="P376" s="223"/>
      <c r="Q376" s="210"/>
      <c r="R376" s="263" t="s">
        <v>2094</v>
      </c>
      <c r="S376" s="263" t="s">
        <v>2095</v>
      </c>
    </row>
    <row r="377" spans="1:19" ht="45" outlineLevel="2">
      <c r="A377" s="3" t="s">
        <v>487</v>
      </c>
      <c r="B377" s="14" t="s">
        <v>17</v>
      </c>
      <c r="C377" s="15" t="s">
        <v>486</v>
      </c>
      <c r="D377" s="15" t="s">
        <v>487</v>
      </c>
      <c r="E377" s="14" t="s">
        <v>488</v>
      </c>
      <c r="F377" s="15" t="s">
        <v>141</v>
      </c>
      <c r="G377" s="14" t="s">
        <v>142</v>
      </c>
      <c r="H377" s="15" t="s">
        <v>23</v>
      </c>
      <c r="I377" s="15" t="s">
        <v>1525</v>
      </c>
      <c r="J377" s="15">
        <v>201409</v>
      </c>
      <c r="K377" s="16">
        <v>-374.06</v>
      </c>
      <c r="L377" s="171">
        <f>VLOOKUP(J377,$U$9:$V$23,2)</f>
        <v>9</v>
      </c>
      <c r="M377" s="17">
        <v>1.4833299999999999E-3</v>
      </c>
      <c r="N377" s="16">
        <f>ROUND(K377*L377*M377,2)</f>
        <v>-4.99</v>
      </c>
      <c r="O377" s="16">
        <f>ROUND(K377*M377*12,2)</f>
        <v>-6.66</v>
      </c>
      <c r="P377" s="14"/>
      <c r="Q377" s="210" t="str">
        <f>VLOOKUP(D377,'WO Descriptions'!$A$5:$D$345,4)</f>
        <v>Approved by: Gary Williams on 01/10/2014,  AOR.  This work order must be completed by March 16, 2014.  Replace 40'-6in CI due to parallel excavation.  AOR location: 12' SNC of E 52nd Street.  No services to tie-over.  Retire 44'-6in CI, WO A2610, year 1930.</v>
      </c>
    </row>
    <row r="378" spans="1:19" outlineLevel="1">
      <c r="A378" s="3" t="s">
        <v>1891</v>
      </c>
      <c r="B378" s="223"/>
      <c r="C378" s="250"/>
      <c r="D378" s="254" t="s">
        <v>1891</v>
      </c>
      <c r="E378" s="223"/>
      <c r="F378" s="250"/>
      <c r="G378" s="223"/>
      <c r="H378" s="250"/>
      <c r="I378" s="250"/>
      <c r="J378" s="250"/>
      <c r="K378" s="251">
        <f>SUBTOTAL(9,K377:K377)</f>
        <v>-374.06</v>
      </c>
      <c r="L378" s="252"/>
      <c r="M378" s="253"/>
      <c r="N378" s="251">
        <f>SUBTOTAL(9,N377:N377)</f>
        <v>-4.99</v>
      </c>
      <c r="O378" s="251">
        <f>SUBTOTAL(9,O377:O377)</f>
        <v>-6.66</v>
      </c>
      <c r="P378" s="223"/>
      <c r="Q378" s="210"/>
      <c r="R378" s="263" t="s">
        <v>2097</v>
      </c>
      <c r="S378" s="263" t="s">
        <v>2100</v>
      </c>
    </row>
    <row r="379" spans="1:19" ht="30" outlineLevel="2">
      <c r="A379" s="3" t="s">
        <v>490</v>
      </c>
      <c r="B379" s="211" t="s">
        <v>66</v>
      </c>
      <c r="C379" s="212" t="s">
        <v>489</v>
      </c>
      <c r="D379" s="212" t="s">
        <v>490</v>
      </c>
      <c r="E379" s="211" t="s">
        <v>491</v>
      </c>
      <c r="F379" s="212" t="s">
        <v>492</v>
      </c>
      <c r="G379" s="211" t="s">
        <v>378</v>
      </c>
      <c r="H379" s="212" t="s">
        <v>23</v>
      </c>
      <c r="I379" s="212" t="s">
        <v>1530</v>
      </c>
      <c r="J379" s="212">
        <v>201409</v>
      </c>
      <c r="K379" s="213">
        <v>-2416.5500000000002</v>
      </c>
      <c r="L379" s="171">
        <f>VLOOKUP(J379,$U$9:$V$23,2)</f>
        <v>9</v>
      </c>
      <c r="M379" s="214">
        <v>2.23333E-3</v>
      </c>
      <c r="N379" s="213">
        <f>ROUND(K379*L379*M379,2)</f>
        <v>-48.57</v>
      </c>
      <c r="O379" s="213">
        <f>ROUND(K379*M379*12,2)</f>
        <v>-64.760000000000005</v>
      </c>
      <c r="P379" s="14"/>
      <c r="Q379" s="210" t="str">
        <f>VLOOKUP(D379,'WO Descriptions'!$A$5:$D$345,4)</f>
        <v>Service/Yard Line Replacement (SLRP): Contract Crew.  Service/yard line replacement - Material Charges Only  (Kansas City - Central Region)</v>
      </c>
    </row>
    <row r="380" spans="1:19" ht="30" outlineLevel="2">
      <c r="A380" s="3" t="s">
        <v>490</v>
      </c>
      <c r="B380" s="211" t="s">
        <v>66</v>
      </c>
      <c r="C380" s="212" t="s">
        <v>489</v>
      </c>
      <c r="D380" s="212" t="s">
        <v>490</v>
      </c>
      <c r="E380" s="211" t="s">
        <v>491</v>
      </c>
      <c r="F380" s="212" t="s">
        <v>492</v>
      </c>
      <c r="G380" s="211" t="s">
        <v>378</v>
      </c>
      <c r="H380" s="212" t="s">
        <v>23</v>
      </c>
      <c r="I380" s="212" t="s">
        <v>1530</v>
      </c>
      <c r="J380" s="212">
        <v>201411</v>
      </c>
      <c r="K380" s="213">
        <v>2182.83</v>
      </c>
      <c r="L380" s="171">
        <f>VLOOKUP(J380,$U$9:$V$23,2)</f>
        <v>7</v>
      </c>
      <c r="M380" s="214">
        <v>2.23333E-3</v>
      </c>
      <c r="N380" s="213">
        <f>ROUND(K380*L380*M380,2)</f>
        <v>34.119999999999997</v>
      </c>
      <c r="O380" s="213">
        <f>ROUND(K380*M380*12,2)</f>
        <v>58.5</v>
      </c>
      <c r="P380" s="14"/>
      <c r="Q380" s="210" t="str">
        <f>VLOOKUP(D380,'WO Descriptions'!$A$5:$D$345,4)</f>
        <v>Service/Yard Line Replacement (SLRP): Contract Crew.  Service/yard line replacement - Material Charges Only  (Kansas City - Central Region)</v>
      </c>
    </row>
    <row r="381" spans="1:19" ht="30" outlineLevel="2">
      <c r="A381" s="3" t="s">
        <v>490</v>
      </c>
      <c r="B381" s="211" t="s">
        <v>66</v>
      </c>
      <c r="C381" s="212" t="s">
        <v>489</v>
      </c>
      <c r="D381" s="212" t="s">
        <v>490</v>
      </c>
      <c r="E381" s="211" t="s">
        <v>491</v>
      </c>
      <c r="F381" s="212" t="s">
        <v>492</v>
      </c>
      <c r="G381" s="211" t="s">
        <v>378</v>
      </c>
      <c r="H381" s="212" t="s">
        <v>23</v>
      </c>
      <c r="I381" s="212" t="s">
        <v>1530</v>
      </c>
      <c r="J381" s="212">
        <v>201412</v>
      </c>
      <c r="K381" s="213">
        <v>-341.38</v>
      </c>
      <c r="L381" s="171">
        <f>VLOOKUP(J381,$U$9:$V$23,2)</f>
        <v>6</v>
      </c>
      <c r="M381" s="214">
        <v>2.23333E-3</v>
      </c>
      <c r="N381" s="213">
        <f>ROUND(K381*L381*M381,2)</f>
        <v>-4.57</v>
      </c>
      <c r="O381" s="213">
        <f>ROUND(K381*M381*12,2)</f>
        <v>-9.15</v>
      </c>
      <c r="P381" s="14"/>
      <c r="Q381" s="210" t="str">
        <f>VLOOKUP(D381,'WO Descriptions'!$A$5:$D$345,4)</f>
        <v>Service/Yard Line Replacement (SLRP): Contract Crew.  Service/yard line replacement - Material Charges Only  (Kansas City - Central Region)</v>
      </c>
    </row>
    <row r="382" spans="1:19" outlineLevel="1">
      <c r="A382" s="3" t="s">
        <v>1892</v>
      </c>
      <c r="B382" s="256"/>
      <c r="C382" s="257"/>
      <c r="D382" s="260" t="s">
        <v>1892</v>
      </c>
      <c r="E382" s="256"/>
      <c r="F382" s="257"/>
      <c r="G382" s="256"/>
      <c r="H382" s="257"/>
      <c r="I382" s="257"/>
      <c r="J382" s="257"/>
      <c r="K382" s="258">
        <f>SUBTOTAL(9,K379:K381)</f>
        <v>-575.10000000000025</v>
      </c>
      <c r="L382" s="252"/>
      <c r="M382" s="259"/>
      <c r="N382" s="258">
        <f>SUBTOTAL(9,N379:N381)</f>
        <v>-19.020000000000003</v>
      </c>
      <c r="O382" s="258">
        <f>SUBTOTAL(9,O379:O381)</f>
        <v>-15.410000000000005</v>
      </c>
      <c r="P382" s="223"/>
      <c r="Q382" s="210"/>
      <c r="R382" s="263" t="s">
        <v>2097</v>
      </c>
      <c r="S382" s="263" t="s">
        <v>2102</v>
      </c>
    </row>
    <row r="383" spans="1:19" ht="30" outlineLevel="2">
      <c r="A383" s="3" t="s">
        <v>1606</v>
      </c>
      <c r="B383" s="211" t="s">
        <v>1584</v>
      </c>
      <c r="C383" s="212" t="s">
        <v>1605</v>
      </c>
      <c r="D383" s="212" t="s">
        <v>1606</v>
      </c>
      <c r="E383" s="211" t="s">
        <v>1607</v>
      </c>
      <c r="F383" s="212" t="s">
        <v>1608</v>
      </c>
      <c r="G383" s="211" t="s">
        <v>1590</v>
      </c>
      <c r="H383" s="212" t="s">
        <v>23</v>
      </c>
      <c r="I383" s="212" t="s">
        <v>1530</v>
      </c>
      <c r="J383" s="212">
        <v>201409</v>
      </c>
      <c r="K383" s="213">
        <v>14022.68</v>
      </c>
      <c r="L383" s="171">
        <f>VLOOKUP(J383,$U$9:$V$23,2)</f>
        <v>9</v>
      </c>
      <c r="M383" s="214">
        <v>2.0333333000000001E-3</v>
      </c>
      <c r="N383" s="213">
        <f>ROUND(K383*L383*M383,2)</f>
        <v>256.62</v>
      </c>
      <c r="O383" s="213">
        <f>ROUND(K383*M383*12,2)</f>
        <v>342.15</v>
      </c>
      <c r="P383" s="14"/>
      <c r="Q383" s="210" t="str">
        <f>VLOOKUP(D383,'WO Descriptions'!$A$5:$D$345,4)</f>
        <v>Service/Yard Line Replacement (SLRP): Contract Crew.  Service/yard line replacement - Material Charges Only  (Kansas City - Central Region)</v>
      </c>
    </row>
    <row r="384" spans="1:19" ht="30" outlineLevel="2">
      <c r="A384" s="3" t="s">
        <v>1606</v>
      </c>
      <c r="B384" s="211" t="s">
        <v>1584</v>
      </c>
      <c r="C384" s="212" t="s">
        <v>1605</v>
      </c>
      <c r="D384" s="212" t="s">
        <v>1606</v>
      </c>
      <c r="E384" s="211" t="s">
        <v>1607</v>
      </c>
      <c r="F384" s="212" t="s">
        <v>1608</v>
      </c>
      <c r="G384" s="211" t="s">
        <v>1590</v>
      </c>
      <c r="H384" s="212" t="s">
        <v>23</v>
      </c>
      <c r="I384" s="212" t="s">
        <v>1530</v>
      </c>
      <c r="J384" s="212">
        <v>201410</v>
      </c>
      <c r="K384" s="213">
        <v>18008.71</v>
      </c>
      <c r="L384" s="171">
        <f>VLOOKUP(J384,$U$9:$V$23,2)</f>
        <v>8</v>
      </c>
      <c r="M384" s="214">
        <v>2.0333333000000001E-3</v>
      </c>
      <c r="N384" s="213">
        <f>ROUND(K384*L384*M384,2)</f>
        <v>292.94</v>
      </c>
      <c r="O384" s="213">
        <f>ROUND(K384*M384*12,2)</f>
        <v>439.41</v>
      </c>
      <c r="P384" s="14"/>
      <c r="Q384" s="210" t="str">
        <f>VLOOKUP(D384,'WO Descriptions'!$A$5:$D$345,4)</f>
        <v>Service/Yard Line Replacement (SLRP): Contract Crew.  Service/yard line replacement - Material Charges Only  (Kansas City - Central Region)</v>
      </c>
    </row>
    <row r="385" spans="1:19" ht="30" outlineLevel="2">
      <c r="A385" s="3" t="s">
        <v>1606</v>
      </c>
      <c r="B385" s="211" t="s">
        <v>1584</v>
      </c>
      <c r="C385" s="212" t="s">
        <v>1605</v>
      </c>
      <c r="D385" s="212" t="s">
        <v>1606</v>
      </c>
      <c r="E385" s="211" t="s">
        <v>1607</v>
      </c>
      <c r="F385" s="212" t="s">
        <v>1608</v>
      </c>
      <c r="G385" s="211" t="s">
        <v>1590</v>
      </c>
      <c r="H385" s="212" t="s">
        <v>23</v>
      </c>
      <c r="I385" s="212" t="s">
        <v>1530</v>
      </c>
      <c r="J385" s="212">
        <v>201411</v>
      </c>
      <c r="K385" s="213">
        <v>13521.65</v>
      </c>
      <c r="L385" s="171">
        <f>VLOOKUP(J385,$U$9:$V$23,2)</f>
        <v>7</v>
      </c>
      <c r="M385" s="214">
        <v>2.0333333000000001E-3</v>
      </c>
      <c r="N385" s="213">
        <f>ROUND(K385*L385*M385,2)</f>
        <v>192.46</v>
      </c>
      <c r="O385" s="213">
        <f>ROUND(K385*M385*12,2)</f>
        <v>329.93</v>
      </c>
      <c r="P385" s="14"/>
      <c r="Q385" s="210" t="str">
        <f>VLOOKUP(D385,'WO Descriptions'!$A$5:$D$345,4)</f>
        <v>Service/Yard Line Replacement (SLRP): Contract Crew.  Service/yard line replacement - Material Charges Only  (Kansas City - Central Region)</v>
      </c>
    </row>
    <row r="386" spans="1:19" ht="30" outlineLevel="2">
      <c r="A386" s="3" t="s">
        <v>1606</v>
      </c>
      <c r="B386" s="211" t="s">
        <v>1584</v>
      </c>
      <c r="C386" s="212" t="s">
        <v>1605</v>
      </c>
      <c r="D386" s="212" t="s">
        <v>1606</v>
      </c>
      <c r="E386" s="211" t="s">
        <v>1607</v>
      </c>
      <c r="F386" s="212" t="s">
        <v>1608</v>
      </c>
      <c r="G386" s="211" t="s">
        <v>1590</v>
      </c>
      <c r="H386" s="212" t="s">
        <v>23</v>
      </c>
      <c r="I386" s="212" t="s">
        <v>1530</v>
      </c>
      <c r="J386" s="212">
        <v>201412</v>
      </c>
      <c r="K386" s="213">
        <v>11008.76</v>
      </c>
      <c r="L386" s="171">
        <f>VLOOKUP(J386,$U$9:$V$23,2)</f>
        <v>6</v>
      </c>
      <c r="M386" s="214">
        <v>2.0333333000000001E-3</v>
      </c>
      <c r="N386" s="213">
        <f>ROUND(K386*L386*M386,2)</f>
        <v>134.31</v>
      </c>
      <c r="O386" s="213">
        <f>ROUND(K386*M386*12,2)</f>
        <v>268.61</v>
      </c>
      <c r="P386" s="14"/>
      <c r="Q386" s="210" t="str">
        <f>VLOOKUP(D386,'WO Descriptions'!$A$5:$D$345,4)</f>
        <v>Service/Yard Line Replacement (SLRP): Contract Crew.  Service/yard line replacement - Material Charges Only  (Kansas City - Central Region)</v>
      </c>
    </row>
    <row r="387" spans="1:19" outlineLevel="1">
      <c r="A387" s="3" t="s">
        <v>1893</v>
      </c>
      <c r="B387" s="256"/>
      <c r="C387" s="257"/>
      <c r="D387" s="260" t="s">
        <v>1893</v>
      </c>
      <c r="E387" s="256"/>
      <c r="F387" s="257"/>
      <c r="G387" s="256"/>
      <c r="H387" s="257"/>
      <c r="I387" s="257"/>
      <c r="J387" s="257"/>
      <c r="K387" s="258">
        <f>SUBTOTAL(9,K383:K386)</f>
        <v>56561.8</v>
      </c>
      <c r="L387" s="252"/>
      <c r="M387" s="259"/>
      <c r="N387" s="258">
        <f>SUBTOTAL(9,N383:N386)</f>
        <v>876.32999999999993</v>
      </c>
      <c r="O387" s="258">
        <f>SUBTOTAL(9,O383:O386)</f>
        <v>1380.1</v>
      </c>
      <c r="P387" s="223"/>
      <c r="Q387" s="210"/>
      <c r="R387" s="263" t="s">
        <v>2097</v>
      </c>
      <c r="S387" s="263" t="s">
        <v>2102</v>
      </c>
    </row>
    <row r="388" spans="1:19" ht="45" outlineLevel="2">
      <c r="A388" s="3" t="s">
        <v>494</v>
      </c>
      <c r="B388" s="14" t="s">
        <v>17</v>
      </c>
      <c r="C388" s="15" t="s">
        <v>493</v>
      </c>
      <c r="D388" s="15" t="s">
        <v>494</v>
      </c>
      <c r="E388" s="14" t="s">
        <v>495</v>
      </c>
      <c r="F388" s="15" t="s">
        <v>62</v>
      </c>
      <c r="G388" s="14" t="s">
        <v>22</v>
      </c>
      <c r="H388" s="15" t="s">
        <v>23</v>
      </c>
      <c r="I388" s="15" t="s">
        <v>1525</v>
      </c>
      <c r="J388" s="15">
        <v>201409</v>
      </c>
      <c r="K388" s="16">
        <v>-24.13</v>
      </c>
      <c r="L388" s="171">
        <f>VLOOKUP(J388,$U$9:$V$23,2)</f>
        <v>9</v>
      </c>
      <c r="M388" s="17">
        <v>1.4833299999999999E-3</v>
      </c>
      <c r="N388" s="16">
        <f>ROUND(K388*L388*M388,2)</f>
        <v>-0.32</v>
      </c>
      <c r="O388" s="16">
        <f>ROUND(K388*M388*12,2)</f>
        <v>-0.43</v>
      </c>
      <c r="P388" s="14"/>
      <c r="Q388" s="210" t="str">
        <f>VLOOKUP(D388,'WO Descriptions'!$A$5:$D$345,4)</f>
        <v>Approved by: Ralph Janes on 05/01/2013,  Replace and abandon 75' of 2&amp;quot; PBS (NONE WO) with 75' of 2&amp;quot; PE on WO# 13-2654. The existing main was leaking under 2nd Street (MO Hwy 58). ISRS</v>
      </c>
    </row>
    <row r="389" spans="1:19" outlineLevel="1">
      <c r="A389" s="3" t="s">
        <v>1894</v>
      </c>
      <c r="B389" s="223"/>
      <c r="C389" s="250"/>
      <c r="D389" s="254" t="s">
        <v>1894</v>
      </c>
      <c r="E389" s="223"/>
      <c r="F389" s="250"/>
      <c r="G389" s="223"/>
      <c r="H389" s="250"/>
      <c r="I389" s="250"/>
      <c r="J389" s="250"/>
      <c r="K389" s="251">
        <f>SUBTOTAL(9,K388:K388)</f>
        <v>-24.13</v>
      </c>
      <c r="L389" s="252"/>
      <c r="M389" s="253"/>
      <c r="N389" s="251">
        <f>SUBTOTAL(9,N388:N388)</f>
        <v>-0.32</v>
      </c>
      <c r="O389" s="251">
        <f>SUBTOTAL(9,O388:O388)</f>
        <v>-0.43</v>
      </c>
      <c r="P389" s="223"/>
      <c r="Q389" s="210"/>
      <c r="R389" s="263" t="s">
        <v>2097</v>
      </c>
      <c r="S389" s="263" t="s">
        <v>2098</v>
      </c>
    </row>
    <row r="390" spans="1:19" ht="30" outlineLevel="2">
      <c r="A390" s="3" t="s">
        <v>497</v>
      </c>
      <c r="B390" s="211" t="s">
        <v>66</v>
      </c>
      <c r="C390" s="212" t="s">
        <v>496</v>
      </c>
      <c r="D390" s="212" t="s">
        <v>497</v>
      </c>
      <c r="E390" s="211" t="s">
        <v>376</v>
      </c>
      <c r="F390" s="212" t="s">
        <v>498</v>
      </c>
      <c r="G390" s="211" t="s">
        <v>378</v>
      </c>
      <c r="H390" s="212" t="s">
        <v>23</v>
      </c>
      <c r="I390" s="212" t="s">
        <v>1530</v>
      </c>
      <c r="J390" s="212">
        <v>201409</v>
      </c>
      <c r="K390" s="213">
        <v>55968.13</v>
      </c>
      <c r="L390" s="171">
        <f>VLOOKUP(J390,$U$9:$V$23,2)</f>
        <v>9</v>
      </c>
      <c r="M390" s="214">
        <v>2.23333E-3</v>
      </c>
      <c r="N390" s="213">
        <f>ROUND(K390*L390*M390,2)</f>
        <v>1124.96</v>
      </c>
      <c r="O390" s="213">
        <f>ROUND(K390*M390*12,2)</f>
        <v>1499.94</v>
      </c>
      <c r="P390" s="14"/>
      <c r="Q390" s="210" t="str">
        <f>VLOOKUP(D390,'WO Descriptions'!$A$5:$D$345,4)</f>
        <v>Service/Yard Line Replacement (SLRP): Contract Crew.  Service/yard line replacement - Material Charges Only  (Lee's Summit - East Region)</v>
      </c>
    </row>
    <row r="391" spans="1:19" ht="30" outlineLevel="2">
      <c r="A391" s="3" t="s">
        <v>497</v>
      </c>
      <c r="B391" s="211" t="s">
        <v>66</v>
      </c>
      <c r="C391" s="212" t="s">
        <v>496</v>
      </c>
      <c r="D391" s="212" t="s">
        <v>497</v>
      </c>
      <c r="E391" s="211" t="s">
        <v>376</v>
      </c>
      <c r="F391" s="212" t="s">
        <v>498</v>
      </c>
      <c r="G391" s="211" t="s">
        <v>378</v>
      </c>
      <c r="H391" s="212" t="s">
        <v>23</v>
      </c>
      <c r="I391" s="212" t="s">
        <v>1530</v>
      </c>
      <c r="J391" s="212">
        <v>201410</v>
      </c>
      <c r="K391" s="213">
        <v>86678.53</v>
      </c>
      <c r="L391" s="171">
        <f>VLOOKUP(J391,$U$9:$V$23,2)</f>
        <v>8</v>
      </c>
      <c r="M391" s="214">
        <v>2.23333E-3</v>
      </c>
      <c r="N391" s="213">
        <f>ROUND(K391*L391*M391,2)</f>
        <v>1548.65</v>
      </c>
      <c r="O391" s="213">
        <f>ROUND(K391*M391*12,2)</f>
        <v>2322.98</v>
      </c>
      <c r="P391" s="14"/>
      <c r="Q391" s="210" t="str">
        <f>VLOOKUP(D391,'WO Descriptions'!$A$5:$D$345,4)</f>
        <v>Service/Yard Line Replacement (SLRP): Contract Crew.  Service/yard line replacement - Material Charges Only  (Lee's Summit - East Region)</v>
      </c>
    </row>
    <row r="392" spans="1:19" ht="30" outlineLevel="2">
      <c r="A392" s="3" t="s">
        <v>497</v>
      </c>
      <c r="B392" s="211" t="s">
        <v>66</v>
      </c>
      <c r="C392" s="212" t="s">
        <v>496</v>
      </c>
      <c r="D392" s="212" t="s">
        <v>497</v>
      </c>
      <c r="E392" s="211" t="s">
        <v>376</v>
      </c>
      <c r="F392" s="212" t="s">
        <v>498</v>
      </c>
      <c r="G392" s="211" t="s">
        <v>378</v>
      </c>
      <c r="H392" s="212" t="s">
        <v>23</v>
      </c>
      <c r="I392" s="212" t="s">
        <v>1530</v>
      </c>
      <c r="J392" s="212">
        <v>201411</v>
      </c>
      <c r="K392" s="213">
        <v>467</v>
      </c>
      <c r="L392" s="171">
        <f>VLOOKUP(J392,$U$9:$V$23,2)</f>
        <v>7</v>
      </c>
      <c r="M392" s="214">
        <v>2.23333E-3</v>
      </c>
      <c r="N392" s="213">
        <f>ROUND(K392*L392*M392,2)</f>
        <v>7.3</v>
      </c>
      <c r="O392" s="213">
        <f>ROUND(K392*M392*12,2)</f>
        <v>12.52</v>
      </c>
      <c r="P392" s="14"/>
      <c r="Q392" s="210" t="str">
        <f>VLOOKUP(D392,'WO Descriptions'!$A$5:$D$345,4)</f>
        <v>Service/Yard Line Replacement (SLRP): Contract Crew.  Service/yard line replacement - Material Charges Only  (Lee's Summit - East Region)</v>
      </c>
    </row>
    <row r="393" spans="1:19" ht="30" outlineLevel="2">
      <c r="A393" s="3" t="s">
        <v>497</v>
      </c>
      <c r="B393" s="211" t="s">
        <v>66</v>
      </c>
      <c r="C393" s="212" t="s">
        <v>496</v>
      </c>
      <c r="D393" s="212" t="s">
        <v>497</v>
      </c>
      <c r="E393" s="211" t="s">
        <v>376</v>
      </c>
      <c r="F393" s="212" t="s">
        <v>498</v>
      </c>
      <c r="G393" s="211" t="s">
        <v>378</v>
      </c>
      <c r="H393" s="212" t="s">
        <v>23</v>
      </c>
      <c r="I393" s="212" t="s">
        <v>1530</v>
      </c>
      <c r="J393" s="212">
        <v>201412</v>
      </c>
      <c r="K393" s="213">
        <v>44688.62</v>
      </c>
      <c r="L393" s="171">
        <f>VLOOKUP(J393,$U$9:$V$23,2)</f>
        <v>6</v>
      </c>
      <c r="M393" s="214">
        <v>2.23333E-3</v>
      </c>
      <c r="N393" s="213">
        <f>ROUND(K393*L393*M393,2)</f>
        <v>598.83000000000004</v>
      </c>
      <c r="O393" s="213">
        <f>ROUND(K393*M393*12,2)</f>
        <v>1197.6500000000001</v>
      </c>
      <c r="P393" s="14"/>
      <c r="Q393" s="210" t="str">
        <f>VLOOKUP(D393,'WO Descriptions'!$A$5:$D$345,4)</f>
        <v>Service/Yard Line Replacement (SLRP): Contract Crew.  Service/yard line replacement - Material Charges Only  (Lee's Summit - East Region)</v>
      </c>
    </row>
    <row r="394" spans="1:19" outlineLevel="1">
      <c r="A394" s="3" t="s">
        <v>1895</v>
      </c>
      <c r="B394" s="256"/>
      <c r="C394" s="257"/>
      <c r="D394" s="260" t="s">
        <v>1895</v>
      </c>
      <c r="E394" s="256"/>
      <c r="F394" s="257"/>
      <c r="G394" s="256"/>
      <c r="H394" s="257"/>
      <c r="I394" s="257"/>
      <c r="J394" s="257"/>
      <c r="K394" s="258">
        <f>SUBTOTAL(9,K390:K393)</f>
        <v>187802.28</v>
      </c>
      <c r="L394" s="252"/>
      <c r="M394" s="259"/>
      <c r="N394" s="258">
        <f>SUBTOTAL(9,N390:N393)</f>
        <v>3279.7400000000002</v>
      </c>
      <c r="O394" s="258">
        <f>SUBTOTAL(9,O390:O393)</f>
        <v>5033.09</v>
      </c>
      <c r="P394" s="223"/>
      <c r="Q394" s="210"/>
      <c r="R394" s="263" t="s">
        <v>2097</v>
      </c>
      <c r="S394" s="263" t="s">
        <v>2102</v>
      </c>
    </row>
    <row r="395" spans="1:19" outlineLevel="2">
      <c r="A395" s="3" t="s">
        <v>500</v>
      </c>
      <c r="B395" s="211" t="s">
        <v>66</v>
      </c>
      <c r="C395" s="212" t="s">
        <v>499</v>
      </c>
      <c r="D395" s="212" t="s">
        <v>500</v>
      </c>
      <c r="E395" s="211" t="s">
        <v>385</v>
      </c>
      <c r="F395" s="212" t="s">
        <v>501</v>
      </c>
      <c r="G395" s="211" t="s">
        <v>387</v>
      </c>
      <c r="H395" s="212" t="s">
        <v>23</v>
      </c>
      <c r="I395" s="212" t="s">
        <v>1530</v>
      </c>
      <c r="J395" s="212">
        <v>201409</v>
      </c>
      <c r="K395" s="213">
        <v>26046.38</v>
      </c>
      <c r="L395" s="171">
        <f>VLOOKUP(J395,$U$9:$V$23,2)</f>
        <v>9</v>
      </c>
      <c r="M395" s="214">
        <v>2.23333E-3</v>
      </c>
      <c r="N395" s="213">
        <f>ROUND(K395*L395*M395,2)</f>
        <v>523.53</v>
      </c>
      <c r="O395" s="213">
        <f>ROUND(K395*M395*12,2)</f>
        <v>698.04</v>
      </c>
      <c r="P395" s="14"/>
      <c r="Q395" s="210" t="str">
        <f>VLOOKUP(D395,'WO Descriptions'!$A$5:$D$345,4)</f>
        <v>Replacement and/or removal of existing protected steel or plastic (Joplin - South Region)</v>
      </c>
    </row>
    <row r="396" spans="1:19" outlineLevel="2">
      <c r="A396" s="3" t="s">
        <v>500</v>
      </c>
      <c r="B396" s="211" t="s">
        <v>66</v>
      </c>
      <c r="C396" s="212" t="s">
        <v>499</v>
      </c>
      <c r="D396" s="212" t="s">
        <v>500</v>
      </c>
      <c r="E396" s="211" t="s">
        <v>385</v>
      </c>
      <c r="F396" s="212" t="s">
        <v>501</v>
      </c>
      <c r="G396" s="211" t="s">
        <v>387</v>
      </c>
      <c r="H396" s="212" t="s">
        <v>23</v>
      </c>
      <c r="I396" s="212" t="s">
        <v>1530</v>
      </c>
      <c r="J396" s="212">
        <v>201410</v>
      </c>
      <c r="K396" s="213">
        <v>41073.32</v>
      </c>
      <c r="L396" s="171">
        <f>VLOOKUP(J396,$U$9:$V$23,2)</f>
        <v>8</v>
      </c>
      <c r="M396" s="214">
        <v>2.23333E-3</v>
      </c>
      <c r="N396" s="213">
        <f>ROUND(K396*L396*M396,2)</f>
        <v>733.84</v>
      </c>
      <c r="O396" s="213">
        <f>ROUND(K396*M396*12,2)</f>
        <v>1100.76</v>
      </c>
      <c r="P396" s="14"/>
      <c r="Q396" s="210" t="str">
        <f>VLOOKUP(D396,'WO Descriptions'!$A$5:$D$345,4)</f>
        <v>Replacement and/or removal of existing protected steel or plastic (Joplin - South Region)</v>
      </c>
    </row>
    <row r="397" spans="1:19" outlineLevel="2">
      <c r="A397" s="3" t="s">
        <v>500</v>
      </c>
      <c r="B397" s="211" t="s">
        <v>66</v>
      </c>
      <c r="C397" s="212" t="s">
        <v>499</v>
      </c>
      <c r="D397" s="212" t="s">
        <v>500</v>
      </c>
      <c r="E397" s="211" t="s">
        <v>385</v>
      </c>
      <c r="F397" s="212" t="s">
        <v>501</v>
      </c>
      <c r="G397" s="211" t="s">
        <v>387</v>
      </c>
      <c r="H397" s="212" t="s">
        <v>23</v>
      </c>
      <c r="I397" s="212" t="s">
        <v>1530</v>
      </c>
      <c r="J397" s="212">
        <v>201411</v>
      </c>
      <c r="K397" s="213">
        <v>14235.91</v>
      </c>
      <c r="L397" s="171">
        <f>VLOOKUP(J397,$U$9:$V$23,2)</f>
        <v>7</v>
      </c>
      <c r="M397" s="214">
        <v>2.23333E-3</v>
      </c>
      <c r="N397" s="213">
        <f>ROUND(K397*L397*M397,2)</f>
        <v>222.55</v>
      </c>
      <c r="O397" s="213">
        <f>ROUND(K397*M397*12,2)</f>
        <v>381.52</v>
      </c>
      <c r="P397" s="14"/>
      <c r="Q397" s="210" t="str">
        <f>VLOOKUP(D397,'WO Descriptions'!$A$5:$D$345,4)</f>
        <v>Replacement and/or removal of existing protected steel or plastic (Joplin - South Region)</v>
      </c>
    </row>
    <row r="398" spans="1:19" outlineLevel="2">
      <c r="A398" s="3" t="s">
        <v>500</v>
      </c>
      <c r="B398" s="211" t="s">
        <v>66</v>
      </c>
      <c r="C398" s="212" t="s">
        <v>499</v>
      </c>
      <c r="D398" s="212" t="s">
        <v>500</v>
      </c>
      <c r="E398" s="211" t="s">
        <v>385</v>
      </c>
      <c r="F398" s="212" t="s">
        <v>501</v>
      </c>
      <c r="G398" s="211" t="s">
        <v>387</v>
      </c>
      <c r="H398" s="212" t="s">
        <v>23</v>
      </c>
      <c r="I398" s="212" t="s">
        <v>1530</v>
      </c>
      <c r="J398" s="212">
        <v>201412</v>
      </c>
      <c r="K398" s="213">
        <v>-1460.39</v>
      </c>
      <c r="L398" s="171">
        <f>VLOOKUP(J398,$U$9:$V$23,2)</f>
        <v>6</v>
      </c>
      <c r="M398" s="214">
        <v>2.23333E-3</v>
      </c>
      <c r="N398" s="213">
        <f>ROUND(K398*L398*M398,2)</f>
        <v>-19.57</v>
      </c>
      <c r="O398" s="213">
        <f>ROUND(K398*M398*12,2)</f>
        <v>-39.14</v>
      </c>
      <c r="P398" s="14"/>
      <c r="Q398" s="210" t="str">
        <f>VLOOKUP(D398,'WO Descriptions'!$A$5:$D$345,4)</f>
        <v>Replacement and/or removal of existing protected steel or plastic (Joplin - South Region)</v>
      </c>
    </row>
    <row r="399" spans="1:19" outlineLevel="1">
      <c r="A399" s="3" t="s">
        <v>1896</v>
      </c>
      <c r="B399" s="256"/>
      <c r="C399" s="257"/>
      <c r="D399" s="260" t="s">
        <v>1896</v>
      </c>
      <c r="E399" s="256"/>
      <c r="F399" s="257"/>
      <c r="G399" s="256"/>
      <c r="H399" s="257"/>
      <c r="I399" s="257"/>
      <c r="J399" s="257"/>
      <c r="K399" s="258">
        <f>SUBTOTAL(9,K395:K398)</f>
        <v>79895.22</v>
      </c>
      <c r="L399" s="252"/>
      <c r="M399" s="259"/>
      <c r="N399" s="258">
        <f>SUBTOTAL(9,N395:N398)</f>
        <v>1460.35</v>
      </c>
      <c r="O399" s="258">
        <f>SUBTOTAL(9,O395:O398)</f>
        <v>2141.1799999999998</v>
      </c>
      <c r="P399" s="223"/>
      <c r="Q399" s="210"/>
      <c r="R399" s="263" t="s">
        <v>2097</v>
      </c>
      <c r="S399" s="263" t="s">
        <v>2102</v>
      </c>
    </row>
    <row r="400" spans="1:19" ht="60" outlineLevel="2">
      <c r="A400" s="3" t="s">
        <v>503</v>
      </c>
      <c r="B400" s="14" t="s">
        <v>17</v>
      </c>
      <c r="C400" s="15" t="s">
        <v>502</v>
      </c>
      <c r="D400" s="15" t="s">
        <v>503</v>
      </c>
      <c r="E400" s="14" t="s">
        <v>504</v>
      </c>
      <c r="F400" s="15" t="s">
        <v>40</v>
      </c>
      <c r="G400" s="14" t="s">
        <v>41</v>
      </c>
      <c r="H400" s="15" t="s">
        <v>23</v>
      </c>
      <c r="I400" s="15" t="s">
        <v>1526</v>
      </c>
      <c r="J400" s="15">
        <v>201409</v>
      </c>
      <c r="K400" s="16">
        <v>-28.62</v>
      </c>
      <c r="L400" s="171">
        <f>VLOOKUP(J400,$U$9:$V$23,2)</f>
        <v>9</v>
      </c>
      <c r="M400" s="17">
        <v>1.4833299999999999E-3</v>
      </c>
      <c r="N400" s="16">
        <f>ROUND(K400*L400*M400,2)</f>
        <v>-0.38</v>
      </c>
      <c r="O400" s="16">
        <f>ROUND(K400*M400*12,2)</f>
        <v>-0.51</v>
      </c>
      <c r="P400" s="14"/>
      <c r="Q400" s="210" t="str">
        <f>VLOOKUP(D400,'WO Descriptions'!$A$5:$D$345,4)</f>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
    </row>
    <row r="401" spans="1:19" outlineLevel="1">
      <c r="A401" s="3" t="s">
        <v>1897</v>
      </c>
      <c r="B401" s="223"/>
      <c r="C401" s="250"/>
      <c r="D401" s="254" t="s">
        <v>1897</v>
      </c>
      <c r="E401" s="223"/>
      <c r="F401" s="250"/>
      <c r="G401" s="223"/>
      <c r="H401" s="250"/>
      <c r="I401" s="250"/>
      <c r="J401" s="250"/>
      <c r="K401" s="251">
        <f>SUBTOTAL(9,K400:K400)</f>
        <v>-28.62</v>
      </c>
      <c r="L401" s="252"/>
      <c r="M401" s="253"/>
      <c r="N401" s="251">
        <f>SUBTOTAL(9,N400:N400)</f>
        <v>-0.38</v>
      </c>
      <c r="O401" s="251">
        <f>SUBTOTAL(9,O400:O400)</f>
        <v>-0.51</v>
      </c>
      <c r="P401" s="223"/>
      <c r="Q401" s="210"/>
      <c r="R401" s="263" t="s">
        <v>2096</v>
      </c>
    </row>
    <row r="402" spans="1:19" ht="90" outlineLevel="2">
      <c r="A402" s="3" t="s">
        <v>506</v>
      </c>
      <c r="B402" s="14" t="s">
        <v>17</v>
      </c>
      <c r="C402" s="15" t="s">
        <v>505</v>
      </c>
      <c r="D402" s="15" t="s">
        <v>506</v>
      </c>
      <c r="E402" s="14" t="s">
        <v>507</v>
      </c>
      <c r="F402" s="15" t="s">
        <v>104</v>
      </c>
      <c r="G402" s="14" t="s">
        <v>41</v>
      </c>
      <c r="H402" s="15" t="s">
        <v>23</v>
      </c>
      <c r="I402" s="15" t="s">
        <v>1526</v>
      </c>
      <c r="J402" s="15">
        <v>201409</v>
      </c>
      <c r="K402" s="16">
        <v>-27.17</v>
      </c>
      <c r="L402" s="171">
        <f>VLOOKUP(J402,$U$9:$V$23,2)</f>
        <v>9</v>
      </c>
      <c r="M402" s="17">
        <v>1.4833299999999999E-3</v>
      </c>
      <c r="N402" s="16">
        <f>ROUND(K402*L402*M402,2)</f>
        <v>-0.36</v>
      </c>
      <c r="O402" s="16">
        <f>ROUND(K402*M402*12,2)</f>
        <v>-0.48</v>
      </c>
      <c r="P402" s="14"/>
      <c r="Q402" s="210" t="str">
        <f>VLOOKUP(D402,'WO Descriptions'!$A$5:$D$345,4)</f>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
    </row>
    <row r="403" spans="1:19" outlineLevel="1">
      <c r="A403" s="3" t="s">
        <v>1898</v>
      </c>
      <c r="B403" s="223"/>
      <c r="C403" s="250"/>
      <c r="D403" s="254" t="s">
        <v>1898</v>
      </c>
      <c r="E403" s="223"/>
      <c r="F403" s="250"/>
      <c r="G403" s="223"/>
      <c r="H403" s="250"/>
      <c r="I403" s="250"/>
      <c r="J403" s="250"/>
      <c r="K403" s="251">
        <f>SUBTOTAL(9,K402:K402)</f>
        <v>-27.17</v>
      </c>
      <c r="L403" s="252"/>
      <c r="M403" s="253"/>
      <c r="N403" s="251">
        <f>SUBTOTAL(9,N402:N402)</f>
        <v>-0.36</v>
      </c>
      <c r="O403" s="251">
        <f>SUBTOTAL(9,O402:O402)</f>
        <v>-0.48</v>
      </c>
      <c r="P403" s="223"/>
      <c r="Q403" s="210"/>
      <c r="R403" s="263" t="s">
        <v>2096</v>
      </c>
    </row>
    <row r="404" spans="1:19" ht="90" outlineLevel="2">
      <c r="A404" s="3" t="s">
        <v>509</v>
      </c>
      <c r="B404" s="14" t="s">
        <v>17</v>
      </c>
      <c r="C404" s="15" t="s">
        <v>508</v>
      </c>
      <c r="D404" s="15" t="s">
        <v>509</v>
      </c>
      <c r="E404" s="14" t="s">
        <v>510</v>
      </c>
      <c r="F404" s="15" t="s">
        <v>27</v>
      </c>
      <c r="G404" s="14" t="s">
        <v>28</v>
      </c>
      <c r="H404" s="15" t="s">
        <v>23</v>
      </c>
      <c r="I404" s="15" t="s">
        <v>1525</v>
      </c>
      <c r="J404" s="15">
        <v>201409</v>
      </c>
      <c r="K404" s="16">
        <v>-147.01</v>
      </c>
      <c r="L404" s="171">
        <f>VLOOKUP(J404,$U$9:$V$23,2)</f>
        <v>9</v>
      </c>
      <c r="M404" s="17">
        <v>1.4833299999999999E-3</v>
      </c>
      <c r="N404" s="16">
        <f>ROUND(K404*L404*M404,2)</f>
        <v>-1.96</v>
      </c>
      <c r="O404" s="16">
        <f>ROUND(K404*M404*12,2)</f>
        <v>-2.62</v>
      </c>
      <c r="P404" s="14"/>
      <c r="Q404" s="210" t="str">
        <f>VLOOKUP(D404,'WO Descriptions'!$A$5:$D$345,4)</f>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
    </row>
    <row r="405" spans="1:19" outlineLevel="1">
      <c r="A405" s="3" t="s">
        <v>1899</v>
      </c>
      <c r="B405" s="223"/>
      <c r="C405" s="250"/>
      <c r="D405" s="254" t="s">
        <v>1899</v>
      </c>
      <c r="E405" s="223"/>
      <c r="F405" s="250"/>
      <c r="G405" s="223"/>
      <c r="H405" s="250"/>
      <c r="I405" s="250"/>
      <c r="J405" s="250"/>
      <c r="K405" s="251">
        <f>SUBTOTAL(9,K404:K404)</f>
        <v>-147.01</v>
      </c>
      <c r="L405" s="252"/>
      <c r="M405" s="253"/>
      <c r="N405" s="251">
        <f>SUBTOTAL(9,N404:N404)</f>
        <v>-1.96</v>
      </c>
      <c r="O405" s="251">
        <f>SUBTOTAL(9,O404:O404)</f>
        <v>-2.62</v>
      </c>
      <c r="P405" s="223"/>
      <c r="Q405" s="210"/>
      <c r="R405" s="263" t="s">
        <v>2097</v>
      </c>
      <c r="S405" s="263" t="s">
        <v>2099</v>
      </c>
    </row>
    <row r="406" spans="1:19" ht="105" outlineLevel="2">
      <c r="A406" s="3" t="s">
        <v>512</v>
      </c>
      <c r="B406" s="14" t="s">
        <v>17</v>
      </c>
      <c r="C406" s="15" t="s">
        <v>511</v>
      </c>
      <c r="D406" s="15" t="s">
        <v>512</v>
      </c>
      <c r="E406" s="14" t="s">
        <v>513</v>
      </c>
      <c r="F406" s="15" t="s">
        <v>324</v>
      </c>
      <c r="G406" s="14" t="s">
        <v>325</v>
      </c>
      <c r="H406" s="15" t="s">
        <v>23</v>
      </c>
      <c r="I406" s="15" t="s">
        <v>1525</v>
      </c>
      <c r="J406" s="15">
        <v>201409</v>
      </c>
      <c r="K406" s="16">
        <v>-818.02</v>
      </c>
      <c r="L406" s="171">
        <f>VLOOKUP(J406,$U$9:$V$23,2)</f>
        <v>9</v>
      </c>
      <c r="M406" s="17">
        <v>1.4833299999999999E-3</v>
      </c>
      <c r="N406" s="16">
        <f>ROUND(K406*L406*M406,2)</f>
        <v>-10.92</v>
      </c>
      <c r="O406" s="16">
        <f>ROUND(K406*M406*12,2)</f>
        <v>-14.56</v>
      </c>
      <c r="P406" s="14"/>
      <c r="Q406" s="210" t="str">
        <f>VLOOKUP(D406,'WO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407" spans="1:19" ht="105" outlineLevel="2">
      <c r="A407" s="3" t="s">
        <v>512</v>
      </c>
      <c r="B407" s="14" t="s">
        <v>17</v>
      </c>
      <c r="C407" s="15" t="s">
        <v>511</v>
      </c>
      <c r="D407" s="15" t="s">
        <v>512</v>
      </c>
      <c r="E407" s="14" t="s">
        <v>513</v>
      </c>
      <c r="F407" s="15" t="s">
        <v>324</v>
      </c>
      <c r="G407" s="14" t="s">
        <v>325</v>
      </c>
      <c r="H407" s="15" t="s">
        <v>23</v>
      </c>
      <c r="I407" s="15" t="s">
        <v>1525</v>
      </c>
      <c r="J407" s="15">
        <v>201410</v>
      </c>
      <c r="K407" s="16">
        <v>-2800</v>
      </c>
      <c r="L407" s="171">
        <f>VLOOKUP(J407,$U$9:$V$23,2)</f>
        <v>8</v>
      </c>
      <c r="M407" s="17">
        <v>1.4833299999999999E-3</v>
      </c>
      <c r="N407" s="16">
        <f>ROUND(K407*L407*M407,2)</f>
        <v>-33.229999999999997</v>
      </c>
      <c r="O407" s="16">
        <f>ROUND(K407*M407*12,2)</f>
        <v>-49.84</v>
      </c>
      <c r="P407" s="14"/>
      <c r="Q407" s="210" t="str">
        <f>VLOOKUP(D407,'WO Descriptions'!$A$5:$D$345,4)</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row>
    <row r="408" spans="1:19" outlineLevel="1">
      <c r="A408" s="3" t="s">
        <v>1900</v>
      </c>
      <c r="B408" s="223"/>
      <c r="C408" s="250"/>
      <c r="D408" s="254" t="s">
        <v>1900</v>
      </c>
      <c r="E408" s="223"/>
      <c r="F408" s="250"/>
      <c r="G408" s="223"/>
      <c r="H408" s="250"/>
      <c r="I408" s="250"/>
      <c r="J408" s="250"/>
      <c r="K408" s="251">
        <f>SUBTOTAL(9,K406:K407)</f>
        <v>-3618.02</v>
      </c>
      <c r="L408" s="252"/>
      <c r="M408" s="253"/>
      <c r="N408" s="251">
        <f>SUBTOTAL(9,N406:N407)</f>
        <v>-44.15</v>
      </c>
      <c r="O408" s="251">
        <f>SUBTOTAL(9,O406:O407)</f>
        <v>-64.400000000000006</v>
      </c>
      <c r="P408" s="223"/>
      <c r="Q408" s="210"/>
      <c r="R408" s="263" t="s">
        <v>2094</v>
      </c>
      <c r="S408" s="263" t="s">
        <v>2095</v>
      </c>
    </row>
    <row r="409" spans="1:19" ht="75" outlineLevel="2">
      <c r="A409" s="3" t="s">
        <v>515</v>
      </c>
      <c r="B409" s="14" t="s">
        <v>17</v>
      </c>
      <c r="C409" s="15" t="s">
        <v>514</v>
      </c>
      <c r="D409" s="15" t="s">
        <v>515</v>
      </c>
      <c r="E409" s="14" t="s">
        <v>516</v>
      </c>
      <c r="F409" s="15" t="s">
        <v>49</v>
      </c>
      <c r="G409" s="14" t="s">
        <v>22</v>
      </c>
      <c r="H409" s="15" t="s">
        <v>23</v>
      </c>
      <c r="I409" s="15" t="s">
        <v>1525</v>
      </c>
      <c r="J409" s="15">
        <v>201409</v>
      </c>
      <c r="K409" s="16">
        <v>-46.01</v>
      </c>
      <c r="L409" s="171">
        <f>VLOOKUP(J409,$U$9:$V$23,2)</f>
        <v>9</v>
      </c>
      <c r="M409" s="17">
        <v>1.4833299999999999E-3</v>
      </c>
      <c r="N409" s="16">
        <f>ROUND(K409*L409*M409,2)</f>
        <v>-0.61</v>
      </c>
      <c r="O409" s="16">
        <f>ROUND(K409*M409*12,2)</f>
        <v>-0.82</v>
      </c>
      <c r="P409" s="14"/>
      <c r="Q409" s="210" t="str">
        <f>VLOOKUP(D409,'WO Descriptions'!$A$5:$D$345,4)</f>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
    </row>
    <row r="410" spans="1:19" outlineLevel="1">
      <c r="A410" s="3" t="s">
        <v>1901</v>
      </c>
      <c r="B410" s="223"/>
      <c r="C410" s="250"/>
      <c r="D410" s="254" t="s">
        <v>1901</v>
      </c>
      <c r="E410" s="223"/>
      <c r="F410" s="250"/>
      <c r="G410" s="223"/>
      <c r="H410" s="250"/>
      <c r="I410" s="250"/>
      <c r="J410" s="250"/>
      <c r="K410" s="251">
        <f>SUBTOTAL(9,K409:K409)</f>
        <v>-46.01</v>
      </c>
      <c r="L410" s="252"/>
      <c r="M410" s="253"/>
      <c r="N410" s="251">
        <f>SUBTOTAL(9,N409:N409)</f>
        <v>-0.61</v>
      </c>
      <c r="O410" s="251">
        <f>SUBTOTAL(9,O409:O409)</f>
        <v>-0.82</v>
      </c>
      <c r="P410" s="223"/>
      <c r="Q410" s="210"/>
      <c r="R410" s="263" t="s">
        <v>2097</v>
      </c>
      <c r="S410" s="263" t="s">
        <v>2098</v>
      </c>
    </row>
    <row r="411" spans="1:19" ht="105" outlineLevel="2">
      <c r="A411" s="3" t="s">
        <v>518</v>
      </c>
      <c r="B411" s="14" t="s">
        <v>17</v>
      </c>
      <c r="C411" s="15" t="s">
        <v>517</v>
      </c>
      <c r="D411" s="15" t="s">
        <v>518</v>
      </c>
      <c r="E411" s="14" t="s">
        <v>519</v>
      </c>
      <c r="F411" s="15" t="s">
        <v>125</v>
      </c>
      <c r="G411" s="14" t="s">
        <v>126</v>
      </c>
      <c r="H411" s="15" t="s">
        <v>23</v>
      </c>
      <c r="I411" s="15" t="s">
        <v>1525</v>
      </c>
      <c r="J411" s="15">
        <v>201409</v>
      </c>
      <c r="K411" s="16">
        <v>-94.11</v>
      </c>
      <c r="L411" s="171">
        <f>VLOOKUP(J411,$U$9:$V$23,2)</f>
        <v>9</v>
      </c>
      <c r="M411" s="17">
        <v>1.4833299999999999E-3</v>
      </c>
      <c r="N411" s="16">
        <f>ROUND(K411*L411*M411,2)</f>
        <v>-1.26</v>
      </c>
      <c r="O411" s="16">
        <f>ROUND(K411*M411*12,2)</f>
        <v>-1.68</v>
      </c>
      <c r="P411" s="14"/>
      <c r="Q411" s="210" t="str">
        <f>VLOOKUP(D411,'WO Descriptions'!$A$5:$D$345,4)</f>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
    </row>
    <row r="412" spans="1:19" outlineLevel="1">
      <c r="A412" s="3" t="s">
        <v>1902</v>
      </c>
      <c r="B412" s="223"/>
      <c r="C412" s="250"/>
      <c r="D412" s="254" t="s">
        <v>1902</v>
      </c>
      <c r="E412" s="223"/>
      <c r="F412" s="250"/>
      <c r="G412" s="223"/>
      <c r="H412" s="250"/>
      <c r="I412" s="250"/>
      <c r="J412" s="250"/>
      <c r="K412" s="251">
        <f>SUBTOTAL(9,K411:K411)</f>
        <v>-94.11</v>
      </c>
      <c r="L412" s="252"/>
      <c r="M412" s="253"/>
      <c r="N412" s="251">
        <f>SUBTOTAL(9,N411:N411)</f>
        <v>-1.26</v>
      </c>
      <c r="O412" s="251">
        <f>SUBTOTAL(9,O411:O411)</f>
        <v>-1.68</v>
      </c>
      <c r="P412" s="223"/>
      <c r="Q412" s="210"/>
      <c r="R412" s="263" t="s">
        <v>2094</v>
      </c>
      <c r="S412" s="263" t="s">
        <v>2095</v>
      </c>
    </row>
    <row r="413" spans="1:19" ht="105" outlineLevel="2">
      <c r="A413" s="3" t="s">
        <v>521</v>
      </c>
      <c r="B413" s="14" t="s">
        <v>17</v>
      </c>
      <c r="C413" s="15" t="s">
        <v>520</v>
      </c>
      <c r="D413" s="15" t="s">
        <v>521</v>
      </c>
      <c r="E413" s="14" t="s">
        <v>522</v>
      </c>
      <c r="F413" s="15" t="s">
        <v>125</v>
      </c>
      <c r="G413" s="14" t="s">
        <v>126</v>
      </c>
      <c r="H413" s="15" t="s">
        <v>23</v>
      </c>
      <c r="I413" s="15" t="s">
        <v>1525</v>
      </c>
      <c r="J413" s="15">
        <v>201409</v>
      </c>
      <c r="K413" s="16">
        <v>-89.47</v>
      </c>
      <c r="L413" s="171">
        <f>VLOOKUP(J413,$U$9:$V$23,2)</f>
        <v>9</v>
      </c>
      <c r="M413" s="17">
        <v>1.4833299999999999E-3</v>
      </c>
      <c r="N413" s="16">
        <f>ROUND(K413*L413*M413,2)</f>
        <v>-1.19</v>
      </c>
      <c r="O413" s="16">
        <f>ROUND(K413*M413*12,2)</f>
        <v>-1.59</v>
      </c>
      <c r="P413" s="14"/>
      <c r="Q413" s="210" t="str">
        <f>VLOOKUP(D413,'WO Descriptions'!$A$5:$D$345,4)</f>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
    </row>
    <row r="414" spans="1:19" outlineLevel="1">
      <c r="A414" s="3" t="s">
        <v>1903</v>
      </c>
      <c r="B414" s="223"/>
      <c r="C414" s="250"/>
      <c r="D414" s="254" t="s">
        <v>1903</v>
      </c>
      <c r="E414" s="223"/>
      <c r="F414" s="250"/>
      <c r="G414" s="223"/>
      <c r="H414" s="250"/>
      <c r="I414" s="250"/>
      <c r="J414" s="250"/>
      <c r="K414" s="251">
        <f>SUBTOTAL(9,K413:K413)</f>
        <v>-89.47</v>
      </c>
      <c r="L414" s="252"/>
      <c r="M414" s="253"/>
      <c r="N414" s="251">
        <f>SUBTOTAL(9,N413:N413)</f>
        <v>-1.19</v>
      </c>
      <c r="O414" s="251">
        <f>SUBTOTAL(9,O413:O413)</f>
        <v>-1.59</v>
      </c>
      <c r="P414" s="223"/>
      <c r="Q414" s="210"/>
      <c r="R414" s="263" t="s">
        <v>2094</v>
      </c>
      <c r="S414" s="263" t="s">
        <v>2095</v>
      </c>
    </row>
    <row r="415" spans="1:19" ht="45" outlineLevel="2">
      <c r="A415" s="3" t="s">
        <v>524</v>
      </c>
      <c r="B415" s="14" t="s">
        <v>17</v>
      </c>
      <c r="C415" s="15" t="s">
        <v>523</v>
      </c>
      <c r="D415" s="15" t="s">
        <v>524</v>
      </c>
      <c r="E415" s="14" t="s">
        <v>525</v>
      </c>
      <c r="F415" s="15" t="s">
        <v>141</v>
      </c>
      <c r="G415" s="14" t="s">
        <v>142</v>
      </c>
      <c r="H415" s="15" t="s">
        <v>23</v>
      </c>
      <c r="I415" s="15" t="s">
        <v>1525</v>
      </c>
      <c r="J415" s="15">
        <v>201409</v>
      </c>
      <c r="K415" s="16">
        <v>-54.19</v>
      </c>
      <c r="L415" s="171">
        <f>VLOOKUP(J415,$U$9:$V$23,2)</f>
        <v>9</v>
      </c>
      <c r="M415" s="17">
        <v>1.4833299999999999E-3</v>
      </c>
      <c r="N415" s="16">
        <f>ROUND(K415*L415*M415,2)</f>
        <v>-0.72</v>
      </c>
      <c r="O415" s="16">
        <f>ROUND(K415*M415*12,2)</f>
        <v>-0.96</v>
      </c>
      <c r="P415" s="14"/>
      <c r="Q415" s="210" t="str">
        <f>VLOOKUP(D415,'WO Descriptions'!$A$5:$D$345,4)</f>
        <v>Approved by: Kevin Driskell on 07/26/2013,  AOR.  Replace 30' of 6in CI with 6in PE due to angle of repose.  Six feet of pipe was exposed at 7027 Agnes. Digtrack ticket TL130990228.  This job must be completed by Oct. 9, 2013.  COST PER FOOT $784.60</v>
      </c>
    </row>
    <row r="416" spans="1:19" outlineLevel="1">
      <c r="A416" s="3" t="s">
        <v>1904</v>
      </c>
      <c r="B416" s="223"/>
      <c r="C416" s="250"/>
      <c r="D416" s="254" t="s">
        <v>1904</v>
      </c>
      <c r="E416" s="223"/>
      <c r="F416" s="250"/>
      <c r="G416" s="223"/>
      <c r="H416" s="250"/>
      <c r="I416" s="250"/>
      <c r="J416" s="250"/>
      <c r="K416" s="251">
        <f>SUBTOTAL(9,K415:K415)</f>
        <v>-54.19</v>
      </c>
      <c r="L416" s="252"/>
      <c r="M416" s="253"/>
      <c r="N416" s="251">
        <f>SUBTOTAL(9,N415:N415)</f>
        <v>-0.72</v>
      </c>
      <c r="O416" s="251">
        <f>SUBTOTAL(9,O415:O415)</f>
        <v>-0.96</v>
      </c>
      <c r="P416" s="223"/>
      <c r="Q416" s="210"/>
      <c r="R416" s="263" t="s">
        <v>2097</v>
      </c>
      <c r="S416" s="263" t="s">
        <v>2100</v>
      </c>
    </row>
    <row r="417" spans="1:19" ht="105" outlineLevel="2">
      <c r="A417" s="3" t="s">
        <v>527</v>
      </c>
      <c r="B417" s="14" t="s">
        <v>17</v>
      </c>
      <c r="C417" s="15" t="s">
        <v>526</v>
      </c>
      <c r="D417" s="15" t="s">
        <v>527</v>
      </c>
      <c r="E417" s="14" t="s">
        <v>528</v>
      </c>
      <c r="F417" s="15" t="s">
        <v>53</v>
      </c>
      <c r="G417" s="14" t="s">
        <v>41</v>
      </c>
      <c r="H417" s="15" t="s">
        <v>23</v>
      </c>
      <c r="I417" s="15" t="s">
        <v>1526</v>
      </c>
      <c r="J417" s="15">
        <v>201409</v>
      </c>
      <c r="K417" s="16">
        <v>-4837.0200000000004</v>
      </c>
      <c r="L417" s="171">
        <f>VLOOKUP(J417,$U$9:$V$23,2)</f>
        <v>9</v>
      </c>
      <c r="M417" s="17">
        <v>1.4833299999999999E-3</v>
      </c>
      <c r="N417" s="16">
        <f>ROUND(K417*L417*M417,2)</f>
        <v>-64.569999999999993</v>
      </c>
      <c r="O417" s="16">
        <f>ROUND(K417*M417*12,2)</f>
        <v>-86.1</v>
      </c>
      <c r="P417" s="14"/>
      <c r="Q417" s="210" t="str">
        <f>VLOOKUP(D417,'WO Descriptions'!$A$5:$D$345,4)</f>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
    </row>
    <row r="418" spans="1:19" outlineLevel="1">
      <c r="A418" s="3" t="s">
        <v>1905</v>
      </c>
      <c r="B418" s="223"/>
      <c r="C418" s="250"/>
      <c r="D418" s="254" t="s">
        <v>1905</v>
      </c>
      <c r="E418" s="223"/>
      <c r="F418" s="250"/>
      <c r="G418" s="223"/>
      <c r="H418" s="250"/>
      <c r="I418" s="250"/>
      <c r="J418" s="250"/>
      <c r="K418" s="251">
        <f>SUBTOTAL(9,K417:K417)</f>
        <v>-4837.0200000000004</v>
      </c>
      <c r="L418" s="252"/>
      <c r="M418" s="253"/>
      <c r="N418" s="251">
        <f>SUBTOTAL(9,N417:N417)</f>
        <v>-64.569999999999993</v>
      </c>
      <c r="O418" s="251">
        <f>SUBTOTAL(9,O417:O417)</f>
        <v>-86.1</v>
      </c>
      <c r="P418" s="223"/>
      <c r="Q418" s="210"/>
      <c r="R418" s="263" t="s">
        <v>2096</v>
      </c>
    </row>
    <row r="419" spans="1:19" ht="60" outlineLevel="2">
      <c r="A419" s="3" t="s">
        <v>530</v>
      </c>
      <c r="B419" s="14" t="s">
        <v>17</v>
      </c>
      <c r="C419" s="15" t="s">
        <v>529</v>
      </c>
      <c r="D419" s="15" t="s">
        <v>530</v>
      </c>
      <c r="E419" s="14" t="s">
        <v>531</v>
      </c>
      <c r="F419" s="15" t="s">
        <v>141</v>
      </c>
      <c r="G419" s="14" t="s">
        <v>142</v>
      </c>
      <c r="H419" s="15" t="s">
        <v>23</v>
      </c>
      <c r="I419" s="15" t="s">
        <v>1525</v>
      </c>
      <c r="J419" s="15">
        <v>201409</v>
      </c>
      <c r="K419" s="16">
        <v>-450.77</v>
      </c>
      <c r="L419" s="171">
        <f>VLOOKUP(J419,$U$9:$V$23,2)</f>
        <v>9</v>
      </c>
      <c r="M419" s="17">
        <v>1.4833299999999999E-3</v>
      </c>
      <c r="N419" s="16">
        <f>ROUND(K419*L419*M419,2)</f>
        <v>-6.02</v>
      </c>
      <c r="O419" s="16">
        <f>ROUND(K419*M419*12,2)</f>
        <v>-8.02</v>
      </c>
      <c r="P419" s="14"/>
      <c r="Q419" s="210" t="str">
        <f>VLOOKUP(D419,'WO Descriptions'!$A$5:$D$345,4)</f>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
    </row>
    <row r="420" spans="1:19" outlineLevel="1">
      <c r="A420" s="3" t="s">
        <v>1906</v>
      </c>
      <c r="B420" s="223"/>
      <c r="C420" s="250"/>
      <c r="D420" s="254" t="s">
        <v>1906</v>
      </c>
      <c r="E420" s="223"/>
      <c r="F420" s="250"/>
      <c r="G420" s="223"/>
      <c r="H420" s="250"/>
      <c r="I420" s="250"/>
      <c r="J420" s="250"/>
      <c r="K420" s="251">
        <f>SUBTOTAL(9,K419:K419)</f>
        <v>-450.77</v>
      </c>
      <c r="L420" s="252"/>
      <c r="M420" s="253"/>
      <c r="N420" s="251">
        <f>SUBTOTAL(9,N419:N419)</f>
        <v>-6.02</v>
      </c>
      <c r="O420" s="251">
        <f>SUBTOTAL(9,O419:O419)</f>
        <v>-8.02</v>
      </c>
      <c r="P420" s="223"/>
      <c r="Q420" s="210"/>
      <c r="R420" s="263" t="s">
        <v>2097</v>
      </c>
      <c r="S420" s="263" t="s">
        <v>2100</v>
      </c>
    </row>
    <row r="421" spans="1:19" ht="135" outlineLevel="2">
      <c r="A421" s="3" t="s">
        <v>533</v>
      </c>
      <c r="B421" s="14" t="s">
        <v>17</v>
      </c>
      <c r="C421" s="15" t="s">
        <v>532</v>
      </c>
      <c r="D421" s="15" t="s">
        <v>533</v>
      </c>
      <c r="E421" s="14" t="s">
        <v>534</v>
      </c>
      <c r="F421" s="15" t="s">
        <v>535</v>
      </c>
      <c r="G421" s="14" t="s">
        <v>536</v>
      </c>
      <c r="H421" s="15" t="s">
        <v>23</v>
      </c>
      <c r="I421" s="15" t="s">
        <v>1525</v>
      </c>
      <c r="J421" s="15">
        <v>201409</v>
      </c>
      <c r="K421" s="16">
        <v>-650.67999999999995</v>
      </c>
      <c r="L421" s="171">
        <f>VLOOKUP(J421,$U$9:$V$23,2)</f>
        <v>9</v>
      </c>
      <c r="M421" s="17">
        <v>1.4833299999999999E-3</v>
      </c>
      <c r="N421" s="16">
        <f>ROUND(K421*L421*M421,2)</f>
        <v>-8.69</v>
      </c>
      <c r="O421" s="16">
        <f>ROUND(K421*M421*12,2)</f>
        <v>-11.58</v>
      </c>
      <c r="P421" s="14"/>
      <c r="Q421" s="210" t="str">
        <f>VLOOKUP(D421,'WO Descriptions'!$A$5:$D$345,4)</f>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
    </row>
    <row r="422" spans="1:19" outlineLevel="1">
      <c r="A422" s="3" t="s">
        <v>1907</v>
      </c>
      <c r="B422" s="223"/>
      <c r="C422" s="250"/>
      <c r="D422" s="254" t="s">
        <v>1907</v>
      </c>
      <c r="E422" s="223"/>
      <c r="F422" s="250"/>
      <c r="G422" s="223"/>
      <c r="H422" s="250"/>
      <c r="I422" s="250"/>
      <c r="J422" s="250"/>
      <c r="K422" s="251">
        <f>SUBTOTAL(9,K421:K421)</f>
        <v>-650.67999999999995</v>
      </c>
      <c r="L422" s="252"/>
      <c r="M422" s="253"/>
      <c r="N422" s="251">
        <f>SUBTOTAL(9,N421:N421)</f>
        <v>-8.69</v>
      </c>
      <c r="O422" s="251">
        <f>SUBTOTAL(9,O421:O421)</f>
        <v>-11.58</v>
      </c>
      <c r="P422" s="223"/>
      <c r="Q422" s="210"/>
      <c r="R422" s="263" t="s">
        <v>2094</v>
      </c>
      <c r="S422" s="263" t="s">
        <v>2095</v>
      </c>
    </row>
    <row r="423" spans="1:19" ht="60" outlineLevel="2">
      <c r="A423" s="3" t="s">
        <v>538</v>
      </c>
      <c r="B423" s="14" t="s">
        <v>17</v>
      </c>
      <c r="C423" s="15" t="s">
        <v>537</v>
      </c>
      <c r="D423" s="15" t="s">
        <v>538</v>
      </c>
      <c r="E423" s="14" t="s">
        <v>539</v>
      </c>
      <c r="F423" s="15" t="s">
        <v>53</v>
      </c>
      <c r="G423" s="14" t="s">
        <v>41</v>
      </c>
      <c r="H423" s="15" t="s">
        <v>23</v>
      </c>
      <c r="I423" s="15" t="s">
        <v>1526</v>
      </c>
      <c r="J423" s="15">
        <v>201409</v>
      </c>
      <c r="K423" s="16">
        <v>-295.94</v>
      </c>
      <c r="L423" s="171">
        <f>VLOOKUP(J423,$U$9:$V$23,2)</f>
        <v>9</v>
      </c>
      <c r="M423" s="17">
        <v>1.4833299999999999E-3</v>
      </c>
      <c r="N423" s="16">
        <f>ROUND(K423*L423*M423,2)</f>
        <v>-3.95</v>
      </c>
      <c r="O423" s="16">
        <f>ROUND(K423*M423*12,2)</f>
        <v>-5.27</v>
      </c>
      <c r="P423" s="14"/>
      <c r="Q423" s="210" t="str">
        <f>VLOOKUP(D423,'WO Descriptions'!$A$5:$D$345,4)</f>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
    </row>
    <row r="424" spans="1:19" outlineLevel="1">
      <c r="A424" s="3" t="s">
        <v>1908</v>
      </c>
      <c r="B424" s="223"/>
      <c r="C424" s="250"/>
      <c r="D424" s="254" t="s">
        <v>1908</v>
      </c>
      <c r="E424" s="223"/>
      <c r="F424" s="250"/>
      <c r="G424" s="223"/>
      <c r="H424" s="250"/>
      <c r="I424" s="250"/>
      <c r="J424" s="250"/>
      <c r="K424" s="251">
        <f>SUBTOTAL(9,K423:K423)</f>
        <v>-295.94</v>
      </c>
      <c r="L424" s="252"/>
      <c r="M424" s="253"/>
      <c r="N424" s="251">
        <f>SUBTOTAL(9,N423:N423)</f>
        <v>-3.95</v>
      </c>
      <c r="O424" s="251">
        <f>SUBTOTAL(9,O423:O423)</f>
        <v>-5.27</v>
      </c>
      <c r="P424" s="223"/>
      <c r="Q424" s="210"/>
      <c r="R424" s="263" t="s">
        <v>2096</v>
      </c>
    </row>
    <row r="425" spans="1:19" ht="60" outlineLevel="2">
      <c r="A425" s="3" t="s">
        <v>541</v>
      </c>
      <c r="B425" s="14" t="s">
        <v>17</v>
      </c>
      <c r="C425" s="15" t="s">
        <v>540</v>
      </c>
      <c r="D425" s="15" t="s">
        <v>541</v>
      </c>
      <c r="E425" s="14" t="s">
        <v>542</v>
      </c>
      <c r="F425" s="15" t="s">
        <v>216</v>
      </c>
      <c r="G425" s="14" t="s">
        <v>22</v>
      </c>
      <c r="H425" s="15" t="s">
        <v>23</v>
      </c>
      <c r="I425" s="15" t="s">
        <v>1525</v>
      </c>
      <c r="J425" s="15">
        <v>201409</v>
      </c>
      <c r="K425" s="16">
        <v>-127.22</v>
      </c>
      <c r="L425" s="171">
        <f>VLOOKUP(J425,$U$9:$V$23,2)</f>
        <v>9</v>
      </c>
      <c r="M425" s="17">
        <v>1.4833299999999999E-3</v>
      </c>
      <c r="N425" s="16">
        <f>ROUND(K425*L425*M425,2)</f>
        <v>-1.7</v>
      </c>
      <c r="O425" s="16">
        <f>ROUND(K425*M425*12,2)</f>
        <v>-2.2599999999999998</v>
      </c>
      <c r="P425" s="14"/>
      <c r="Q425" s="210" t="str">
        <f>VLOOKUP(D425,'WO Descriptions'!$A$5:$D$345,4)</f>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
    </row>
    <row r="426" spans="1:19" outlineLevel="1">
      <c r="A426" s="3" t="s">
        <v>1909</v>
      </c>
      <c r="B426" s="223"/>
      <c r="C426" s="250"/>
      <c r="D426" s="254" t="s">
        <v>1909</v>
      </c>
      <c r="E426" s="223"/>
      <c r="F426" s="250"/>
      <c r="G426" s="223"/>
      <c r="H426" s="250"/>
      <c r="I426" s="250"/>
      <c r="J426" s="250"/>
      <c r="K426" s="251">
        <f>SUBTOTAL(9,K425:K425)</f>
        <v>-127.22</v>
      </c>
      <c r="L426" s="252"/>
      <c r="M426" s="253"/>
      <c r="N426" s="251">
        <f>SUBTOTAL(9,N425:N425)</f>
        <v>-1.7</v>
      </c>
      <c r="O426" s="251">
        <f>SUBTOTAL(9,O425:O425)</f>
        <v>-2.2599999999999998</v>
      </c>
      <c r="P426" s="223"/>
      <c r="Q426" s="210"/>
      <c r="R426" s="263" t="s">
        <v>2097</v>
      </c>
      <c r="S426" s="263" t="s">
        <v>2098</v>
      </c>
    </row>
    <row r="427" spans="1:19" ht="30" outlineLevel="2">
      <c r="A427" s="3" t="s">
        <v>544</v>
      </c>
      <c r="B427" s="14" t="s">
        <v>54</v>
      </c>
      <c r="C427" s="15" t="s">
        <v>543</v>
      </c>
      <c r="D427" s="15" t="s">
        <v>544</v>
      </c>
      <c r="E427" s="14" t="s">
        <v>545</v>
      </c>
      <c r="F427" s="15" t="s">
        <v>62</v>
      </c>
      <c r="G427" s="14" t="s">
        <v>22</v>
      </c>
      <c r="H427" s="15" t="s">
        <v>23</v>
      </c>
      <c r="I427" s="15" t="s">
        <v>1525</v>
      </c>
      <c r="J427" s="15">
        <v>201411</v>
      </c>
      <c r="K427" s="16">
        <v>26447.34</v>
      </c>
      <c r="L427" s="171">
        <f>VLOOKUP(J427,$U$9:$V$23,2)</f>
        <v>7</v>
      </c>
      <c r="M427" s="17">
        <v>1.4833299999999999E-3</v>
      </c>
      <c r="N427" s="16">
        <f>ROUND(K427*L427*M427,2)</f>
        <v>274.61</v>
      </c>
      <c r="O427" s="16">
        <f>ROUND(K427*M427*12,2)</f>
        <v>470.76</v>
      </c>
      <c r="P427" s="14"/>
      <c r="Q427" s="210" t="str">
        <f>VLOOKUP(D427,'WO Descriptions'!$A$5:$D$345,4)</f>
        <v>Approved by: Ralph Janes on 03/11/2014,  Replace and abandon 732' - 2" pbs main (Unknown) by installing 730' - 2" pe main due to leakage under pavement. (ISRS)</v>
      </c>
    </row>
    <row r="428" spans="1:19" ht="30" outlineLevel="2">
      <c r="A428" s="3" t="s">
        <v>544</v>
      </c>
      <c r="B428" s="14" t="s">
        <v>54</v>
      </c>
      <c r="C428" s="15" t="s">
        <v>543</v>
      </c>
      <c r="D428" s="15" t="s">
        <v>544</v>
      </c>
      <c r="E428" s="14" t="s">
        <v>545</v>
      </c>
      <c r="F428" s="15" t="s">
        <v>62</v>
      </c>
      <c r="G428" s="14" t="s">
        <v>22</v>
      </c>
      <c r="H428" s="15" t="s">
        <v>23</v>
      </c>
      <c r="I428" s="15" t="s">
        <v>1525</v>
      </c>
      <c r="J428" s="15">
        <v>201412</v>
      </c>
      <c r="K428" s="16">
        <v>-151.33000000000001</v>
      </c>
      <c r="L428" s="171">
        <f>VLOOKUP(J428,$U$9:$V$23,2)</f>
        <v>6</v>
      </c>
      <c r="M428" s="17">
        <v>1.4833299999999999E-3</v>
      </c>
      <c r="N428" s="16">
        <f>ROUND(K428*L428*M428,2)</f>
        <v>-1.35</v>
      </c>
      <c r="O428" s="16">
        <f>ROUND(K428*M428*12,2)</f>
        <v>-2.69</v>
      </c>
      <c r="P428" s="14"/>
      <c r="Q428" s="210" t="str">
        <f>VLOOKUP(D428,'WO Descriptions'!$A$5:$D$345,4)</f>
        <v>Approved by: Ralph Janes on 03/11/2014,  Replace and abandon 732' - 2" pbs main (Unknown) by installing 730' - 2" pe main due to leakage under pavement. (ISRS)</v>
      </c>
    </row>
    <row r="429" spans="1:19" outlineLevel="1">
      <c r="A429" s="3" t="s">
        <v>1910</v>
      </c>
      <c r="B429" s="223"/>
      <c r="C429" s="250"/>
      <c r="D429" s="254" t="s">
        <v>1910</v>
      </c>
      <c r="E429" s="223"/>
      <c r="F429" s="250"/>
      <c r="G429" s="223"/>
      <c r="H429" s="250"/>
      <c r="I429" s="250"/>
      <c r="J429" s="250"/>
      <c r="K429" s="251">
        <f>SUBTOTAL(9,K427:K428)</f>
        <v>26296.01</v>
      </c>
      <c r="L429" s="252"/>
      <c r="M429" s="253"/>
      <c r="N429" s="251">
        <f>SUBTOTAL(9,N427:N428)</f>
        <v>273.26</v>
      </c>
      <c r="O429" s="251">
        <f>SUBTOTAL(9,O427:O428)</f>
        <v>468.07</v>
      </c>
      <c r="P429" s="223"/>
      <c r="Q429" s="210"/>
      <c r="R429" s="263" t="s">
        <v>2097</v>
      </c>
      <c r="S429" s="263" t="s">
        <v>2098</v>
      </c>
    </row>
    <row r="430" spans="1:19" ht="45" outlineLevel="2">
      <c r="A430" s="3" t="s">
        <v>547</v>
      </c>
      <c r="B430" s="14" t="s">
        <v>54</v>
      </c>
      <c r="C430" s="15" t="s">
        <v>546</v>
      </c>
      <c r="D430" s="15" t="s">
        <v>547</v>
      </c>
      <c r="E430" s="14" t="s">
        <v>548</v>
      </c>
      <c r="F430" s="15" t="s">
        <v>141</v>
      </c>
      <c r="G430" s="14" t="s">
        <v>142</v>
      </c>
      <c r="H430" s="15" t="s">
        <v>23</v>
      </c>
      <c r="I430" s="15" t="s">
        <v>1525</v>
      </c>
      <c r="J430" s="15">
        <v>201409</v>
      </c>
      <c r="K430" s="16">
        <v>-1572.84</v>
      </c>
      <c r="L430" s="171">
        <f>VLOOKUP(J430,$U$9:$V$23,2)</f>
        <v>9</v>
      </c>
      <c r="M430" s="17">
        <v>1.4833299999999999E-3</v>
      </c>
      <c r="N430" s="16">
        <f>ROUND(K430*L430*M430,2)</f>
        <v>-21</v>
      </c>
      <c r="O430" s="16">
        <f>ROUND(K430*M430*12,2)</f>
        <v>-28</v>
      </c>
      <c r="P430" s="14"/>
      <c r="Q430" s="210" t="str">
        <f>VLOOKUP(D430,'WO Descriptions'!$A$5:$D$345,4)</f>
        <v>Approved by: Gary Williams on 03/12/2014,  AOR.  Replace 555'-4in CI with 4in PE due to angle of repose.  Bell joint was exposed 12' NNCB of 13th and Askew.  Tie over 8 services.  Replace 3 services.  This job must be completed by June 9, 2014.  COST PER FOOT $64.36</v>
      </c>
    </row>
    <row r="431" spans="1:19" outlineLevel="1">
      <c r="A431" s="3" t="s">
        <v>1911</v>
      </c>
      <c r="B431" s="223"/>
      <c r="C431" s="250"/>
      <c r="D431" s="254" t="s">
        <v>1911</v>
      </c>
      <c r="E431" s="223"/>
      <c r="F431" s="250"/>
      <c r="G431" s="223"/>
      <c r="H431" s="250"/>
      <c r="I431" s="250"/>
      <c r="J431" s="250"/>
      <c r="K431" s="251">
        <f>SUBTOTAL(9,K430:K430)</f>
        <v>-1572.84</v>
      </c>
      <c r="L431" s="252"/>
      <c r="M431" s="253"/>
      <c r="N431" s="251">
        <f>SUBTOTAL(9,N430:N430)</f>
        <v>-21</v>
      </c>
      <c r="O431" s="251">
        <f>SUBTOTAL(9,O430:O430)</f>
        <v>-28</v>
      </c>
      <c r="P431" s="223"/>
      <c r="Q431" s="210"/>
      <c r="R431" s="263" t="s">
        <v>2097</v>
      </c>
      <c r="S431" s="263" t="s">
        <v>2100</v>
      </c>
    </row>
    <row r="432" spans="1:19" ht="195" outlineLevel="2">
      <c r="A432" s="3" t="s">
        <v>550</v>
      </c>
      <c r="B432" s="14" t="s">
        <v>54</v>
      </c>
      <c r="C432" s="15" t="s">
        <v>549</v>
      </c>
      <c r="D432" s="15" t="s">
        <v>550</v>
      </c>
      <c r="E432" s="14" t="s">
        <v>551</v>
      </c>
      <c r="F432" s="15" t="s">
        <v>136</v>
      </c>
      <c r="G432" s="14" t="s">
        <v>137</v>
      </c>
      <c r="H432" s="15" t="s">
        <v>23</v>
      </c>
      <c r="I432" s="15" t="s">
        <v>1526</v>
      </c>
      <c r="J432" s="15">
        <v>201409</v>
      </c>
      <c r="K432" s="16">
        <v>-3150.43</v>
      </c>
      <c r="L432" s="171">
        <f>VLOOKUP(J432,$U$9:$V$23,2)</f>
        <v>9</v>
      </c>
      <c r="M432" s="17">
        <v>1.4833299999999999E-3</v>
      </c>
      <c r="N432" s="16">
        <f>ROUND(K432*L432*M432,2)</f>
        <v>-42.06</v>
      </c>
      <c r="O432" s="16">
        <f>ROUND(K432*M432*12,2)</f>
        <v>-56.08</v>
      </c>
      <c r="P432" s="14"/>
      <c r="Q432" s="210" t="str">
        <f>VLOOKUP(D432,'WO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433" spans="1:19" ht="195" outlineLevel="2">
      <c r="A433" s="3" t="s">
        <v>550</v>
      </c>
      <c r="B433" s="14" t="s">
        <v>54</v>
      </c>
      <c r="C433" s="15" t="s">
        <v>549</v>
      </c>
      <c r="D433" s="15" t="s">
        <v>550</v>
      </c>
      <c r="E433" s="14" t="s">
        <v>551</v>
      </c>
      <c r="F433" s="15" t="s">
        <v>136</v>
      </c>
      <c r="G433" s="14" t="s">
        <v>137</v>
      </c>
      <c r="H433" s="15" t="s">
        <v>23</v>
      </c>
      <c r="I433" s="15" t="s">
        <v>1526</v>
      </c>
      <c r="J433" s="15">
        <v>201410</v>
      </c>
      <c r="K433" s="16">
        <v>0</v>
      </c>
      <c r="L433" s="171">
        <f>VLOOKUP(J433,$U$9:$V$23,2)</f>
        <v>8</v>
      </c>
      <c r="M433" s="17">
        <v>1.4833299999999999E-3</v>
      </c>
      <c r="N433" s="16">
        <f>ROUND(K433*L433*M433,2)</f>
        <v>0</v>
      </c>
      <c r="O433" s="16">
        <f>ROUND(K433*M433*12,2)</f>
        <v>0</v>
      </c>
      <c r="P433" s="14"/>
      <c r="Q433" s="210" t="str">
        <f>VLOOKUP(D433,'WO Descriptions'!$A$5:$D$345,4)</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row>
    <row r="434" spans="1:19" outlineLevel="1">
      <c r="A434" s="3" t="s">
        <v>1912</v>
      </c>
      <c r="B434" s="223"/>
      <c r="C434" s="250"/>
      <c r="D434" s="254" t="s">
        <v>1912</v>
      </c>
      <c r="E434" s="223"/>
      <c r="F434" s="250"/>
      <c r="G434" s="223"/>
      <c r="H434" s="250"/>
      <c r="I434" s="250"/>
      <c r="J434" s="250"/>
      <c r="K434" s="251">
        <f>SUBTOTAL(9,K432:K433)</f>
        <v>-3150.43</v>
      </c>
      <c r="L434" s="252"/>
      <c r="M434" s="253"/>
      <c r="N434" s="251">
        <f>SUBTOTAL(9,N432:N433)</f>
        <v>-42.06</v>
      </c>
      <c r="O434" s="251">
        <f>SUBTOTAL(9,O432:O433)</f>
        <v>-56.08</v>
      </c>
      <c r="P434" s="223"/>
      <c r="Q434" s="210"/>
      <c r="R434" s="263" t="s">
        <v>2096</v>
      </c>
    </row>
    <row r="435" spans="1:19" ht="90" outlineLevel="2">
      <c r="A435" s="3" t="s">
        <v>553</v>
      </c>
      <c r="B435" s="14" t="s">
        <v>17</v>
      </c>
      <c r="C435" s="15" t="s">
        <v>552</v>
      </c>
      <c r="D435" s="15" t="s">
        <v>553</v>
      </c>
      <c r="E435" s="14" t="s">
        <v>554</v>
      </c>
      <c r="F435" s="15" t="s">
        <v>62</v>
      </c>
      <c r="G435" s="14" t="s">
        <v>22</v>
      </c>
      <c r="H435" s="15" t="s">
        <v>23</v>
      </c>
      <c r="I435" s="15" t="s">
        <v>1525</v>
      </c>
      <c r="J435" s="15">
        <v>201409</v>
      </c>
      <c r="K435" s="16">
        <v>-1309.6400000000001</v>
      </c>
      <c r="L435" s="171">
        <f>VLOOKUP(J435,$U$9:$V$23,2)</f>
        <v>9</v>
      </c>
      <c r="M435" s="17">
        <v>1.4833299999999999E-3</v>
      </c>
      <c r="N435" s="16">
        <f>ROUND(K435*L435*M435,2)</f>
        <v>-17.48</v>
      </c>
      <c r="O435" s="16">
        <f>ROUND(K435*M435*12,2)</f>
        <v>-23.31</v>
      </c>
      <c r="P435" s="14"/>
      <c r="Q435" s="210" t="str">
        <f>VLOOKUP(D435,'WO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6" spans="1:19" ht="90" outlineLevel="2">
      <c r="A436" s="3" t="s">
        <v>553</v>
      </c>
      <c r="B436" s="14" t="s">
        <v>17</v>
      </c>
      <c r="C436" s="15" t="s">
        <v>552</v>
      </c>
      <c r="D436" s="15" t="s">
        <v>553</v>
      </c>
      <c r="E436" s="14" t="s">
        <v>554</v>
      </c>
      <c r="F436" s="15" t="s">
        <v>62</v>
      </c>
      <c r="G436" s="14" t="s">
        <v>22</v>
      </c>
      <c r="H436" s="15" t="s">
        <v>23</v>
      </c>
      <c r="I436" s="15" t="s">
        <v>1525</v>
      </c>
      <c r="J436" s="15">
        <v>201410</v>
      </c>
      <c r="K436" s="16">
        <v>48053.65</v>
      </c>
      <c r="L436" s="171">
        <f>VLOOKUP(J436,$U$9:$V$23,2)</f>
        <v>8</v>
      </c>
      <c r="M436" s="17">
        <v>1.4833299999999999E-3</v>
      </c>
      <c r="N436" s="16">
        <f>ROUND(K436*L436*M436,2)</f>
        <v>570.24</v>
      </c>
      <c r="O436" s="16">
        <f>ROUND(K436*M436*12,2)</f>
        <v>855.35</v>
      </c>
      <c r="P436" s="14"/>
      <c r="Q436" s="210" t="str">
        <f>VLOOKUP(D436,'WO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7" spans="1:19" ht="90" outlineLevel="2">
      <c r="A437" s="3" t="s">
        <v>553</v>
      </c>
      <c r="B437" s="14" t="s">
        <v>17</v>
      </c>
      <c r="C437" s="15" t="s">
        <v>552</v>
      </c>
      <c r="D437" s="15" t="s">
        <v>553</v>
      </c>
      <c r="E437" s="14" t="s">
        <v>554</v>
      </c>
      <c r="F437" s="15" t="s">
        <v>62</v>
      </c>
      <c r="G437" s="14" t="s">
        <v>22</v>
      </c>
      <c r="H437" s="15" t="s">
        <v>23</v>
      </c>
      <c r="I437" s="15" t="s">
        <v>1525</v>
      </c>
      <c r="J437" s="15">
        <v>201411</v>
      </c>
      <c r="K437" s="16">
        <v>-5700.68</v>
      </c>
      <c r="L437" s="171">
        <f>VLOOKUP(J437,$U$9:$V$23,2)</f>
        <v>7</v>
      </c>
      <c r="M437" s="17">
        <v>1.4833299999999999E-3</v>
      </c>
      <c r="N437" s="16">
        <f>ROUND(K437*L437*M437,2)</f>
        <v>-59.19</v>
      </c>
      <c r="O437" s="16">
        <f>ROUND(K437*M437*12,2)</f>
        <v>-101.47</v>
      </c>
      <c r="P437" s="14"/>
      <c r="Q437" s="210" t="str">
        <f>VLOOKUP(D437,'WO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8" spans="1:19" ht="90" outlineLevel="2">
      <c r="A438" s="3" t="s">
        <v>553</v>
      </c>
      <c r="B438" s="14" t="s">
        <v>17</v>
      </c>
      <c r="C438" s="15" t="s">
        <v>552</v>
      </c>
      <c r="D438" s="15" t="s">
        <v>553</v>
      </c>
      <c r="E438" s="14" t="s">
        <v>554</v>
      </c>
      <c r="F438" s="15" t="s">
        <v>62</v>
      </c>
      <c r="G438" s="14" t="s">
        <v>22</v>
      </c>
      <c r="H438" s="15" t="s">
        <v>23</v>
      </c>
      <c r="I438" s="15" t="s">
        <v>1525</v>
      </c>
      <c r="J438" s="15">
        <v>201412</v>
      </c>
      <c r="K438" s="16">
        <v>2866.12</v>
      </c>
      <c r="L438" s="171">
        <f>VLOOKUP(J438,$U$9:$V$23,2)</f>
        <v>6</v>
      </c>
      <c r="M438" s="17">
        <v>1.4833299999999999E-3</v>
      </c>
      <c r="N438" s="16">
        <f>ROUND(K438*L438*M438,2)</f>
        <v>25.51</v>
      </c>
      <c r="O438" s="16">
        <f>ROUND(K438*M438*12,2)</f>
        <v>51.02</v>
      </c>
      <c r="P438" s="14"/>
      <c r="Q438" s="210" t="str">
        <f>VLOOKUP(D438,'WO Descriptions'!$A$5:$D$345,4)</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row>
    <row r="439" spans="1:19" outlineLevel="1">
      <c r="A439" s="3" t="s">
        <v>1913</v>
      </c>
      <c r="B439" s="223"/>
      <c r="C439" s="250"/>
      <c r="D439" s="254" t="s">
        <v>1913</v>
      </c>
      <c r="E439" s="223"/>
      <c r="F439" s="250"/>
      <c r="G439" s="223"/>
      <c r="H439" s="250"/>
      <c r="I439" s="250"/>
      <c r="J439" s="250"/>
      <c r="K439" s="251">
        <f>SUBTOTAL(9,K435:K438)</f>
        <v>43909.450000000004</v>
      </c>
      <c r="L439" s="252"/>
      <c r="M439" s="253"/>
      <c r="N439" s="251">
        <f>SUBTOTAL(9,N435:N438)</f>
        <v>519.08000000000004</v>
      </c>
      <c r="O439" s="251">
        <f>SUBTOTAL(9,O435:O438)</f>
        <v>781.59</v>
      </c>
      <c r="P439" s="223"/>
      <c r="Q439" s="210"/>
      <c r="R439" s="263" t="s">
        <v>2097</v>
      </c>
      <c r="S439" s="263" t="s">
        <v>2098</v>
      </c>
    </row>
    <row r="440" spans="1:19" ht="60" outlineLevel="2">
      <c r="A440" s="3" t="s">
        <v>556</v>
      </c>
      <c r="B440" s="14" t="s">
        <v>17</v>
      </c>
      <c r="C440" s="15" t="s">
        <v>555</v>
      </c>
      <c r="D440" s="15" t="s">
        <v>556</v>
      </c>
      <c r="E440" s="14" t="s">
        <v>557</v>
      </c>
      <c r="F440" s="15" t="s">
        <v>141</v>
      </c>
      <c r="G440" s="14" t="s">
        <v>142</v>
      </c>
      <c r="H440" s="15" t="s">
        <v>23</v>
      </c>
      <c r="I440" s="15" t="s">
        <v>1525</v>
      </c>
      <c r="J440" s="15">
        <v>201409</v>
      </c>
      <c r="K440" s="16">
        <v>-399.68</v>
      </c>
      <c r="L440" s="171">
        <f>VLOOKUP(J440,$U$9:$V$23,2)</f>
        <v>9</v>
      </c>
      <c r="M440" s="17">
        <v>1.4833299999999999E-3</v>
      </c>
      <c r="N440" s="16">
        <f>ROUND(K440*L440*M440,2)</f>
        <v>-5.34</v>
      </c>
      <c r="O440" s="16">
        <f>ROUND(K440*M440*12,2)</f>
        <v>-7.11</v>
      </c>
      <c r="P440" s="14"/>
      <c r="Q440" s="210" t="str">
        <f>VLOOKUP(D440,'WO Descriptions'!$A$5:$D$345,4)</f>
        <v>Approved by: Gary Williams on 03/17/2014,  AOR.  Replace 8in CI with 50'-8in thin film.  Parallel excavation from 256' SSCB to 281' SSCB of 57th.  Bell joint was exposed 277' SSCB of 57th and 6' EECB of Troost.  This job must be completed by May 15, 2014.  Retire 50'-8in CI, N37P44, year 1921.</v>
      </c>
    </row>
    <row r="441" spans="1:19" outlineLevel="1">
      <c r="A441" s="3" t="s">
        <v>1914</v>
      </c>
      <c r="B441" s="223"/>
      <c r="C441" s="250"/>
      <c r="D441" s="254" t="s">
        <v>1914</v>
      </c>
      <c r="E441" s="223"/>
      <c r="F441" s="250"/>
      <c r="G441" s="223"/>
      <c r="H441" s="250"/>
      <c r="I441" s="250"/>
      <c r="J441" s="250"/>
      <c r="K441" s="251">
        <f>SUBTOTAL(9,K440:K440)</f>
        <v>-399.68</v>
      </c>
      <c r="L441" s="252"/>
      <c r="M441" s="253"/>
      <c r="N441" s="251">
        <f>SUBTOTAL(9,N440:N440)</f>
        <v>-5.34</v>
      </c>
      <c r="O441" s="251">
        <f>SUBTOTAL(9,O440:O440)</f>
        <v>-7.11</v>
      </c>
      <c r="P441" s="223"/>
      <c r="Q441" s="210"/>
      <c r="R441" s="263" t="s">
        <v>2097</v>
      </c>
      <c r="S441" s="263" t="s">
        <v>2100</v>
      </c>
    </row>
    <row r="442" spans="1:19" ht="45" outlineLevel="2">
      <c r="A442" s="3" t="s">
        <v>559</v>
      </c>
      <c r="B442" s="14" t="s">
        <v>54</v>
      </c>
      <c r="C442" s="15" t="s">
        <v>558</v>
      </c>
      <c r="D442" s="15" t="s">
        <v>559</v>
      </c>
      <c r="E442" s="14" t="s">
        <v>560</v>
      </c>
      <c r="F442" s="15" t="s">
        <v>36</v>
      </c>
      <c r="G442" s="14" t="s">
        <v>22</v>
      </c>
      <c r="H442" s="15" t="s">
        <v>23</v>
      </c>
      <c r="I442" s="15" t="s">
        <v>1525</v>
      </c>
      <c r="J442" s="15">
        <v>201409</v>
      </c>
      <c r="K442" s="16">
        <v>-480.27</v>
      </c>
      <c r="L442" s="171">
        <f>VLOOKUP(J442,$U$9:$V$23,2)</f>
        <v>9</v>
      </c>
      <c r="M442" s="17">
        <v>1.4833299999999999E-3</v>
      </c>
      <c r="N442" s="16">
        <f>ROUND(K442*L442*M442,2)</f>
        <v>-6.41</v>
      </c>
      <c r="O442" s="16">
        <f>ROUND(K442*M442*12,2)</f>
        <v>-8.5500000000000007</v>
      </c>
      <c r="P442" s="14"/>
      <c r="Q442" s="210" t="str">
        <f>VLOOKUP(D442,'WO Descriptions'!$A$5:$D$345,4)</f>
        <v>Approved by: Gary Williams on 03/17/2014,  To lay 558' of 4"PE main to replace 558' of 4" bare steel main due to down project. Also replace 180'of 2" cs with 2"PE. Cost per foot:$34.36. ID:C-O1: MOP :14oz MAOP:21oz Design MAOP:14oz Pressure Test: 100 PSIG.</v>
      </c>
    </row>
    <row r="443" spans="1:19" outlineLevel="1">
      <c r="A443" s="3" t="s">
        <v>1915</v>
      </c>
      <c r="B443" s="223"/>
      <c r="C443" s="250"/>
      <c r="D443" s="254" t="s">
        <v>1915</v>
      </c>
      <c r="E443" s="223"/>
      <c r="F443" s="250"/>
      <c r="G443" s="223"/>
      <c r="H443" s="250"/>
      <c r="I443" s="250"/>
      <c r="J443" s="250"/>
      <c r="K443" s="251">
        <f>SUBTOTAL(9,K442:K442)</f>
        <v>-480.27</v>
      </c>
      <c r="L443" s="252"/>
      <c r="M443" s="253"/>
      <c r="N443" s="251">
        <f>SUBTOTAL(9,N442:N442)</f>
        <v>-6.41</v>
      </c>
      <c r="O443" s="251">
        <f>SUBTOTAL(9,O442:O442)</f>
        <v>-8.5500000000000007</v>
      </c>
      <c r="P443" s="223"/>
      <c r="Q443" s="210"/>
      <c r="R443" s="263" t="s">
        <v>2097</v>
      </c>
      <c r="S443" s="263" t="s">
        <v>2098</v>
      </c>
    </row>
    <row r="444" spans="1:19" ht="75" outlineLevel="2">
      <c r="A444" s="3" t="s">
        <v>562</v>
      </c>
      <c r="B444" s="14" t="s">
        <v>54</v>
      </c>
      <c r="C444" s="15" t="s">
        <v>561</v>
      </c>
      <c r="D444" s="15" t="s">
        <v>562</v>
      </c>
      <c r="E444" s="14" t="s">
        <v>563</v>
      </c>
      <c r="F444" s="15" t="s">
        <v>58</v>
      </c>
      <c r="G444" s="14" t="s">
        <v>22</v>
      </c>
      <c r="H444" s="15" t="s">
        <v>23</v>
      </c>
      <c r="I444" s="15" t="s">
        <v>1525</v>
      </c>
      <c r="J444" s="15">
        <v>201409</v>
      </c>
      <c r="K444" s="16">
        <v>-363.06</v>
      </c>
      <c r="L444" s="171">
        <f>VLOOKUP(J444,$U$9:$V$23,2)</f>
        <v>9</v>
      </c>
      <c r="M444" s="17">
        <v>1.4833299999999999E-3</v>
      </c>
      <c r="N444" s="16">
        <f>ROUND(K444*L444*M444,2)</f>
        <v>-4.8499999999999996</v>
      </c>
      <c r="O444" s="16">
        <f>ROUND(K444*M444*12,2)</f>
        <v>-6.46</v>
      </c>
      <c r="P444" s="14"/>
      <c r="Q444" s="210" t="str">
        <f>VLOOKUP(D444,'WO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445" spans="1:19" ht="75" outlineLevel="2">
      <c r="A445" s="3" t="s">
        <v>562</v>
      </c>
      <c r="B445" s="14" t="s">
        <v>54</v>
      </c>
      <c r="C445" s="15" t="s">
        <v>561</v>
      </c>
      <c r="D445" s="15" t="s">
        <v>562</v>
      </c>
      <c r="E445" s="14" t="s">
        <v>563</v>
      </c>
      <c r="F445" s="15" t="s">
        <v>58</v>
      </c>
      <c r="G445" s="14" t="s">
        <v>22</v>
      </c>
      <c r="H445" s="15" t="s">
        <v>23</v>
      </c>
      <c r="I445" s="15" t="s">
        <v>1525</v>
      </c>
      <c r="J445" s="15">
        <v>201410</v>
      </c>
      <c r="K445" s="16">
        <v>0</v>
      </c>
      <c r="L445" s="171">
        <f>VLOOKUP(J445,$U$9:$V$23,2)</f>
        <v>8</v>
      </c>
      <c r="M445" s="17">
        <v>1.4833299999999999E-3</v>
      </c>
      <c r="N445" s="16">
        <f>ROUND(K445*L445*M445,2)</f>
        <v>0</v>
      </c>
      <c r="O445" s="16">
        <f>ROUND(K445*M445*12,2)</f>
        <v>0</v>
      </c>
      <c r="P445" s="14"/>
      <c r="Q445" s="210" t="str">
        <f>VLOOKUP(D445,'WO Descriptions'!$A$5:$D$345,4)</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row>
    <row r="446" spans="1:19" outlineLevel="1">
      <c r="A446" s="3" t="s">
        <v>1916</v>
      </c>
      <c r="B446" s="223"/>
      <c r="C446" s="250"/>
      <c r="D446" s="254" t="s">
        <v>1916</v>
      </c>
      <c r="E446" s="223"/>
      <c r="F446" s="250"/>
      <c r="G446" s="223"/>
      <c r="H446" s="250"/>
      <c r="I446" s="250"/>
      <c r="J446" s="250"/>
      <c r="K446" s="251">
        <f>SUBTOTAL(9,K444:K445)</f>
        <v>-363.06</v>
      </c>
      <c r="L446" s="252"/>
      <c r="M446" s="253"/>
      <c r="N446" s="251">
        <f>SUBTOTAL(9,N444:N445)</f>
        <v>-4.8499999999999996</v>
      </c>
      <c r="O446" s="251">
        <f>SUBTOTAL(9,O444:O445)</f>
        <v>-6.46</v>
      </c>
      <c r="P446" s="223"/>
      <c r="Q446" s="210"/>
      <c r="R446" s="263" t="s">
        <v>2097</v>
      </c>
      <c r="S446" s="263" t="s">
        <v>2098</v>
      </c>
    </row>
    <row r="447" spans="1:19" ht="105" outlineLevel="2">
      <c r="A447" s="3" t="s">
        <v>1100</v>
      </c>
      <c r="B447" s="211" t="s">
        <v>238</v>
      </c>
      <c r="C447" s="212" t="s">
        <v>1099</v>
      </c>
      <c r="D447" s="212" t="s">
        <v>1100</v>
      </c>
      <c r="E447" s="211" t="s">
        <v>1101</v>
      </c>
      <c r="F447" s="212" t="s">
        <v>104</v>
      </c>
      <c r="G447" s="211" t="s">
        <v>41</v>
      </c>
      <c r="H447" s="212" t="s">
        <v>23</v>
      </c>
      <c r="I447" s="212" t="s">
        <v>1526</v>
      </c>
      <c r="J447" s="212">
        <v>201410</v>
      </c>
      <c r="K447" s="213">
        <v>162833.78</v>
      </c>
      <c r="L447" s="171">
        <f>VLOOKUP(J447,$U$9:$V$23,2)</f>
        <v>8</v>
      </c>
      <c r="M447" s="214">
        <v>2.3833299999999999E-3</v>
      </c>
      <c r="N447" s="213">
        <f>ROUND(K447*L447*M447,2)</f>
        <v>3104.69</v>
      </c>
      <c r="O447" s="213">
        <f>ROUND(K447*M447*12,2)</f>
        <v>4657.04</v>
      </c>
      <c r="P447" s="211"/>
      <c r="Q447" s="242" t="str">
        <f>VLOOKUP(D447,'WO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R447" s="243"/>
      <c r="S447" s="243"/>
    </row>
    <row r="448" spans="1:19" ht="105" outlineLevel="2">
      <c r="A448" s="3" t="s">
        <v>1100</v>
      </c>
      <c r="B448" s="211" t="s">
        <v>238</v>
      </c>
      <c r="C448" s="212" t="s">
        <v>1099</v>
      </c>
      <c r="D448" s="212" t="s">
        <v>1100</v>
      </c>
      <c r="E448" s="211" t="s">
        <v>1101</v>
      </c>
      <c r="F448" s="212" t="s">
        <v>104</v>
      </c>
      <c r="G448" s="211" t="s">
        <v>41</v>
      </c>
      <c r="H448" s="212" t="s">
        <v>23</v>
      </c>
      <c r="I448" s="212" t="s">
        <v>1526</v>
      </c>
      <c r="J448" s="212">
        <v>201411</v>
      </c>
      <c r="K448" s="213">
        <v>-831.58</v>
      </c>
      <c r="L448" s="171">
        <f>VLOOKUP(J448,$U$9:$V$23,2)</f>
        <v>7</v>
      </c>
      <c r="M448" s="214">
        <v>2.3833299999999999E-3</v>
      </c>
      <c r="N448" s="213">
        <f>ROUND(K448*L448*M448,2)</f>
        <v>-13.87</v>
      </c>
      <c r="O448" s="213">
        <f>ROUND(K448*M448*12,2)</f>
        <v>-23.78</v>
      </c>
      <c r="P448" s="211"/>
      <c r="Q448" s="242" t="str">
        <f>VLOOKUP(D448,'WO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R448" s="243"/>
      <c r="S448" s="243"/>
    </row>
    <row r="449" spans="1:19" ht="105" outlineLevel="2">
      <c r="A449" s="3" t="s">
        <v>1100</v>
      </c>
      <c r="B449" s="211" t="s">
        <v>238</v>
      </c>
      <c r="C449" s="212" t="s">
        <v>1099</v>
      </c>
      <c r="D449" s="212" t="s">
        <v>1100</v>
      </c>
      <c r="E449" s="211" t="s">
        <v>1101</v>
      </c>
      <c r="F449" s="212" t="s">
        <v>104</v>
      </c>
      <c r="G449" s="211" t="s">
        <v>41</v>
      </c>
      <c r="H449" s="212" t="s">
        <v>23</v>
      </c>
      <c r="I449" s="212" t="s">
        <v>1526</v>
      </c>
      <c r="J449" s="212">
        <v>201412</v>
      </c>
      <c r="K449" s="213">
        <v>2739.95</v>
      </c>
      <c r="L449" s="171">
        <f>VLOOKUP(J449,$U$9:$V$23,2)</f>
        <v>6</v>
      </c>
      <c r="M449" s="214">
        <v>2.3833299999999999E-3</v>
      </c>
      <c r="N449" s="213">
        <f>ROUND(K449*L449*M449,2)</f>
        <v>39.18</v>
      </c>
      <c r="O449" s="213">
        <f>ROUND(K449*M449*12,2)</f>
        <v>78.36</v>
      </c>
      <c r="P449" s="211"/>
      <c r="Q449" s="242" t="str">
        <f>VLOOKUP(D449,'WO Descriptions'!$A$5:$D$345,4)</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R449" s="243"/>
      <c r="S449" s="243"/>
    </row>
    <row r="450" spans="1:19" outlineLevel="1">
      <c r="A450" s="3" t="s">
        <v>1917</v>
      </c>
      <c r="B450" s="256"/>
      <c r="C450" s="257"/>
      <c r="D450" s="260" t="s">
        <v>1917</v>
      </c>
      <c r="E450" s="256"/>
      <c r="F450" s="257"/>
      <c r="G450" s="256"/>
      <c r="H450" s="257"/>
      <c r="I450" s="257"/>
      <c r="J450" s="257"/>
      <c r="K450" s="258">
        <f>SUBTOTAL(9,K447:K449)</f>
        <v>164742.15000000002</v>
      </c>
      <c r="L450" s="252"/>
      <c r="M450" s="259"/>
      <c r="N450" s="258">
        <f>SUBTOTAL(9,N447:N449)</f>
        <v>3130</v>
      </c>
      <c r="O450" s="258">
        <f>SUBTOTAL(9,O447:O449)</f>
        <v>4711.62</v>
      </c>
      <c r="P450" s="256"/>
      <c r="Q450" s="242"/>
      <c r="R450" s="263" t="s">
        <v>2096</v>
      </c>
      <c r="S450" s="243"/>
    </row>
    <row r="451" spans="1:19" ht="30" outlineLevel="2">
      <c r="A451" s="3" t="s">
        <v>565</v>
      </c>
      <c r="B451" s="14" t="s">
        <v>17</v>
      </c>
      <c r="C451" s="15" t="s">
        <v>564</v>
      </c>
      <c r="D451" s="15" t="s">
        <v>565</v>
      </c>
      <c r="E451" s="14" t="s">
        <v>566</v>
      </c>
      <c r="F451" s="15" t="s">
        <v>567</v>
      </c>
      <c r="G451" s="14" t="s">
        <v>137</v>
      </c>
      <c r="H451" s="15" t="s">
        <v>23</v>
      </c>
      <c r="I451" s="15" t="s">
        <v>1526</v>
      </c>
      <c r="J451" s="15">
        <v>201409</v>
      </c>
      <c r="K451" s="16">
        <v>13.59</v>
      </c>
      <c r="L451" s="171">
        <f>VLOOKUP(J451,$U$9:$V$23,2)</f>
        <v>9</v>
      </c>
      <c r="M451" s="17">
        <v>1.4833299999999999E-3</v>
      </c>
      <c r="N451" s="16">
        <f>ROUND(K451*L451*M451,2)</f>
        <v>0.18</v>
      </c>
      <c r="O451" s="16">
        <f>ROUND(K451*M451*12,2)</f>
        <v>0.24</v>
      </c>
      <c r="P451" s="14"/>
      <c r="Q451" s="210" t="str">
        <f>VLOOKUP(D451,'WO Descriptions'!$A$5:$D$345,4)</f>
        <v>Approved by: Kevin Driskell on 12/31/2013,  ISRS LAY 15'-3" TF STEEL TO GO AROUND SEWER MAIN.  TWO WAY FEED.  ABANDON 8'-3" BS (B26P90)</v>
      </c>
    </row>
    <row r="452" spans="1:19" outlineLevel="1">
      <c r="A452" s="3" t="s">
        <v>1918</v>
      </c>
      <c r="B452" s="223"/>
      <c r="C452" s="250"/>
      <c r="D452" s="254" t="s">
        <v>1918</v>
      </c>
      <c r="E452" s="223"/>
      <c r="F452" s="250"/>
      <c r="G452" s="223"/>
      <c r="H452" s="250"/>
      <c r="I452" s="250"/>
      <c r="J452" s="250"/>
      <c r="K452" s="251">
        <f>SUBTOTAL(9,K451:K451)</f>
        <v>13.59</v>
      </c>
      <c r="L452" s="252"/>
      <c r="M452" s="253"/>
      <c r="N452" s="251">
        <f>SUBTOTAL(9,N451:N451)</f>
        <v>0.18</v>
      </c>
      <c r="O452" s="251">
        <f>SUBTOTAL(9,O451:O451)</f>
        <v>0.24</v>
      </c>
      <c r="P452" s="223"/>
      <c r="Q452" s="210"/>
      <c r="R452" s="263" t="s">
        <v>2096</v>
      </c>
    </row>
    <row r="453" spans="1:19" ht="105" outlineLevel="2">
      <c r="A453" s="3" t="s">
        <v>569</v>
      </c>
      <c r="B453" s="14" t="s">
        <v>17</v>
      </c>
      <c r="C453" s="15" t="s">
        <v>568</v>
      </c>
      <c r="D453" s="15" t="s">
        <v>569</v>
      </c>
      <c r="E453" s="14" t="s">
        <v>570</v>
      </c>
      <c r="F453" s="15" t="s">
        <v>324</v>
      </c>
      <c r="G453" s="14" t="s">
        <v>325</v>
      </c>
      <c r="H453" s="15" t="s">
        <v>23</v>
      </c>
      <c r="I453" s="15" t="s">
        <v>1525</v>
      </c>
      <c r="J453" s="15">
        <v>201409</v>
      </c>
      <c r="K453" s="16">
        <v>-124.35</v>
      </c>
      <c r="L453" s="171">
        <f>VLOOKUP(J453,$U$9:$V$23,2)</f>
        <v>9</v>
      </c>
      <c r="M453" s="17">
        <v>1.4833299999999999E-3</v>
      </c>
      <c r="N453" s="16">
        <f>ROUND(K453*L453*M453,2)</f>
        <v>-1.66</v>
      </c>
      <c r="O453" s="16">
        <f>ROUND(K453*M453*12,2)</f>
        <v>-2.21</v>
      </c>
      <c r="P453" s="14"/>
      <c r="Q453" s="210" t="str">
        <f>VLOOKUP(D453,'WO Descriptions'!$A$5:$D$345,4)</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row>
    <row r="454" spans="1:19" outlineLevel="1">
      <c r="A454" s="3" t="s">
        <v>1919</v>
      </c>
      <c r="B454" s="223"/>
      <c r="C454" s="250"/>
      <c r="D454" s="254" t="s">
        <v>1919</v>
      </c>
      <c r="E454" s="223"/>
      <c r="F454" s="250"/>
      <c r="G454" s="223"/>
      <c r="H454" s="250"/>
      <c r="I454" s="250"/>
      <c r="J454" s="250"/>
      <c r="K454" s="251">
        <f>SUBTOTAL(9,K453:K453)</f>
        <v>-124.35</v>
      </c>
      <c r="L454" s="252"/>
      <c r="M454" s="253"/>
      <c r="N454" s="251">
        <f>SUBTOTAL(9,N453:N453)</f>
        <v>-1.66</v>
      </c>
      <c r="O454" s="251">
        <f>SUBTOTAL(9,O453:O453)</f>
        <v>-2.21</v>
      </c>
      <c r="P454" s="223"/>
      <c r="Q454" s="210"/>
      <c r="R454" s="263" t="s">
        <v>2094</v>
      </c>
      <c r="S454" s="263" t="s">
        <v>2095</v>
      </c>
    </row>
    <row r="455" spans="1:19" ht="30" outlineLevel="2">
      <c r="A455" s="3" t="s">
        <v>572</v>
      </c>
      <c r="B455" s="14" t="s">
        <v>17</v>
      </c>
      <c r="C455" s="15" t="s">
        <v>571</v>
      </c>
      <c r="D455" s="15" t="s">
        <v>572</v>
      </c>
      <c r="E455" s="14" t="s">
        <v>573</v>
      </c>
      <c r="F455" s="15" t="s">
        <v>574</v>
      </c>
      <c r="G455" s="14" t="s">
        <v>28</v>
      </c>
      <c r="H455" s="15" t="s">
        <v>23</v>
      </c>
      <c r="I455" s="15" t="s">
        <v>1525</v>
      </c>
      <c r="J455" s="15">
        <v>201409</v>
      </c>
      <c r="K455" s="16">
        <v>-89.13</v>
      </c>
      <c r="L455" s="171">
        <f>VLOOKUP(J455,$U$9:$V$23,2)</f>
        <v>9</v>
      </c>
      <c r="M455" s="17">
        <v>1.4833299999999999E-3</v>
      </c>
      <c r="N455" s="16">
        <f>ROUND(K455*L455*M455,2)</f>
        <v>-1.19</v>
      </c>
      <c r="O455" s="16">
        <f>ROUND(K455*M455*12,2)</f>
        <v>-1.59</v>
      </c>
      <c r="P455" s="14"/>
      <c r="Q455" s="210" t="str">
        <f>VLOOKUP(D455,'WO Descriptions'!$A$5:$D$345,4)</f>
        <v>Approved by: Ralph Janes on 02/05/2014,  Replace and retire 50' - 2" pcs main (A9142B) which is leaking with 50' - 2" pe.</v>
      </c>
    </row>
    <row r="456" spans="1:19" outlineLevel="1">
      <c r="A456" s="3" t="s">
        <v>1920</v>
      </c>
      <c r="B456" s="223"/>
      <c r="C456" s="250"/>
      <c r="D456" s="254" t="s">
        <v>1920</v>
      </c>
      <c r="E456" s="223"/>
      <c r="F456" s="250"/>
      <c r="G456" s="223"/>
      <c r="H456" s="250"/>
      <c r="I456" s="250"/>
      <c r="J456" s="250"/>
      <c r="K456" s="251">
        <f>SUBTOTAL(9,K455:K455)</f>
        <v>-89.13</v>
      </c>
      <c r="L456" s="252"/>
      <c r="M456" s="253"/>
      <c r="N456" s="251">
        <f>SUBTOTAL(9,N455:N455)</f>
        <v>-1.19</v>
      </c>
      <c r="O456" s="251">
        <f>SUBTOTAL(9,O455:O455)</f>
        <v>-1.59</v>
      </c>
      <c r="P456" s="223"/>
      <c r="Q456" s="210"/>
      <c r="R456" s="263" t="s">
        <v>2097</v>
      </c>
      <c r="S456" s="263" t="s">
        <v>2099</v>
      </c>
    </row>
    <row r="457" spans="1:19" ht="60" outlineLevel="2">
      <c r="A457" s="3" t="s">
        <v>576</v>
      </c>
      <c r="B457" s="14" t="s">
        <v>17</v>
      </c>
      <c r="C457" s="15" t="s">
        <v>575</v>
      </c>
      <c r="D457" s="15" t="s">
        <v>576</v>
      </c>
      <c r="E457" s="14" t="s">
        <v>577</v>
      </c>
      <c r="F457" s="15" t="s">
        <v>462</v>
      </c>
      <c r="G457" s="14" t="s">
        <v>142</v>
      </c>
      <c r="H457" s="15" t="s">
        <v>23</v>
      </c>
      <c r="I457" s="15" t="s">
        <v>1525</v>
      </c>
      <c r="J457" s="15">
        <v>201409</v>
      </c>
      <c r="K457" s="16">
        <v>-34.44</v>
      </c>
      <c r="L457" s="171">
        <f>VLOOKUP(J457,$U$9:$V$23,2)</f>
        <v>9</v>
      </c>
      <c r="M457" s="17">
        <v>1.4833299999999999E-3</v>
      </c>
      <c r="N457" s="16">
        <f>ROUND(K457*L457*M457,2)</f>
        <v>-0.46</v>
      </c>
      <c r="O457" s="16">
        <f>ROUND(K457*M457*12,2)</f>
        <v>-0.61</v>
      </c>
      <c r="P457" s="14"/>
      <c r="Q457" s="210" t="str">
        <f>VLOOKUP(D457,'WO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58" spans="1:19" ht="60" outlineLevel="2">
      <c r="A458" s="3" t="s">
        <v>576</v>
      </c>
      <c r="B458" s="14" t="s">
        <v>17</v>
      </c>
      <c r="C458" s="15" t="s">
        <v>575</v>
      </c>
      <c r="D458" s="15" t="s">
        <v>576</v>
      </c>
      <c r="E458" s="14" t="s">
        <v>577</v>
      </c>
      <c r="F458" s="15" t="s">
        <v>462</v>
      </c>
      <c r="G458" s="14" t="s">
        <v>142</v>
      </c>
      <c r="H458" s="15" t="s">
        <v>23</v>
      </c>
      <c r="I458" s="15" t="s">
        <v>1525</v>
      </c>
      <c r="J458" s="15">
        <v>201410</v>
      </c>
      <c r="K458" s="16">
        <v>-0.05</v>
      </c>
      <c r="L458" s="171">
        <f>VLOOKUP(J458,$U$9:$V$23,2)</f>
        <v>8</v>
      </c>
      <c r="M458" s="17">
        <v>1.4833299999999999E-3</v>
      </c>
      <c r="N458" s="16">
        <f>ROUND(K458*L458*M458,2)</f>
        <v>0</v>
      </c>
      <c r="O458" s="16">
        <f>ROUND(K458*M458*12,2)</f>
        <v>0</v>
      </c>
      <c r="P458" s="14"/>
      <c r="Q458" s="210" t="str">
        <f>VLOOKUP(D458,'WO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59" spans="1:19" ht="60" outlineLevel="2">
      <c r="A459" s="3" t="s">
        <v>576</v>
      </c>
      <c r="B459" s="14" t="s">
        <v>54</v>
      </c>
      <c r="C459" s="15" t="s">
        <v>575</v>
      </c>
      <c r="D459" s="15" t="s">
        <v>576</v>
      </c>
      <c r="E459" s="14" t="s">
        <v>577</v>
      </c>
      <c r="F459" s="15" t="s">
        <v>462</v>
      </c>
      <c r="G459" s="14" t="s">
        <v>142</v>
      </c>
      <c r="H459" s="15" t="s">
        <v>23</v>
      </c>
      <c r="I459" s="15" t="s">
        <v>1525</v>
      </c>
      <c r="J459" s="15">
        <v>201409</v>
      </c>
      <c r="K459" s="16">
        <v>-1935.85</v>
      </c>
      <c r="L459" s="171">
        <f>VLOOKUP(J459,$U$9:$V$23,2)</f>
        <v>9</v>
      </c>
      <c r="M459" s="17">
        <v>1.4833299999999999E-3</v>
      </c>
      <c r="N459" s="16">
        <f>ROUND(K459*L459*M459,2)</f>
        <v>-25.84</v>
      </c>
      <c r="O459" s="16">
        <f>ROUND(K459*M459*12,2)</f>
        <v>-34.46</v>
      </c>
      <c r="P459" s="14"/>
      <c r="Q459" s="210" t="str">
        <f>VLOOKUP(D459,'WO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60" spans="1:19" ht="60" outlineLevel="2">
      <c r="A460" s="3" t="s">
        <v>576</v>
      </c>
      <c r="B460" s="14" t="s">
        <v>54</v>
      </c>
      <c r="C460" s="15" t="s">
        <v>575</v>
      </c>
      <c r="D460" s="15" t="s">
        <v>576</v>
      </c>
      <c r="E460" s="14" t="s">
        <v>577</v>
      </c>
      <c r="F460" s="15" t="s">
        <v>462</v>
      </c>
      <c r="G460" s="14" t="s">
        <v>142</v>
      </c>
      <c r="H460" s="15" t="s">
        <v>23</v>
      </c>
      <c r="I460" s="15" t="s">
        <v>1525</v>
      </c>
      <c r="J460" s="15">
        <v>201410</v>
      </c>
      <c r="K460" s="16">
        <v>0.05</v>
      </c>
      <c r="L460" s="171">
        <f>VLOOKUP(J460,$U$9:$V$23,2)</f>
        <v>8</v>
      </c>
      <c r="M460" s="17">
        <v>1.4833299999999999E-3</v>
      </c>
      <c r="N460" s="16">
        <f>ROUND(K460*L460*M460,2)</f>
        <v>0</v>
      </c>
      <c r="O460" s="16">
        <f>ROUND(K460*M460*12,2)</f>
        <v>0</v>
      </c>
      <c r="P460" s="14"/>
      <c r="Q460" s="210" t="str">
        <f>VLOOKUP(D460,'WO Descriptions'!$A$5:$D$345,4)</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row>
    <row r="461" spans="1:19" outlineLevel="1">
      <c r="A461" s="3" t="s">
        <v>1921</v>
      </c>
      <c r="B461" s="223"/>
      <c r="C461" s="250"/>
      <c r="D461" s="254" t="s">
        <v>1921</v>
      </c>
      <c r="E461" s="223"/>
      <c r="F461" s="250"/>
      <c r="G461" s="223"/>
      <c r="H461" s="250"/>
      <c r="I461" s="250"/>
      <c r="J461" s="250"/>
      <c r="K461" s="251">
        <f>SUBTOTAL(9,K457:K460)</f>
        <v>-1970.29</v>
      </c>
      <c r="L461" s="252"/>
      <c r="M461" s="253"/>
      <c r="N461" s="251">
        <f>SUBTOTAL(9,N457:N460)</f>
        <v>-26.3</v>
      </c>
      <c r="O461" s="251">
        <f>SUBTOTAL(9,O457:O460)</f>
        <v>-35.07</v>
      </c>
      <c r="P461" s="223"/>
      <c r="Q461" s="210"/>
      <c r="R461" s="263" t="s">
        <v>2097</v>
      </c>
      <c r="S461" s="263" t="s">
        <v>2100</v>
      </c>
    </row>
    <row r="462" spans="1:19" ht="60" outlineLevel="2">
      <c r="A462" s="3" t="s">
        <v>579</v>
      </c>
      <c r="B462" s="14" t="s">
        <v>54</v>
      </c>
      <c r="C462" s="15" t="s">
        <v>578</v>
      </c>
      <c r="D462" s="15" t="s">
        <v>579</v>
      </c>
      <c r="E462" s="14" t="s">
        <v>580</v>
      </c>
      <c r="F462" s="15" t="s">
        <v>136</v>
      </c>
      <c r="G462" s="14" t="s">
        <v>137</v>
      </c>
      <c r="H462" s="15" t="s">
        <v>23</v>
      </c>
      <c r="I462" s="15" t="s">
        <v>1526</v>
      </c>
      <c r="J462" s="15">
        <v>201409</v>
      </c>
      <c r="K462" s="16">
        <v>-19.86</v>
      </c>
      <c r="L462" s="171">
        <f>VLOOKUP(J462,$U$9:$V$23,2)</f>
        <v>9</v>
      </c>
      <c r="M462" s="17">
        <v>1.4833299999999999E-3</v>
      </c>
      <c r="N462" s="16">
        <f>ROUND(K462*L462*M462,2)</f>
        <v>-0.27</v>
      </c>
      <c r="O462" s="16">
        <f>ROUND(K462*M462*12,2)</f>
        <v>-0.35</v>
      </c>
      <c r="P462" s="14"/>
      <c r="Q462" s="210" t="str">
        <f>VLOOKUP(D462,'WO Descriptions'!$A$5:$D$345,4)</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row>
    <row r="463" spans="1:19" outlineLevel="1">
      <c r="A463" s="3" t="s">
        <v>1922</v>
      </c>
      <c r="B463" s="223"/>
      <c r="C463" s="250"/>
      <c r="D463" s="254" t="s">
        <v>1922</v>
      </c>
      <c r="E463" s="223"/>
      <c r="F463" s="250"/>
      <c r="G463" s="223"/>
      <c r="H463" s="250"/>
      <c r="I463" s="250"/>
      <c r="J463" s="250"/>
      <c r="K463" s="251">
        <f>SUBTOTAL(9,K462:K462)</f>
        <v>-19.86</v>
      </c>
      <c r="L463" s="252"/>
      <c r="M463" s="253"/>
      <c r="N463" s="251">
        <f>SUBTOTAL(9,N462:N462)</f>
        <v>-0.27</v>
      </c>
      <c r="O463" s="251">
        <f>SUBTOTAL(9,O462:O462)</f>
        <v>-0.35</v>
      </c>
      <c r="P463" s="223"/>
      <c r="Q463" s="210"/>
      <c r="R463" s="263" t="s">
        <v>2096</v>
      </c>
    </row>
    <row r="464" spans="1:19" ht="150" outlineLevel="2">
      <c r="A464" s="3" t="s">
        <v>582</v>
      </c>
      <c r="B464" s="14" t="s">
        <v>17</v>
      </c>
      <c r="C464" s="15" t="s">
        <v>581</v>
      </c>
      <c r="D464" s="15" t="s">
        <v>582</v>
      </c>
      <c r="E464" s="14" t="s">
        <v>583</v>
      </c>
      <c r="F464" s="15" t="s">
        <v>104</v>
      </c>
      <c r="G464" s="14" t="s">
        <v>41</v>
      </c>
      <c r="H464" s="15" t="s">
        <v>23</v>
      </c>
      <c r="I464" s="15" t="s">
        <v>1526</v>
      </c>
      <c r="J464" s="15">
        <v>201412</v>
      </c>
      <c r="K464" s="16">
        <v>1337.3</v>
      </c>
      <c r="L464" s="171">
        <f>VLOOKUP(J464,$U$9:$V$23,2)</f>
        <v>6</v>
      </c>
      <c r="M464" s="17">
        <v>1.4833299999999999E-3</v>
      </c>
      <c r="N464" s="16">
        <f>ROUND(K464*L464*M464,2)</f>
        <v>11.9</v>
      </c>
      <c r="O464" s="16">
        <f>ROUND(K464*M464*12,2)</f>
        <v>23.8</v>
      </c>
      <c r="P464" s="14"/>
      <c r="Q464" s="210" t="str">
        <f>VLOOKUP(D464,'WO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5" spans="1:19" ht="150" outlineLevel="2">
      <c r="A465" s="3" t="s">
        <v>582</v>
      </c>
      <c r="B465" s="14" t="s">
        <v>54</v>
      </c>
      <c r="C465" s="15" t="s">
        <v>581</v>
      </c>
      <c r="D465" s="15" t="s">
        <v>582</v>
      </c>
      <c r="E465" s="14" t="s">
        <v>583</v>
      </c>
      <c r="F465" s="15" t="s">
        <v>104</v>
      </c>
      <c r="G465" s="14" t="s">
        <v>41</v>
      </c>
      <c r="H465" s="15" t="s">
        <v>23</v>
      </c>
      <c r="I465" s="15" t="s">
        <v>1526</v>
      </c>
      <c r="J465" s="15">
        <v>201409</v>
      </c>
      <c r="K465" s="16">
        <v>97223.13</v>
      </c>
      <c r="L465" s="171">
        <f>VLOOKUP(J465,$U$9:$V$23,2)</f>
        <v>9</v>
      </c>
      <c r="M465" s="17">
        <v>1.4833299999999999E-3</v>
      </c>
      <c r="N465" s="16">
        <f>ROUND(K465*L465*M465,2)</f>
        <v>1297.93</v>
      </c>
      <c r="O465" s="16">
        <f>ROUND(K465*M465*12,2)</f>
        <v>1730.57</v>
      </c>
      <c r="P465" s="14"/>
      <c r="Q465" s="210" t="str">
        <f>VLOOKUP(D465,'WO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6" spans="1:19" ht="150" outlineLevel="2">
      <c r="A466" s="3" t="s">
        <v>582</v>
      </c>
      <c r="B466" s="14" t="s">
        <v>54</v>
      </c>
      <c r="C466" s="15" t="s">
        <v>581</v>
      </c>
      <c r="D466" s="15" t="s">
        <v>582</v>
      </c>
      <c r="E466" s="14" t="s">
        <v>583</v>
      </c>
      <c r="F466" s="15" t="s">
        <v>104</v>
      </c>
      <c r="G466" s="14" t="s">
        <v>41</v>
      </c>
      <c r="H466" s="15" t="s">
        <v>23</v>
      </c>
      <c r="I466" s="15" t="s">
        <v>1526</v>
      </c>
      <c r="J466" s="15">
        <v>201410</v>
      </c>
      <c r="K466" s="16">
        <v>5658.63</v>
      </c>
      <c r="L466" s="171">
        <f>VLOOKUP(J466,$U$9:$V$23,2)</f>
        <v>8</v>
      </c>
      <c r="M466" s="17">
        <v>1.4833299999999999E-3</v>
      </c>
      <c r="N466" s="16">
        <f>ROUND(K466*L466*M466,2)</f>
        <v>67.150000000000006</v>
      </c>
      <c r="O466" s="16">
        <f>ROUND(K466*M466*12,2)</f>
        <v>100.72</v>
      </c>
      <c r="P466" s="14"/>
      <c r="Q466" s="210" t="str">
        <f>VLOOKUP(D466,'WO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7" spans="1:19" ht="150" outlineLevel="2">
      <c r="A467" s="3" t="s">
        <v>582</v>
      </c>
      <c r="B467" s="14" t="s">
        <v>54</v>
      </c>
      <c r="C467" s="15" t="s">
        <v>581</v>
      </c>
      <c r="D467" s="15" t="s">
        <v>582</v>
      </c>
      <c r="E467" s="14" t="s">
        <v>583</v>
      </c>
      <c r="F467" s="15" t="s">
        <v>104</v>
      </c>
      <c r="G467" s="14" t="s">
        <v>41</v>
      </c>
      <c r="H467" s="15" t="s">
        <v>23</v>
      </c>
      <c r="I467" s="15" t="s">
        <v>1526</v>
      </c>
      <c r="J467" s="15">
        <v>201411</v>
      </c>
      <c r="K467" s="16">
        <v>-154.51</v>
      </c>
      <c r="L467" s="171">
        <f>VLOOKUP(J467,$U$9:$V$23,2)</f>
        <v>7</v>
      </c>
      <c r="M467" s="17">
        <v>1.4833299999999999E-3</v>
      </c>
      <c r="N467" s="16">
        <f>ROUND(K467*L467*M467,2)</f>
        <v>-1.6</v>
      </c>
      <c r="O467" s="16">
        <f>ROUND(K467*M467*12,2)</f>
        <v>-2.75</v>
      </c>
      <c r="P467" s="14"/>
      <c r="Q467" s="210" t="str">
        <f>VLOOKUP(D467,'WO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8" spans="1:19" ht="150" outlineLevel="2">
      <c r="A468" s="3" t="s">
        <v>582</v>
      </c>
      <c r="B468" s="14" t="s">
        <v>54</v>
      </c>
      <c r="C468" s="15" t="s">
        <v>581</v>
      </c>
      <c r="D468" s="15" t="s">
        <v>582</v>
      </c>
      <c r="E468" s="14" t="s">
        <v>583</v>
      </c>
      <c r="F468" s="15" t="s">
        <v>104</v>
      </c>
      <c r="G468" s="14" t="s">
        <v>41</v>
      </c>
      <c r="H468" s="15" t="s">
        <v>23</v>
      </c>
      <c r="I468" s="15" t="s">
        <v>1526</v>
      </c>
      <c r="J468" s="15">
        <v>201412</v>
      </c>
      <c r="K468" s="16">
        <v>-1826.47</v>
      </c>
      <c r="L468" s="171">
        <f>VLOOKUP(J468,$U$9:$V$23,2)</f>
        <v>6</v>
      </c>
      <c r="M468" s="17">
        <v>1.4833299999999999E-3</v>
      </c>
      <c r="N468" s="16">
        <f>ROUND(K468*L468*M468,2)</f>
        <v>-16.260000000000002</v>
      </c>
      <c r="O468" s="16">
        <f>ROUND(K468*M468*12,2)</f>
        <v>-32.51</v>
      </c>
      <c r="P468" s="14"/>
      <c r="Q468" s="210" t="str">
        <f>VLOOKUP(D468,'WO Descriptions'!$A$5:$D$345,4)</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row>
    <row r="469" spans="1:19" outlineLevel="1">
      <c r="A469" s="3" t="s">
        <v>1923</v>
      </c>
      <c r="B469" s="223"/>
      <c r="C469" s="250"/>
      <c r="D469" s="254" t="s">
        <v>1923</v>
      </c>
      <c r="E469" s="223"/>
      <c r="F469" s="250"/>
      <c r="G469" s="223"/>
      <c r="H469" s="250"/>
      <c r="I469" s="250"/>
      <c r="J469" s="250"/>
      <c r="K469" s="251">
        <f>SUBTOTAL(9,K464:K468)</f>
        <v>102238.08000000002</v>
      </c>
      <c r="L469" s="252"/>
      <c r="M469" s="253"/>
      <c r="N469" s="251">
        <f>SUBTOTAL(9,N464:N468)</f>
        <v>1359.1200000000003</v>
      </c>
      <c r="O469" s="251">
        <f>SUBTOTAL(9,O464:O468)</f>
        <v>1819.83</v>
      </c>
      <c r="P469" s="223"/>
      <c r="Q469" s="210"/>
      <c r="R469" s="263" t="s">
        <v>2096</v>
      </c>
    </row>
    <row r="470" spans="1:19" ht="180" outlineLevel="2">
      <c r="A470" s="3" t="s">
        <v>585</v>
      </c>
      <c r="B470" s="14" t="s">
        <v>17</v>
      </c>
      <c r="C470" s="15" t="s">
        <v>584</v>
      </c>
      <c r="D470" s="15" t="s">
        <v>585</v>
      </c>
      <c r="E470" s="14" t="s">
        <v>586</v>
      </c>
      <c r="F470" s="15" t="s">
        <v>62</v>
      </c>
      <c r="G470" s="14" t="s">
        <v>22</v>
      </c>
      <c r="H470" s="15" t="s">
        <v>23</v>
      </c>
      <c r="I470" s="15" t="s">
        <v>1525</v>
      </c>
      <c r="J470" s="15">
        <v>201409</v>
      </c>
      <c r="K470" s="16">
        <v>-7974.11</v>
      </c>
      <c r="L470" s="171">
        <f>VLOOKUP(J470,$U$9:$V$23,2)</f>
        <v>9</v>
      </c>
      <c r="M470" s="17">
        <v>1.4833299999999999E-3</v>
      </c>
      <c r="N470" s="16">
        <f>ROUND(K470*L470*M470,2)</f>
        <v>-106.45</v>
      </c>
      <c r="O470" s="16">
        <f>ROUND(K470*M470*12,2)</f>
        <v>-141.94</v>
      </c>
      <c r="P470" s="14"/>
      <c r="Q470" s="210" t="str">
        <f>VLOOKUP(D470,'WO Descriptions'!$A$5:$D$345,4)</f>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
    </row>
    <row r="471" spans="1:19" outlineLevel="1">
      <c r="A471" s="3" t="s">
        <v>1924</v>
      </c>
      <c r="B471" s="223"/>
      <c r="C471" s="250"/>
      <c r="D471" s="254" t="s">
        <v>1924</v>
      </c>
      <c r="E471" s="223"/>
      <c r="F471" s="250"/>
      <c r="G471" s="223"/>
      <c r="H471" s="250"/>
      <c r="I471" s="250"/>
      <c r="J471" s="250"/>
      <c r="K471" s="251">
        <f>SUBTOTAL(9,K470:K470)</f>
        <v>-7974.11</v>
      </c>
      <c r="L471" s="252"/>
      <c r="M471" s="253"/>
      <c r="N471" s="251">
        <f>SUBTOTAL(9,N470:N470)</f>
        <v>-106.45</v>
      </c>
      <c r="O471" s="251">
        <f>SUBTOTAL(9,O470:O470)</f>
        <v>-141.94</v>
      </c>
      <c r="P471" s="223"/>
      <c r="Q471" s="210"/>
      <c r="R471" s="263" t="s">
        <v>2097</v>
      </c>
      <c r="S471" s="263" t="s">
        <v>2098</v>
      </c>
    </row>
    <row r="472" spans="1:19" outlineLevel="2">
      <c r="A472" s="3" t="s">
        <v>1028</v>
      </c>
      <c r="B472" s="211" t="s">
        <v>66</v>
      </c>
      <c r="C472" s="212" t="s">
        <v>1027</v>
      </c>
      <c r="D472" s="212" t="s">
        <v>1028</v>
      </c>
      <c r="E472" s="211" t="s">
        <v>194</v>
      </c>
      <c r="F472" s="212" t="s">
        <v>1029</v>
      </c>
      <c r="G472" s="211" t="s">
        <v>196</v>
      </c>
      <c r="H472" s="212" t="s">
        <v>23</v>
      </c>
      <c r="I472" s="212" t="s">
        <v>1530</v>
      </c>
      <c r="J472" s="212">
        <v>201412</v>
      </c>
      <c r="K472" s="213">
        <v>463.42</v>
      </c>
      <c r="L472" s="171">
        <f>VLOOKUP(J472,$U$9:$V$23,2)</f>
        <v>6</v>
      </c>
      <c r="M472" s="214">
        <v>2.23333E-3</v>
      </c>
      <c r="N472" s="213">
        <f>ROUND(K472*L472*M472,2)</f>
        <v>6.21</v>
      </c>
      <c r="O472" s="213">
        <f>ROUND(K472*M472*12,2)</f>
        <v>12.42</v>
      </c>
      <c r="P472" s="14"/>
      <c r="Q472" s="210" t="str">
        <f>VLOOKUP(D472,'WO Descriptions'!$A$5:$D$345,4)</f>
        <v>Line Locates - Service Line Replacements Only (Lee's Summit - South Region)</v>
      </c>
    </row>
    <row r="473" spans="1:19" outlineLevel="1">
      <c r="A473" s="3" t="s">
        <v>1925</v>
      </c>
      <c r="B473" s="256"/>
      <c r="C473" s="257"/>
      <c r="D473" s="260" t="s">
        <v>1925</v>
      </c>
      <c r="E473" s="256"/>
      <c r="F473" s="257"/>
      <c r="G473" s="256"/>
      <c r="H473" s="257"/>
      <c r="I473" s="257"/>
      <c r="J473" s="257"/>
      <c r="K473" s="258">
        <f>SUBTOTAL(9,K472:K472)</f>
        <v>463.42</v>
      </c>
      <c r="L473" s="252"/>
      <c r="M473" s="259"/>
      <c r="N473" s="258">
        <f>SUBTOTAL(9,N472:N472)</f>
        <v>6.21</v>
      </c>
      <c r="O473" s="258">
        <f>SUBTOTAL(9,O472:O472)</f>
        <v>12.42</v>
      </c>
      <c r="P473" s="223"/>
      <c r="Q473" s="210"/>
      <c r="R473" s="263" t="s">
        <v>2097</v>
      </c>
      <c r="S473" s="263" t="s">
        <v>2102</v>
      </c>
    </row>
    <row r="474" spans="1:19" ht="30" outlineLevel="2">
      <c r="A474" s="3" t="s">
        <v>588</v>
      </c>
      <c r="B474" s="211" t="s">
        <v>66</v>
      </c>
      <c r="C474" s="212" t="s">
        <v>587</v>
      </c>
      <c r="D474" s="212" t="s">
        <v>588</v>
      </c>
      <c r="E474" s="211" t="s">
        <v>589</v>
      </c>
      <c r="F474" s="212" t="s">
        <v>590</v>
      </c>
      <c r="G474" s="211" t="s">
        <v>591</v>
      </c>
      <c r="H474" s="212" t="s">
        <v>23</v>
      </c>
      <c r="I474" s="212" t="s">
        <v>1530</v>
      </c>
      <c r="J474" s="212">
        <v>201409</v>
      </c>
      <c r="K474" s="213">
        <v>-3.04</v>
      </c>
      <c r="L474" s="171">
        <f>VLOOKUP(J474,$U$9:$V$23,2)</f>
        <v>9</v>
      </c>
      <c r="M474" s="214">
        <v>2.23333E-3</v>
      </c>
      <c r="N474" s="213">
        <f>ROUND(K474*L474*M474,2)</f>
        <v>-0.06</v>
      </c>
      <c r="O474" s="213">
        <f>ROUND(K474*M474*12,2)</f>
        <v>-0.08</v>
      </c>
      <c r="P474" s="14"/>
      <c r="Q474" s="210" t="str">
        <f>VLOOKUP(D474,'WO Descriptions'!$A$5:$D$345,4)</f>
        <v>Service/Yard Line Replacement (SLRP): Company Crew.  Block by Block - Planned replacement of all unprotected steel or copper in a single block.  (Monett - South Region)</v>
      </c>
    </row>
    <row r="475" spans="1:19" outlineLevel="1">
      <c r="A475" s="3" t="s">
        <v>1926</v>
      </c>
      <c r="B475" s="256"/>
      <c r="C475" s="257"/>
      <c r="D475" s="260" t="s">
        <v>1926</v>
      </c>
      <c r="E475" s="256"/>
      <c r="F475" s="257"/>
      <c r="G475" s="256"/>
      <c r="H475" s="257"/>
      <c r="I475" s="257"/>
      <c r="J475" s="257"/>
      <c r="K475" s="258">
        <f>SUBTOTAL(9,K474:K474)</f>
        <v>-3.04</v>
      </c>
      <c r="L475" s="252"/>
      <c r="M475" s="259"/>
      <c r="N475" s="258">
        <f>SUBTOTAL(9,N474:N474)</f>
        <v>-0.06</v>
      </c>
      <c r="O475" s="258">
        <f>SUBTOTAL(9,O474:O474)</f>
        <v>-0.08</v>
      </c>
      <c r="P475" s="223"/>
      <c r="Q475" s="210"/>
      <c r="R475" s="263" t="s">
        <v>2097</v>
      </c>
      <c r="S475" s="263" t="s">
        <v>2102</v>
      </c>
    </row>
    <row r="476" spans="1:19" ht="30" outlineLevel="2">
      <c r="A476" s="3" t="s">
        <v>1610</v>
      </c>
      <c r="B476" s="211" t="s">
        <v>1584</v>
      </c>
      <c r="C476" s="212" t="s">
        <v>1609</v>
      </c>
      <c r="D476" s="212" t="s">
        <v>1610</v>
      </c>
      <c r="E476" s="211" t="s">
        <v>1588</v>
      </c>
      <c r="F476" s="212" t="s">
        <v>1611</v>
      </c>
      <c r="G476" s="211" t="s">
        <v>1590</v>
      </c>
      <c r="H476" s="212" t="s">
        <v>23</v>
      </c>
      <c r="I476" s="212" t="s">
        <v>1530</v>
      </c>
      <c r="J476" s="212">
        <v>201409</v>
      </c>
      <c r="K476" s="213">
        <v>-5.08</v>
      </c>
      <c r="L476" s="171">
        <f>VLOOKUP(J476,$U$9:$V$23,2)</f>
        <v>9</v>
      </c>
      <c r="M476" s="214">
        <v>2.0333333000000001E-3</v>
      </c>
      <c r="N476" s="213">
        <f>ROUND(K476*L476*M476,2)</f>
        <v>-0.09</v>
      </c>
      <c r="O476" s="213">
        <f>ROUND(K476*M476*12,2)</f>
        <v>-0.12</v>
      </c>
      <c r="P476" s="14"/>
      <c r="Q476" s="210" t="str">
        <f>VLOOKUP(D476,'WO Descriptions'!$A$5:$D$345,4)</f>
        <v>Service/Yard Line Replacement (SLRP): Company Crew.  Block by Block - Planned replacement of all unprotected steel or copper in a single block.  (Monett - South Region)</v>
      </c>
    </row>
    <row r="477" spans="1:19" outlineLevel="1">
      <c r="A477" s="3" t="s">
        <v>1927</v>
      </c>
      <c r="B477" s="256"/>
      <c r="C477" s="257"/>
      <c r="D477" s="260" t="s">
        <v>1927</v>
      </c>
      <c r="E477" s="256"/>
      <c r="F477" s="257"/>
      <c r="G477" s="256"/>
      <c r="H477" s="257"/>
      <c r="I477" s="257"/>
      <c r="J477" s="257"/>
      <c r="K477" s="258">
        <f>SUBTOTAL(9,K476:K476)</f>
        <v>-5.08</v>
      </c>
      <c r="L477" s="252"/>
      <c r="M477" s="259"/>
      <c r="N477" s="258">
        <f>SUBTOTAL(9,N476:N476)</f>
        <v>-0.09</v>
      </c>
      <c r="O477" s="258">
        <f>SUBTOTAL(9,O476:O476)</f>
        <v>-0.12</v>
      </c>
      <c r="P477" s="223"/>
      <c r="Q477" s="210"/>
      <c r="R477" s="263" t="s">
        <v>2097</v>
      </c>
      <c r="S477" s="263" t="s">
        <v>2102</v>
      </c>
    </row>
    <row r="478" spans="1:19" ht="30" outlineLevel="2">
      <c r="A478" s="3" t="s">
        <v>593</v>
      </c>
      <c r="B478" s="211" t="s">
        <v>66</v>
      </c>
      <c r="C478" s="212" t="s">
        <v>592</v>
      </c>
      <c r="D478" s="212" t="s">
        <v>593</v>
      </c>
      <c r="E478" s="211" t="s">
        <v>381</v>
      </c>
      <c r="F478" s="212" t="s">
        <v>594</v>
      </c>
      <c r="G478" s="211" t="s">
        <v>212</v>
      </c>
      <c r="H478" s="212" t="s">
        <v>23</v>
      </c>
      <c r="I478" s="212" t="s">
        <v>1530</v>
      </c>
      <c r="J478" s="212">
        <v>201409</v>
      </c>
      <c r="K478" s="213">
        <v>-383.88</v>
      </c>
      <c r="L478" s="171">
        <f>VLOOKUP(J478,$U$9:$V$23,2)</f>
        <v>9</v>
      </c>
      <c r="M478" s="214">
        <v>2.23333E-3</v>
      </c>
      <c r="N478" s="213">
        <f>ROUND(K478*L478*M478,2)</f>
        <v>-7.72</v>
      </c>
      <c r="O478" s="213">
        <f>ROUND(K478*M478*12,2)</f>
        <v>-10.29</v>
      </c>
      <c r="P478" s="14"/>
      <c r="Q478" s="210" t="str">
        <f>VLOOKUP(D478,'WO Descriptions'!$A$5:$D$345,4)</f>
        <v>Service/Yard Line Replacement (SLRP): Contract Crew.  Immediate response - replacement single unprotected steel or copper  (Monett - South Region)</v>
      </c>
    </row>
    <row r="479" spans="1:19" outlineLevel="1">
      <c r="A479" s="3" t="s">
        <v>1928</v>
      </c>
      <c r="B479" s="256"/>
      <c r="C479" s="257"/>
      <c r="D479" s="260" t="s">
        <v>1928</v>
      </c>
      <c r="E479" s="256"/>
      <c r="F479" s="257"/>
      <c r="G479" s="256"/>
      <c r="H479" s="257"/>
      <c r="I479" s="257"/>
      <c r="J479" s="257"/>
      <c r="K479" s="258">
        <f>SUBTOTAL(9,K478:K478)</f>
        <v>-383.88</v>
      </c>
      <c r="L479" s="252"/>
      <c r="M479" s="259"/>
      <c r="N479" s="258">
        <f>SUBTOTAL(9,N478:N478)</f>
        <v>-7.72</v>
      </c>
      <c r="O479" s="258">
        <f>SUBTOTAL(9,O478:O478)</f>
        <v>-10.29</v>
      </c>
      <c r="P479" s="223"/>
      <c r="Q479" s="210"/>
      <c r="R479" s="263" t="s">
        <v>2097</v>
      </c>
      <c r="S479" s="263" t="s">
        <v>2102</v>
      </c>
    </row>
    <row r="480" spans="1:19" ht="30" outlineLevel="2">
      <c r="A480" s="3" t="s">
        <v>596</v>
      </c>
      <c r="B480" s="211" t="s">
        <v>66</v>
      </c>
      <c r="C480" s="212" t="s">
        <v>595</v>
      </c>
      <c r="D480" s="212" t="s">
        <v>596</v>
      </c>
      <c r="E480" s="211" t="s">
        <v>597</v>
      </c>
      <c r="F480" s="212" t="s">
        <v>598</v>
      </c>
      <c r="G480" s="211" t="s">
        <v>212</v>
      </c>
      <c r="H480" s="212" t="s">
        <v>23</v>
      </c>
      <c r="I480" s="212" t="s">
        <v>1530</v>
      </c>
      <c r="J480" s="212">
        <v>201409</v>
      </c>
      <c r="K480" s="213">
        <v>260099.33</v>
      </c>
      <c r="L480" s="171">
        <f>VLOOKUP(J480,$U$9:$V$23,2)</f>
        <v>9</v>
      </c>
      <c r="M480" s="214">
        <v>2.23333E-3</v>
      </c>
      <c r="N480" s="213">
        <f>ROUND(K480*L480*M480,2)</f>
        <v>5227.99</v>
      </c>
      <c r="O480" s="213">
        <f>ROUND(K480*M480*12,2)</f>
        <v>6970.65</v>
      </c>
      <c r="P480" s="14"/>
      <c r="Q480" s="210" t="str">
        <f>VLOOKUP(D480,'WO Descriptions'!$A$5:$D$345,4)</f>
        <v>Service/Yard Line Replacement (SLRP): Contract Crew.  Immediate response - replacement single unprotected steel or copper  (Lee's Summit - East Region)</v>
      </c>
    </row>
    <row r="481" spans="1:19" ht="30" outlineLevel="2">
      <c r="A481" s="3" t="s">
        <v>596</v>
      </c>
      <c r="B481" s="211" t="s">
        <v>66</v>
      </c>
      <c r="C481" s="212" t="s">
        <v>595</v>
      </c>
      <c r="D481" s="212" t="s">
        <v>596</v>
      </c>
      <c r="E481" s="211" t="s">
        <v>597</v>
      </c>
      <c r="F481" s="212" t="s">
        <v>598</v>
      </c>
      <c r="G481" s="211" t="s">
        <v>212</v>
      </c>
      <c r="H481" s="212" t="s">
        <v>23</v>
      </c>
      <c r="I481" s="212" t="s">
        <v>1530</v>
      </c>
      <c r="J481" s="212">
        <v>201410</v>
      </c>
      <c r="K481" s="213">
        <v>100421.51</v>
      </c>
      <c r="L481" s="171">
        <f>VLOOKUP(J481,$U$9:$V$23,2)</f>
        <v>8</v>
      </c>
      <c r="M481" s="214">
        <v>2.23333E-3</v>
      </c>
      <c r="N481" s="213">
        <f>ROUND(K481*L481*M481,2)</f>
        <v>1794.19</v>
      </c>
      <c r="O481" s="213">
        <f>ROUND(K481*M481*12,2)</f>
        <v>2691.29</v>
      </c>
      <c r="P481" s="14"/>
      <c r="Q481" s="210" t="str">
        <f>VLOOKUP(D481,'WO Descriptions'!$A$5:$D$345,4)</f>
        <v>Service/Yard Line Replacement (SLRP): Contract Crew.  Immediate response - replacement single unprotected steel or copper  (Lee's Summit - East Region)</v>
      </c>
    </row>
    <row r="482" spans="1:19" ht="30" outlineLevel="2">
      <c r="A482" s="3" t="s">
        <v>596</v>
      </c>
      <c r="B482" s="211" t="s">
        <v>66</v>
      </c>
      <c r="C482" s="212" t="s">
        <v>595</v>
      </c>
      <c r="D482" s="212" t="s">
        <v>596</v>
      </c>
      <c r="E482" s="211" t="s">
        <v>597</v>
      </c>
      <c r="F482" s="212" t="s">
        <v>598</v>
      </c>
      <c r="G482" s="211" t="s">
        <v>212</v>
      </c>
      <c r="H482" s="212" t="s">
        <v>23</v>
      </c>
      <c r="I482" s="212" t="s">
        <v>1530</v>
      </c>
      <c r="J482" s="212">
        <v>201411</v>
      </c>
      <c r="K482" s="213">
        <v>46466.6</v>
      </c>
      <c r="L482" s="171">
        <f>VLOOKUP(J482,$U$9:$V$23,2)</f>
        <v>7</v>
      </c>
      <c r="M482" s="214">
        <v>2.23333E-3</v>
      </c>
      <c r="N482" s="213">
        <f>ROUND(K482*L482*M482,2)</f>
        <v>726.43</v>
      </c>
      <c r="O482" s="213">
        <f>ROUND(K482*M482*12,2)</f>
        <v>1245.3</v>
      </c>
      <c r="P482" s="14"/>
      <c r="Q482" s="210" t="str">
        <f>VLOOKUP(D482,'WO Descriptions'!$A$5:$D$345,4)</f>
        <v>Service/Yard Line Replacement (SLRP): Contract Crew.  Immediate response - replacement single unprotected steel or copper  (Lee's Summit - East Region)</v>
      </c>
    </row>
    <row r="483" spans="1:19" ht="30" outlineLevel="2">
      <c r="A483" s="3" t="s">
        <v>596</v>
      </c>
      <c r="B483" s="211" t="s">
        <v>66</v>
      </c>
      <c r="C483" s="212" t="s">
        <v>595</v>
      </c>
      <c r="D483" s="212" t="s">
        <v>596</v>
      </c>
      <c r="E483" s="211" t="s">
        <v>597</v>
      </c>
      <c r="F483" s="212" t="s">
        <v>598</v>
      </c>
      <c r="G483" s="211" t="s">
        <v>212</v>
      </c>
      <c r="H483" s="212" t="s">
        <v>23</v>
      </c>
      <c r="I483" s="212" t="s">
        <v>1530</v>
      </c>
      <c r="J483" s="212">
        <v>201412</v>
      </c>
      <c r="K483" s="213">
        <v>24356.41</v>
      </c>
      <c r="L483" s="171">
        <f>VLOOKUP(J483,$U$9:$V$23,2)</f>
        <v>6</v>
      </c>
      <c r="M483" s="214">
        <v>2.23333E-3</v>
      </c>
      <c r="N483" s="213">
        <f>ROUND(K483*L483*M483,2)</f>
        <v>326.38</v>
      </c>
      <c r="O483" s="213">
        <f>ROUND(K483*M483*12,2)</f>
        <v>652.75</v>
      </c>
      <c r="P483" s="14"/>
      <c r="Q483" s="210" t="str">
        <f>VLOOKUP(D483,'WO Descriptions'!$A$5:$D$345,4)</f>
        <v>Service/Yard Line Replacement (SLRP): Contract Crew.  Immediate response - replacement single unprotected steel or copper  (Lee's Summit - East Region)</v>
      </c>
    </row>
    <row r="484" spans="1:19" outlineLevel="1">
      <c r="A484" s="3" t="s">
        <v>1929</v>
      </c>
      <c r="B484" s="256"/>
      <c r="C484" s="257"/>
      <c r="D484" s="260" t="s">
        <v>1929</v>
      </c>
      <c r="E484" s="256"/>
      <c r="F484" s="257"/>
      <c r="G484" s="256"/>
      <c r="H484" s="257"/>
      <c r="I484" s="257"/>
      <c r="J484" s="257"/>
      <c r="K484" s="258">
        <f>SUBTOTAL(9,K480:K483)</f>
        <v>431343.84999999992</v>
      </c>
      <c r="L484" s="252"/>
      <c r="M484" s="259"/>
      <c r="N484" s="258">
        <f>SUBTOTAL(9,N480:N483)</f>
        <v>8074.9900000000007</v>
      </c>
      <c r="O484" s="258">
        <f>SUBTOTAL(9,O480:O483)</f>
        <v>11559.989999999998</v>
      </c>
      <c r="P484" s="223"/>
      <c r="Q484" s="210"/>
      <c r="R484" s="263" t="s">
        <v>2097</v>
      </c>
      <c r="S484" s="263" t="s">
        <v>2102</v>
      </c>
    </row>
    <row r="485" spans="1:19" outlineLevel="2">
      <c r="A485" s="3" t="s">
        <v>600</v>
      </c>
      <c r="B485" s="211" t="s">
        <v>66</v>
      </c>
      <c r="C485" s="212" t="s">
        <v>599</v>
      </c>
      <c r="D485" s="212" t="s">
        <v>600</v>
      </c>
      <c r="E485" s="211" t="s">
        <v>385</v>
      </c>
      <c r="F485" s="212" t="s">
        <v>601</v>
      </c>
      <c r="G485" s="211" t="s">
        <v>387</v>
      </c>
      <c r="H485" s="212" t="s">
        <v>23</v>
      </c>
      <c r="I485" s="212" t="s">
        <v>1530</v>
      </c>
      <c r="J485" s="212">
        <v>201409</v>
      </c>
      <c r="K485" s="213">
        <v>3438.85</v>
      </c>
      <c r="L485" s="171">
        <f>VLOOKUP(J485,$U$9:$V$23,2)</f>
        <v>9</v>
      </c>
      <c r="M485" s="214">
        <v>2.23333E-3</v>
      </c>
      <c r="N485" s="213">
        <f>ROUND(K485*L485*M485,2)</f>
        <v>69.12</v>
      </c>
      <c r="O485" s="213">
        <f>ROUND(K485*M485*12,2)</f>
        <v>92.16</v>
      </c>
      <c r="P485" s="14"/>
      <c r="Q485" s="210" t="str">
        <f>VLOOKUP(D485,'WO Descriptions'!$A$5:$D$345,4)</f>
        <v>Replacement and/or removal of existing protected steel or plastic (St. Joseph)</v>
      </c>
    </row>
    <row r="486" spans="1:19" outlineLevel="2">
      <c r="A486" s="3" t="s">
        <v>600</v>
      </c>
      <c r="B486" s="211" t="s">
        <v>66</v>
      </c>
      <c r="C486" s="212" t="s">
        <v>599</v>
      </c>
      <c r="D486" s="212" t="s">
        <v>600</v>
      </c>
      <c r="E486" s="211" t="s">
        <v>385</v>
      </c>
      <c r="F486" s="212" t="s">
        <v>601</v>
      </c>
      <c r="G486" s="211" t="s">
        <v>387</v>
      </c>
      <c r="H486" s="212" t="s">
        <v>23</v>
      </c>
      <c r="I486" s="212" t="s">
        <v>1530</v>
      </c>
      <c r="J486" s="212">
        <v>201410</v>
      </c>
      <c r="K486" s="213">
        <v>5829.85</v>
      </c>
      <c r="L486" s="171">
        <f>VLOOKUP(J486,$U$9:$V$23,2)</f>
        <v>8</v>
      </c>
      <c r="M486" s="214">
        <v>2.23333E-3</v>
      </c>
      <c r="N486" s="213">
        <f>ROUND(K486*L486*M486,2)</f>
        <v>104.16</v>
      </c>
      <c r="O486" s="213">
        <f>ROUND(K486*M486*12,2)</f>
        <v>156.24</v>
      </c>
      <c r="P486" s="14"/>
      <c r="Q486" s="210" t="str">
        <f>VLOOKUP(D486,'WO Descriptions'!$A$5:$D$345,4)</f>
        <v>Replacement and/or removal of existing protected steel or plastic (St. Joseph)</v>
      </c>
    </row>
    <row r="487" spans="1:19" outlineLevel="2">
      <c r="A487" s="3" t="s">
        <v>600</v>
      </c>
      <c r="B487" s="211" t="s">
        <v>66</v>
      </c>
      <c r="C487" s="212" t="s">
        <v>599</v>
      </c>
      <c r="D487" s="212" t="s">
        <v>600</v>
      </c>
      <c r="E487" s="211" t="s">
        <v>385</v>
      </c>
      <c r="F487" s="212" t="s">
        <v>601</v>
      </c>
      <c r="G487" s="211" t="s">
        <v>387</v>
      </c>
      <c r="H487" s="212" t="s">
        <v>23</v>
      </c>
      <c r="I487" s="212" t="s">
        <v>1530</v>
      </c>
      <c r="J487" s="212">
        <v>201411</v>
      </c>
      <c r="K487" s="213">
        <v>5494.87</v>
      </c>
      <c r="L487" s="171">
        <f>VLOOKUP(J487,$U$9:$V$23,2)</f>
        <v>7</v>
      </c>
      <c r="M487" s="214">
        <v>2.23333E-3</v>
      </c>
      <c r="N487" s="213">
        <f>ROUND(K487*L487*M487,2)</f>
        <v>85.9</v>
      </c>
      <c r="O487" s="213">
        <f>ROUND(K487*M487*12,2)</f>
        <v>147.26</v>
      </c>
      <c r="P487" s="14"/>
      <c r="Q487" s="210" t="str">
        <f>VLOOKUP(D487,'WO Descriptions'!$A$5:$D$345,4)</f>
        <v>Replacement and/or removal of existing protected steel or plastic (St. Joseph)</v>
      </c>
    </row>
    <row r="488" spans="1:19" outlineLevel="2">
      <c r="A488" s="3" t="s">
        <v>600</v>
      </c>
      <c r="B488" s="211" t="s">
        <v>66</v>
      </c>
      <c r="C488" s="212" t="s">
        <v>599</v>
      </c>
      <c r="D488" s="212" t="s">
        <v>600</v>
      </c>
      <c r="E488" s="211" t="s">
        <v>385</v>
      </c>
      <c r="F488" s="212" t="s">
        <v>601</v>
      </c>
      <c r="G488" s="211" t="s">
        <v>387</v>
      </c>
      <c r="H488" s="212" t="s">
        <v>23</v>
      </c>
      <c r="I488" s="212" t="s">
        <v>1530</v>
      </c>
      <c r="J488" s="212">
        <v>201412</v>
      </c>
      <c r="K488" s="213">
        <v>5423.03</v>
      </c>
      <c r="L488" s="171">
        <f>VLOOKUP(J488,$U$9:$V$23,2)</f>
        <v>6</v>
      </c>
      <c r="M488" s="214">
        <v>2.23333E-3</v>
      </c>
      <c r="N488" s="213">
        <f>ROUND(K488*L488*M488,2)</f>
        <v>72.67</v>
      </c>
      <c r="O488" s="213">
        <f>ROUND(K488*M488*12,2)</f>
        <v>145.34</v>
      </c>
      <c r="P488" s="14"/>
      <c r="Q488" s="210" t="str">
        <f>VLOOKUP(D488,'WO Descriptions'!$A$5:$D$345,4)</f>
        <v>Replacement and/or removal of existing protected steel or plastic (St. Joseph)</v>
      </c>
    </row>
    <row r="489" spans="1:19" outlineLevel="1">
      <c r="A489" s="3" t="s">
        <v>1930</v>
      </c>
      <c r="B489" s="256"/>
      <c r="C489" s="257"/>
      <c r="D489" s="260" t="s">
        <v>1930</v>
      </c>
      <c r="E489" s="256"/>
      <c r="F489" s="257"/>
      <c r="G489" s="256"/>
      <c r="H489" s="257"/>
      <c r="I489" s="257"/>
      <c r="J489" s="257"/>
      <c r="K489" s="258">
        <f>SUBTOTAL(9,K485:K488)</f>
        <v>20186.599999999999</v>
      </c>
      <c r="L489" s="252"/>
      <c r="M489" s="259"/>
      <c r="N489" s="258">
        <f>SUBTOTAL(9,N485:N488)</f>
        <v>331.85</v>
      </c>
      <c r="O489" s="258">
        <f>SUBTOTAL(9,O485:O488)</f>
        <v>541</v>
      </c>
      <c r="P489" s="223"/>
      <c r="Q489" s="210"/>
      <c r="R489" s="263" t="s">
        <v>2097</v>
      </c>
      <c r="S489" s="263" t="s">
        <v>2102</v>
      </c>
    </row>
    <row r="490" spans="1:19" ht="75" outlineLevel="2">
      <c r="A490" s="3" t="s">
        <v>603</v>
      </c>
      <c r="B490" s="14" t="s">
        <v>17</v>
      </c>
      <c r="C490" s="15" t="s">
        <v>602</v>
      </c>
      <c r="D490" s="15" t="s">
        <v>603</v>
      </c>
      <c r="E490" s="14" t="s">
        <v>604</v>
      </c>
      <c r="F490" s="15" t="s">
        <v>58</v>
      </c>
      <c r="G490" s="14" t="s">
        <v>22</v>
      </c>
      <c r="H490" s="15" t="s">
        <v>23</v>
      </c>
      <c r="I490" s="15" t="s">
        <v>1525</v>
      </c>
      <c r="J490" s="15">
        <v>201409</v>
      </c>
      <c r="K490" s="16">
        <v>50.89</v>
      </c>
      <c r="L490" s="171">
        <f>VLOOKUP(J490,$U$9:$V$23,2)</f>
        <v>9</v>
      </c>
      <c r="M490" s="17">
        <v>1.4833299999999999E-3</v>
      </c>
      <c r="N490" s="16">
        <f>ROUND(K490*L490*M490,2)</f>
        <v>0.68</v>
      </c>
      <c r="O490" s="16">
        <f>ROUND(K490*M490*12,2)</f>
        <v>0.91</v>
      </c>
      <c r="P490" s="14"/>
      <c r="Q490" s="210" t="str">
        <f>VLOOKUP(D490,'WO Descriptions'!$A$5:$D$345,4)</f>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
    </row>
    <row r="491" spans="1:19" outlineLevel="1">
      <c r="A491" s="3" t="s">
        <v>1931</v>
      </c>
      <c r="B491" s="223"/>
      <c r="C491" s="250"/>
      <c r="D491" s="254" t="s">
        <v>1931</v>
      </c>
      <c r="E491" s="223"/>
      <c r="F491" s="250"/>
      <c r="G491" s="223"/>
      <c r="H491" s="250"/>
      <c r="I491" s="250"/>
      <c r="J491" s="250"/>
      <c r="K491" s="251">
        <f>SUBTOTAL(9,K490:K490)</f>
        <v>50.89</v>
      </c>
      <c r="L491" s="252"/>
      <c r="M491" s="253"/>
      <c r="N491" s="251">
        <f>SUBTOTAL(9,N490:N490)</f>
        <v>0.68</v>
      </c>
      <c r="O491" s="251">
        <f>SUBTOTAL(9,O490:O490)</f>
        <v>0.91</v>
      </c>
      <c r="P491" s="223"/>
      <c r="Q491" s="210"/>
      <c r="R491" s="263" t="s">
        <v>2097</v>
      </c>
      <c r="S491" s="263" t="s">
        <v>2098</v>
      </c>
    </row>
    <row r="492" spans="1:19" ht="180" outlineLevel="2">
      <c r="A492" s="3" t="s">
        <v>606</v>
      </c>
      <c r="B492" s="18" t="s">
        <v>17</v>
      </c>
      <c r="C492" s="15" t="s">
        <v>605</v>
      </c>
      <c r="D492" s="15" t="s">
        <v>606</v>
      </c>
      <c r="E492" s="14" t="s">
        <v>607</v>
      </c>
      <c r="F492" s="15" t="s">
        <v>62</v>
      </c>
      <c r="G492" s="14" t="s">
        <v>22</v>
      </c>
      <c r="H492" s="15" t="s">
        <v>23</v>
      </c>
      <c r="I492" s="15" t="s">
        <v>1525</v>
      </c>
      <c r="J492" s="15">
        <v>201409</v>
      </c>
      <c r="K492" s="16">
        <v>-1362.37</v>
      </c>
      <c r="L492" s="171">
        <f>VLOOKUP(J492,$U$9:$V$23,2)</f>
        <v>9</v>
      </c>
      <c r="M492" s="17">
        <v>1.4833299999999999E-3</v>
      </c>
      <c r="N492" s="16">
        <f>ROUND(K492*L492*M492,2)</f>
        <v>-18.190000000000001</v>
      </c>
      <c r="O492" s="16">
        <f>ROUND(K492*M492*12,2)</f>
        <v>-24.25</v>
      </c>
      <c r="P492" s="14"/>
      <c r="Q492" s="210" t="str">
        <f>VLOOKUP(D492,'WO Descriptions'!$A$5:$D$345,4)</f>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
    </row>
    <row r="493" spans="1:19" outlineLevel="1">
      <c r="A493" s="3" t="s">
        <v>1932</v>
      </c>
      <c r="B493" s="225"/>
      <c r="C493" s="250"/>
      <c r="D493" s="254" t="s">
        <v>1932</v>
      </c>
      <c r="E493" s="223"/>
      <c r="F493" s="250"/>
      <c r="G493" s="223"/>
      <c r="H493" s="250"/>
      <c r="I493" s="250"/>
      <c r="J493" s="250"/>
      <c r="K493" s="251">
        <f>SUBTOTAL(9,K492:K492)</f>
        <v>-1362.37</v>
      </c>
      <c r="L493" s="252"/>
      <c r="M493" s="253"/>
      <c r="N493" s="251">
        <f>SUBTOTAL(9,N492:N492)</f>
        <v>-18.190000000000001</v>
      </c>
      <c r="O493" s="251">
        <f>SUBTOTAL(9,O492:O492)</f>
        <v>-24.25</v>
      </c>
      <c r="P493" s="223"/>
      <c r="Q493" s="210"/>
      <c r="R493" s="263" t="s">
        <v>2097</v>
      </c>
      <c r="S493" s="263" t="s">
        <v>2098</v>
      </c>
    </row>
    <row r="494" spans="1:19" ht="45" outlineLevel="2">
      <c r="A494" s="3" t="s">
        <v>609</v>
      </c>
      <c r="B494" s="18" t="s">
        <v>17</v>
      </c>
      <c r="C494" s="15" t="s">
        <v>608</v>
      </c>
      <c r="D494" s="15" t="s">
        <v>609</v>
      </c>
      <c r="E494" s="14" t="s">
        <v>610</v>
      </c>
      <c r="F494" s="15" t="s">
        <v>45</v>
      </c>
      <c r="G494" s="14" t="s">
        <v>22</v>
      </c>
      <c r="H494" s="15" t="s">
        <v>23</v>
      </c>
      <c r="I494" s="15" t="s">
        <v>1525</v>
      </c>
      <c r="J494" s="15">
        <v>201409</v>
      </c>
      <c r="K494" s="16">
        <v>-283.43</v>
      </c>
      <c r="L494" s="171">
        <f>VLOOKUP(J494,$U$9:$V$23,2)</f>
        <v>9</v>
      </c>
      <c r="M494" s="17">
        <v>1.4833299999999999E-3</v>
      </c>
      <c r="N494" s="16">
        <f>ROUND(K494*L494*M494,2)</f>
        <v>-3.78</v>
      </c>
      <c r="O494" s="16">
        <f>ROUND(K494*M494*12,2)</f>
        <v>-5.05</v>
      </c>
      <c r="P494" s="14"/>
      <c r="Q494" s="210" t="str">
        <f>VLOOKUP(D494,'WO Descriptions'!$A$5:$D$345,4)</f>
        <v>Approved by: Gary Williams on 04/08/2013,  Replace 40'-12in bare steel and 4'-3in bare steel, work orders unknow. Replaced with 40'-12in TF Steel main.  This work order was necessary due to leak on 12in steel main.</v>
      </c>
    </row>
    <row r="495" spans="1:19" outlineLevel="1">
      <c r="A495" s="3" t="s">
        <v>1933</v>
      </c>
      <c r="B495" s="225"/>
      <c r="C495" s="250"/>
      <c r="D495" s="254" t="s">
        <v>1933</v>
      </c>
      <c r="E495" s="223"/>
      <c r="F495" s="250"/>
      <c r="G495" s="223"/>
      <c r="H495" s="250"/>
      <c r="I495" s="250"/>
      <c r="J495" s="250"/>
      <c r="K495" s="251">
        <f>SUBTOTAL(9,K494:K494)</f>
        <v>-283.43</v>
      </c>
      <c r="L495" s="252"/>
      <c r="M495" s="253"/>
      <c r="N495" s="251">
        <f>SUBTOTAL(9,N494:N494)</f>
        <v>-3.78</v>
      </c>
      <c r="O495" s="251">
        <f>SUBTOTAL(9,O494:O494)</f>
        <v>-5.05</v>
      </c>
      <c r="P495" s="223"/>
      <c r="Q495" s="210"/>
      <c r="R495" s="263" t="s">
        <v>2097</v>
      </c>
      <c r="S495" s="263" t="s">
        <v>2098</v>
      </c>
    </row>
    <row r="496" spans="1:19" ht="135" outlineLevel="2">
      <c r="A496" s="3" t="s">
        <v>612</v>
      </c>
      <c r="B496" s="18" t="s">
        <v>17</v>
      </c>
      <c r="C496" s="15" t="s">
        <v>611</v>
      </c>
      <c r="D496" s="15" t="s">
        <v>612</v>
      </c>
      <c r="E496" s="14" t="s">
        <v>613</v>
      </c>
      <c r="F496" s="15" t="s">
        <v>324</v>
      </c>
      <c r="G496" s="14" t="s">
        <v>325</v>
      </c>
      <c r="H496" s="15" t="s">
        <v>23</v>
      </c>
      <c r="I496" s="15" t="s">
        <v>1525</v>
      </c>
      <c r="J496" s="15">
        <v>201409</v>
      </c>
      <c r="K496" s="16">
        <v>-386.84</v>
      </c>
      <c r="L496" s="171">
        <f>VLOOKUP(J496,$U$9:$V$23,2)</f>
        <v>9</v>
      </c>
      <c r="M496" s="17">
        <v>1.4833299999999999E-3</v>
      </c>
      <c r="N496" s="16">
        <f>ROUND(K496*L496*M496,2)</f>
        <v>-5.16</v>
      </c>
      <c r="O496" s="16">
        <f>ROUND(K496*M496*12,2)</f>
        <v>-6.89</v>
      </c>
      <c r="P496" s="14"/>
      <c r="Q496" s="210" t="str">
        <f>VLOOKUP(D496,'WO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497" spans="1:19" ht="135" outlineLevel="2">
      <c r="A497" s="3" t="s">
        <v>612</v>
      </c>
      <c r="B497" s="18" t="s">
        <v>17</v>
      </c>
      <c r="C497" s="15" t="s">
        <v>611</v>
      </c>
      <c r="D497" s="15" t="s">
        <v>612</v>
      </c>
      <c r="E497" s="14" t="s">
        <v>613</v>
      </c>
      <c r="F497" s="15" t="s">
        <v>324</v>
      </c>
      <c r="G497" s="14" t="s">
        <v>325</v>
      </c>
      <c r="H497" s="15" t="s">
        <v>23</v>
      </c>
      <c r="I497" s="15" t="s">
        <v>1525</v>
      </c>
      <c r="J497" s="15">
        <v>201410</v>
      </c>
      <c r="K497" s="16">
        <v>0</v>
      </c>
      <c r="L497" s="171">
        <f>VLOOKUP(J497,$U$9:$V$23,2)</f>
        <v>8</v>
      </c>
      <c r="M497" s="17">
        <v>1.4833299999999999E-3</v>
      </c>
      <c r="N497" s="16">
        <f>ROUND(K497*L497*M497,2)</f>
        <v>0</v>
      </c>
      <c r="O497" s="16">
        <f>ROUND(K497*M497*12,2)</f>
        <v>0</v>
      </c>
      <c r="P497" s="14"/>
      <c r="Q497" s="210" t="str">
        <f>VLOOKUP(D497,'WO Descriptions'!$A$5:$D$345,4)</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row>
    <row r="498" spans="1:19" outlineLevel="1">
      <c r="A498" s="3" t="s">
        <v>1934</v>
      </c>
      <c r="B498" s="225"/>
      <c r="C498" s="250"/>
      <c r="D498" s="254" t="s">
        <v>1934</v>
      </c>
      <c r="E498" s="223"/>
      <c r="F498" s="250"/>
      <c r="G498" s="223"/>
      <c r="H498" s="250"/>
      <c r="I498" s="250"/>
      <c r="J498" s="250"/>
      <c r="K498" s="251">
        <f>SUBTOTAL(9,K496:K497)</f>
        <v>-386.84</v>
      </c>
      <c r="L498" s="252"/>
      <c r="M498" s="253"/>
      <c r="N498" s="251">
        <f>SUBTOTAL(9,N496:N497)</f>
        <v>-5.16</v>
      </c>
      <c r="O498" s="251">
        <f>SUBTOTAL(9,O496:O497)</f>
        <v>-6.89</v>
      </c>
      <c r="P498" s="223"/>
      <c r="Q498" s="210"/>
      <c r="R498" s="263" t="s">
        <v>2094</v>
      </c>
      <c r="S498" s="263" t="s">
        <v>2095</v>
      </c>
    </row>
    <row r="499" spans="1:19" ht="30" outlineLevel="2">
      <c r="A499" s="3" t="s">
        <v>615</v>
      </c>
      <c r="B499" s="18" t="s">
        <v>17</v>
      </c>
      <c r="C499" s="15" t="s">
        <v>614</v>
      </c>
      <c r="D499" s="15" t="s">
        <v>615</v>
      </c>
      <c r="E499" s="14" t="s">
        <v>616</v>
      </c>
      <c r="F499" s="15" t="s">
        <v>40</v>
      </c>
      <c r="G499" s="14" t="s">
        <v>41</v>
      </c>
      <c r="H499" s="15" t="s">
        <v>23</v>
      </c>
      <c r="I499" s="15" t="s">
        <v>1526</v>
      </c>
      <c r="J499" s="15">
        <v>201409</v>
      </c>
      <c r="K499" s="16">
        <v>-6.15</v>
      </c>
      <c r="L499" s="171">
        <f>VLOOKUP(J499,$U$9:$V$23,2)</f>
        <v>9</v>
      </c>
      <c r="M499" s="17">
        <v>1.4833299999999999E-3</v>
      </c>
      <c r="N499" s="16">
        <f>ROUND(K499*L499*M499,2)</f>
        <v>-0.08</v>
      </c>
      <c r="O499" s="16">
        <f>ROUND(K499*M499*12,2)</f>
        <v>-0.11</v>
      </c>
      <c r="P499" s="14"/>
      <c r="Q499" s="210" t="str">
        <f>VLOOKUP(D499,'WO Descriptions'!$A$5:$D$345,4)</f>
        <v>Approved by: Kevin Driskell on 01/13/2014,  Replace 19'-3in PCS with 3" PCS due to new storm sewer conflict.  Work done my MGE crew.  Retire 7'-3in PCS, year 1962, 62-1512</v>
      </c>
    </row>
    <row r="500" spans="1:19" outlineLevel="1">
      <c r="A500" s="3" t="s">
        <v>1935</v>
      </c>
      <c r="B500" s="225"/>
      <c r="C500" s="250"/>
      <c r="D500" s="254" t="s">
        <v>1935</v>
      </c>
      <c r="E500" s="223"/>
      <c r="F500" s="250"/>
      <c r="G500" s="223"/>
      <c r="H500" s="250"/>
      <c r="I500" s="250"/>
      <c r="J500" s="250"/>
      <c r="K500" s="251">
        <f>SUBTOTAL(9,K499:K499)</f>
        <v>-6.15</v>
      </c>
      <c r="L500" s="252"/>
      <c r="M500" s="253"/>
      <c r="N500" s="251">
        <f>SUBTOTAL(9,N499:N499)</f>
        <v>-0.08</v>
      </c>
      <c r="O500" s="251">
        <f>SUBTOTAL(9,O499:O499)</f>
        <v>-0.11</v>
      </c>
      <c r="P500" s="223"/>
      <c r="Q500" s="210"/>
      <c r="R500" s="263" t="s">
        <v>2096</v>
      </c>
    </row>
    <row r="501" spans="1:19" ht="75" outlineLevel="2">
      <c r="A501" s="3" t="s">
        <v>618</v>
      </c>
      <c r="B501" s="18" t="s">
        <v>17</v>
      </c>
      <c r="C501" s="15" t="s">
        <v>617</v>
      </c>
      <c r="D501" s="15" t="s">
        <v>618</v>
      </c>
      <c r="E501" s="14" t="s">
        <v>619</v>
      </c>
      <c r="F501" s="15" t="s">
        <v>141</v>
      </c>
      <c r="G501" s="14" t="s">
        <v>142</v>
      </c>
      <c r="H501" s="15" t="s">
        <v>23</v>
      </c>
      <c r="I501" s="15" t="s">
        <v>1525</v>
      </c>
      <c r="J501" s="15">
        <v>201409</v>
      </c>
      <c r="K501" s="16">
        <v>-725.84</v>
      </c>
      <c r="L501" s="171">
        <f>VLOOKUP(J501,$U$9:$V$23,2)</f>
        <v>9</v>
      </c>
      <c r="M501" s="17">
        <v>1.4833299999999999E-3</v>
      </c>
      <c r="N501" s="16">
        <f>ROUND(K501*L501*M501,2)</f>
        <v>-9.69</v>
      </c>
      <c r="O501" s="16">
        <f>ROUND(K501*M501*12,2)</f>
        <v>-12.92</v>
      </c>
      <c r="P501" s="14"/>
      <c r="Q501" s="210" t="str">
        <f>VLOOKUP(D501,'WO Descriptions'!$A$5:$D$345,4)</f>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
    </row>
    <row r="502" spans="1:19" outlineLevel="1">
      <c r="A502" s="3" t="s">
        <v>1936</v>
      </c>
      <c r="B502" s="225"/>
      <c r="C502" s="250"/>
      <c r="D502" s="254" t="s">
        <v>1936</v>
      </c>
      <c r="E502" s="223"/>
      <c r="F502" s="250"/>
      <c r="G502" s="223"/>
      <c r="H502" s="250"/>
      <c r="I502" s="250"/>
      <c r="J502" s="250"/>
      <c r="K502" s="251">
        <f>SUBTOTAL(9,K501:K501)</f>
        <v>-725.84</v>
      </c>
      <c r="L502" s="252"/>
      <c r="M502" s="253"/>
      <c r="N502" s="251">
        <f>SUBTOTAL(9,N501:N501)</f>
        <v>-9.69</v>
      </c>
      <c r="O502" s="251">
        <f>SUBTOTAL(9,O501:O501)</f>
        <v>-12.92</v>
      </c>
      <c r="P502" s="223"/>
      <c r="Q502" s="210"/>
      <c r="R502" s="263" t="s">
        <v>2097</v>
      </c>
      <c r="S502" s="263" t="s">
        <v>2100</v>
      </c>
    </row>
    <row r="503" spans="1:19" ht="45" outlineLevel="2">
      <c r="A503" s="3" t="s">
        <v>621</v>
      </c>
      <c r="B503" s="14" t="s">
        <v>66</v>
      </c>
      <c r="C503" s="15" t="s">
        <v>620</v>
      </c>
      <c r="D503" s="15" t="s">
        <v>621</v>
      </c>
      <c r="E503" s="14" t="s">
        <v>622</v>
      </c>
      <c r="F503" s="15" t="s">
        <v>623</v>
      </c>
      <c r="G503" s="14" t="s">
        <v>624</v>
      </c>
      <c r="H503" s="15" t="s">
        <v>23</v>
      </c>
      <c r="I503" s="15" t="s">
        <v>1527</v>
      </c>
      <c r="J503" s="15">
        <v>201409</v>
      </c>
      <c r="K503" s="16">
        <v>-176.28</v>
      </c>
      <c r="L503" s="171">
        <f>VLOOKUP(J503,$U$9:$V$23,2)</f>
        <v>9</v>
      </c>
      <c r="M503" s="17">
        <v>2.23333E-3</v>
      </c>
      <c r="N503" s="16">
        <f>ROUND(K503*L503*M503,2)</f>
        <v>-3.54</v>
      </c>
      <c r="O503" s="16">
        <f>ROUND(K503*M503*12,2)</f>
        <v>-4.72</v>
      </c>
      <c r="P503" s="14"/>
      <c r="Q503" s="210" t="str">
        <f>VLOOKUP(D503,'WO Descriptions'!$A$5:$D$345,4)</f>
        <v>Approved by: Kevin Driskell on 12/06/2013,  Replacing 20ft-2in cs (WO# N/A) service line with 280ft-2in pe service line. Due to leak on main will need to reroute service line to a different main 4in pe (WO#93-2450).</v>
      </c>
    </row>
    <row r="504" spans="1:19" outlineLevel="1">
      <c r="A504" s="3" t="s">
        <v>1937</v>
      </c>
      <c r="B504" s="223"/>
      <c r="C504" s="250"/>
      <c r="D504" s="254" t="s">
        <v>1937</v>
      </c>
      <c r="E504" s="223"/>
      <c r="F504" s="250"/>
      <c r="G504" s="223"/>
      <c r="H504" s="250"/>
      <c r="I504" s="250"/>
      <c r="J504" s="250"/>
      <c r="K504" s="251">
        <f>SUBTOTAL(9,K503:K503)</f>
        <v>-176.28</v>
      </c>
      <c r="L504" s="252"/>
      <c r="M504" s="253"/>
      <c r="N504" s="251">
        <f>SUBTOTAL(9,N503:N503)</f>
        <v>-3.54</v>
      </c>
      <c r="O504" s="251">
        <f>SUBTOTAL(9,O503:O503)</f>
        <v>-4.72</v>
      </c>
      <c r="P504" s="223"/>
      <c r="Q504" s="210"/>
      <c r="R504" s="263" t="s">
        <v>2097</v>
      </c>
      <c r="S504" s="263" t="s">
        <v>2104</v>
      </c>
    </row>
    <row r="505" spans="1:19" ht="60" outlineLevel="2">
      <c r="A505" s="3" t="s">
        <v>626</v>
      </c>
      <c r="B505" s="14" t="s">
        <v>17</v>
      </c>
      <c r="C505" s="15" t="s">
        <v>625</v>
      </c>
      <c r="D505" s="15" t="s">
        <v>626</v>
      </c>
      <c r="E505" s="14" t="s">
        <v>627</v>
      </c>
      <c r="F505" s="15" t="s">
        <v>62</v>
      </c>
      <c r="G505" s="14" t="s">
        <v>22</v>
      </c>
      <c r="H505" s="15" t="s">
        <v>23</v>
      </c>
      <c r="I505" s="15" t="s">
        <v>1525</v>
      </c>
      <c r="J505" s="15">
        <v>201409</v>
      </c>
      <c r="K505" s="16">
        <v>-536.53</v>
      </c>
      <c r="L505" s="171">
        <f>VLOOKUP(J505,$U$9:$V$23,2)</f>
        <v>9</v>
      </c>
      <c r="M505" s="17">
        <v>1.4833299999999999E-3</v>
      </c>
      <c r="N505" s="16">
        <f>ROUND(K505*L505*M505,2)</f>
        <v>-7.16</v>
      </c>
      <c r="O505" s="16">
        <f>ROUND(K505*M505*12,2)</f>
        <v>-9.5500000000000007</v>
      </c>
      <c r="P505" s="14"/>
      <c r="Q505" s="210" t="str">
        <f>VLOOKUP(D505,'WO Descriptions'!$A$5:$D$345,4)</f>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
    </row>
    <row r="506" spans="1:19" outlineLevel="1">
      <c r="A506" s="3" t="s">
        <v>1938</v>
      </c>
      <c r="B506" s="223"/>
      <c r="C506" s="250"/>
      <c r="D506" s="254" t="s">
        <v>1938</v>
      </c>
      <c r="E506" s="223"/>
      <c r="F506" s="250"/>
      <c r="G506" s="223"/>
      <c r="H506" s="250"/>
      <c r="I506" s="250"/>
      <c r="J506" s="250"/>
      <c r="K506" s="251">
        <f>SUBTOTAL(9,K505:K505)</f>
        <v>-536.53</v>
      </c>
      <c r="L506" s="252"/>
      <c r="M506" s="253"/>
      <c r="N506" s="251">
        <f>SUBTOTAL(9,N505:N505)</f>
        <v>-7.16</v>
      </c>
      <c r="O506" s="251">
        <f>SUBTOTAL(9,O505:O505)</f>
        <v>-9.5500000000000007</v>
      </c>
      <c r="P506" s="223"/>
      <c r="Q506" s="210"/>
      <c r="R506" s="263" t="s">
        <v>2097</v>
      </c>
      <c r="S506" s="263" t="s">
        <v>2098</v>
      </c>
    </row>
    <row r="507" spans="1:19" ht="75" outlineLevel="2">
      <c r="A507" s="3" t="s">
        <v>1031</v>
      </c>
      <c r="B507" s="14" t="s">
        <v>17</v>
      </c>
      <c r="C507" s="15" t="s">
        <v>1030</v>
      </c>
      <c r="D507" s="15" t="s">
        <v>1031</v>
      </c>
      <c r="E507" s="14" t="s">
        <v>1032</v>
      </c>
      <c r="F507" s="15" t="s">
        <v>53</v>
      </c>
      <c r="G507" s="14" t="s">
        <v>41</v>
      </c>
      <c r="H507" s="15" t="s">
        <v>23</v>
      </c>
      <c r="I507" s="15" t="s">
        <v>1526</v>
      </c>
      <c r="J507" s="15">
        <v>201412</v>
      </c>
      <c r="K507" s="16">
        <v>77100.09</v>
      </c>
      <c r="L507" s="171">
        <f>VLOOKUP(J507,$U$9:$V$23,2)</f>
        <v>6</v>
      </c>
      <c r="M507" s="17">
        <v>1.4833299999999999E-3</v>
      </c>
      <c r="N507" s="16">
        <f>ROUND(K507*L507*M507,2)</f>
        <v>686.19</v>
      </c>
      <c r="O507" s="16">
        <f>ROUND(K507*M507*12,2)</f>
        <v>1372.38</v>
      </c>
      <c r="P507" s="14"/>
      <c r="Q507" s="210" t="str">
        <f>VLOOKUP(D507,'WO Descriptions'!$A$5:$D$345,4)</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row>
    <row r="508" spans="1:19" outlineLevel="1">
      <c r="A508" s="3" t="s">
        <v>1939</v>
      </c>
      <c r="B508" s="223"/>
      <c r="C508" s="250"/>
      <c r="D508" s="254" t="s">
        <v>1939</v>
      </c>
      <c r="E508" s="223"/>
      <c r="F508" s="250"/>
      <c r="G508" s="223"/>
      <c r="H508" s="250"/>
      <c r="I508" s="250"/>
      <c r="J508" s="250"/>
      <c r="K508" s="251">
        <f>SUBTOTAL(9,K507:K507)</f>
        <v>77100.09</v>
      </c>
      <c r="L508" s="252"/>
      <c r="M508" s="253"/>
      <c r="N508" s="251">
        <f>SUBTOTAL(9,N507:N507)</f>
        <v>686.19</v>
      </c>
      <c r="O508" s="251">
        <f>SUBTOTAL(9,O507:O507)</f>
        <v>1372.38</v>
      </c>
      <c r="P508" s="223"/>
      <c r="Q508" s="210"/>
      <c r="R508" s="263" t="s">
        <v>2096</v>
      </c>
    </row>
    <row r="509" spans="1:19" ht="45" outlineLevel="2">
      <c r="A509" s="3" t="s">
        <v>629</v>
      </c>
      <c r="B509" s="18" t="s">
        <v>17</v>
      </c>
      <c r="C509" s="15" t="s">
        <v>628</v>
      </c>
      <c r="D509" s="15" t="s">
        <v>629</v>
      </c>
      <c r="E509" s="14" t="s">
        <v>630</v>
      </c>
      <c r="F509" s="15" t="s">
        <v>440</v>
      </c>
      <c r="G509" s="14" t="s">
        <v>28</v>
      </c>
      <c r="H509" s="15" t="s">
        <v>23</v>
      </c>
      <c r="I509" s="15" t="s">
        <v>1525</v>
      </c>
      <c r="J509" s="15">
        <v>201409</v>
      </c>
      <c r="K509" s="16">
        <v>24.81</v>
      </c>
      <c r="L509" s="171">
        <f>VLOOKUP(J509,$U$9:$V$23,2)</f>
        <v>9</v>
      </c>
      <c r="M509" s="17">
        <v>1.4833299999999999E-3</v>
      </c>
      <c r="N509" s="16">
        <f>ROUND(K509*L509*M509,2)</f>
        <v>0.33</v>
      </c>
      <c r="O509" s="16">
        <f>ROUND(K509*M509*12,2)</f>
        <v>0.44</v>
      </c>
      <c r="P509" s="14"/>
      <c r="Q509" s="210" t="str">
        <f>VLOOKUP(D509,'WO Descriptions'!$A$5:$D$345,4)</f>
        <v>Approved by: Kevin Driskell on 09/05/2013,  This work order is necessary to clear leak due to corrosion on 3inch gas main. Install 15'-3in TF steel main; retire 15'-3in PCS main, year 1962, wo 62-1512.</v>
      </c>
    </row>
    <row r="510" spans="1:19" outlineLevel="1">
      <c r="A510" s="3" t="s">
        <v>1940</v>
      </c>
      <c r="B510" s="225"/>
      <c r="C510" s="250"/>
      <c r="D510" s="254" t="s">
        <v>1940</v>
      </c>
      <c r="E510" s="223"/>
      <c r="F510" s="250"/>
      <c r="G510" s="223"/>
      <c r="H510" s="250"/>
      <c r="I510" s="250"/>
      <c r="J510" s="250"/>
      <c r="K510" s="251">
        <f>SUBTOTAL(9,K509:K509)</f>
        <v>24.81</v>
      </c>
      <c r="L510" s="252"/>
      <c r="M510" s="253"/>
      <c r="N510" s="251">
        <f>SUBTOTAL(9,N509:N509)</f>
        <v>0.33</v>
      </c>
      <c r="O510" s="251">
        <f>SUBTOTAL(9,O509:O509)</f>
        <v>0.44</v>
      </c>
      <c r="P510" s="223"/>
      <c r="Q510" s="210"/>
      <c r="R510" s="263" t="s">
        <v>2097</v>
      </c>
      <c r="S510" s="263" t="s">
        <v>2099</v>
      </c>
    </row>
    <row r="511" spans="1:19" ht="60" outlineLevel="2">
      <c r="A511" s="3" t="s">
        <v>632</v>
      </c>
      <c r="B511" s="18" t="s">
        <v>17</v>
      </c>
      <c r="C511" s="15" t="s">
        <v>631</v>
      </c>
      <c r="D511" s="15" t="s">
        <v>632</v>
      </c>
      <c r="E511" s="14" t="s">
        <v>633</v>
      </c>
      <c r="F511" s="15" t="s">
        <v>32</v>
      </c>
      <c r="G511" s="14" t="s">
        <v>22</v>
      </c>
      <c r="H511" s="15" t="s">
        <v>23</v>
      </c>
      <c r="I511" s="15" t="s">
        <v>1525</v>
      </c>
      <c r="J511" s="15">
        <v>201409</v>
      </c>
      <c r="K511" s="16">
        <v>-175.31</v>
      </c>
      <c r="L511" s="171">
        <f>VLOOKUP(J511,$U$9:$V$23,2)</f>
        <v>9</v>
      </c>
      <c r="M511" s="17">
        <v>1.4833299999999999E-3</v>
      </c>
      <c r="N511" s="16">
        <f>ROUND(K511*L511*M511,2)</f>
        <v>-2.34</v>
      </c>
      <c r="O511" s="16">
        <f>ROUND(K511*M511*12,2)</f>
        <v>-3.12</v>
      </c>
      <c r="P511" s="14"/>
      <c r="Q511" s="210" t="str">
        <f>VLOOKUP(D511,'WO Descriptions'!$A$5:$D$345,4)</f>
        <v>Approved by: Ken Thomas on 11/20/2013,  Abandon 303' - 2' PBS (WO#'s: J07262, 60285) and replace with 310' - 2" PE due to history of leakage and isolated bare steel. Project Location: Geneve and Main; Pressure System: S-1; MOP: 20 psig; MAOP: 20 psig; Design: 58 psig; Test: 100 psig; ISRS $44.70/ft</v>
      </c>
    </row>
    <row r="512" spans="1:19" outlineLevel="1">
      <c r="A512" s="3" t="s">
        <v>1941</v>
      </c>
      <c r="B512" s="225"/>
      <c r="C512" s="250"/>
      <c r="D512" s="254" t="s">
        <v>1941</v>
      </c>
      <c r="E512" s="223"/>
      <c r="F512" s="250"/>
      <c r="G512" s="223"/>
      <c r="H512" s="250"/>
      <c r="I512" s="250"/>
      <c r="J512" s="250"/>
      <c r="K512" s="251">
        <f>SUBTOTAL(9,K511:K511)</f>
        <v>-175.31</v>
      </c>
      <c r="L512" s="252"/>
      <c r="M512" s="253"/>
      <c r="N512" s="251">
        <f>SUBTOTAL(9,N511:N511)</f>
        <v>-2.34</v>
      </c>
      <c r="O512" s="251">
        <f>SUBTOTAL(9,O511:O511)</f>
        <v>-3.12</v>
      </c>
      <c r="P512" s="223"/>
      <c r="Q512" s="210"/>
      <c r="R512" s="263" t="s">
        <v>2097</v>
      </c>
      <c r="S512" s="263" t="s">
        <v>2098</v>
      </c>
    </row>
    <row r="513" spans="1:19" ht="105" outlineLevel="2">
      <c r="A513" s="3" t="s">
        <v>635</v>
      </c>
      <c r="B513" s="18" t="s">
        <v>17</v>
      </c>
      <c r="C513" s="15" t="s">
        <v>634</v>
      </c>
      <c r="D513" s="15" t="s">
        <v>635</v>
      </c>
      <c r="E513" s="14" t="s">
        <v>636</v>
      </c>
      <c r="F513" s="15" t="s">
        <v>567</v>
      </c>
      <c r="G513" s="14" t="s">
        <v>137</v>
      </c>
      <c r="H513" s="15" t="s">
        <v>23</v>
      </c>
      <c r="I513" s="15" t="s">
        <v>1526</v>
      </c>
      <c r="J513" s="15">
        <v>201409</v>
      </c>
      <c r="K513" s="16">
        <v>-674262.3</v>
      </c>
      <c r="L513" s="171">
        <f>VLOOKUP(J513,$U$9:$V$23,2)</f>
        <v>9</v>
      </c>
      <c r="M513" s="17">
        <v>1.4833299999999999E-3</v>
      </c>
      <c r="N513" s="16">
        <f>ROUND(K513*L513*M513,2)</f>
        <v>-9001.3799999999992</v>
      </c>
      <c r="O513" s="16">
        <f>ROUND(K513*M513*12,2)</f>
        <v>-12001.84</v>
      </c>
      <c r="P513" s="14"/>
      <c r="Q513" s="210" t="str">
        <f>VLOOKUP(D513,'WO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514" spans="1:19" ht="105" outlineLevel="2">
      <c r="A514" s="3" t="s">
        <v>635</v>
      </c>
      <c r="B514" s="18" t="s">
        <v>54</v>
      </c>
      <c r="C514" s="15" t="s">
        <v>634</v>
      </c>
      <c r="D514" s="15" t="s">
        <v>635</v>
      </c>
      <c r="E514" s="14" t="s">
        <v>636</v>
      </c>
      <c r="F514" s="15" t="s">
        <v>567</v>
      </c>
      <c r="G514" s="14" t="s">
        <v>137</v>
      </c>
      <c r="H514" s="15" t="s">
        <v>23</v>
      </c>
      <c r="I514" s="15" t="s">
        <v>1526</v>
      </c>
      <c r="J514" s="15">
        <v>201409</v>
      </c>
      <c r="K514" s="16">
        <v>660836.46</v>
      </c>
      <c r="L514" s="171">
        <f>VLOOKUP(J514,$U$9:$V$23,2)</f>
        <v>9</v>
      </c>
      <c r="M514" s="17">
        <v>1.4833299999999999E-3</v>
      </c>
      <c r="N514" s="16">
        <f>ROUND(K514*L514*M514,2)</f>
        <v>8822.15</v>
      </c>
      <c r="O514" s="16">
        <f>ROUND(K514*M514*12,2)</f>
        <v>11762.86</v>
      </c>
      <c r="P514" s="14"/>
      <c r="Q514" s="210" t="str">
        <f>VLOOKUP(D514,'WO Descriptions'!$A$5:$D$345,4)</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row>
    <row r="515" spans="1:19" outlineLevel="1">
      <c r="A515" s="3" t="s">
        <v>1942</v>
      </c>
      <c r="B515" s="225"/>
      <c r="C515" s="250"/>
      <c r="D515" s="254" t="s">
        <v>1942</v>
      </c>
      <c r="E515" s="223"/>
      <c r="F515" s="250"/>
      <c r="G515" s="223"/>
      <c r="H515" s="250"/>
      <c r="I515" s="250"/>
      <c r="J515" s="250"/>
      <c r="K515" s="251">
        <f>SUBTOTAL(9,K513:K514)</f>
        <v>-13425.840000000084</v>
      </c>
      <c r="L515" s="252"/>
      <c r="M515" s="253"/>
      <c r="N515" s="251">
        <f>SUBTOTAL(9,N513:N514)</f>
        <v>-179.22999999999956</v>
      </c>
      <c r="O515" s="251">
        <f>SUBTOTAL(9,O513:O514)</f>
        <v>-238.97999999999956</v>
      </c>
      <c r="P515" s="223"/>
      <c r="Q515" s="210"/>
      <c r="R515" s="263" t="s">
        <v>2096</v>
      </c>
    </row>
    <row r="516" spans="1:19" ht="165" outlineLevel="2">
      <c r="A516" s="3" t="s">
        <v>638</v>
      </c>
      <c r="B516" s="14" t="s">
        <v>17</v>
      </c>
      <c r="C516" s="15" t="s">
        <v>637</v>
      </c>
      <c r="D516" s="15" t="s">
        <v>638</v>
      </c>
      <c r="E516" s="14" t="s">
        <v>639</v>
      </c>
      <c r="F516" s="15" t="s">
        <v>136</v>
      </c>
      <c r="G516" s="14" t="s">
        <v>137</v>
      </c>
      <c r="H516" s="15" t="s">
        <v>23</v>
      </c>
      <c r="I516" s="15" t="s">
        <v>1526</v>
      </c>
      <c r="J516" s="15">
        <v>201409</v>
      </c>
      <c r="K516" s="16">
        <v>4065.05</v>
      </c>
      <c r="L516" s="171">
        <f>VLOOKUP(J516,$U$9:$V$23,2)</f>
        <v>9</v>
      </c>
      <c r="M516" s="17">
        <v>1.4833299999999999E-3</v>
      </c>
      <c r="N516" s="16">
        <f>ROUND(K516*L516*M516,2)</f>
        <v>54.27</v>
      </c>
      <c r="O516" s="16">
        <f>ROUND(K516*M516*12,2)</f>
        <v>72.36</v>
      </c>
      <c r="P516" s="14"/>
      <c r="Q516" s="210" t="str">
        <f>VLOOKUP(D516,'WO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7" spans="1:19" ht="165" outlineLevel="2">
      <c r="A517" s="3" t="s">
        <v>638</v>
      </c>
      <c r="B517" s="18" t="s">
        <v>17</v>
      </c>
      <c r="C517" s="15" t="s">
        <v>637</v>
      </c>
      <c r="D517" s="15" t="s">
        <v>638</v>
      </c>
      <c r="E517" s="14" t="s">
        <v>639</v>
      </c>
      <c r="F517" s="15" t="s">
        <v>136</v>
      </c>
      <c r="G517" s="14" t="s">
        <v>137</v>
      </c>
      <c r="H517" s="15" t="s">
        <v>23</v>
      </c>
      <c r="I517" s="15" t="s">
        <v>1526</v>
      </c>
      <c r="J517" s="15">
        <v>201410</v>
      </c>
      <c r="K517" s="16">
        <v>-14831.49</v>
      </c>
      <c r="L517" s="171">
        <f>VLOOKUP(J517,$U$9:$V$23,2)</f>
        <v>8</v>
      </c>
      <c r="M517" s="17">
        <v>1.4833299999999999E-3</v>
      </c>
      <c r="N517" s="16">
        <f>ROUND(K517*L517*M517,2)</f>
        <v>-176</v>
      </c>
      <c r="O517" s="16">
        <f>ROUND(K517*M517*12,2)</f>
        <v>-264</v>
      </c>
      <c r="P517" s="14"/>
      <c r="Q517" s="210" t="str">
        <f>VLOOKUP(D517,'WO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8" spans="1:19" ht="165" outlineLevel="2">
      <c r="A518" s="3" t="s">
        <v>638</v>
      </c>
      <c r="B518" s="18" t="s">
        <v>54</v>
      </c>
      <c r="C518" s="15" t="s">
        <v>637</v>
      </c>
      <c r="D518" s="15" t="s">
        <v>638</v>
      </c>
      <c r="E518" s="14" t="s">
        <v>639</v>
      </c>
      <c r="F518" s="15" t="s">
        <v>136</v>
      </c>
      <c r="G518" s="14" t="s">
        <v>137</v>
      </c>
      <c r="H518" s="15" t="s">
        <v>23</v>
      </c>
      <c r="I518" s="15" t="s">
        <v>1526</v>
      </c>
      <c r="J518" s="15">
        <v>201410</v>
      </c>
      <c r="K518" s="16">
        <v>14831.49</v>
      </c>
      <c r="L518" s="171">
        <f>VLOOKUP(J518,$U$9:$V$23,2)</f>
        <v>8</v>
      </c>
      <c r="M518" s="17">
        <v>1.4833299999999999E-3</v>
      </c>
      <c r="N518" s="16">
        <f>ROUND(K518*L518*M518,2)</f>
        <v>176</v>
      </c>
      <c r="O518" s="16">
        <f>ROUND(K518*M518*12,2)</f>
        <v>264</v>
      </c>
      <c r="P518" s="14"/>
      <c r="Q518" s="210" t="str">
        <f>VLOOKUP(D518,'WO Descriptions'!$A$5:$D$345,4)</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row>
    <row r="519" spans="1:19" outlineLevel="1">
      <c r="A519" s="3" t="s">
        <v>1943</v>
      </c>
      <c r="B519" s="225"/>
      <c r="C519" s="250"/>
      <c r="D519" s="254" t="s">
        <v>1943</v>
      </c>
      <c r="E519" s="223"/>
      <c r="F519" s="250"/>
      <c r="G519" s="223"/>
      <c r="H519" s="250"/>
      <c r="I519" s="250"/>
      <c r="J519" s="250"/>
      <c r="K519" s="251">
        <f>SUBTOTAL(9,K516:K518)</f>
        <v>4065.0500000000011</v>
      </c>
      <c r="L519" s="252"/>
      <c r="M519" s="253"/>
      <c r="N519" s="251">
        <f>SUBTOTAL(9,N516:N518)</f>
        <v>54.27000000000001</v>
      </c>
      <c r="O519" s="251">
        <f>SUBTOTAL(9,O516:O518)</f>
        <v>72.360000000000014</v>
      </c>
      <c r="P519" s="223"/>
      <c r="Q519" s="210"/>
      <c r="R519" s="263" t="s">
        <v>2096</v>
      </c>
    </row>
    <row r="520" spans="1:19" ht="60" outlineLevel="2">
      <c r="A520" s="3" t="s">
        <v>641</v>
      </c>
      <c r="B520" s="18" t="s">
        <v>17</v>
      </c>
      <c r="C520" s="15" t="s">
        <v>640</v>
      </c>
      <c r="D520" s="15" t="s">
        <v>641</v>
      </c>
      <c r="E520" s="14" t="s">
        <v>642</v>
      </c>
      <c r="F520" s="15" t="s">
        <v>362</v>
      </c>
      <c r="G520" s="14" t="s">
        <v>41</v>
      </c>
      <c r="H520" s="15" t="s">
        <v>23</v>
      </c>
      <c r="I520" s="15" t="s">
        <v>1526</v>
      </c>
      <c r="J520" s="15">
        <v>201409</v>
      </c>
      <c r="K520" s="16">
        <v>-115.28</v>
      </c>
      <c r="L520" s="171">
        <f>VLOOKUP(J520,$U$9:$V$23,2)</f>
        <v>9</v>
      </c>
      <c r="M520" s="17">
        <v>1.4833299999999999E-3</v>
      </c>
      <c r="N520" s="16">
        <f>ROUND(K520*L520*M520,2)</f>
        <v>-1.54</v>
      </c>
      <c r="O520" s="16">
        <f>ROUND(K520*M520*12,2)</f>
        <v>-2.0499999999999998</v>
      </c>
      <c r="P520" s="14"/>
      <c r="Q520" s="210" t="str">
        <f>VLOOKUP(D520,'WO Descriptions'!$A$5:$D$345,4)</f>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
    </row>
    <row r="521" spans="1:19" outlineLevel="1">
      <c r="A521" s="3" t="s">
        <v>1944</v>
      </c>
      <c r="B521" s="225"/>
      <c r="C521" s="250"/>
      <c r="D521" s="254" t="s">
        <v>1944</v>
      </c>
      <c r="E521" s="223"/>
      <c r="F521" s="250"/>
      <c r="G521" s="223"/>
      <c r="H521" s="250"/>
      <c r="I521" s="250"/>
      <c r="J521" s="250"/>
      <c r="K521" s="251">
        <f>SUBTOTAL(9,K520:K520)</f>
        <v>-115.28</v>
      </c>
      <c r="L521" s="252"/>
      <c r="M521" s="253"/>
      <c r="N521" s="251">
        <f>SUBTOTAL(9,N520:N520)</f>
        <v>-1.54</v>
      </c>
      <c r="O521" s="251">
        <f>SUBTOTAL(9,O520:O520)</f>
        <v>-2.0499999999999998</v>
      </c>
      <c r="P521" s="223"/>
      <c r="Q521" s="210"/>
      <c r="R521" s="263" t="s">
        <v>2096</v>
      </c>
    </row>
    <row r="522" spans="1:19" ht="75" outlineLevel="2">
      <c r="A522" s="3" t="s">
        <v>644</v>
      </c>
      <c r="B522" s="18" t="s">
        <v>17</v>
      </c>
      <c r="C522" s="15" t="s">
        <v>643</v>
      </c>
      <c r="D522" s="15" t="s">
        <v>644</v>
      </c>
      <c r="E522" s="14" t="s">
        <v>645</v>
      </c>
      <c r="F522" s="15" t="s">
        <v>141</v>
      </c>
      <c r="G522" s="14" t="s">
        <v>142</v>
      </c>
      <c r="H522" s="15" t="s">
        <v>23</v>
      </c>
      <c r="I522" s="15" t="s">
        <v>1525</v>
      </c>
      <c r="J522" s="15">
        <v>201409</v>
      </c>
      <c r="K522" s="16">
        <v>-912.44</v>
      </c>
      <c r="L522" s="171">
        <f>VLOOKUP(J522,$U$9:$V$23,2)</f>
        <v>9</v>
      </c>
      <c r="M522" s="17">
        <v>1.4833299999999999E-3</v>
      </c>
      <c r="N522" s="16">
        <f>ROUND(K522*L522*M522,2)</f>
        <v>-12.18</v>
      </c>
      <c r="O522" s="16">
        <f>ROUND(K522*M522*12,2)</f>
        <v>-16.239999999999998</v>
      </c>
      <c r="P522" s="14"/>
      <c r="Q522" s="210" t="str">
        <f>VLOOKUP(D522,'WO Descriptions'!$A$5:$D$345,4)</f>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
    </row>
    <row r="523" spans="1:19" outlineLevel="1">
      <c r="A523" s="3" t="s">
        <v>1945</v>
      </c>
      <c r="B523" s="225"/>
      <c r="C523" s="250"/>
      <c r="D523" s="254" t="s">
        <v>1945</v>
      </c>
      <c r="E523" s="223"/>
      <c r="F523" s="250"/>
      <c r="G523" s="223"/>
      <c r="H523" s="250"/>
      <c r="I523" s="250"/>
      <c r="J523" s="250"/>
      <c r="K523" s="251">
        <f>SUBTOTAL(9,K522:K522)</f>
        <v>-912.44</v>
      </c>
      <c r="L523" s="252"/>
      <c r="M523" s="253"/>
      <c r="N523" s="251">
        <f>SUBTOTAL(9,N522:N522)</f>
        <v>-12.18</v>
      </c>
      <c r="O523" s="251">
        <f>SUBTOTAL(9,O522:O522)</f>
        <v>-16.239999999999998</v>
      </c>
      <c r="P523" s="223"/>
      <c r="Q523" s="210"/>
      <c r="R523" s="263" t="s">
        <v>2097</v>
      </c>
      <c r="S523" s="263" t="s">
        <v>2100</v>
      </c>
    </row>
    <row r="524" spans="1:19" ht="75" outlineLevel="2">
      <c r="A524" s="3" t="s">
        <v>647</v>
      </c>
      <c r="B524" s="18" t="s">
        <v>17</v>
      </c>
      <c r="C524" s="15" t="s">
        <v>646</v>
      </c>
      <c r="D524" s="15" t="s">
        <v>647</v>
      </c>
      <c r="E524" s="14" t="s">
        <v>648</v>
      </c>
      <c r="F524" s="15" t="s">
        <v>176</v>
      </c>
      <c r="G524" s="14" t="s">
        <v>28</v>
      </c>
      <c r="H524" s="15" t="s">
        <v>23</v>
      </c>
      <c r="I524" s="15" t="s">
        <v>1525</v>
      </c>
      <c r="J524" s="15">
        <v>201411</v>
      </c>
      <c r="K524" s="16">
        <v>18.21</v>
      </c>
      <c r="L524" s="171">
        <f>VLOOKUP(J524,$U$9:$V$23,2)</f>
        <v>7</v>
      </c>
      <c r="M524" s="17">
        <v>1.4833299999999999E-3</v>
      </c>
      <c r="N524" s="16">
        <f>ROUND(K524*L524*M524,2)</f>
        <v>0.19</v>
      </c>
      <c r="O524" s="16">
        <f>ROUND(K524*M524*12,2)</f>
        <v>0.32</v>
      </c>
      <c r="P524" s="14"/>
      <c r="Q524" s="210" t="str">
        <f>VLOOKUP(D524,'WO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525" spans="1:19" ht="75" outlineLevel="2">
      <c r="A525" s="3" t="s">
        <v>647</v>
      </c>
      <c r="B525" s="14" t="s">
        <v>17</v>
      </c>
      <c r="C525" s="15" t="s">
        <v>646</v>
      </c>
      <c r="D525" s="15" t="s">
        <v>647</v>
      </c>
      <c r="E525" s="14" t="s">
        <v>648</v>
      </c>
      <c r="F525" s="15" t="s">
        <v>176</v>
      </c>
      <c r="G525" s="14" t="s">
        <v>28</v>
      </c>
      <c r="H525" s="15" t="s">
        <v>23</v>
      </c>
      <c r="I525" s="15" t="s">
        <v>1525</v>
      </c>
      <c r="J525" s="15">
        <v>201412</v>
      </c>
      <c r="K525" s="16">
        <v>-0.08</v>
      </c>
      <c r="L525" s="171">
        <f>VLOOKUP(J525,$U$9:$V$23,2)</f>
        <v>6</v>
      </c>
      <c r="M525" s="17">
        <v>1.4833299999999999E-3</v>
      </c>
      <c r="N525" s="16">
        <f>ROUND(K525*L525*M525,2)</f>
        <v>0</v>
      </c>
      <c r="O525" s="16">
        <f>ROUND(K525*M525*12,2)</f>
        <v>0</v>
      </c>
      <c r="P525" s="14"/>
      <c r="Q525" s="210" t="str">
        <f>VLOOKUP(D525,'WO Descriptions'!$A$5:$D$345,4)</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row>
    <row r="526" spans="1:19" outlineLevel="1">
      <c r="A526" s="3" t="s">
        <v>1946</v>
      </c>
      <c r="B526" s="223"/>
      <c r="C526" s="250"/>
      <c r="D526" s="254" t="s">
        <v>1946</v>
      </c>
      <c r="E526" s="223"/>
      <c r="F526" s="250"/>
      <c r="G526" s="223"/>
      <c r="H526" s="250"/>
      <c r="I526" s="250"/>
      <c r="J526" s="250"/>
      <c r="K526" s="251">
        <f>SUBTOTAL(9,K524:K525)</f>
        <v>18.130000000000003</v>
      </c>
      <c r="L526" s="252"/>
      <c r="M526" s="253"/>
      <c r="N526" s="251">
        <f>SUBTOTAL(9,N524:N525)</f>
        <v>0.19</v>
      </c>
      <c r="O526" s="251">
        <f>SUBTOTAL(9,O524:O525)</f>
        <v>0.32</v>
      </c>
      <c r="P526" s="223"/>
      <c r="Q526" s="210"/>
      <c r="R526" s="263" t="s">
        <v>2097</v>
      </c>
      <c r="S526" s="263" t="s">
        <v>2099</v>
      </c>
    </row>
    <row r="527" spans="1:19" ht="105" outlineLevel="2">
      <c r="A527" s="3" t="s">
        <v>650</v>
      </c>
      <c r="B527" s="18" t="s">
        <v>54</v>
      </c>
      <c r="C527" s="15" t="s">
        <v>649</v>
      </c>
      <c r="D527" s="15" t="s">
        <v>650</v>
      </c>
      <c r="E527" s="14" t="s">
        <v>651</v>
      </c>
      <c r="F527" s="15" t="s">
        <v>104</v>
      </c>
      <c r="G527" s="14" t="s">
        <v>41</v>
      </c>
      <c r="H527" s="15" t="s">
        <v>23</v>
      </c>
      <c r="I527" s="15" t="s">
        <v>1526</v>
      </c>
      <c r="J527" s="15">
        <v>201409</v>
      </c>
      <c r="K527" s="16">
        <v>-33.92</v>
      </c>
      <c r="L527" s="171">
        <f>VLOOKUP(J527,$U$9:$V$23,2)</f>
        <v>9</v>
      </c>
      <c r="M527" s="17">
        <v>1.4833299999999999E-3</v>
      </c>
      <c r="N527" s="16">
        <f>ROUND(K527*L527*M527,2)</f>
        <v>-0.45</v>
      </c>
      <c r="O527" s="16">
        <f>ROUND(K527*M527*12,2)</f>
        <v>-0.6</v>
      </c>
      <c r="P527" s="14"/>
      <c r="Q527" s="210" t="str">
        <f>VLOOKUP(D527,'WO Descriptions'!$A$5:$D$345,4)</f>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
    </row>
    <row r="528" spans="1:19" outlineLevel="1">
      <c r="A528" s="3" t="s">
        <v>1947</v>
      </c>
      <c r="B528" s="225"/>
      <c r="C528" s="250"/>
      <c r="D528" s="254" t="s">
        <v>1947</v>
      </c>
      <c r="E528" s="223"/>
      <c r="F528" s="250"/>
      <c r="G528" s="223"/>
      <c r="H528" s="250"/>
      <c r="I528" s="250"/>
      <c r="J528" s="250"/>
      <c r="K528" s="251">
        <f>SUBTOTAL(9,K527:K527)</f>
        <v>-33.92</v>
      </c>
      <c r="L528" s="252"/>
      <c r="M528" s="253"/>
      <c r="N528" s="251">
        <f>SUBTOTAL(9,N527:N527)</f>
        <v>-0.45</v>
      </c>
      <c r="O528" s="251">
        <f>SUBTOTAL(9,O527:O527)</f>
        <v>-0.6</v>
      </c>
      <c r="P528" s="223"/>
      <c r="Q528" s="210"/>
      <c r="R528" s="263" t="s">
        <v>2096</v>
      </c>
    </row>
    <row r="529" spans="1:19" ht="75" outlineLevel="2">
      <c r="A529" s="3" t="s">
        <v>653</v>
      </c>
      <c r="B529" s="14" t="s">
        <v>17</v>
      </c>
      <c r="C529" s="15" t="s">
        <v>652</v>
      </c>
      <c r="D529" s="15" t="s">
        <v>653</v>
      </c>
      <c r="E529" s="14" t="s">
        <v>654</v>
      </c>
      <c r="F529" s="15" t="s">
        <v>40</v>
      </c>
      <c r="G529" s="14" t="s">
        <v>41</v>
      </c>
      <c r="H529" s="15" t="s">
        <v>23</v>
      </c>
      <c r="I529" s="15" t="s">
        <v>1526</v>
      </c>
      <c r="J529" s="15">
        <v>201409</v>
      </c>
      <c r="K529" s="16">
        <v>-1136.6400000000001</v>
      </c>
      <c r="L529" s="171">
        <f>VLOOKUP(J529,$U$9:$V$23,2)</f>
        <v>9</v>
      </c>
      <c r="M529" s="17">
        <v>1.4833299999999999E-3</v>
      </c>
      <c r="N529" s="16">
        <f>ROUND(K529*L529*M529,2)</f>
        <v>-15.17</v>
      </c>
      <c r="O529" s="16">
        <f>ROUND(K529*M529*12,2)</f>
        <v>-20.23</v>
      </c>
      <c r="P529" s="14"/>
      <c r="Q529" s="210" t="str">
        <f>VLOOKUP(D529,'WO Descriptions'!$A$5:$D$345,4)</f>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
    </row>
    <row r="530" spans="1:19" outlineLevel="1">
      <c r="A530" s="3" t="s">
        <v>1948</v>
      </c>
      <c r="B530" s="223"/>
      <c r="C530" s="250"/>
      <c r="D530" s="254" t="s">
        <v>1948</v>
      </c>
      <c r="E530" s="223"/>
      <c r="F530" s="250"/>
      <c r="G530" s="223"/>
      <c r="H530" s="250"/>
      <c r="I530" s="250"/>
      <c r="J530" s="250"/>
      <c r="K530" s="251">
        <f>SUBTOTAL(9,K529:K529)</f>
        <v>-1136.6400000000001</v>
      </c>
      <c r="L530" s="252"/>
      <c r="M530" s="253"/>
      <c r="N530" s="251">
        <f>SUBTOTAL(9,N529:N529)</f>
        <v>-15.17</v>
      </c>
      <c r="O530" s="251">
        <f>SUBTOTAL(9,O529:O529)</f>
        <v>-20.23</v>
      </c>
      <c r="P530" s="223"/>
      <c r="Q530" s="210"/>
      <c r="R530" s="263" t="s">
        <v>2096</v>
      </c>
    </row>
    <row r="531" spans="1:19" ht="45" outlineLevel="2">
      <c r="A531" s="3" t="s">
        <v>656</v>
      </c>
      <c r="B531" s="14" t="s">
        <v>17</v>
      </c>
      <c r="C531" s="15" t="s">
        <v>655</v>
      </c>
      <c r="D531" s="15" t="s">
        <v>656</v>
      </c>
      <c r="E531" s="14" t="s">
        <v>657</v>
      </c>
      <c r="F531" s="15" t="s">
        <v>36</v>
      </c>
      <c r="G531" s="14" t="s">
        <v>22</v>
      </c>
      <c r="H531" s="15" t="s">
        <v>23</v>
      </c>
      <c r="I531" s="15" t="s">
        <v>1525</v>
      </c>
      <c r="J531" s="15">
        <v>201409</v>
      </c>
      <c r="K531" s="16">
        <v>-42.2</v>
      </c>
      <c r="L531" s="171">
        <f>VLOOKUP(J531,$U$9:$V$23,2)</f>
        <v>9</v>
      </c>
      <c r="M531" s="17">
        <v>1.4833299999999999E-3</v>
      </c>
      <c r="N531" s="16">
        <f>ROUND(K531*L531*M531,2)</f>
        <v>-0.56000000000000005</v>
      </c>
      <c r="O531" s="16">
        <f>ROUND(K531*M531*12,2)</f>
        <v>-0.75</v>
      </c>
      <c r="P531" s="14"/>
      <c r="Q531" s="210" t="str">
        <f>VLOOKUP(D531,'WO Descriptions'!$A$5:$D$345,4)</f>
        <v>Approved by: Gary Williams on 07/22/2013,  This work order is necessary to replace 518ft-4in bs main (WO#11516) with 4in pe (WO#13-2797) due to low reads. Pressure System C-01 Pressure .88.</v>
      </c>
    </row>
    <row r="532" spans="1:19" outlineLevel="1">
      <c r="A532" s="3" t="s">
        <v>1949</v>
      </c>
      <c r="B532" s="223"/>
      <c r="C532" s="250"/>
      <c r="D532" s="254" t="s">
        <v>1949</v>
      </c>
      <c r="E532" s="223"/>
      <c r="F532" s="250"/>
      <c r="G532" s="223"/>
      <c r="H532" s="250"/>
      <c r="I532" s="250"/>
      <c r="J532" s="250"/>
      <c r="K532" s="251">
        <f>SUBTOTAL(9,K531:K531)</f>
        <v>-42.2</v>
      </c>
      <c r="L532" s="252"/>
      <c r="M532" s="253"/>
      <c r="N532" s="251">
        <f>SUBTOTAL(9,N531:N531)</f>
        <v>-0.56000000000000005</v>
      </c>
      <c r="O532" s="251">
        <f>SUBTOTAL(9,O531:O531)</f>
        <v>-0.75</v>
      </c>
      <c r="P532" s="223"/>
      <c r="Q532" s="210"/>
      <c r="R532" s="263" t="s">
        <v>2097</v>
      </c>
      <c r="S532" s="263" t="s">
        <v>2098</v>
      </c>
    </row>
    <row r="533" spans="1:19" outlineLevel="2">
      <c r="A533" s="3" t="s">
        <v>659</v>
      </c>
      <c r="B533" s="14" t="s">
        <v>17</v>
      </c>
      <c r="C533" s="15" t="s">
        <v>658</v>
      </c>
      <c r="D533" s="15" t="s">
        <v>659</v>
      </c>
      <c r="E533" s="14" t="s">
        <v>660</v>
      </c>
      <c r="F533" s="15" t="s">
        <v>440</v>
      </c>
      <c r="G533" s="14" t="s">
        <v>28</v>
      </c>
      <c r="H533" s="15" t="s">
        <v>23</v>
      </c>
      <c r="I533" s="15" t="s">
        <v>1525</v>
      </c>
      <c r="J533" s="15">
        <v>201409</v>
      </c>
      <c r="K533" s="16">
        <v>10.48</v>
      </c>
      <c r="L533" s="171">
        <f>VLOOKUP(J533,$U$9:$V$23,2)</f>
        <v>9</v>
      </c>
      <c r="M533" s="17">
        <v>1.4833299999999999E-3</v>
      </c>
      <c r="N533" s="16">
        <f>ROUND(K533*L533*M533,2)</f>
        <v>0.14000000000000001</v>
      </c>
      <c r="O533" s="16">
        <f>ROUND(K533*M533*12,2)</f>
        <v>0.19</v>
      </c>
      <c r="P533" s="14"/>
      <c r="Q533" s="210" t="str">
        <f>VLOOKUP(D533,'WO Descriptions'!$A$5:$D$345,4)</f>
        <v>Approved by: Kevin Driskell on 09/23/2013,  Repalce 21' of 2'' PCS (WO # 64-5275) due to leak.</v>
      </c>
    </row>
    <row r="534" spans="1:19" outlineLevel="1">
      <c r="A534" s="3" t="s">
        <v>1950</v>
      </c>
      <c r="B534" s="223"/>
      <c r="C534" s="250"/>
      <c r="D534" s="254" t="s">
        <v>1950</v>
      </c>
      <c r="E534" s="223"/>
      <c r="F534" s="250"/>
      <c r="G534" s="223"/>
      <c r="H534" s="250"/>
      <c r="I534" s="250"/>
      <c r="J534" s="250"/>
      <c r="K534" s="251">
        <f>SUBTOTAL(9,K533:K533)</f>
        <v>10.48</v>
      </c>
      <c r="L534" s="252"/>
      <c r="M534" s="253"/>
      <c r="N534" s="251">
        <f>SUBTOTAL(9,N533:N533)</f>
        <v>0.14000000000000001</v>
      </c>
      <c r="O534" s="251">
        <f>SUBTOTAL(9,O533:O533)</f>
        <v>0.19</v>
      </c>
      <c r="P534" s="223"/>
      <c r="Q534" s="210"/>
      <c r="R534" s="263" t="s">
        <v>2097</v>
      </c>
      <c r="S534" s="263" t="s">
        <v>2099</v>
      </c>
    </row>
    <row r="535" spans="1:19" ht="60" outlineLevel="2">
      <c r="A535" s="3" t="s">
        <v>662</v>
      </c>
      <c r="B535" s="14" t="s">
        <v>17</v>
      </c>
      <c r="C535" s="15" t="s">
        <v>661</v>
      </c>
      <c r="D535" s="15" t="s">
        <v>662</v>
      </c>
      <c r="E535" s="14" t="s">
        <v>663</v>
      </c>
      <c r="F535" s="15" t="s">
        <v>40</v>
      </c>
      <c r="G535" s="14" t="s">
        <v>41</v>
      </c>
      <c r="H535" s="15" t="s">
        <v>23</v>
      </c>
      <c r="I535" s="15" t="s">
        <v>1526</v>
      </c>
      <c r="J535" s="15">
        <v>201409</v>
      </c>
      <c r="K535" s="16">
        <v>-187.92</v>
      </c>
      <c r="L535" s="171">
        <f>VLOOKUP(J535,$U$9:$V$23,2)</f>
        <v>9</v>
      </c>
      <c r="M535" s="17">
        <v>1.4833299999999999E-3</v>
      </c>
      <c r="N535" s="16">
        <f>ROUND(K535*L535*M535,2)</f>
        <v>-2.5099999999999998</v>
      </c>
      <c r="O535" s="16">
        <f>ROUND(K535*M535*12,2)</f>
        <v>-3.34</v>
      </c>
      <c r="P535" s="14"/>
      <c r="Q535" s="210" t="str">
        <f>VLOOKUP(D535,'WO Descriptions'!$A$5:$D$345,4)</f>
        <v>Approved by: Kevin Driskell on 10/02/2013,  ISRS This work order is necessary for Public Improvement Improvement project. The 8" PCS main is in conflict of storm structure. Retire 20" of 8" PCS main and install 20' of 8" PCS main. System= C-055, MOP= 90PSIG, MAOP= 90PSIG, Test Pressure= 135PSIG.</v>
      </c>
    </row>
    <row r="536" spans="1:19" outlineLevel="1">
      <c r="A536" s="3" t="s">
        <v>1951</v>
      </c>
      <c r="B536" s="223"/>
      <c r="C536" s="250"/>
      <c r="D536" s="254" t="s">
        <v>1951</v>
      </c>
      <c r="E536" s="223"/>
      <c r="F536" s="250"/>
      <c r="G536" s="223"/>
      <c r="H536" s="250"/>
      <c r="I536" s="250"/>
      <c r="J536" s="250"/>
      <c r="K536" s="251">
        <f>SUBTOTAL(9,K535:K535)</f>
        <v>-187.92</v>
      </c>
      <c r="L536" s="252"/>
      <c r="M536" s="253"/>
      <c r="N536" s="251">
        <f>SUBTOTAL(9,N535:N535)</f>
        <v>-2.5099999999999998</v>
      </c>
      <c r="O536" s="251">
        <f>SUBTOTAL(9,O535:O535)</f>
        <v>-3.34</v>
      </c>
      <c r="P536" s="223"/>
      <c r="Q536" s="210"/>
      <c r="R536" s="263" t="s">
        <v>2096</v>
      </c>
    </row>
    <row r="537" spans="1:19" ht="45" outlineLevel="2">
      <c r="A537" s="3" t="s">
        <v>665</v>
      </c>
      <c r="B537" s="14" t="s">
        <v>17</v>
      </c>
      <c r="C537" s="15" t="s">
        <v>664</v>
      </c>
      <c r="D537" s="15" t="s">
        <v>665</v>
      </c>
      <c r="E537" s="14" t="s">
        <v>666</v>
      </c>
      <c r="F537" s="15" t="s">
        <v>667</v>
      </c>
      <c r="G537" s="14" t="s">
        <v>28</v>
      </c>
      <c r="H537" s="15" t="s">
        <v>23</v>
      </c>
      <c r="I537" s="15" t="s">
        <v>1525</v>
      </c>
      <c r="J537" s="15">
        <v>201409</v>
      </c>
      <c r="K537" s="16">
        <v>5.21</v>
      </c>
      <c r="L537" s="171">
        <f>VLOOKUP(J537,$U$9:$V$23,2)</f>
        <v>9</v>
      </c>
      <c r="M537" s="17">
        <v>1.4833299999999999E-3</v>
      </c>
      <c r="N537" s="16">
        <f>ROUND(K537*L537*M537,2)</f>
        <v>7.0000000000000007E-2</v>
      </c>
      <c r="O537" s="16">
        <f>ROUND(K537*M537*12,2)</f>
        <v>0.09</v>
      </c>
      <c r="P537" s="14"/>
      <c r="Q537" s="210" t="str">
        <f>VLOOKUP(D537,'WO Descriptions'!$A$5:$D$345,4)</f>
        <v>Approved by: Galen Shoemaker on 08/26/2013,  To replace 6ft of 2in Coated Steel Main from WO 724646 and 4ft of 2in Coated Steel Main from WO 801479 at intersection due to leakage and poor condition of main. MOP=30# MAOP=31# SYSTEM=S-6 TEST=100#</v>
      </c>
    </row>
    <row r="538" spans="1:19" outlineLevel="1">
      <c r="A538" s="3" t="s">
        <v>1952</v>
      </c>
      <c r="B538" s="223"/>
      <c r="C538" s="250"/>
      <c r="D538" s="254" t="s">
        <v>1952</v>
      </c>
      <c r="E538" s="223"/>
      <c r="F538" s="250"/>
      <c r="G538" s="223"/>
      <c r="H538" s="250"/>
      <c r="I538" s="250"/>
      <c r="J538" s="250"/>
      <c r="K538" s="251">
        <f>SUBTOTAL(9,K537:K537)</f>
        <v>5.21</v>
      </c>
      <c r="L538" s="252"/>
      <c r="M538" s="253"/>
      <c r="N538" s="251">
        <f>SUBTOTAL(9,N537:N537)</f>
        <v>7.0000000000000007E-2</v>
      </c>
      <c r="O538" s="251">
        <f>SUBTOTAL(9,O537:O537)</f>
        <v>0.09</v>
      </c>
      <c r="P538" s="223"/>
      <c r="Q538" s="210"/>
      <c r="R538" s="263" t="s">
        <v>2097</v>
      </c>
      <c r="S538" s="263" t="s">
        <v>2099</v>
      </c>
    </row>
    <row r="539" spans="1:19" ht="45" outlineLevel="2">
      <c r="A539" s="3" t="s">
        <v>669</v>
      </c>
      <c r="B539" s="14" t="s">
        <v>17</v>
      </c>
      <c r="C539" s="15" t="s">
        <v>668</v>
      </c>
      <c r="D539" s="15" t="s">
        <v>669</v>
      </c>
      <c r="E539" s="14" t="s">
        <v>670</v>
      </c>
      <c r="F539" s="15" t="s">
        <v>45</v>
      </c>
      <c r="G539" s="14" t="s">
        <v>22</v>
      </c>
      <c r="H539" s="15" t="s">
        <v>23</v>
      </c>
      <c r="I539" s="15" t="s">
        <v>1525</v>
      </c>
      <c r="J539" s="15">
        <v>201409</v>
      </c>
      <c r="K539" s="16">
        <v>-193.2</v>
      </c>
      <c r="L539" s="171">
        <f>VLOOKUP(J539,$U$9:$V$23,2)</f>
        <v>9</v>
      </c>
      <c r="M539" s="17">
        <v>1.4833299999999999E-3</v>
      </c>
      <c r="N539" s="16">
        <f>ROUND(K539*L539*M539,2)</f>
        <v>-2.58</v>
      </c>
      <c r="O539" s="16">
        <f>ROUND(K539*M539*12,2)</f>
        <v>-3.44</v>
      </c>
      <c r="P539" s="14"/>
      <c r="Q539" s="210" t="str">
        <f>VLOOKUP(D539,'WO Descriptions'!$A$5:$D$345,4)</f>
        <v>Approved by: Ken Thomas on 07/01/2013,  Replace 45' of 12in PBS wo unknown with 36' of 12in PCS due to leak on the gate valve. Pressure system C-175KCLS. Job was completed on 3-15-2013.</v>
      </c>
    </row>
    <row r="540" spans="1:19" outlineLevel="1">
      <c r="A540" s="3" t="s">
        <v>1953</v>
      </c>
      <c r="B540" s="223"/>
      <c r="C540" s="250"/>
      <c r="D540" s="254" t="s">
        <v>1953</v>
      </c>
      <c r="E540" s="223"/>
      <c r="F540" s="250"/>
      <c r="G540" s="223"/>
      <c r="H540" s="250"/>
      <c r="I540" s="250"/>
      <c r="J540" s="250"/>
      <c r="K540" s="251">
        <f>SUBTOTAL(9,K539:K539)</f>
        <v>-193.2</v>
      </c>
      <c r="L540" s="252"/>
      <c r="M540" s="253"/>
      <c r="N540" s="251">
        <f>SUBTOTAL(9,N539:N539)</f>
        <v>-2.58</v>
      </c>
      <c r="O540" s="251">
        <f>SUBTOTAL(9,O539:O539)</f>
        <v>-3.44</v>
      </c>
      <c r="P540" s="223"/>
      <c r="Q540" s="210"/>
      <c r="R540" s="263" t="s">
        <v>2097</v>
      </c>
      <c r="S540" s="263" t="s">
        <v>2098</v>
      </c>
    </row>
    <row r="541" spans="1:19" ht="45" outlineLevel="2">
      <c r="A541" s="3" t="s">
        <v>1613</v>
      </c>
      <c r="B541" s="211" t="s">
        <v>1584</v>
      </c>
      <c r="C541" s="212" t="s">
        <v>1612</v>
      </c>
      <c r="D541" s="212" t="s">
        <v>1613</v>
      </c>
      <c r="E541" s="211" t="s">
        <v>1588</v>
      </c>
      <c r="F541" s="212" t="s">
        <v>1614</v>
      </c>
      <c r="G541" s="211" t="s">
        <v>1590</v>
      </c>
      <c r="H541" s="212" t="s">
        <v>23</v>
      </c>
      <c r="I541" s="212" t="s">
        <v>1530</v>
      </c>
      <c r="J541" s="212">
        <v>201409</v>
      </c>
      <c r="K541" s="213">
        <v>453.16</v>
      </c>
      <c r="L541" s="171">
        <f>VLOOKUP(J541,$U$9:$V$23,2)</f>
        <v>9</v>
      </c>
      <c r="M541" s="214">
        <v>2.0333333000000001E-3</v>
      </c>
      <c r="N541" s="213">
        <f>ROUND(K541*L541*M541,2)</f>
        <v>8.2899999999999991</v>
      </c>
      <c r="O541" s="213">
        <f>ROUND(K541*M541*12,2)</f>
        <v>11.06</v>
      </c>
      <c r="P541" s="14"/>
      <c r="Q541" s="210" t="str">
        <f>VLOOKUP(D541,'WO Descriptions'!$A$5:$D$345,4)</f>
        <v>Approved by: Ken Thomas on 07/01/2013,  Replace 45' of 12in PBS wo unknown with 36' of 12in PCS due to leak on the gate valve. Pressure system C-175KCLS. Job was completed on 3-15-2013.</v>
      </c>
    </row>
    <row r="542" spans="1:19" ht="45" outlineLevel="2">
      <c r="A542" s="3" t="s">
        <v>1613</v>
      </c>
      <c r="B542" s="211" t="s">
        <v>1584</v>
      </c>
      <c r="C542" s="212" t="s">
        <v>1612</v>
      </c>
      <c r="D542" s="212" t="s">
        <v>1613</v>
      </c>
      <c r="E542" s="211" t="s">
        <v>1588</v>
      </c>
      <c r="F542" s="212" t="s">
        <v>1614</v>
      </c>
      <c r="G542" s="211" t="s">
        <v>1590</v>
      </c>
      <c r="H542" s="212" t="s">
        <v>23</v>
      </c>
      <c r="I542" s="212" t="s">
        <v>1530</v>
      </c>
      <c r="J542" s="212">
        <v>201410</v>
      </c>
      <c r="K542" s="213">
        <v>434.13</v>
      </c>
      <c r="L542" s="171">
        <f>VLOOKUP(J542,$U$9:$V$23,2)</f>
        <v>8</v>
      </c>
      <c r="M542" s="214">
        <v>2.0333333000000001E-3</v>
      </c>
      <c r="N542" s="213">
        <f>ROUND(K542*L542*M542,2)</f>
        <v>7.06</v>
      </c>
      <c r="O542" s="213">
        <f>ROUND(K542*M542*12,2)</f>
        <v>10.59</v>
      </c>
      <c r="P542" s="14"/>
      <c r="Q542" s="210" t="str">
        <f>VLOOKUP(D542,'WO Descriptions'!$A$5:$D$345,4)</f>
        <v>Approved by: Ken Thomas on 07/01/2013,  Replace 45' of 12in PBS wo unknown with 36' of 12in PCS due to leak on the gate valve. Pressure system C-175KCLS. Job was completed on 3-15-2013.</v>
      </c>
    </row>
    <row r="543" spans="1:19" ht="45" outlineLevel="2">
      <c r="A543" s="3" t="s">
        <v>1613</v>
      </c>
      <c r="B543" s="211" t="s">
        <v>1584</v>
      </c>
      <c r="C543" s="212" t="s">
        <v>1612</v>
      </c>
      <c r="D543" s="212" t="s">
        <v>1613</v>
      </c>
      <c r="E543" s="211" t="s">
        <v>1588</v>
      </c>
      <c r="F543" s="212" t="s">
        <v>1614</v>
      </c>
      <c r="G543" s="211" t="s">
        <v>1590</v>
      </c>
      <c r="H543" s="212" t="s">
        <v>23</v>
      </c>
      <c r="I543" s="212" t="s">
        <v>1530</v>
      </c>
      <c r="J543" s="212">
        <v>201411</v>
      </c>
      <c r="K543" s="213">
        <v>425.66</v>
      </c>
      <c r="L543" s="171">
        <f>VLOOKUP(J543,$U$9:$V$23,2)</f>
        <v>7</v>
      </c>
      <c r="M543" s="214">
        <v>2.0333333000000001E-3</v>
      </c>
      <c r="N543" s="213">
        <f>ROUND(K543*L543*M543,2)</f>
        <v>6.06</v>
      </c>
      <c r="O543" s="213">
        <f>ROUND(K543*M543*12,2)</f>
        <v>10.39</v>
      </c>
      <c r="P543" s="14"/>
      <c r="Q543" s="210" t="str">
        <f>VLOOKUP(D543,'WO Descriptions'!$A$5:$D$345,4)</f>
        <v>Approved by: Ken Thomas on 07/01/2013,  Replace 45' of 12in PBS wo unknown with 36' of 12in PCS due to leak on the gate valve. Pressure system C-175KCLS. Job was completed on 3-15-2013.</v>
      </c>
    </row>
    <row r="544" spans="1:19" ht="45" outlineLevel="2">
      <c r="A544" s="3" t="s">
        <v>1613</v>
      </c>
      <c r="B544" s="211" t="s">
        <v>1584</v>
      </c>
      <c r="C544" s="212" t="s">
        <v>1612</v>
      </c>
      <c r="D544" s="212" t="s">
        <v>1613</v>
      </c>
      <c r="E544" s="211" t="s">
        <v>1588</v>
      </c>
      <c r="F544" s="212" t="s">
        <v>1614</v>
      </c>
      <c r="G544" s="211" t="s">
        <v>1590</v>
      </c>
      <c r="H544" s="212" t="s">
        <v>23</v>
      </c>
      <c r="I544" s="212" t="s">
        <v>1530</v>
      </c>
      <c r="J544" s="212">
        <v>201412</v>
      </c>
      <c r="K544" s="213">
        <v>332.2</v>
      </c>
      <c r="L544" s="171">
        <f>VLOOKUP(J544,$U$9:$V$23,2)</f>
        <v>6</v>
      </c>
      <c r="M544" s="214">
        <v>2.0333333000000001E-3</v>
      </c>
      <c r="N544" s="213">
        <f>ROUND(K544*L544*M544,2)</f>
        <v>4.05</v>
      </c>
      <c r="O544" s="213">
        <f>ROUND(K544*M544*12,2)</f>
        <v>8.11</v>
      </c>
      <c r="P544" s="14"/>
      <c r="Q544" s="210" t="str">
        <f>VLOOKUP(D544,'WO Descriptions'!$A$5:$D$345,4)</f>
        <v>Approved by: Ken Thomas on 07/01/2013,  Replace 45' of 12in PBS wo unknown with 36' of 12in PCS due to leak on the gate valve. Pressure system C-175KCLS. Job was completed on 3-15-2013.</v>
      </c>
    </row>
    <row r="545" spans="1:19" outlineLevel="1">
      <c r="A545" s="3" t="s">
        <v>1954</v>
      </c>
      <c r="B545" s="256"/>
      <c r="C545" s="257"/>
      <c r="D545" s="260" t="s">
        <v>1954</v>
      </c>
      <c r="E545" s="256"/>
      <c r="F545" s="257"/>
      <c r="G545" s="256"/>
      <c r="H545" s="257"/>
      <c r="I545" s="257"/>
      <c r="J545" s="257"/>
      <c r="K545" s="258">
        <f>SUBTOTAL(9,K541:K544)</f>
        <v>1645.15</v>
      </c>
      <c r="L545" s="252"/>
      <c r="M545" s="259"/>
      <c r="N545" s="258">
        <f>SUBTOTAL(9,N541:N544)</f>
        <v>25.459999999999997</v>
      </c>
      <c r="O545" s="258">
        <f>SUBTOTAL(9,O541:O544)</f>
        <v>40.15</v>
      </c>
      <c r="P545" s="223"/>
      <c r="Q545" s="210"/>
      <c r="R545" s="263" t="s">
        <v>2097</v>
      </c>
      <c r="S545" s="263" t="s">
        <v>2102</v>
      </c>
    </row>
    <row r="546" spans="1:19" ht="30" outlineLevel="2">
      <c r="A546" s="3" t="s">
        <v>672</v>
      </c>
      <c r="B546" s="211" t="s">
        <v>66</v>
      </c>
      <c r="C546" s="212" t="s">
        <v>671</v>
      </c>
      <c r="D546" s="212" t="s">
        <v>672</v>
      </c>
      <c r="E546" s="211" t="s">
        <v>206</v>
      </c>
      <c r="F546" s="212" t="s">
        <v>673</v>
      </c>
      <c r="G546" s="211" t="s">
        <v>97</v>
      </c>
      <c r="H546" s="212" t="s">
        <v>23</v>
      </c>
      <c r="I546" s="212" t="s">
        <v>1530</v>
      </c>
      <c r="J546" s="212">
        <v>201409</v>
      </c>
      <c r="K546" s="213">
        <v>642.49</v>
      </c>
      <c r="L546" s="171">
        <f>VLOOKUP(J546,$U$9:$V$23,2)</f>
        <v>9</v>
      </c>
      <c r="M546" s="214">
        <v>2.23333E-3</v>
      </c>
      <c r="N546" s="213">
        <f>ROUND(K546*L546*M546,2)</f>
        <v>12.91</v>
      </c>
      <c r="O546" s="213">
        <f>ROUND(K546*M546*12,2)</f>
        <v>17.22</v>
      </c>
      <c r="P546" s="14"/>
      <c r="Q546" s="210" t="str">
        <f>VLOOKUP(D546,'WO Descriptions'!$A$5:$D$345,4)</f>
        <v>Service/Yard Line Replacement (SLRP): Company Crew.  Service/yard line replacement - Material Charges Only  (Joplin - South Region)</v>
      </c>
    </row>
    <row r="547" spans="1:19" ht="30" outlineLevel="2">
      <c r="A547" s="3" t="s">
        <v>672</v>
      </c>
      <c r="B547" s="211" t="s">
        <v>66</v>
      </c>
      <c r="C547" s="212" t="s">
        <v>671</v>
      </c>
      <c r="D547" s="212" t="s">
        <v>672</v>
      </c>
      <c r="E547" s="211" t="s">
        <v>206</v>
      </c>
      <c r="F547" s="212" t="s">
        <v>673</v>
      </c>
      <c r="G547" s="211" t="s">
        <v>97</v>
      </c>
      <c r="H547" s="212" t="s">
        <v>23</v>
      </c>
      <c r="I547" s="212" t="s">
        <v>1530</v>
      </c>
      <c r="J547" s="212">
        <v>201410</v>
      </c>
      <c r="K547" s="213">
        <v>-743.2</v>
      </c>
      <c r="L547" s="171">
        <f>VLOOKUP(J547,$U$9:$V$23,2)</f>
        <v>8</v>
      </c>
      <c r="M547" s="214">
        <v>2.23333E-3</v>
      </c>
      <c r="N547" s="213">
        <f>ROUND(K547*L547*M547,2)</f>
        <v>-13.28</v>
      </c>
      <c r="O547" s="213">
        <f>ROUND(K547*M547*12,2)</f>
        <v>-19.920000000000002</v>
      </c>
      <c r="P547" s="14"/>
      <c r="Q547" s="210" t="str">
        <f>VLOOKUP(D547,'WO Descriptions'!$A$5:$D$345,4)</f>
        <v>Service/Yard Line Replacement (SLRP): Company Crew.  Service/yard line replacement - Material Charges Only  (Joplin - South Region)</v>
      </c>
    </row>
    <row r="548" spans="1:19" ht="30" outlineLevel="2">
      <c r="A548" s="3" t="s">
        <v>672</v>
      </c>
      <c r="B548" s="211" t="s">
        <v>66</v>
      </c>
      <c r="C548" s="212" t="s">
        <v>671</v>
      </c>
      <c r="D548" s="212" t="s">
        <v>672</v>
      </c>
      <c r="E548" s="211" t="s">
        <v>206</v>
      </c>
      <c r="F548" s="212" t="s">
        <v>673</v>
      </c>
      <c r="G548" s="211" t="s">
        <v>97</v>
      </c>
      <c r="H548" s="212" t="s">
        <v>23</v>
      </c>
      <c r="I548" s="212" t="s">
        <v>1530</v>
      </c>
      <c r="J548" s="212">
        <v>201411</v>
      </c>
      <c r="K548" s="213">
        <v>20.29</v>
      </c>
      <c r="L548" s="171">
        <f>VLOOKUP(J548,$U$9:$V$23,2)</f>
        <v>7</v>
      </c>
      <c r="M548" s="214">
        <v>2.23333E-3</v>
      </c>
      <c r="N548" s="213">
        <f>ROUND(K548*L548*M548,2)</f>
        <v>0.32</v>
      </c>
      <c r="O548" s="213">
        <f>ROUND(K548*M548*12,2)</f>
        <v>0.54</v>
      </c>
      <c r="P548" s="14"/>
      <c r="Q548" s="210" t="str">
        <f>VLOOKUP(D548,'WO Descriptions'!$A$5:$D$345,4)</f>
        <v>Service/Yard Line Replacement (SLRP): Company Crew.  Service/yard line replacement - Material Charges Only  (Joplin - South Region)</v>
      </c>
    </row>
    <row r="549" spans="1:19" ht="30" outlineLevel="2">
      <c r="A549" s="3" t="s">
        <v>672</v>
      </c>
      <c r="B549" s="211" t="s">
        <v>66</v>
      </c>
      <c r="C549" s="212" t="s">
        <v>671</v>
      </c>
      <c r="D549" s="212" t="s">
        <v>672</v>
      </c>
      <c r="E549" s="211" t="s">
        <v>206</v>
      </c>
      <c r="F549" s="212" t="s">
        <v>673</v>
      </c>
      <c r="G549" s="211" t="s">
        <v>97</v>
      </c>
      <c r="H549" s="212" t="s">
        <v>23</v>
      </c>
      <c r="I549" s="212" t="s">
        <v>1530</v>
      </c>
      <c r="J549" s="212">
        <v>201412</v>
      </c>
      <c r="K549" s="213">
        <v>64.27</v>
      </c>
      <c r="L549" s="171">
        <f>VLOOKUP(J549,$U$9:$V$23,2)</f>
        <v>6</v>
      </c>
      <c r="M549" s="214">
        <v>2.23333E-3</v>
      </c>
      <c r="N549" s="213">
        <f>ROUND(K549*L549*M549,2)</f>
        <v>0.86</v>
      </c>
      <c r="O549" s="213">
        <f>ROUND(K549*M549*12,2)</f>
        <v>1.72</v>
      </c>
      <c r="P549" s="14"/>
      <c r="Q549" s="210" t="str">
        <f>VLOOKUP(D549,'WO Descriptions'!$A$5:$D$345,4)</f>
        <v>Service/Yard Line Replacement (SLRP): Company Crew.  Service/yard line replacement - Material Charges Only  (Joplin - South Region)</v>
      </c>
    </row>
    <row r="550" spans="1:19" outlineLevel="1">
      <c r="A550" s="3" t="s">
        <v>1955</v>
      </c>
      <c r="B550" s="256"/>
      <c r="C550" s="257"/>
      <c r="D550" s="260" t="s">
        <v>1955</v>
      </c>
      <c r="E550" s="256"/>
      <c r="F550" s="257"/>
      <c r="G550" s="256"/>
      <c r="H550" s="257"/>
      <c r="I550" s="257"/>
      <c r="J550" s="257"/>
      <c r="K550" s="258">
        <f>SUBTOTAL(9,K546:K549)</f>
        <v>-16.150000000000048</v>
      </c>
      <c r="L550" s="252"/>
      <c r="M550" s="259"/>
      <c r="N550" s="258">
        <f>SUBTOTAL(9,N546:N549)</f>
        <v>0.81000000000000072</v>
      </c>
      <c r="O550" s="258">
        <f>SUBTOTAL(9,O546:O549)</f>
        <v>-0.44000000000000283</v>
      </c>
      <c r="P550" s="223"/>
      <c r="Q550" s="210"/>
      <c r="R550" s="263" t="s">
        <v>2097</v>
      </c>
      <c r="S550" s="263" t="s">
        <v>2102</v>
      </c>
    </row>
    <row r="551" spans="1:19" outlineLevel="2">
      <c r="A551" s="3" t="s">
        <v>675</v>
      </c>
      <c r="B551" s="211" t="s">
        <v>66</v>
      </c>
      <c r="C551" s="212" t="s">
        <v>674</v>
      </c>
      <c r="D551" s="212" t="s">
        <v>675</v>
      </c>
      <c r="E551" s="211" t="s">
        <v>385</v>
      </c>
      <c r="F551" s="212" t="s">
        <v>676</v>
      </c>
      <c r="G551" s="211" t="s">
        <v>387</v>
      </c>
      <c r="H551" s="212" t="s">
        <v>23</v>
      </c>
      <c r="I551" s="212" t="s">
        <v>1530</v>
      </c>
      <c r="J551" s="212">
        <v>201409</v>
      </c>
      <c r="K551" s="213">
        <v>16917.41</v>
      </c>
      <c r="L551" s="171">
        <f>VLOOKUP(J551,$U$9:$V$23,2)</f>
        <v>9</v>
      </c>
      <c r="M551" s="214">
        <v>2.23333E-3</v>
      </c>
      <c r="N551" s="213">
        <f>ROUND(K551*L551*M551,2)</f>
        <v>340.04</v>
      </c>
      <c r="O551" s="213">
        <f>ROUND(K551*M551*12,2)</f>
        <v>453.39</v>
      </c>
      <c r="P551" s="14"/>
      <c r="Q551" s="210" t="str">
        <f>VLOOKUP(D551,'WO Descriptions'!$A$5:$D$345,4)</f>
        <v>Replacement and/or removal of existing protected steel or plastic (Monett - South Region)</v>
      </c>
    </row>
    <row r="552" spans="1:19" outlineLevel="2">
      <c r="A552" s="3" t="s">
        <v>675</v>
      </c>
      <c r="B552" s="211" t="s">
        <v>66</v>
      </c>
      <c r="C552" s="212" t="s">
        <v>674</v>
      </c>
      <c r="D552" s="212" t="s">
        <v>675</v>
      </c>
      <c r="E552" s="211" t="s">
        <v>385</v>
      </c>
      <c r="F552" s="212" t="s">
        <v>676</v>
      </c>
      <c r="G552" s="211" t="s">
        <v>387</v>
      </c>
      <c r="H552" s="212" t="s">
        <v>23</v>
      </c>
      <c r="I552" s="212" t="s">
        <v>1530</v>
      </c>
      <c r="J552" s="212">
        <v>201410</v>
      </c>
      <c r="K552" s="213">
        <v>14213.17</v>
      </c>
      <c r="L552" s="171">
        <f>VLOOKUP(J552,$U$9:$V$23,2)</f>
        <v>8</v>
      </c>
      <c r="M552" s="214">
        <v>2.23333E-3</v>
      </c>
      <c r="N552" s="213">
        <f>ROUND(K552*L552*M552,2)</f>
        <v>253.94</v>
      </c>
      <c r="O552" s="213">
        <f>ROUND(K552*M552*12,2)</f>
        <v>380.91</v>
      </c>
      <c r="P552" s="14"/>
      <c r="Q552" s="210" t="str">
        <f>VLOOKUP(D552,'WO Descriptions'!$A$5:$D$345,4)</f>
        <v>Replacement and/or removal of existing protected steel or plastic (Monett - South Region)</v>
      </c>
    </row>
    <row r="553" spans="1:19" outlineLevel="2">
      <c r="A553" s="3" t="s">
        <v>675</v>
      </c>
      <c r="B553" s="211" t="s">
        <v>66</v>
      </c>
      <c r="C553" s="212" t="s">
        <v>674</v>
      </c>
      <c r="D553" s="212" t="s">
        <v>675</v>
      </c>
      <c r="E553" s="211" t="s">
        <v>385</v>
      </c>
      <c r="F553" s="212" t="s">
        <v>676</v>
      </c>
      <c r="G553" s="211" t="s">
        <v>387</v>
      </c>
      <c r="H553" s="212" t="s">
        <v>23</v>
      </c>
      <c r="I553" s="212" t="s">
        <v>1530</v>
      </c>
      <c r="J553" s="212">
        <v>201411</v>
      </c>
      <c r="K553" s="213">
        <v>-5090.0600000000004</v>
      </c>
      <c r="L553" s="171">
        <f>VLOOKUP(J553,$U$9:$V$23,2)</f>
        <v>7</v>
      </c>
      <c r="M553" s="214">
        <v>2.23333E-3</v>
      </c>
      <c r="N553" s="213">
        <f>ROUND(K553*L553*M553,2)</f>
        <v>-79.569999999999993</v>
      </c>
      <c r="O553" s="213">
        <f>ROUND(K553*M553*12,2)</f>
        <v>-136.41</v>
      </c>
      <c r="P553" s="14"/>
      <c r="Q553" s="210" t="str">
        <f>VLOOKUP(D553,'WO Descriptions'!$A$5:$D$345,4)</f>
        <v>Replacement and/or removal of existing protected steel or plastic (Monett - South Region)</v>
      </c>
    </row>
    <row r="554" spans="1:19" outlineLevel="2">
      <c r="A554" s="3" t="s">
        <v>675</v>
      </c>
      <c r="B554" s="211" t="s">
        <v>66</v>
      </c>
      <c r="C554" s="212" t="s">
        <v>674</v>
      </c>
      <c r="D554" s="212" t="s">
        <v>675</v>
      </c>
      <c r="E554" s="211" t="s">
        <v>385</v>
      </c>
      <c r="F554" s="212" t="s">
        <v>676</v>
      </c>
      <c r="G554" s="211" t="s">
        <v>387</v>
      </c>
      <c r="H554" s="212" t="s">
        <v>23</v>
      </c>
      <c r="I554" s="212" t="s">
        <v>1530</v>
      </c>
      <c r="J554" s="212">
        <v>201412</v>
      </c>
      <c r="K554" s="213">
        <v>4755.1000000000004</v>
      </c>
      <c r="L554" s="171">
        <f>VLOOKUP(J554,$U$9:$V$23,2)</f>
        <v>6</v>
      </c>
      <c r="M554" s="214">
        <v>2.23333E-3</v>
      </c>
      <c r="N554" s="213">
        <f>ROUND(K554*L554*M554,2)</f>
        <v>63.72</v>
      </c>
      <c r="O554" s="213">
        <f>ROUND(K554*M554*12,2)</f>
        <v>127.44</v>
      </c>
      <c r="P554" s="14"/>
      <c r="Q554" s="210" t="str">
        <f>VLOOKUP(D554,'WO Descriptions'!$A$5:$D$345,4)</f>
        <v>Replacement and/or removal of existing protected steel or plastic (Monett - South Region)</v>
      </c>
    </row>
    <row r="555" spans="1:19" outlineLevel="1">
      <c r="A555" s="3" t="s">
        <v>1956</v>
      </c>
      <c r="B555" s="256"/>
      <c r="C555" s="257"/>
      <c r="D555" s="260" t="s">
        <v>1956</v>
      </c>
      <c r="E555" s="256"/>
      <c r="F555" s="257"/>
      <c r="G555" s="256"/>
      <c r="H555" s="257"/>
      <c r="I555" s="257"/>
      <c r="J555" s="257"/>
      <c r="K555" s="258">
        <f>SUBTOTAL(9,K551:K554)</f>
        <v>30795.620000000003</v>
      </c>
      <c r="L555" s="252"/>
      <c r="M555" s="259"/>
      <c r="N555" s="258">
        <f>SUBTOTAL(9,N551:N554)</f>
        <v>578.13000000000011</v>
      </c>
      <c r="O555" s="258">
        <f>SUBTOTAL(9,O551:O554)</f>
        <v>825.32999999999993</v>
      </c>
      <c r="P555" s="223"/>
      <c r="Q555" s="210"/>
      <c r="R555" s="263" t="s">
        <v>2097</v>
      </c>
      <c r="S555" s="263" t="s">
        <v>2102</v>
      </c>
    </row>
    <row r="556" spans="1:19" ht="60" outlineLevel="2">
      <c r="A556" s="3" t="s">
        <v>678</v>
      </c>
      <c r="B556" s="14" t="s">
        <v>17</v>
      </c>
      <c r="C556" s="15" t="s">
        <v>677</v>
      </c>
      <c r="D556" s="15" t="s">
        <v>678</v>
      </c>
      <c r="E556" s="14" t="s">
        <v>679</v>
      </c>
      <c r="F556" s="15" t="s">
        <v>216</v>
      </c>
      <c r="G556" s="14" t="s">
        <v>22</v>
      </c>
      <c r="H556" s="15" t="s">
        <v>23</v>
      </c>
      <c r="I556" s="15" t="s">
        <v>1525</v>
      </c>
      <c r="J556" s="15">
        <v>201409</v>
      </c>
      <c r="K556" s="16">
        <v>6.37</v>
      </c>
      <c r="L556" s="171">
        <f>VLOOKUP(J556,$U$9:$V$23,2)</f>
        <v>9</v>
      </c>
      <c r="M556" s="17">
        <v>1.4833299999999999E-3</v>
      </c>
      <c r="N556" s="16">
        <f>ROUND(K556*L556*M556,2)</f>
        <v>0.09</v>
      </c>
      <c r="O556" s="16">
        <f>ROUND(K556*M556*12,2)</f>
        <v>0.11</v>
      </c>
      <c r="P556" s="14"/>
      <c r="Q556" s="210" t="str">
        <f>VLOOKUP(D556,'WO Descriptions'!$A$5:$D$345,4)</f>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
    </row>
    <row r="557" spans="1:19" outlineLevel="1">
      <c r="A557" s="3" t="s">
        <v>1957</v>
      </c>
      <c r="B557" s="223"/>
      <c r="C557" s="250"/>
      <c r="D557" s="254" t="s">
        <v>1957</v>
      </c>
      <c r="E557" s="223"/>
      <c r="F557" s="250"/>
      <c r="G557" s="223"/>
      <c r="H557" s="250"/>
      <c r="I557" s="250"/>
      <c r="J557" s="250"/>
      <c r="K557" s="251">
        <f>SUBTOTAL(9,K556:K556)</f>
        <v>6.37</v>
      </c>
      <c r="L557" s="252"/>
      <c r="M557" s="253"/>
      <c r="N557" s="251">
        <f>SUBTOTAL(9,N556:N556)</f>
        <v>0.09</v>
      </c>
      <c r="O557" s="251">
        <f>SUBTOTAL(9,O556:O556)</f>
        <v>0.11</v>
      </c>
      <c r="P557" s="223"/>
      <c r="Q557" s="210"/>
      <c r="R557" s="263" t="s">
        <v>2097</v>
      </c>
      <c r="S557" s="263" t="s">
        <v>2098</v>
      </c>
    </row>
    <row r="558" spans="1:19" ht="45" outlineLevel="2">
      <c r="A558" s="3" t="s">
        <v>681</v>
      </c>
      <c r="B558" s="14" t="s">
        <v>238</v>
      </c>
      <c r="C558" s="15" t="s">
        <v>680</v>
      </c>
      <c r="D558" s="15" t="s">
        <v>681</v>
      </c>
      <c r="E558" s="14" t="s">
        <v>682</v>
      </c>
      <c r="F558" s="15" t="s">
        <v>683</v>
      </c>
      <c r="G558" s="14" t="s">
        <v>684</v>
      </c>
      <c r="H558" s="15" t="s">
        <v>23</v>
      </c>
      <c r="I558" s="15" t="s">
        <v>1528</v>
      </c>
      <c r="J558" s="15">
        <v>201409</v>
      </c>
      <c r="K558" s="16">
        <v>-215.87</v>
      </c>
      <c r="L558" s="171">
        <f>VLOOKUP(J558,$U$9:$V$23,2)</f>
        <v>9</v>
      </c>
      <c r="M558" s="17">
        <v>2.3833299999999999E-3</v>
      </c>
      <c r="N558" s="16">
        <f>ROUND(K558*L558*M558,2)</f>
        <v>-4.63</v>
      </c>
      <c r="O558" s="16">
        <f>ROUND(K558*M558*12,2)</f>
        <v>-6.17</v>
      </c>
      <c r="P558" s="14"/>
      <c r="Q558" s="210" t="str">
        <f>VLOOKUP(D558,'WO Descriptions'!$A$5:$D$345,4)</f>
        <v>Approved by: Gary Williams on 01/31/2013,  Relocate DRS 424 from Gardener Avenue and Askew to Front Street and Askew. All existing regulators and valves from station were utilized in the relocation. Install new barricade around station.</v>
      </c>
    </row>
    <row r="559" spans="1:19" outlineLevel="1">
      <c r="A559" s="3" t="s">
        <v>1958</v>
      </c>
      <c r="B559" s="223"/>
      <c r="C559" s="250"/>
      <c r="D559" s="254" t="s">
        <v>1958</v>
      </c>
      <c r="E559" s="223"/>
      <c r="F559" s="250"/>
      <c r="G559" s="223"/>
      <c r="H559" s="250"/>
      <c r="I559" s="250"/>
      <c r="J559" s="250"/>
      <c r="K559" s="251">
        <f>SUBTOTAL(9,K558:K558)</f>
        <v>-215.87</v>
      </c>
      <c r="L559" s="252"/>
      <c r="M559" s="253"/>
      <c r="N559" s="251">
        <f>SUBTOTAL(9,N558:N558)</f>
        <v>-4.63</v>
      </c>
      <c r="O559" s="251">
        <f>SUBTOTAL(9,O558:O558)</f>
        <v>-6.17</v>
      </c>
      <c r="P559" s="223"/>
      <c r="Q559" s="210"/>
      <c r="R559" s="263" t="s">
        <v>2097</v>
      </c>
      <c r="S559" s="263" t="s">
        <v>2099</v>
      </c>
    </row>
    <row r="560" spans="1:19" ht="75" outlineLevel="2">
      <c r="A560" s="3" t="s">
        <v>686</v>
      </c>
      <c r="B560" s="14" t="s">
        <v>17</v>
      </c>
      <c r="C560" s="15" t="s">
        <v>685</v>
      </c>
      <c r="D560" s="15" t="s">
        <v>686</v>
      </c>
      <c r="E560" s="14" t="s">
        <v>687</v>
      </c>
      <c r="F560" s="15" t="s">
        <v>40</v>
      </c>
      <c r="G560" s="14" t="s">
        <v>41</v>
      </c>
      <c r="H560" s="15" t="s">
        <v>23</v>
      </c>
      <c r="I560" s="15" t="s">
        <v>1526</v>
      </c>
      <c r="J560" s="15">
        <v>201409</v>
      </c>
      <c r="K560" s="16">
        <v>-5404.17</v>
      </c>
      <c r="L560" s="171">
        <f>VLOOKUP(J560,$U$9:$V$23,2)</f>
        <v>9</v>
      </c>
      <c r="M560" s="17">
        <v>1.4833299999999999E-3</v>
      </c>
      <c r="N560" s="16">
        <f>ROUND(K560*L560*M560,2)</f>
        <v>-72.150000000000006</v>
      </c>
      <c r="O560" s="16">
        <f>ROUND(K560*M560*12,2)</f>
        <v>-96.19</v>
      </c>
      <c r="P560" s="14"/>
      <c r="Q560" s="210" t="str">
        <f>VLOOKUP(D560,'WO Descriptions'!$A$5:$D$345,4)</f>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
    </row>
    <row r="561" spans="1:19" outlineLevel="1">
      <c r="A561" s="3" t="s">
        <v>1959</v>
      </c>
      <c r="B561" s="223"/>
      <c r="C561" s="250"/>
      <c r="D561" s="254" t="s">
        <v>1959</v>
      </c>
      <c r="E561" s="223"/>
      <c r="F561" s="250"/>
      <c r="G561" s="223"/>
      <c r="H561" s="250"/>
      <c r="I561" s="250"/>
      <c r="J561" s="250"/>
      <c r="K561" s="251">
        <f>SUBTOTAL(9,K560:K560)</f>
        <v>-5404.17</v>
      </c>
      <c r="L561" s="252"/>
      <c r="M561" s="253"/>
      <c r="N561" s="251">
        <f>SUBTOTAL(9,N560:N560)</f>
        <v>-72.150000000000006</v>
      </c>
      <c r="O561" s="251">
        <f>SUBTOTAL(9,O560:O560)</f>
        <v>-96.19</v>
      </c>
      <c r="P561" s="223"/>
      <c r="Q561" s="210"/>
      <c r="R561" s="263" t="s">
        <v>2096</v>
      </c>
    </row>
    <row r="562" spans="1:19" ht="150" outlineLevel="2">
      <c r="A562" s="3" t="s">
        <v>689</v>
      </c>
      <c r="B562" s="14" t="s">
        <v>17</v>
      </c>
      <c r="C562" s="15" t="s">
        <v>688</v>
      </c>
      <c r="D562" s="15" t="s">
        <v>689</v>
      </c>
      <c r="E562" s="14" t="s">
        <v>690</v>
      </c>
      <c r="F562" s="15" t="s">
        <v>141</v>
      </c>
      <c r="G562" s="14" t="s">
        <v>142</v>
      </c>
      <c r="H562" s="15" t="s">
        <v>23</v>
      </c>
      <c r="I562" s="15" t="s">
        <v>1525</v>
      </c>
      <c r="J562" s="15">
        <v>201409</v>
      </c>
      <c r="K562" s="16">
        <v>-919.54</v>
      </c>
      <c r="L562" s="171">
        <f>VLOOKUP(J562,$U$9:$V$23,2)</f>
        <v>9</v>
      </c>
      <c r="M562" s="17">
        <v>1.4833299999999999E-3</v>
      </c>
      <c r="N562" s="16">
        <f>ROUND(K562*L562*M562,2)</f>
        <v>-12.28</v>
      </c>
      <c r="O562" s="16">
        <f>ROUND(K562*M562*12,2)</f>
        <v>-16.37</v>
      </c>
      <c r="P562" s="14"/>
      <c r="Q562" s="210" t="str">
        <f>VLOOKUP(D562,'WO Descriptions'!$A$5:$D$345,4)</f>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
    </row>
    <row r="563" spans="1:19" outlineLevel="1">
      <c r="A563" s="3" t="s">
        <v>1960</v>
      </c>
      <c r="B563" s="223"/>
      <c r="C563" s="250"/>
      <c r="D563" s="254" t="s">
        <v>1960</v>
      </c>
      <c r="E563" s="223"/>
      <c r="F563" s="250"/>
      <c r="G563" s="223"/>
      <c r="H563" s="250"/>
      <c r="I563" s="250"/>
      <c r="J563" s="250"/>
      <c r="K563" s="251">
        <f>SUBTOTAL(9,K562:K562)</f>
        <v>-919.54</v>
      </c>
      <c r="L563" s="252"/>
      <c r="M563" s="253"/>
      <c r="N563" s="251">
        <f>SUBTOTAL(9,N562:N562)</f>
        <v>-12.28</v>
      </c>
      <c r="O563" s="251">
        <f>SUBTOTAL(9,O562:O562)</f>
        <v>-16.37</v>
      </c>
      <c r="P563" s="223"/>
      <c r="Q563" s="210"/>
      <c r="R563" s="263" t="s">
        <v>2097</v>
      </c>
      <c r="S563" s="263" t="s">
        <v>2100</v>
      </c>
    </row>
    <row r="564" spans="1:19" ht="105" outlineLevel="2">
      <c r="A564" s="3" t="s">
        <v>692</v>
      </c>
      <c r="B564" s="18" t="s">
        <v>17</v>
      </c>
      <c r="C564" s="15" t="s">
        <v>691</v>
      </c>
      <c r="D564" s="15" t="s">
        <v>692</v>
      </c>
      <c r="E564" s="14" t="s">
        <v>693</v>
      </c>
      <c r="F564" s="15" t="s">
        <v>58</v>
      </c>
      <c r="G564" s="14" t="s">
        <v>22</v>
      </c>
      <c r="H564" s="15" t="s">
        <v>23</v>
      </c>
      <c r="I564" s="15" t="s">
        <v>1525</v>
      </c>
      <c r="J564" s="15">
        <v>201409</v>
      </c>
      <c r="K564" s="16">
        <v>-115.71</v>
      </c>
      <c r="L564" s="171">
        <f>VLOOKUP(J564,$U$9:$V$23,2)</f>
        <v>9</v>
      </c>
      <c r="M564" s="17">
        <v>1.4833299999999999E-3</v>
      </c>
      <c r="N564" s="16">
        <f>ROUND(K564*L564*M564,2)</f>
        <v>-1.54</v>
      </c>
      <c r="O564" s="16">
        <f>ROUND(K564*M564*12,2)</f>
        <v>-2.06</v>
      </c>
      <c r="P564" s="14"/>
      <c r="Q564" s="210" t="str">
        <f>VLOOKUP(D564,'WO Descriptions'!$A$5:$D$345,4)</f>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
    </row>
    <row r="565" spans="1:19" outlineLevel="1">
      <c r="A565" s="3" t="s">
        <v>1961</v>
      </c>
      <c r="B565" s="225"/>
      <c r="C565" s="250"/>
      <c r="D565" s="254" t="s">
        <v>1961</v>
      </c>
      <c r="E565" s="223"/>
      <c r="F565" s="250"/>
      <c r="G565" s="223"/>
      <c r="H565" s="250"/>
      <c r="I565" s="250"/>
      <c r="J565" s="250"/>
      <c r="K565" s="251">
        <f>SUBTOTAL(9,K564:K564)</f>
        <v>-115.71</v>
      </c>
      <c r="L565" s="252"/>
      <c r="M565" s="253"/>
      <c r="N565" s="251">
        <f>SUBTOTAL(9,N564:N564)</f>
        <v>-1.54</v>
      </c>
      <c r="O565" s="251">
        <f>SUBTOTAL(9,O564:O564)</f>
        <v>-2.06</v>
      </c>
      <c r="P565" s="223"/>
      <c r="Q565" s="210"/>
      <c r="R565" s="263" t="s">
        <v>2097</v>
      </c>
      <c r="S565" s="263" t="s">
        <v>2098</v>
      </c>
    </row>
    <row r="566" spans="1:19" ht="60" outlineLevel="2">
      <c r="A566" s="3" t="s">
        <v>695</v>
      </c>
      <c r="B566" s="18" t="s">
        <v>17</v>
      </c>
      <c r="C566" s="15" t="s">
        <v>694</v>
      </c>
      <c r="D566" s="15" t="s">
        <v>695</v>
      </c>
      <c r="E566" s="14" t="s">
        <v>696</v>
      </c>
      <c r="F566" s="15" t="s">
        <v>141</v>
      </c>
      <c r="G566" s="14" t="s">
        <v>142</v>
      </c>
      <c r="H566" s="15" t="s">
        <v>23</v>
      </c>
      <c r="I566" s="15" t="s">
        <v>1525</v>
      </c>
      <c r="J566" s="15">
        <v>201409</v>
      </c>
      <c r="K566" s="16">
        <v>-90.01</v>
      </c>
      <c r="L566" s="171">
        <f>VLOOKUP(J566,$U$9:$V$23,2)</f>
        <v>9</v>
      </c>
      <c r="M566" s="17">
        <v>1.4833299999999999E-3</v>
      </c>
      <c r="N566" s="16">
        <f>ROUND(K566*L566*M566,2)</f>
        <v>-1.2</v>
      </c>
      <c r="O566" s="16">
        <f>ROUND(K566*M566*12,2)</f>
        <v>-1.6</v>
      </c>
      <c r="P566" s="14"/>
      <c r="Q566" s="210" t="str">
        <f>VLOOKUP(D566,'WO Descriptions'!$A$5:$D$345,4)</f>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
    </row>
    <row r="567" spans="1:19" outlineLevel="1">
      <c r="A567" s="3" t="s">
        <v>1962</v>
      </c>
      <c r="B567" s="225"/>
      <c r="C567" s="250"/>
      <c r="D567" s="254" t="s">
        <v>1962</v>
      </c>
      <c r="E567" s="223"/>
      <c r="F567" s="250"/>
      <c r="G567" s="223"/>
      <c r="H567" s="250"/>
      <c r="I567" s="250"/>
      <c r="J567" s="250"/>
      <c r="K567" s="251">
        <f>SUBTOTAL(9,K566:K566)</f>
        <v>-90.01</v>
      </c>
      <c r="L567" s="252"/>
      <c r="M567" s="253"/>
      <c r="N567" s="251">
        <f>SUBTOTAL(9,N566:N566)</f>
        <v>-1.2</v>
      </c>
      <c r="O567" s="251">
        <f>SUBTOTAL(9,O566:O566)</f>
        <v>-1.6</v>
      </c>
      <c r="P567" s="223"/>
      <c r="Q567" s="210"/>
      <c r="R567" s="263" t="s">
        <v>2097</v>
      </c>
      <c r="S567" s="263" t="s">
        <v>2100</v>
      </c>
    </row>
    <row r="568" spans="1:19" ht="45" outlineLevel="2">
      <c r="A568" s="3" t="s">
        <v>698</v>
      </c>
      <c r="B568" s="18" t="s">
        <v>17</v>
      </c>
      <c r="C568" s="15" t="s">
        <v>697</v>
      </c>
      <c r="D568" s="15" t="s">
        <v>698</v>
      </c>
      <c r="E568" s="14" t="s">
        <v>699</v>
      </c>
      <c r="F568" s="15" t="s">
        <v>108</v>
      </c>
      <c r="G568" s="14" t="s">
        <v>28</v>
      </c>
      <c r="H568" s="15" t="s">
        <v>23</v>
      </c>
      <c r="I568" s="15" t="s">
        <v>1525</v>
      </c>
      <c r="J568" s="15">
        <v>201409</v>
      </c>
      <c r="K568" s="16">
        <v>-61.29</v>
      </c>
      <c r="L568" s="171">
        <f>VLOOKUP(J568,$U$9:$V$23,2)</f>
        <v>9</v>
      </c>
      <c r="M568" s="17">
        <v>1.4833299999999999E-3</v>
      </c>
      <c r="N568" s="16">
        <f>ROUND(K568*L568*M568,2)</f>
        <v>-0.82</v>
      </c>
      <c r="O568" s="16">
        <f>ROUND(K568*M568*12,2)</f>
        <v>-1.0900000000000001</v>
      </c>
      <c r="P568" s="14"/>
      <c r="Q568" s="210" t="str">
        <f>VLOOKUP(D568,'WO Descriptions'!$A$5:$D$345,4)</f>
        <v>Approved by: Kevin Driskell on 10/17/2013,  Replace 75' of 2in PE (wo 1973, 73-3788) with 75'-2in PE due to steel service replacement. Was unable to access existing 2in PE that was inserted into abandoned cat iron.</v>
      </c>
    </row>
    <row r="569" spans="1:19" outlineLevel="1">
      <c r="A569" s="3" t="s">
        <v>1963</v>
      </c>
      <c r="B569" s="225"/>
      <c r="C569" s="250"/>
      <c r="D569" s="254" t="s">
        <v>1963</v>
      </c>
      <c r="E569" s="223"/>
      <c r="F569" s="250"/>
      <c r="G569" s="223"/>
      <c r="H569" s="250"/>
      <c r="I569" s="250"/>
      <c r="J569" s="250"/>
      <c r="K569" s="251">
        <f>SUBTOTAL(9,K568:K568)</f>
        <v>-61.29</v>
      </c>
      <c r="L569" s="252"/>
      <c r="M569" s="253"/>
      <c r="N569" s="251">
        <f>SUBTOTAL(9,N568:N568)</f>
        <v>-0.82</v>
      </c>
      <c r="O569" s="251">
        <f>SUBTOTAL(9,O568:O568)</f>
        <v>-1.0900000000000001</v>
      </c>
      <c r="P569" s="223"/>
      <c r="Q569" s="210"/>
      <c r="R569" s="263" t="s">
        <v>2097</v>
      </c>
      <c r="S569" s="263" t="s">
        <v>2098</v>
      </c>
    </row>
    <row r="570" spans="1:19" ht="105" outlineLevel="2">
      <c r="A570" s="3" t="s">
        <v>701</v>
      </c>
      <c r="B570" s="18" t="s">
        <v>17</v>
      </c>
      <c r="C570" s="15" t="s">
        <v>700</v>
      </c>
      <c r="D570" s="15" t="s">
        <v>701</v>
      </c>
      <c r="E570" s="14" t="s">
        <v>702</v>
      </c>
      <c r="F570" s="15" t="s">
        <v>703</v>
      </c>
      <c r="G570" s="14" t="s">
        <v>142</v>
      </c>
      <c r="H570" s="15" t="s">
        <v>23</v>
      </c>
      <c r="I570" s="15" t="s">
        <v>1525</v>
      </c>
      <c r="J570" s="15">
        <v>201409</v>
      </c>
      <c r="K570" s="16">
        <v>-1328.44</v>
      </c>
      <c r="L570" s="171">
        <f>VLOOKUP(J570,$U$9:$V$23,2)</f>
        <v>9</v>
      </c>
      <c r="M570" s="17">
        <v>1.4833299999999999E-3</v>
      </c>
      <c r="N570" s="16">
        <f>ROUND(K570*L570*M570,2)</f>
        <v>-17.73</v>
      </c>
      <c r="O570" s="16">
        <f>ROUND(K570*M570*12,2)</f>
        <v>-23.65</v>
      </c>
      <c r="P570" s="14"/>
      <c r="Q570" s="210" t="str">
        <f>VLOOKUP(D570,'WO Descriptions'!$A$5:$D$345,4)</f>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
    </row>
    <row r="571" spans="1:19" outlineLevel="1">
      <c r="A571" s="3" t="s">
        <v>1964</v>
      </c>
      <c r="B571" s="225"/>
      <c r="C571" s="250"/>
      <c r="D571" s="254" t="s">
        <v>1964</v>
      </c>
      <c r="E571" s="223"/>
      <c r="F571" s="250"/>
      <c r="G571" s="223"/>
      <c r="H571" s="250"/>
      <c r="I571" s="250"/>
      <c r="J571" s="250"/>
      <c r="K571" s="251">
        <f>SUBTOTAL(9,K570:K570)</f>
        <v>-1328.44</v>
      </c>
      <c r="L571" s="252"/>
      <c r="M571" s="253"/>
      <c r="N571" s="251">
        <f>SUBTOTAL(9,N570:N570)</f>
        <v>-17.73</v>
      </c>
      <c r="O571" s="251">
        <f>SUBTOTAL(9,O570:O570)</f>
        <v>-23.65</v>
      </c>
      <c r="P571" s="223"/>
      <c r="Q571" s="210"/>
      <c r="R571" s="263" t="s">
        <v>2097</v>
      </c>
      <c r="S571" s="263" t="s">
        <v>2100</v>
      </c>
    </row>
    <row r="572" spans="1:19" ht="105" outlineLevel="2">
      <c r="A572" s="3" t="s">
        <v>705</v>
      </c>
      <c r="B572" s="14" t="s">
        <v>17</v>
      </c>
      <c r="C572" s="15" t="s">
        <v>704</v>
      </c>
      <c r="D572" s="15" t="s">
        <v>705</v>
      </c>
      <c r="E572" s="14" t="s">
        <v>706</v>
      </c>
      <c r="F572" s="15" t="s">
        <v>58</v>
      </c>
      <c r="G572" s="14" t="s">
        <v>22</v>
      </c>
      <c r="H572" s="15" t="s">
        <v>23</v>
      </c>
      <c r="I572" s="15" t="s">
        <v>1525</v>
      </c>
      <c r="J572" s="15">
        <v>201409</v>
      </c>
      <c r="K572" s="16">
        <v>-1908.15</v>
      </c>
      <c r="L572" s="171">
        <f>VLOOKUP(J572,$U$9:$V$23,2)</f>
        <v>9</v>
      </c>
      <c r="M572" s="17">
        <v>1.4833299999999999E-3</v>
      </c>
      <c r="N572" s="16">
        <f>ROUND(K572*L572*M572,2)</f>
        <v>-25.47</v>
      </c>
      <c r="O572" s="16">
        <f>ROUND(K572*M572*12,2)</f>
        <v>-33.96</v>
      </c>
      <c r="P572" s="14"/>
      <c r="Q572" s="210" t="str">
        <f>VLOOKUP(D572,'WO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3" spans="1:19" ht="105" outlineLevel="2">
      <c r="A573" s="3" t="s">
        <v>705</v>
      </c>
      <c r="B573" s="18" t="s">
        <v>17</v>
      </c>
      <c r="C573" s="15" t="s">
        <v>704</v>
      </c>
      <c r="D573" s="15" t="s">
        <v>705</v>
      </c>
      <c r="E573" s="14" t="s">
        <v>706</v>
      </c>
      <c r="F573" s="15" t="s">
        <v>58</v>
      </c>
      <c r="G573" s="14" t="s">
        <v>22</v>
      </c>
      <c r="H573" s="15" t="s">
        <v>23</v>
      </c>
      <c r="I573" s="15" t="s">
        <v>1525</v>
      </c>
      <c r="J573" s="15">
        <v>201411</v>
      </c>
      <c r="K573" s="16">
        <v>5238.34</v>
      </c>
      <c r="L573" s="171">
        <f>VLOOKUP(J573,$U$9:$V$23,2)</f>
        <v>7</v>
      </c>
      <c r="M573" s="17">
        <v>1.4833299999999999E-3</v>
      </c>
      <c r="N573" s="16">
        <f>ROUND(K573*L573*M573,2)</f>
        <v>54.39</v>
      </c>
      <c r="O573" s="16">
        <f>ROUND(K573*M573*12,2)</f>
        <v>93.24</v>
      </c>
      <c r="P573" s="14"/>
      <c r="Q573" s="210" t="str">
        <f>VLOOKUP(D573,'WO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4" spans="1:19" ht="105" outlineLevel="2">
      <c r="A574" s="3" t="s">
        <v>705</v>
      </c>
      <c r="B574" s="14" t="s">
        <v>17</v>
      </c>
      <c r="C574" s="15" t="s">
        <v>704</v>
      </c>
      <c r="D574" s="15" t="s">
        <v>705</v>
      </c>
      <c r="E574" s="14" t="s">
        <v>706</v>
      </c>
      <c r="F574" s="15" t="s">
        <v>58</v>
      </c>
      <c r="G574" s="14" t="s">
        <v>22</v>
      </c>
      <c r="H574" s="15" t="s">
        <v>23</v>
      </c>
      <c r="I574" s="15" t="s">
        <v>1525</v>
      </c>
      <c r="J574" s="15">
        <v>201412</v>
      </c>
      <c r="K574" s="16">
        <v>7983.95</v>
      </c>
      <c r="L574" s="171">
        <f>VLOOKUP(J574,$U$9:$V$23,2)</f>
        <v>6</v>
      </c>
      <c r="M574" s="17">
        <v>1.4833299999999999E-3</v>
      </c>
      <c r="N574" s="16">
        <f>ROUND(K574*L574*M574,2)</f>
        <v>71.06</v>
      </c>
      <c r="O574" s="16">
        <f>ROUND(K574*M574*12,2)</f>
        <v>142.11000000000001</v>
      </c>
      <c r="P574" s="14"/>
      <c r="Q574" s="210" t="str">
        <f>VLOOKUP(D574,'WO Descriptions'!$A$5:$D$345,4)</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row>
    <row r="575" spans="1:19" outlineLevel="1">
      <c r="A575" s="3" t="s">
        <v>1965</v>
      </c>
      <c r="B575" s="223"/>
      <c r="C575" s="250"/>
      <c r="D575" s="254" t="s">
        <v>1965</v>
      </c>
      <c r="E575" s="223"/>
      <c r="F575" s="250"/>
      <c r="G575" s="223"/>
      <c r="H575" s="250"/>
      <c r="I575" s="250"/>
      <c r="J575" s="250"/>
      <c r="K575" s="251">
        <f>SUBTOTAL(9,K572:K574)</f>
        <v>11314.14</v>
      </c>
      <c r="L575" s="252"/>
      <c r="M575" s="253"/>
      <c r="N575" s="251">
        <f>SUBTOTAL(9,N572:N574)</f>
        <v>99.98</v>
      </c>
      <c r="O575" s="251">
        <f>SUBTOTAL(9,O572:O574)</f>
        <v>201.39000000000001</v>
      </c>
      <c r="P575" s="223"/>
      <c r="Q575" s="210"/>
      <c r="R575" s="263" t="s">
        <v>2097</v>
      </c>
      <c r="S575" s="263" t="s">
        <v>2098</v>
      </c>
    </row>
    <row r="576" spans="1:19" ht="135" outlineLevel="2">
      <c r="A576" s="3" t="s">
        <v>708</v>
      </c>
      <c r="B576" s="18" t="s">
        <v>54</v>
      </c>
      <c r="C576" s="15" t="s">
        <v>707</v>
      </c>
      <c r="D576" s="15" t="s">
        <v>708</v>
      </c>
      <c r="E576" s="14" t="s">
        <v>709</v>
      </c>
      <c r="F576" s="15" t="s">
        <v>62</v>
      </c>
      <c r="G576" s="14" t="s">
        <v>22</v>
      </c>
      <c r="H576" s="15" t="s">
        <v>23</v>
      </c>
      <c r="I576" s="15" t="s">
        <v>1525</v>
      </c>
      <c r="J576" s="15">
        <v>201409</v>
      </c>
      <c r="K576" s="16">
        <v>-1477.33</v>
      </c>
      <c r="L576" s="171">
        <f>VLOOKUP(J576,$U$9:$V$23,2)</f>
        <v>9</v>
      </c>
      <c r="M576" s="17">
        <v>1.4833299999999999E-3</v>
      </c>
      <c r="N576" s="16">
        <f>ROUND(K576*L576*M576,2)</f>
        <v>-19.72</v>
      </c>
      <c r="O576" s="16">
        <f>ROUND(K576*M576*12,2)</f>
        <v>-26.3</v>
      </c>
      <c r="P576" s="14"/>
      <c r="Q576" s="210" t="str">
        <f>VLOOKUP(D576,'WO Descriptions'!$A$5:$D$345,4)</f>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
    </row>
    <row r="577" spans="1:19" outlineLevel="1">
      <c r="A577" s="3" t="s">
        <v>1966</v>
      </c>
      <c r="B577" s="225"/>
      <c r="C577" s="250"/>
      <c r="D577" s="254" t="s">
        <v>1966</v>
      </c>
      <c r="E577" s="223"/>
      <c r="F577" s="250"/>
      <c r="G577" s="223"/>
      <c r="H577" s="250"/>
      <c r="I577" s="250"/>
      <c r="J577" s="250"/>
      <c r="K577" s="251">
        <f>SUBTOTAL(9,K576:K576)</f>
        <v>-1477.33</v>
      </c>
      <c r="L577" s="252"/>
      <c r="M577" s="253"/>
      <c r="N577" s="251">
        <f>SUBTOTAL(9,N576:N576)</f>
        <v>-19.72</v>
      </c>
      <c r="O577" s="251">
        <f>SUBTOTAL(9,O576:O576)</f>
        <v>-26.3</v>
      </c>
      <c r="P577" s="223"/>
      <c r="Q577" s="210"/>
      <c r="R577" s="263" t="s">
        <v>2097</v>
      </c>
      <c r="S577" s="263" t="s">
        <v>2098</v>
      </c>
    </row>
    <row r="578" spans="1:19" ht="90" outlineLevel="2">
      <c r="A578" s="3" t="s">
        <v>711</v>
      </c>
      <c r="B578" s="18" t="s">
        <v>17</v>
      </c>
      <c r="C578" s="15" t="s">
        <v>710</v>
      </c>
      <c r="D578" s="15" t="s">
        <v>711</v>
      </c>
      <c r="E578" s="14" t="s">
        <v>712</v>
      </c>
      <c r="F578" s="15" t="s">
        <v>45</v>
      </c>
      <c r="G578" s="14" t="s">
        <v>22</v>
      </c>
      <c r="H578" s="15" t="s">
        <v>23</v>
      </c>
      <c r="I578" s="15" t="s">
        <v>1525</v>
      </c>
      <c r="J578" s="15">
        <v>201409</v>
      </c>
      <c r="K578" s="16">
        <v>-5845.57</v>
      </c>
      <c r="L578" s="171">
        <f>VLOOKUP(J578,$U$9:$V$23,2)</f>
        <v>9</v>
      </c>
      <c r="M578" s="17">
        <v>1.4833299999999999E-3</v>
      </c>
      <c r="N578" s="16">
        <f>ROUND(K578*L578*M578,2)</f>
        <v>-78.040000000000006</v>
      </c>
      <c r="O578" s="16">
        <f>ROUND(K578*M578*12,2)</f>
        <v>-104.05</v>
      </c>
      <c r="P578" s="14"/>
      <c r="Q578" s="210" t="str">
        <f>VLOOKUP(D578,'WO Descriptions'!$A$5:$D$345,4)</f>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
    </row>
    <row r="579" spans="1:19" outlineLevel="1">
      <c r="A579" s="3" t="s">
        <v>1967</v>
      </c>
      <c r="B579" s="225"/>
      <c r="C579" s="250"/>
      <c r="D579" s="254" t="s">
        <v>1967</v>
      </c>
      <c r="E579" s="223"/>
      <c r="F579" s="250"/>
      <c r="G579" s="223"/>
      <c r="H579" s="250"/>
      <c r="I579" s="250"/>
      <c r="J579" s="250"/>
      <c r="K579" s="251">
        <f>SUBTOTAL(9,K578:K578)</f>
        <v>-5845.57</v>
      </c>
      <c r="L579" s="252"/>
      <c r="M579" s="253"/>
      <c r="N579" s="251">
        <f>SUBTOTAL(9,N578:N578)</f>
        <v>-78.040000000000006</v>
      </c>
      <c r="O579" s="251">
        <f>SUBTOTAL(9,O578:O578)</f>
        <v>-104.05</v>
      </c>
      <c r="P579" s="223"/>
      <c r="Q579" s="210"/>
      <c r="R579" s="263" t="s">
        <v>2097</v>
      </c>
      <c r="S579" s="263" t="s">
        <v>2098</v>
      </c>
    </row>
    <row r="580" spans="1:19" ht="135" outlineLevel="2">
      <c r="A580" s="3" t="s">
        <v>714</v>
      </c>
      <c r="B580" s="18" t="s">
        <v>17</v>
      </c>
      <c r="C580" s="15" t="s">
        <v>713</v>
      </c>
      <c r="D580" s="15" t="s">
        <v>714</v>
      </c>
      <c r="E580" s="14" t="s">
        <v>715</v>
      </c>
      <c r="F580" s="15" t="s">
        <v>258</v>
      </c>
      <c r="G580" s="14" t="s">
        <v>259</v>
      </c>
      <c r="H580" s="15" t="s">
        <v>23</v>
      </c>
      <c r="I580" s="15" t="s">
        <v>1525</v>
      </c>
      <c r="J580" s="15">
        <v>201409</v>
      </c>
      <c r="K580" s="16">
        <v>-332.16</v>
      </c>
      <c r="L580" s="171">
        <f>VLOOKUP(J580,$U$9:$V$23,2)</f>
        <v>9</v>
      </c>
      <c r="M580" s="17">
        <v>1.4833299999999999E-3</v>
      </c>
      <c r="N580" s="16">
        <f>ROUND(K580*L580*M580,2)</f>
        <v>-4.43</v>
      </c>
      <c r="O580" s="16">
        <f>ROUND(K580*M580*12,2)</f>
        <v>-5.91</v>
      </c>
      <c r="P580" s="14"/>
      <c r="Q580" s="210" t="str">
        <f>VLOOKUP(D580,'WO Descriptions'!$A$5:$D$345,4)</f>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
    </row>
    <row r="581" spans="1:19" outlineLevel="1">
      <c r="A581" s="3" t="s">
        <v>1968</v>
      </c>
      <c r="B581" s="225"/>
      <c r="C581" s="250"/>
      <c r="D581" s="254" t="s">
        <v>1968</v>
      </c>
      <c r="E581" s="223"/>
      <c r="F581" s="250"/>
      <c r="G581" s="223"/>
      <c r="H581" s="250"/>
      <c r="I581" s="250"/>
      <c r="J581" s="250"/>
      <c r="K581" s="251">
        <f>SUBTOTAL(9,K580:K580)</f>
        <v>-332.16</v>
      </c>
      <c r="L581" s="252"/>
      <c r="M581" s="253"/>
      <c r="N581" s="251">
        <f>SUBTOTAL(9,N580:N580)</f>
        <v>-4.43</v>
      </c>
      <c r="O581" s="251">
        <f>SUBTOTAL(9,O580:O580)</f>
        <v>-5.91</v>
      </c>
      <c r="P581" s="223"/>
      <c r="Q581" s="210"/>
      <c r="R581" s="263" t="s">
        <v>2097</v>
      </c>
      <c r="S581" s="263" t="s">
        <v>2101</v>
      </c>
    </row>
    <row r="582" spans="1:19" ht="45" outlineLevel="2">
      <c r="A582" s="3" t="s">
        <v>717</v>
      </c>
      <c r="B582" s="18" t="s">
        <v>17</v>
      </c>
      <c r="C582" s="15" t="s">
        <v>716</v>
      </c>
      <c r="D582" s="15" t="s">
        <v>717</v>
      </c>
      <c r="E582" s="14" t="s">
        <v>718</v>
      </c>
      <c r="F582" s="15" t="s">
        <v>104</v>
      </c>
      <c r="G582" s="14" t="s">
        <v>41</v>
      </c>
      <c r="H582" s="15" t="s">
        <v>23</v>
      </c>
      <c r="I582" s="15" t="s">
        <v>1526</v>
      </c>
      <c r="J582" s="15">
        <v>201409</v>
      </c>
      <c r="K582" s="16">
        <v>-46.05</v>
      </c>
      <c r="L582" s="171">
        <f>VLOOKUP(J582,$U$9:$V$23,2)</f>
        <v>9</v>
      </c>
      <c r="M582" s="17">
        <v>1.4833299999999999E-3</v>
      </c>
      <c r="N582" s="16">
        <f>ROUND(K582*L582*M582,2)</f>
        <v>-0.61</v>
      </c>
      <c r="O582" s="16">
        <f>ROUND(K582*M582*12,2)</f>
        <v>-0.82</v>
      </c>
      <c r="P582" s="14"/>
      <c r="Q582" s="210" t="str">
        <f>VLOOKUP(D582,'WO Descriptions'!$A$5:$D$345,4)</f>
        <v>Approved by: Ralph Janes on 06/28/2013,  Public Improvement Project: Lincolnwood Storm. Relocate 20' - 4in PCS (14' span with 3' legs) to avoid a new storm curb inlet. Retire 14' - 4in PCS (WO# B2183). (ISRS)</v>
      </c>
    </row>
    <row r="583" spans="1:19" outlineLevel="1">
      <c r="A583" s="3" t="s">
        <v>1969</v>
      </c>
      <c r="B583" s="225"/>
      <c r="C583" s="250"/>
      <c r="D583" s="254" t="s">
        <v>1969</v>
      </c>
      <c r="E583" s="223"/>
      <c r="F583" s="250"/>
      <c r="G583" s="223"/>
      <c r="H583" s="250"/>
      <c r="I583" s="250"/>
      <c r="J583" s="250"/>
      <c r="K583" s="251">
        <f>SUBTOTAL(9,K582:K582)</f>
        <v>-46.05</v>
      </c>
      <c r="L583" s="252"/>
      <c r="M583" s="253"/>
      <c r="N583" s="251">
        <f>SUBTOTAL(9,N582:N582)</f>
        <v>-0.61</v>
      </c>
      <c r="O583" s="251">
        <f>SUBTOTAL(9,O582:O582)</f>
        <v>-0.82</v>
      </c>
      <c r="P583" s="223"/>
      <c r="Q583" s="210"/>
      <c r="R583" s="263" t="s">
        <v>2096</v>
      </c>
    </row>
    <row r="584" spans="1:19" ht="105" outlineLevel="2">
      <c r="A584" s="3" t="s">
        <v>720</v>
      </c>
      <c r="B584" s="18" t="s">
        <v>54</v>
      </c>
      <c r="C584" s="15" t="s">
        <v>719</v>
      </c>
      <c r="D584" s="15" t="s">
        <v>720</v>
      </c>
      <c r="E584" s="14" t="s">
        <v>721</v>
      </c>
      <c r="F584" s="15" t="s">
        <v>27</v>
      </c>
      <c r="G584" s="14" t="s">
        <v>28</v>
      </c>
      <c r="H584" s="15" t="s">
        <v>23</v>
      </c>
      <c r="I584" s="15" t="s">
        <v>1525</v>
      </c>
      <c r="J584" s="15">
        <v>201409</v>
      </c>
      <c r="K584" s="16">
        <v>-622.91</v>
      </c>
      <c r="L584" s="171">
        <f>VLOOKUP(J584,$U$9:$V$23,2)</f>
        <v>9</v>
      </c>
      <c r="M584" s="17">
        <v>1.4833299999999999E-3</v>
      </c>
      <c r="N584" s="16">
        <f>ROUND(K584*L584*M584,2)</f>
        <v>-8.32</v>
      </c>
      <c r="O584" s="16">
        <f>ROUND(K584*M584*12,2)</f>
        <v>-11.09</v>
      </c>
      <c r="P584" s="14"/>
      <c r="Q584" s="210" t="str">
        <f>VLOOKUP(D584,'WO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585" spans="1:19" ht="105" outlineLevel="2">
      <c r="A585" s="3" t="s">
        <v>720</v>
      </c>
      <c r="B585" s="14" t="s">
        <v>54</v>
      </c>
      <c r="C585" s="15" t="s">
        <v>719</v>
      </c>
      <c r="D585" s="15" t="s">
        <v>720</v>
      </c>
      <c r="E585" s="14" t="s">
        <v>721</v>
      </c>
      <c r="F585" s="15" t="s">
        <v>27</v>
      </c>
      <c r="G585" s="14" t="s">
        <v>28</v>
      </c>
      <c r="H585" s="15" t="s">
        <v>23</v>
      </c>
      <c r="I585" s="15" t="s">
        <v>1525</v>
      </c>
      <c r="J585" s="15">
        <v>201411</v>
      </c>
      <c r="K585" s="16">
        <v>0</v>
      </c>
      <c r="L585" s="171">
        <f>VLOOKUP(J585,$U$9:$V$23,2)</f>
        <v>7</v>
      </c>
      <c r="M585" s="17">
        <v>1.4833299999999999E-3</v>
      </c>
      <c r="N585" s="16">
        <f>ROUND(K585*L585*M585,2)</f>
        <v>0</v>
      </c>
      <c r="O585" s="16">
        <f>ROUND(K585*M585*12,2)</f>
        <v>0</v>
      </c>
      <c r="P585" s="14"/>
      <c r="Q585" s="210" t="str">
        <f>VLOOKUP(D585,'WO Descriptions'!$A$5:$D$345,4)</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row>
    <row r="586" spans="1:19" outlineLevel="1">
      <c r="A586" s="3" t="s">
        <v>1970</v>
      </c>
      <c r="B586" s="223"/>
      <c r="C586" s="250"/>
      <c r="D586" s="254" t="s">
        <v>1970</v>
      </c>
      <c r="E586" s="223"/>
      <c r="F586" s="250"/>
      <c r="G586" s="223"/>
      <c r="H586" s="250"/>
      <c r="I586" s="250"/>
      <c r="J586" s="250"/>
      <c r="K586" s="251">
        <f>SUBTOTAL(9,K584:K585)</f>
        <v>-622.91</v>
      </c>
      <c r="L586" s="252"/>
      <c r="M586" s="253"/>
      <c r="N586" s="251">
        <f>SUBTOTAL(9,N584:N585)</f>
        <v>-8.32</v>
      </c>
      <c r="O586" s="251">
        <f>SUBTOTAL(9,O584:O585)</f>
        <v>-11.09</v>
      </c>
      <c r="P586" s="223"/>
      <c r="Q586" s="210"/>
      <c r="R586" s="263" t="s">
        <v>2097</v>
      </c>
      <c r="S586" s="263" t="s">
        <v>2099</v>
      </c>
    </row>
    <row r="587" spans="1:19" ht="105" outlineLevel="2">
      <c r="A587" s="3" t="s">
        <v>723</v>
      </c>
      <c r="B587" s="18" t="s">
        <v>54</v>
      </c>
      <c r="C587" s="15" t="s">
        <v>722</v>
      </c>
      <c r="D587" s="15" t="s">
        <v>723</v>
      </c>
      <c r="E587" s="14" t="s">
        <v>724</v>
      </c>
      <c r="F587" s="15" t="s">
        <v>40</v>
      </c>
      <c r="G587" s="14" t="s">
        <v>41</v>
      </c>
      <c r="H587" s="15" t="s">
        <v>23</v>
      </c>
      <c r="I587" s="15" t="s">
        <v>1526</v>
      </c>
      <c r="J587" s="15">
        <v>201409</v>
      </c>
      <c r="K587" s="16">
        <v>-3374.08</v>
      </c>
      <c r="L587" s="171">
        <f>VLOOKUP(J587,$U$9:$V$23,2)</f>
        <v>9</v>
      </c>
      <c r="M587" s="17">
        <v>1.4833299999999999E-3</v>
      </c>
      <c r="N587" s="16">
        <f>ROUND(K587*L587*M587,2)</f>
        <v>-45.04</v>
      </c>
      <c r="O587" s="16">
        <f>ROUND(K587*M587*12,2)</f>
        <v>-60.06</v>
      </c>
      <c r="P587" s="14"/>
      <c r="Q587" s="210" t="str">
        <f>VLOOKUP(D587,'WO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588" spans="1:19" ht="105" outlineLevel="2">
      <c r="A588" s="3" t="s">
        <v>723</v>
      </c>
      <c r="B588" s="18" t="s">
        <v>54</v>
      </c>
      <c r="C588" s="15" t="s">
        <v>722</v>
      </c>
      <c r="D588" s="15" t="s">
        <v>723</v>
      </c>
      <c r="E588" s="14" t="s">
        <v>724</v>
      </c>
      <c r="F588" s="15" t="s">
        <v>40</v>
      </c>
      <c r="G588" s="14" t="s">
        <v>41</v>
      </c>
      <c r="H588" s="15" t="s">
        <v>23</v>
      </c>
      <c r="I588" s="15" t="s">
        <v>1526</v>
      </c>
      <c r="J588" s="15">
        <v>201410</v>
      </c>
      <c r="K588" s="16">
        <v>0</v>
      </c>
      <c r="L588" s="171">
        <f>VLOOKUP(J588,$U$9:$V$23,2)</f>
        <v>8</v>
      </c>
      <c r="M588" s="17">
        <v>1.4833299999999999E-3</v>
      </c>
      <c r="N588" s="16">
        <f>ROUND(K588*L588*M588,2)</f>
        <v>0</v>
      </c>
      <c r="O588" s="16">
        <f>ROUND(K588*M588*12,2)</f>
        <v>0</v>
      </c>
      <c r="P588" s="14"/>
      <c r="Q588" s="210" t="str">
        <f>VLOOKUP(D588,'WO Descriptions'!$A$5:$D$345,4)</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row>
    <row r="589" spans="1:19" outlineLevel="1">
      <c r="A589" s="3" t="s">
        <v>1971</v>
      </c>
      <c r="B589" s="225"/>
      <c r="C589" s="250"/>
      <c r="D589" s="254" t="s">
        <v>1971</v>
      </c>
      <c r="E589" s="223"/>
      <c r="F589" s="250"/>
      <c r="G589" s="223"/>
      <c r="H589" s="250"/>
      <c r="I589" s="250"/>
      <c r="J589" s="250"/>
      <c r="K589" s="251">
        <f>SUBTOTAL(9,K587:K588)</f>
        <v>-3374.08</v>
      </c>
      <c r="L589" s="252"/>
      <c r="M589" s="253"/>
      <c r="N589" s="251">
        <f>SUBTOTAL(9,N587:N588)</f>
        <v>-45.04</v>
      </c>
      <c r="O589" s="251">
        <f>SUBTOTAL(9,O587:O588)</f>
        <v>-60.06</v>
      </c>
      <c r="P589" s="223"/>
      <c r="Q589" s="210"/>
      <c r="R589" s="263" t="s">
        <v>2096</v>
      </c>
    </row>
    <row r="590" spans="1:19" ht="60" outlineLevel="2">
      <c r="A590" s="3" t="s">
        <v>726</v>
      </c>
      <c r="B590" s="18" t="s">
        <v>17</v>
      </c>
      <c r="C590" s="15" t="s">
        <v>725</v>
      </c>
      <c r="D590" s="15" t="s">
        <v>726</v>
      </c>
      <c r="E590" s="14" t="s">
        <v>727</v>
      </c>
      <c r="F590" s="15" t="s">
        <v>141</v>
      </c>
      <c r="G590" s="14" t="s">
        <v>142</v>
      </c>
      <c r="H590" s="15" t="s">
        <v>23</v>
      </c>
      <c r="I590" s="15" t="s">
        <v>1525</v>
      </c>
      <c r="J590" s="15">
        <v>201409</v>
      </c>
      <c r="K590" s="16">
        <v>-1433.54</v>
      </c>
      <c r="L590" s="171">
        <f>VLOOKUP(J590,$U$9:$V$23,2)</f>
        <v>9</v>
      </c>
      <c r="M590" s="17">
        <v>1.4833299999999999E-3</v>
      </c>
      <c r="N590" s="16">
        <f>ROUND(K590*L590*M590,2)</f>
        <v>-19.14</v>
      </c>
      <c r="O590" s="16">
        <f>ROUND(K590*M590*12,2)</f>
        <v>-25.52</v>
      </c>
      <c r="P590" s="14"/>
      <c r="Q590" s="210" t="str">
        <f>VLOOKUP(D590,'WO Descriptions'!$A$5:$D$345,4)</f>
        <v>Approved by: Gary Williams on 10/07/2013,  AOR.  Replace 240 ft of 6in CI with 6in PE due to joint exposure.  Must be completed by Nov 21, 2013.  Replace one service.  Tie over 2 services.  See tie-in procedure.  COST PER FOOT $164.90 Retire 229'-6in CI year 1927; 11'-6in PE, yr 2012, wo 12-1682.</v>
      </c>
    </row>
    <row r="591" spans="1:19" outlineLevel="1">
      <c r="A591" s="3" t="s">
        <v>1972</v>
      </c>
      <c r="B591" s="225"/>
      <c r="C591" s="250"/>
      <c r="D591" s="254" t="s">
        <v>1972</v>
      </c>
      <c r="E591" s="223"/>
      <c r="F591" s="250"/>
      <c r="G591" s="223"/>
      <c r="H591" s="250"/>
      <c r="I591" s="250"/>
      <c r="J591" s="250"/>
      <c r="K591" s="251">
        <f>SUBTOTAL(9,K590:K590)</f>
        <v>-1433.54</v>
      </c>
      <c r="L591" s="252"/>
      <c r="M591" s="253"/>
      <c r="N591" s="251">
        <f>SUBTOTAL(9,N590:N590)</f>
        <v>-19.14</v>
      </c>
      <c r="O591" s="251">
        <f>SUBTOTAL(9,O590:O590)</f>
        <v>-25.52</v>
      </c>
      <c r="P591" s="223"/>
      <c r="Q591" s="210"/>
      <c r="R591" s="263" t="s">
        <v>2097</v>
      </c>
      <c r="S591" s="263" t="s">
        <v>2100</v>
      </c>
    </row>
    <row r="592" spans="1:19" ht="45" outlineLevel="2">
      <c r="A592" s="3" t="s">
        <v>729</v>
      </c>
      <c r="B592" s="18" t="s">
        <v>17</v>
      </c>
      <c r="C592" s="15" t="s">
        <v>728</v>
      </c>
      <c r="D592" s="15" t="s">
        <v>729</v>
      </c>
      <c r="E592" s="14" t="s">
        <v>730</v>
      </c>
      <c r="F592" s="15" t="s">
        <v>141</v>
      </c>
      <c r="G592" s="14" t="s">
        <v>142</v>
      </c>
      <c r="H592" s="15" t="s">
        <v>23</v>
      </c>
      <c r="I592" s="15" t="s">
        <v>1525</v>
      </c>
      <c r="J592" s="15">
        <v>201409</v>
      </c>
      <c r="K592" s="16">
        <v>-505.02</v>
      </c>
      <c r="L592" s="171">
        <f>VLOOKUP(J592,$U$9:$V$23,2)</f>
        <v>9</v>
      </c>
      <c r="M592" s="17">
        <v>1.4833299999999999E-3</v>
      </c>
      <c r="N592" s="16">
        <f>ROUND(K592*L592*M592,2)</f>
        <v>-6.74</v>
      </c>
      <c r="O592" s="16">
        <f>ROUND(K592*M592*12,2)</f>
        <v>-8.99</v>
      </c>
      <c r="P592" s="14"/>
      <c r="Q592" s="210" t="str">
        <f>VLOOKUP(D592,'WO Descriptions'!$A$5:$D$345,4)</f>
        <v>Approved by: Gary Williams on 01/06/2014,  AOR.  Replace 6in CI with 35'-6in PE due to parallel excavation.  Angle of Repose location: 4' WECB Denver, 5' NNLH to 16' NNLH of 425 N Denver.  This job must be completed by Mar. 18, 2014.  Retire 35'-6in CI, WO BK15P76.  Install 35'-6in PE.</v>
      </c>
    </row>
    <row r="593" spans="1:19" outlineLevel="1">
      <c r="A593" s="3" t="s">
        <v>1973</v>
      </c>
      <c r="B593" s="225"/>
      <c r="C593" s="250"/>
      <c r="D593" s="254" t="s">
        <v>1973</v>
      </c>
      <c r="E593" s="223"/>
      <c r="F593" s="250"/>
      <c r="G593" s="223"/>
      <c r="H593" s="250"/>
      <c r="I593" s="250"/>
      <c r="J593" s="250"/>
      <c r="K593" s="251">
        <f>SUBTOTAL(9,K592:K592)</f>
        <v>-505.02</v>
      </c>
      <c r="L593" s="252"/>
      <c r="M593" s="253"/>
      <c r="N593" s="251">
        <f>SUBTOTAL(9,N592:N592)</f>
        <v>-6.74</v>
      </c>
      <c r="O593" s="251">
        <f>SUBTOTAL(9,O592:O592)</f>
        <v>-8.99</v>
      </c>
      <c r="P593" s="223"/>
      <c r="Q593" s="210"/>
      <c r="R593" s="263" t="s">
        <v>2097</v>
      </c>
      <c r="S593" s="263" t="s">
        <v>2100</v>
      </c>
    </row>
    <row r="594" spans="1:19" ht="150" outlineLevel="2">
      <c r="A594" s="3" t="s">
        <v>732</v>
      </c>
      <c r="B594" s="18" t="s">
        <v>54</v>
      </c>
      <c r="C594" s="15" t="s">
        <v>731</v>
      </c>
      <c r="D594" s="15" t="s">
        <v>732</v>
      </c>
      <c r="E594" s="14" t="s">
        <v>733</v>
      </c>
      <c r="F594" s="15" t="s">
        <v>104</v>
      </c>
      <c r="G594" s="14" t="s">
        <v>41</v>
      </c>
      <c r="H594" s="15" t="s">
        <v>23</v>
      </c>
      <c r="I594" s="15" t="s">
        <v>1526</v>
      </c>
      <c r="J594" s="15">
        <v>201409</v>
      </c>
      <c r="K594" s="16">
        <v>-1019.7</v>
      </c>
      <c r="L594" s="171">
        <f>VLOOKUP(J594,$U$9:$V$23,2)</f>
        <v>9</v>
      </c>
      <c r="M594" s="17">
        <v>1.4833299999999999E-3</v>
      </c>
      <c r="N594" s="16">
        <f>ROUND(K594*L594*M594,2)</f>
        <v>-13.61</v>
      </c>
      <c r="O594" s="16">
        <f>ROUND(K594*M594*12,2)</f>
        <v>-18.149999999999999</v>
      </c>
      <c r="P594" s="14"/>
      <c r="Q594" s="210" t="str">
        <f>VLOOKUP(D594,'WO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595" spans="1:19" ht="150" outlineLevel="2">
      <c r="A595" s="3" t="s">
        <v>732</v>
      </c>
      <c r="B595" s="18" t="s">
        <v>54</v>
      </c>
      <c r="C595" s="15" t="s">
        <v>731</v>
      </c>
      <c r="D595" s="15" t="s">
        <v>732</v>
      </c>
      <c r="E595" s="14" t="s">
        <v>733</v>
      </c>
      <c r="F595" s="15" t="s">
        <v>104</v>
      </c>
      <c r="G595" s="14" t="s">
        <v>41</v>
      </c>
      <c r="H595" s="15" t="s">
        <v>23</v>
      </c>
      <c r="I595" s="15" t="s">
        <v>1526</v>
      </c>
      <c r="J595" s="15">
        <v>201410</v>
      </c>
      <c r="K595" s="16">
        <v>0</v>
      </c>
      <c r="L595" s="171">
        <f>VLOOKUP(J595,$U$9:$V$23,2)</f>
        <v>8</v>
      </c>
      <c r="M595" s="17">
        <v>1.4833299999999999E-3</v>
      </c>
      <c r="N595" s="16">
        <f>ROUND(K595*L595*M595,2)</f>
        <v>0</v>
      </c>
      <c r="O595" s="16">
        <f>ROUND(K595*M595*12,2)</f>
        <v>0</v>
      </c>
      <c r="P595" s="14"/>
      <c r="Q595" s="210" t="str">
        <f>VLOOKUP(D595,'WO Descriptions'!$A$5:$D$345,4)</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row>
    <row r="596" spans="1:19" outlineLevel="1">
      <c r="A596" s="3" t="s">
        <v>1974</v>
      </c>
      <c r="B596" s="225"/>
      <c r="C596" s="250"/>
      <c r="D596" s="254" t="s">
        <v>1974</v>
      </c>
      <c r="E596" s="223"/>
      <c r="F596" s="250"/>
      <c r="G596" s="223"/>
      <c r="H596" s="250"/>
      <c r="I596" s="250"/>
      <c r="J596" s="250"/>
      <c r="K596" s="251">
        <f>SUBTOTAL(9,K594:K595)</f>
        <v>-1019.7</v>
      </c>
      <c r="L596" s="252"/>
      <c r="M596" s="253"/>
      <c r="N596" s="251">
        <f>SUBTOTAL(9,N594:N595)</f>
        <v>-13.61</v>
      </c>
      <c r="O596" s="251">
        <f>SUBTOTAL(9,O594:O595)</f>
        <v>-18.149999999999999</v>
      </c>
      <c r="P596" s="223"/>
      <c r="Q596" s="210"/>
      <c r="R596" s="263" t="s">
        <v>2096</v>
      </c>
    </row>
    <row r="597" spans="1:19" ht="90" outlineLevel="2">
      <c r="A597" s="3" t="s">
        <v>1034</v>
      </c>
      <c r="B597" s="14" t="s">
        <v>17</v>
      </c>
      <c r="C597" s="15" t="s">
        <v>1033</v>
      </c>
      <c r="D597" s="15" t="s">
        <v>1034</v>
      </c>
      <c r="E597" s="14" t="s">
        <v>1035</v>
      </c>
      <c r="F597" s="15" t="s">
        <v>58</v>
      </c>
      <c r="G597" s="14" t="s">
        <v>22</v>
      </c>
      <c r="H597" s="15" t="s">
        <v>23</v>
      </c>
      <c r="I597" s="15" t="s">
        <v>1525</v>
      </c>
      <c r="J597" s="15">
        <v>201412</v>
      </c>
      <c r="K597" s="16">
        <v>192036.17</v>
      </c>
      <c r="L597" s="171">
        <f>VLOOKUP(J597,$U$9:$V$23,2)</f>
        <v>6</v>
      </c>
      <c r="M597" s="17">
        <v>1.4833299999999999E-3</v>
      </c>
      <c r="N597" s="16">
        <f>ROUND(K597*L597*M597,2)</f>
        <v>1709.12</v>
      </c>
      <c r="O597" s="16">
        <f>ROUND(K597*M597*12,2)</f>
        <v>3418.24</v>
      </c>
      <c r="P597" s="14"/>
      <c r="Q597" s="210" t="str">
        <f>VLOOKUP(D597,'WO Descriptions'!$A$5:$D$345,4)</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row>
    <row r="598" spans="1:19" outlineLevel="1">
      <c r="A598" s="3" t="s">
        <v>1975</v>
      </c>
      <c r="B598" s="223"/>
      <c r="C598" s="250"/>
      <c r="D598" s="254" t="s">
        <v>1975</v>
      </c>
      <c r="E598" s="223"/>
      <c r="F598" s="250"/>
      <c r="G598" s="223"/>
      <c r="H598" s="250"/>
      <c r="I598" s="250"/>
      <c r="J598" s="250"/>
      <c r="K598" s="251">
        <f>SUBTOTAL(9,K597:K597)</f>
        <v>192036.17</v>
      </c>
      <c r="L598" s="252"/>
      <c r="M598" s="253"/>
      <c r="N598" s="251">
        <f>SUBTOTAL(9,N597:N597)</f>
        <v>1709.12</v>
      </c>
      <c r="O598" s="251">
        <f>SUBTOTAL(9,O597:O597)</f>
        <v>3418.24</v>
      </c>
      <c r="P598" s="223"/>
      <c r="Q598" s="210"/>
      <c r="R598" s="263" t="s">
        <v>2097</v>
      </c>
      <c r="S598" s="263" t="s">
        <v>2098</v>
      </c>
    </row>
    <row r="599" spans="1:19" ht="60" outlineLevel="2">
      <c r="A599" s="3" t="s">
        <v>735</v>
      </c>
      <c r="B599" s="14" t="s">
        <v>66</v>
      </c>
      <c r="C599" s="15" t="s">
        <v>734</v>
      </c>
      <c r="D599" s="15" t="s">
        <v>735</v>
      </c>
      <c r="E599" s="14" t="s">
        <v>736</v>
      </c>
      <c r="F599" s="15" t="s">
        <v>737</v>
      </c>
      <c r="G599" s="14" t="s">
        <v>624</v>
      </c>
      <c r="H599" s="15" t="s">
        <v>23</v>
      </c>
      <c r="I599" s="15" t="s">
        <v>1527</v>
      </c>
      <c r="J599" s="15">
        <v>201409</v>
      </c>
      <c r="K599" s="16">
        <v>-44.18</v>
      </c>
      <c r="L599" s="171">
        <f>VLOOKUP(J599,$U$9:$V$23,2)</f>
        <v>9</v>
      </c>
      <c r="M599" s="17">
        <v>2.23333E-3</v>
      </c>
      <c r="N599" s="16">
        <f>ROUND(K599*L599*M599,2)</f>
        <v>-0.89</v>
      </c>
      <c r="O599" s="16">
        <f>ROUND(K599*M599*12,2)</f>
        <v>-1.18</v>
      </c>
      <c r="P599" s="14"/>
      <c r="Q599" s="210" t="str">
        <f>VLOOKUP(D599,'WO Descriptions'!$A$5:$D$345,4)</f>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
    </row>
    <row r="600" spans="1:19" outlineLevel="1">
      <c r="A600" s="3" t="s">
        <v>1976</v>
      </c>
      <c r="B600" s="223"/>
      <c r="C600" s="250"/>
      <c r="D600" s="254" t="s">
        <v>1976</v>
      </c>
      <c r="E600" s="223"/>
      <c r="F600" s="250"/>
      <c r="G600" s="223"/>
      <c r="H600" s="250"/>
      <c r="I600" s="250"/>
      <c r="J600" s="250"/>
      <c r="K600" s="251">
        <f>SUBTOTAL(9,K599:K599)</f>
        <v>-44.18</v>
      </c>
      <c r="L600" s="252"/>
      <c r="M600" s="253"/>
      <c r="N600" s="251">
        <f>SUBTOTAL(9,N599:N599)</f>
        <v>-0.89</v>
      </c>
      <c r="O600" s="251">
        <f>SUBTOTAL(9,O599:O599)</f>
        <v>-1.18</v>
      </c>
      <c r="P600" s="223"/>
      <c r="Q600" s="210"/>
      <c r="R600" s="263" t="s">
        <v>2097</v>
      </c>
      <c r="S600" s="263" t="s">
        <v>2104</v>
      </c>
    </row>
    <row r="601" spans="1:19" ht="30" outlineLevel="2">
      <c r="A601" s="3" t="s">
        <v>739</v>
      </c>
      <c r="B601" s="211" t="s">
        <v>66</v>
      </c>
      <c r="C601" s="212" t="s">
        <v>738</v>
      </c>
      <c r="D601" s="212" t="s">
        <v>739</v>
      </c>
      <c r="E601" s="211" t="s">
        <v>69</v>
      </c>
      <c r="F601" s="212" t="s">
        <v>740</v>
      </c>
      <c r="G601" s="211" t="s">
        <v>71</v>
      </c>
      <c r="H601" s="212" t="s">
        <v>23</v>
      </c>
      <c r="I601" s="212" t="s">
        <v>1530</v>
      </c>
      <c r="J601" s="212">
        <v>201409</v>
      </c>
      <c r="K601" s="213">
        <v>29.7</v>
      </c>
      <c r="L601" s="171">
        <f>VLOOKUP(J601,$U$9:$V$23,2)</f>
        <v>9</v>
      </c>
      <c r="M601" s="214">
        <v>2.23333E-3</v>
      </c>
      <c r="N601" s="213">
        <f>ROUND(K601*L601*M601,2)</f>
        <v>0.6</v>
      </c>
      <c r="O601" s="213">
        <f>ROUND(K601*M601*12,2)</f>
        <v>0.8</v>
      </c>
      <c r="P601" s="14"/>
      <c r="Q601" s="210" t="str">
        <f>VLOOKUP(D601,'WO Descriptions'!$A$5:$D$345,4)</f>
        <v>Service/Yard Line Replacement (SLRP): Company Crew.  Immediate response - replacement single unprotected steel or copper  (Joplin - South Region)</v>
      </c>
    </row>
    <row r="602" spans="1:19" outlineLevel="1">
      <c r="A602" s="3" t="s">
        <v>1977</v>
      </c>
      <c r="B602" s="256"/>
      <c r="C602" s="257"/>
      <c r="D602" s="260" t="s">
        <v>1977</v>
      </c>
      <c r="E602" s="256"/>
      <c r="F602" s="257"/>
      <c r="G602" s="256"/>
      <c r="H602" s="257"/>
      <c r="I602" s="257"/>
      <c r="J602" s="257"/>
      <c r="K602" s="258">
        <f>SUBTOTAL(9,K601:K601)</f>
        <v>29.7</v>
      </c>
      <c r="L602" s="252"/>
      <c r="M602" s="259"/>
      <c r="N602" s="258">
        <f>SUBTOTAL(9,N601:N601)</f>
        <v>0.6</v>
      </c>
      <c r="O602" s="258">
        <f>SUBTOTAL(9,O601:O601)</f>
        <v>0.8</v>
      </c>
      <c r="P602" s="223"/>
      <c r="Q602" s="210"/>
      <c r="R602" s="263" t="s">
        <v>2097</v>
      </c>
      <c r="S602" s="263" t="s">
        <v>2102</v>
      </c>
    </row>
    <row r="603" spans="1:19" ht="30" outlineLevel="2">
      <c r="A603" s="3" t="s">
        <v>742</v>
      </c>
      <c r="B603" s="211" t="s">
        <v>66</v>
      </c>
      <c r="C603" s="212" t="s">
        <v>741</v>
      </c>
      <c r="D603" s="212" t="s">
        <v>742</v>
      </c>
      <c r="E603" s="211" t="s">
        <v>69</v>
      </c>
      <c r="F603" s="212" t="s">
        <v>70</v>
      </c>
      <c r="G603" s="211" t="s">
        <v>71</v>
      </c>
      <c r="H603" s="212" t="s">
        <v>23</v>
      </c>
      <c r="I603" s="212" t="s">
        <v>1530</v>
      </c>
      <c r="J603" s="212">
        <v>201409</v>
      </c>
      <c r="K603" s="213">
        <v>1203.8</v>
      </c>
      <c r="L603" s="171">
        <f>VLOOKUP(J603,$U$9:$V$23,2)</f>
        <v>9</v>
      </c>
      <c r="M603" s="214">
        <v>2.23333E-3</v>
      </c>
      <c r="N603" s="213">
        <f>ROUND(K603*L603*M603,2)</f>
        <v>24.2</v>
      </c>
      <c r="O603" s="213">
        <f>ROUND(K603*M603*12,2)</f>
        <v>32.26</v>
      </c>
      <c r="P603" s="14"/>
      <c r="Q603" s="210" t="str">
        <f>VLOOKUP(D603,'WO Descriptions'!$A$5:$D$345,4)</f>
        <v>Service/Yard Line Replacement (SLRP): Company Crew.  Immediate response - replacement single unprotected steel or copper  (Lee's Summit - East Region)</v>
      </c>
    </row>
    <row r="604" spans="1:19" ht="30" outlineLevel="2">
      <c r="A604" s="3" t="s">
        <v>742</v>
      </c>
      <c r="B604" s="211" t="s">
        <v>66</v>
      </c>
      <c r="C604" s="212" t="s">
        <v>741</v>
      </c>
      <c r="D604" s="212" t="s">
        <v>742</v>
      </c>
      <c r="E604" s="211" t="s">
        <v>69</v>
      </c>
      <c r="F604" s="212" t="s">
        <v>70</v>
      </c>
      <c r="G604" s="211" t="s">
        <v>71</v>
      </c>
      <c r="H604" s="212" t="s">
        <v>23</v>
      </c>
      <c r="I604" s="212" t="s">
        <v>1530</v>
      </c>
      <c r="J604" s="212">
        <v>201411</v>
      </c>
      <c r="K604" s="213">
        <v>-127.08</v>
      </c>
      <c r="L604" s="171">
        <f>VLOOKUP(J604,$U$9:$V$23,2)</f>
        <v>7</v>
      </c>
      <c r="M604" s="214">
        <v>2.23333E-3</v>
      </c>
      <c r="N604" s="213">
        <f>ROUND(K604*L604*M604,2)</f>
        <v>-1.99</v>
      </c>
      <c r="O604" s="213">
        <f>ROUND(K604*M604*12,2)</f>
        <v>-3.41</v>
      </c>
      <c r="P604" s="14"/>
      <c r="Q604" s="210" t="str">
        <f>VLOOKUP(D604,'WO Descriptions'!$A$5:$D$345,4)</f>
        <v>Service/Yard Line Replacement (SLRP): Company Crew.  Immediate response - replacement single unprotected steel or copper  (Lee's Summit - East Region)</v>
      </c>
    </row>
    <row r="605" spans="1:19" ht="30" outlineLevel="2">
      <c r="A605" s="3" t="s">
        <v>742</v>
      </c>
      <c r="B605" s="211" t="s">
        <v>66</v>
      </c>
      <c r="C605" s="212" t="s">
        <v>741</v>
      </c>
      <c r="D605" s="212" t="s">
        <v>742</v>
      </c>
      <c r="E605" s="211" t="s">
        <v>69</v>
      </c>
      <c r="F605" s="212" t="s">
        <v>70</v>
      </c>
      <c r="G605" s="211" t="s">
        <v>71</v>
      </c>
      <c r="H605" s="212" t="s">
        <v>23</v>
      </c>
      <c r="I605" s="212" t="s">
        <v>1530</v>
      </c>
      <c r="J605" s="212">
        <v>201412</v>
      </c>
      <c r="K605" s="213">
        <v>8.01</v>
      </c>
      <c r="L605" s="171">
        <f>VLOOKUP(J605,$U$9:$V$23,2)</f>
        <v>6</v>
      </c>
      <c r="M605" s="214">
        <v>2.23333E-3</v>
      </c>
      <c r="N605" s="213">
        <f>ROUND(K605*L605*M605,2)</f>
        <v>0.11</v>
      </c>
      <c r="O605" s="213">
        <f>ROUND(K605*M605*12,2)</f>
        <v>0.21</v>
      </c>
      <c r="P605" s="14"/>
      <c r="Q605" s="210" t="str">
        <f>VLOOKUP(D605,'WO Descriptions'!$A$5:$D$345,4)</f>
        <v>Service/Yard Line Replacement (SLRP): Company Crew.  Immediate response - replacement single unprotected steel or copper  (Lee's Summit - East Region)</v>
      </c>
    </row>
    <row r="606" spans="1:19" outlineLevel="1">
      <c r="A606" s="3" t="s">
        <v>1978</v>
      </c>
      <c r="B606" s="256"/>
      <c r="C606" s="257"/>
      <c r="D606" s="260" t="s">
        <v>1978</v>
      </c>
      <c r="E606" s="256"/>
      <c r="F606" s="257"/>
      <c r="G606" s="256"/>
      <c r="H606" s="257"/>
      <c r="I606" s="257"/>
      <c r="J606" s="257"/>
      <c r="K606" s="258">
        <f>SUBTOTAL(9,K603:K605)</f>
        <v>1084.73</v>
      </c>
      <c r="L606" s="252"/>
      <c r="M606" s="259"/>
      <c r="N606" s="258">
        <f>SUBTOTAL(9,N603:N605)</f>
        <v>22.32</v>
      </c>
      <c r="O606" s="258">
        <f>SUBTOTAL(9,O603:O605)</f>
        <v>29.06</v>
      </c>
      <c r="P606" s="223"/>
      <c r="Q606" s="210"/>
      <c r="R606" s="263" t="s">
        <v>2097</v>
      </c>
      <c r="S606" s="263" t="s">
        <v>2102</v>
      </c>
    </row>
    <row r="607" spans="1:19" ht="30" outlineLevel="2">
      <c r="A607" s="3" t="s">
        <v>744</v>
      </c>
      <c r="B607" s="211" t="s">
        <v>66</v>
      </c>
      <c r="C607" s="212" t="s">
        <v>743</v>
      </c>
      <c r="D607" s="212" t="s">
        <v>744</v>
      </c>
      <c r="E607" s="211" t="s">
        <v>745</v>
      </c>
      <c r="F607" s="212" t="s">
        <v>746</v>
      </c>
      <c r="G607" s="211" t="s">
        <v>80</v>
      </c>
      <c r="H607" s="212" t="s">
        <v>23</v>
      </c>
      <c r="I607" s="212" t="s">
        <v>1530</v>
      </c>
      <c r="J607" s="212">
        <v>201409</v>
      </c>
      <c r="K607" s="213">
        <v>47053.64</v>
      </c>
      <c r="L607" s="171">
        <f>VLOOKUP(J607,$U$9:$V$23,2)</f>
        <v>9</v>
      </c>
      <c r="M607" s="214">
        <v>2.23333E-3</v>
      </c>
      <c r="N607" s="213">
        <f>ROUND(K607*L607*M607,2)</f>
        <v>945.78</v>
      </c>
      <c r="O607" s="213">
        <f>ROUND(K607*M607*12,2)</f>
        <v>1261.04</v>
      </c>
      <c r="P607" s="14"/>
      <c r="Q607" s="210" t="str">
        <f>VLOOKUP(D607,'WO Descriptions'!$A$5:$D$345,4)</f>
        <v>Service/Yard Line Replacement (SLRP): Contract Crew.  Modified Block by Block - Planned replacement of unprotected steel or copper  (Kansas City - Central Region)</v>
      </c>
    </row>
    <row r="608" spans="1:19" ht="30" outlineLevel="2">
      <c r="A608" s="3" t="s">
        <v>744</v>
      </c>
      <c r="B608" s="211" t="s">
        <v>66</v>
      </c>
      <c r="C608" s="212" t="s">
        <v>743</v>
      </c>
      <c r="D608" s="212" t="s">
        <v>744</v>
      </c>
      <c r="E608" s="211" t="s">
        <v>745</v>
      </c>
      <c r="F608" s="212" t="s">
        <v>746</v>
      </c>
      <c r="G608" s="211" t="s">
        <v>80</v>
      </c>
      <c r="H608" s="212" t="s">
        <v>23</v>
      </c>
      <c r="I608" s="212" t="s">
        <v>1530</v>
      </c>
      <c r="J608" s="212">
        <v>201410</v>
      </c>
      <c r="K608" s="213">
        <v>49038.54</v>
      </c>
      <c r="L608" s="171">
        <f>VLOOKUP(J608,$U$9:$V$23,2)</f>
        <v>8</v>
      </c>
      <c r="M608" s="214">
        <v>2.23333E-3</v>
      </c>
      <c r="N608" s="213">
        <f>ROUND(K608*L608*M608,2)</f>
        <v>876.15</v>
      </c>
      <c r="O608" s="213">
        <f>ROUND(K608*M608*12,2)</f>
        <v>1314.23</v>
      </c>
      <c r="P608" s="14"/>
      <c r="Q608" s="210" t="str">
        <f>VLOOKUP(D608,'WO Descriptions'!$A$5:$D$345,4)</f>
        <v>Service/Yard Line Replacement (SLRP): Contract Crew.  Modified Block by Block - Planned replacement of unprotected steel or copper  (Kansas City - Central Region)</v>
      </c>
    </row>
    <row r="609" spans="1:19" ht="30" outlineLevel="2">
      <c r="A609" s="3" t="s">
        <v>744</v>
      </c>
      <c r="B609" s="211" t="s">
        <v>66</v>
      </c>
      <c r="C609" s="212" t="s">
        <v>743</v>
      </c>
      <c r="D609" s="212" t="s">
        <v>744</v>
      </c>
      <c r="E609" s="211" t="s">
        <v>745</v>
      </c>
      <c r="F609" s="212" t="s">
        <v>746</v>
      </c>
      <c r="G609" s="211" t="s">
        <v>80</v>
      </c>
      <c r="H609" s="212" t="s">
        <v>23</v>
      </c>
      <c r="I609" s="212" t="s">
        <v>1530</v>
      </c>
      <c r="J609" s="212">
        <v>201411</v>
      </c>
      <c r="K609" s="213">
        <v>8037.46</v>
      </c>
      <c r="L609" s="171">
        <f>VLOOKUP(J609,$U$9:$V$23,2)</f>
        <v>7</v>
      </c>
      <c r="M609" s="214">
        <v>2.23333E-3</v>
      </c>
      <c r="N609" s="213">
        <f>ROUND(K609*L609*M609,2)</f>
        <v>125.65</v>
      </c>
      <c r="O609" s="213">
        <f>ROUND(K609*M609*12,2)</f>
        <v>215.4</v>
      </c>
      <c r="P609" s="14"/>
      <c r="Q609" s="210" t="str">
        <f>VLOOKUP(D609,'WO Descriptions'!$A$5:$D$345,4)</f>
        <v>Service/Yard Line Replacement (SLRP): Contract Crew.  Modified Block by Block - Planned replacement of unprotected steel or copper  (Kansas City - Central Region)</v>
      </c>
    </row>
    <row r="610" spans="1:19" ht="30" outlineLevel="2">
      <c r="A610" s="3" t="s">
        <v>744</v>
      </c>
      <c r="B610" s="211" t="s">
        <v>66</v>
      </c>
      <c r="C610" s="212" t="s">
        <v>743</v>
      </c>
      <c r="D610" s="212" t="s">
        <v>744</v>
      </c>
      <c r="E610" s="211" t="s">
        <v>745</v>
      </c>
      <c r="F610" s="212" t="s">
        <v>746</v>
      </c>
      <c r="G610" s="211" t="s">
        <v>80</v>
      </c>
      <c r="H610" s="212" t="s">
        <v>23</v>
      </c>
      <c r="I610" s="212" t="s">
        <v>1530</v>
      </c>
      <c r="J610" s="212">
        <v>201412</v>
      </c>
      <c r="K610" s="213">
        <v>-3814.16</v>
      </c>
      <c r="L610" s="171">
        <f>VLOOKUP(J610,$U$9:$V$23,2)</f>
        <v>6</v>
      </c>
      <c r="M610" s="214">
        <v>2.23333E-3</v>
      </c>
      <c r="N610" s="213">
        <f>ROUND(K610*L610*M610,2)</f>
        <v>-51.11</v>
      </c>
      <c r="O610" s="213">
        <f>ROUND(K610*M610*12,2)</f>
        <v>-102.22</v>
      </c>
      <c r="P610" s="14"/>
      <c r="Q610" s="210" t="str">
        <f>VLOOKUP(D610,'WO Descriptions'!$A$5:$D$345,4)</f>
        <v>Service/Yard Line Replacement (SLRP): Contract Crew.  Modified Block by Block - Planned replacement of unprotected steel or copper  (Kansas City - Central Region)</v>
      </c>
    </row>
    <row r="611" spans="1:19" outlineLevel="1">
      <c r="A611" s="3" t="s">
        <v>1979</v>
      </c>
      <c r="B611" s="256"/>
      <c r="C611" s="257"/>
      <c r="D611" s="260" t="s">
        <v>1979</v>
      </c>
      <c r="E611" s="256"/>
      <c r="F611" s="257"/>
      <c r="G611" s="256"/>
      <c r="H611" s="257"/>
      <c r="I611" s="257"/>
      <c r="J611" s="257"/>
      <c r="K611" s="258">
        <f>SUBTOTAL(9,K607:K610)</f>
        <v>100315.48</v>
      </c>
      <c r="L611" s="252"/>
      <c r="M611" s="259"/>
      <c r="N611" s="258">
        <f>SUBTOTAL(9,N607:N610)</f>
        <v>1896.47</v>
      </c>
      <c r="O611" s="258">
        <f>SUBTOTAL(9,O607:O610)</f>
        <v>2688.4500000000003</v>
      </c>
      <c r="P611" s="223"/>
      <c r="Q611" s="210"/>
      <c r="R611" s="263" t="s">
        <v>2097</v>
      </c>
      <c r="S611" s="263" t="s">
        <v>2102</v>
      </c>
    </row>
    <row r="612" spans="1:19" ht="30" outlineLevel="2">
      <c r="A612" s="3" t="s">
        <v>748</v>
      </c>
      <c r="B612" s="211" t="s">
        <v>66</v>
      </c>
      <c r="C612" s="212" t="s">
        <v>747</v>
      </c>
      <c r="D612" s="212" t="s">
        <v>748</v>
      </c>
      <c r="E612" s="211" t="s">
        <v>78</v>
      </c>
      <c r="F612" s="212" t="s">
        <v>749</v>
      </c>
      <c r="G612" s="211" t="s">
        <v>80</v>
      </c>
      <c r="H612" s="212" t="s">
        <v>23</v>
      </c>
      <c r="I612" s="212" t="s">
        <v>1530</v>
      </c>
      <c r="J612" s="212">
        <v>201409</v>
      </c>
      <c r="K612" s="213">
        <v>103995.5</v>
      </c>
      <c r="L612" s="171">
        <f>VLOOKUP(J612,$U$9:$V$23,2)</f>
        <v>9</v>
      </c>
      <c r="M612" s="214">
        <v>2.23333E-3</v>
      </c>
      <c r="N612" s="213">
        <f>ROUND(K612*L612*M612,2)</f>
        <v>2090.31</v>
      </c>
      <c r="O612" s="213">
        <f>ROUND(K612*M612*12,2)</f>
        <v>2787.08</v>
      </c>
      <c r="P612" s="14"/>
      <c r="Q612" s="210" t="str">
        <f>VLOOKUP(D612,'WO Descriptions'!$A$5:$D$345,4)</f>
        <v>Service/Yard Line Replacement (SLRP): Contract Crew.  Modified Block by Block - Planned replacement of unprotected steel or copper  (Joplin - South Region)</v>
      </c>
    </row>
    <row r="613" spans="1:19" ht="30" outlineLevel="2">
      <c r="A613" s="3" t="s">
        <v>748</v>
      </c>
      <c r="B613" s="211" t="s">
        <v>66</v>
      </c>
      <c r="C613" s="212" t="s">
        <v>747</v>
      </c>
      <c r="D613" s="212" t="s">
        <v>748</v>
      </c>
      <c r="E613" s="211" t="s">
        <v>78</v>
      </c>
      <c r="F613" s="212" t="s">
        <v>749</v>
      </c>
      <c r="G613" s="211" t="s">
        <v>80</v>
      </c>
      <c r="H613" s="212" t="s">
        <v>23</v>
      </c>
      <c r="I613" s="212" t="s">
        <v>1530</v>
      </c>
      <c r="J613" s="212">
        <v>201410</v>
      </c>
      <c r="K613" s="213">
        <v>26052.94</v>
      </c>
      <c r="L613" s="171">
        <f>VLOOKUP(J613,$U$9:$V$23,2)</f>
        <v>8</v>
      </c>
      <c r="M613" s="214">
        <v>2.23333E-3</v>
      </c>
      <c r="N613" s="213">
        <f>ROUND(K613*L613*M613,2)</f>
        <v>465.48</v>
      </c>
      <c r="O613" s="213">
        <f>ROUND(K613*M613*12,2)</f>
        <v>698.22</v>
      </c>
      <c r="P613" s="14"/>
      <c r="Q613" s="210" t="str">
        <f>VLOOKUP(D613,'WO Descriptions'!$A$5:$D$345,4)</f>
        <v>Service/Yard Line Replacement (SLRP): Contract Crew.  Modified Block by Block - Planned replacement of unprotected steel or copper  (Joplin - South Region)</v>
      </c>
    </row>
    <row r="614" spans="1:19" ht="30" outlineLevel="2">
      <c r="A614" s="3" t="s">
        <v>748</v>
      </c>
      <c r="B614" s="211" t="s">
        <v>66</v>
      </c>
      <c r="C614" s="212" t="s">
        <v>747</v>
      </c>
      <c r="D614" s="212" t="s">
        <v>748</v>
      </c>
      <c r="E614" s="211" t="s">
        <v>78</v>
      </c>
      <c r="F614" s="212" t="s">
        <v>749</v>
      </c>
      <c r="G614" s="211" t="s">
        <v>80</v>
      </c>
      <c r="H614" s="212" t="s">
        <v>23</v>
      </c>
      <c r="I614" s="212" t="s">
        <v>1530</v>
      </c>
      <c r="J614" s="212">
        <v>201411</v>
      </c>
      <c r="K614" s="213">
        <v>-983.36</v>
      </c>
      <c r="L614" s="171">
        <f>VLOOKUP(J614,$U$9:$V$23,2)</f>
        <v>7</v>
      </c>
      <c r="M614" s="214">
        <v>2.23333E-3</v>
      </c>
      <c r="N614" s="213">
        <f>ROUND(K614*L614*M614,2)</f>
        <v>-15.37</v>
      </c>
      <c r="O614" s="213">
        <f>ROUND(K614*M614*12,2)</f>
        <v>-26.35</v>
      </c>
      <c r="P614" s="14"/>
      <c r="Q614" s="210" t="str">
        <f>VLOOKUP(D614,'WO Descriptions'!$A$5:$D$345,4)</f>
        <v>Service/Yard Line Replacement (SLRP): Contract Crew.  Modified Block by Block - Planned replacement of unprotected steel or copper  (Joplin - South Region)</v>
      </c>
    </row>
    <row r="615" spans="1:19" ht="30" outlineLevel="2">
      <c r="A615" s="3" t="s">
        <v>748</v>
      </c>
      <c r="B615" s="211" t="s">
        <v>66</v>
      </c>
      <c r="C615" s="212" t="s">
        <v>747</v>
      </c>
      <c r="D615" s="212" t="s">
        <v>748</v>
      </c>
      <c r="E615" s="211" t="s">
        <v>78</v>
      </c>
      <c r="F615" s="212" t="s">
        <v>749</v>
      </c>
      <c r="G615" s="211" t="s">
        <v>80</v>
      </c>
      <c r="H615" s="212" t="s">
        <v>23</v>
      </c>
      <c r="I615" s="212" t="s">
        <v>1530</v>
      </c>
      <c r="J615" s="212">
        <v>201412</v>
      </c>
      <c r="K615" s="213">
        <v>8776.2099999999991</v>
      </c>
      <c r="L615" s="171">
        <f>VLOOKUP(J615,$U$9:$V$23,2)</f>
        <v>6</v>
      </c>
      <c r="M615" s="214">
        <v>2.23333E-3</v>
      </c>
      <c r="N615" s="213">
        <f>ROUND(K615*L615*M615,2)</f>
        <v>117.6</v>
      </c>
      <c r="O615" s="213">
        <f>ROUND(K615*M615*12,2)</f>
        <v>235.2</v>
      </c>
      <c r="P615" s="14"/>
      <c r="Q615" s="210" t="str">
        <f>VLOOKUP(D615,'WO Descriptions'!$A$5:$D$345,4)</f>
        <v>Service/Yard Line Replacement (SLRP): Contract Crew.  Modified Block by Block - Planned replacement of unprotected steel or copper  (Joplin - South Region)</v>
      </c>
    </row>
    <row r="616" spans="1:19" outlineLevel="1">
      <c r="A616" s="3" t="s">
        <v>1980</v>
      </c>
      <c r="B616" s="256"/>
      <c r="C616" s="257"/>
      <c r="D616" s="260" t="s">
        <v>1980</v>
      </c>
      <c r="E616" s="256"/>
      <c r="F616" s="257"/>
      <c r="G616" s="256"/>
      <c r="H616" s="257"/>
      <c r="I616" s="257"/>
      <c r="J616" s="257"/>
      <c r="K616" s="258">
        <f>SUBTOTAL(9,K612:K615)</f>
        <v>137841.29</v>
      </c>
      <c r="L616" s="252"/>
      <c r="M616" s="259"/>
      <c r="N616" s="258">
        <f>SUBTOTAL(9,N612:N615)</f>
        <v>2658.02</v>
      </c>
      <c r="O616" s="258">
        <f>SUBTOTAL(9,O612:O615)</f>
        <v>3694.15</v>
      </c>
      <c r="P616" s="223"/>
      <c r="Q616" s="210"/>
      <c r="R616" s="263" t="s">
        <v>2097</v>
      </c>
      <c r="S616" s="263" t="s">
        <v>2102</v>
      </c>
    </row>
    <row r="617" spans="1:19" ht="30" outlineLevel="2">
      <c r="A617" s="3" t="s">
        <v>751</v>
      </c>
      <c r="B617" s="211" t="s">
        <v>66</v>
      </c>
      <c r="C617" s="212" t="s">
        <v>750</v>
      </c>
      <c r="D617" s="212" t="s">
        <v>751</v>
      </c>
      <c r="E617" s="211" t="s">
        <v>78</v>
      </c>
      <c r="F617" s="212" t="s">
        <v>752</v>
      </c>
      <c r="G617" s="211" t="s">
        <v>80</v>
      </c>
      <c r="H617" s="212" t="s">
        <v>23</v>
      </c>
      <c r="I617" s="212" t="s">
        <v>1530</v>
      </c>
      <c r="J617" s="212">
        <v>201409</v>
      </c>
      <c r="K617" s="213">
        <v>-0.62</v>
      </c>
      <c r="L617" s="171">
        <f>VLOOKUP(J617,$U$9:$V$23,2)</f>
        <v>9</v>
      </c>
      <c r="M617" s="214">
        <v>2.23333E-3</v>
      </c>
      <c r="N617" s="213">
        <f>ROUND(K617*L617*M617,2)</f>
        <v>-0.01</v>
      </c>
      <c r="O617" s="213">
        <f>ROUND(K617*M617*12,2)</f>
        <v>-0.02</v>
      </c>
      <c r="P617" s="14"/>
      <c r="Q617" s="210" t="str">
        <f>VLOOKUP(D617,'WO Descriptions'!$A$5:$D$345,4)</f>
        <v>Service/Yard Line Replacement (SLRP): Contract Crew.  Modified Block by Block - Planned replacement of unprotected steel or copper  (St. Joseph)</v>
      </c>
    </row>
    <row r="618" spans="1:19" ht="30" outlineLevel="2">
      <c r="A618" s="3" t="s">
        <v>751</v>
      </c>
      <c r="B618" s="211" t="s">
        <v>66</v>
      </c>
      <c r="C618" s="212" t="s">
        <v>750</v>
      </c>
      <c r="D618" s="212" t="s">
        <v>751</v>
      </c>
      <c r="E618" s="211" t="s">
        <v>78</v>
      </c>
      <c r="F618" s="212" t="s">
        <v>752</v>
      </c>
      <c r="G618" s="211" t="s">
        <v>80</v>
      </c>
      <c r="H618" s="212" t="s">
        <v>23</v>
      </c>
      <c r="I618" s="212" t="s">
        <v>1530</v>
      </c>
      <c r="J618" s="212">
        <v>201412</v>
      </c>
      <c r="K618" s="213">
        <v>48.78</v>
      </c>
      <c r="L618" s="171">
        <f>VLOOKUP(J618,$U$9:$V$23,2)</f>
        <v>6</v>
      </c>
      <c r="M618" s="214">
        <v>2.23333E-3</v>
      </c>
      <c r="N618" s="213">
        <f>ROUND(K618*L618*M618,2)</f>
        <v>0.65</v>
      </c>
      <c r="O618" s="213">
        <f>ROUND(K618*M618*12,2)</f>
        <v>1.31</v>
      </c>
      <c r="P618" s="14"/>
      <c r="Q618" s="210" t="str">
        <f>VLOOKUP(D618,'WO Descriptions'!$A$5:$D$345,4)</f>
        <v>Service/Yard Line Replacement (SLRP): Contract Crew.  Modified Block by Block - Planned replacement of unprotected steel or copper  (St. Joseph)</v>
      </c>
    </row>
    <row r="619" spans="1:19" outlineLevel="1">
      <c r="A619" s="3" t="s">
        <v>1981</v>
      </c>
      <c r="B619" s="256"/>
      <c r="C619" s="257"/>
      <c r="D619" s="260" t="s">
        <v>1981</v>
      </c>
      <c r="E619" s="256"/>
      <c r="F619" s="257"/>
      <c r="G619" s="256"/>
      <c r="H619" s="257"/>
      <c r="I619" s="257"/>
      <c r="J619" s="257"/>
      <c r="K619" s="258">
        <f>SUBTOTAL(9,K617:K618)</f>
        <v>48.160000000000004</v>
      </c>
      <c r="L619" s="252"/>
      <c r="M619" s="259"/>
      <c r="N619" s="258">
        <f>SUBTOTAL(9,N617:N618)</f>
        <v>0.64</v>
      </c>
      <c r="O619" s="258">
        <f>SUBTOTAL(9,O617:O618)</f>
        <v>1.29</v>
      </c>
      <c r="P619" s="223"/>
      <c r="Q619" s="210"/>
      <c r="R619" s="263" t="s">
        <v>2097</v>
      </c>
      <c r="S619" s="263" t="s">
        <v>2102</v>
      </c>
    </row>
    <row r="620" spans="1:19" ht="30" outlineLevel="2">
      <c r="A620" s="3" t="s">
        <v>1616</v>
      </c>
      <c r="B620" s="211" t="s">
        <v>1584</v>
      </c>
      <c r="C620" s="212" t="s">
        <v>1615</v>
      </c>
      <c r="D620" s="212" t="s">
        <v>1616</v>
      </c>
      <c r="E620" s="211" t="s">
        <v>1593</v>
      </c>
      <c r="F620" s="212" t="s">
        <v>1617</v>
      </c>
      <c r="G620" s="211" t="s">
        <v>1590</v>
      </c>
      <c r="H620" s="212" t="s">
        <v>23</v>
      </c>
      <c r="I620" s="212" t="s">
        <v>1530</v>
      </c>
      <c r="J620" s="212">
        <v>201409</v>
      </c>
      <c r="K620" s="213">
        <v>13225.13</v>
      </c>
      <c r="L620" s="171">
        <f>VLOOKUP(J620,$U$9:$V$23,2)</f>
        <v>9</v>
      </c>
      <c r="M620" s="214">
        <v>2.0333333000000001E-3</v>
      </c>
      <c r="N620" s="213">
        <f>ROUND(K620*L620*M620,2)</f>
        <v>242.02</v>
      </c>
      <c r="O620" s="213">
        <f>ROUND(K620*M620*12,2)</f>
        <v>322.69</v>
      </c>
      <c r="P620" s="14"/>
      <c r="Q620" s="210" t="str">
        <f>VLOOKUP(D620,'WO Descriptions'!$A$5:$D$345,4)</f>
        <v>Service/Yard Line Replacement (SLRP): Contract Crew.  Modified Block by Block - Planned replacement of unprotected steel or copper  (St. Joseph)</v>
      </c>
    </row>
    <row r="621" spans="1:19" ht="30" outlineLevel="2">
      <c r="A621" s="3" t="s">
        <v>1616</v>
      </c>
      <c r="B621" s="211" t="s">
        <v>1584</v>
      </c>
      <c r="C621" s="212" t="s">
        <v>1615</v>
      </c>
      <c r="D621" s="212" t="s">
        <v>1616</v>
      </c>
      <c r="E621" s="211" t="s">
        <v>1593</v>
      </c>
      <c r="F621" s="212" t="s">
        <v>1617</v>
      </c>
      <c r="G621" s="211" t="s">
        <v>1590</v>
      </c>
      <c r="H621" s="212" t="s">
        <v>23</v>
      </c>
      <c r="I621" s="212" t="s">
        <v>1530</v>
      </c>
      <c r="J621" s="212">
        <v>201410</v>
      </c>
      <c r="K621" s="213">
        <v>4029.73</v>
      </c>
      <c r="L621" s="171">
        <f>VLOOKUP(J621,$U$9:$V$23,2)</f>
        <v>8</v>
      </c>
      <c r="M621" s="214">
        <v>2.0333333000000001E-3</v>
      </c>
      <c r="N621" s="213">
        <f>ROUND(K621*L621*M621,2)</f>
        <v>65.55</v>
      </c>
      <c r="O621" s="213">
        <f>ROUND(K621*M621*12,2)</f>
        <v>98.33</v>
      </c>
      <c r="P621" s="14"/>
      <c r="Q621" s="210" t="str">
        <f>VLOOKUP(D621,'WO Descriptions'!$A$5:$D$345,4)</f>
        <v>Service/Yard Line Replacement (SLRP): Contract Crew.  Modified Block by Block - Planned replacement of unprotected steel or copper  (St. Joseph)</v>
      </c>
    </row>
    <row r="622" spans="1:19" ht="30" outlineLevel="2">
      <c r="A622" s="3" t="s">
        <v>1616</v>
      </c>
      <c r="B622" s="211" t="s">
        <v>1584</v>
      </c>
      <c r="C622" s="212" t="s">
        <v>1615</v>
      </c>
      <c r="D622" s="212" t="s">
        <v>1616</v>
      </c>
      <c r="E622" s="211" t="s">
        <v>1593</v>
      </c>
      <c r="F622" s="212" t="s">
        <v>1617</v>
      </c>
      <c r="G622" s="211" t="s">
        <v>1590</v>
      </c>
      <c r="H622" s="212" t="s">
        <v>23</v>
      </c>
      <c r="I622" s="212" t="s">
        <v>1530</v>
      </c>
      <c r="J622" s="212">
        <v>201411</v>
      </c>
      <c r="K622" s="213">
        <v>4.0199999999999996</v>
      </c>
      <c r="L622" s="171">
        <f>VLOOKUP(J622,$U$9:$V$23,2)</f>
        <v>7</v>
      </c>
      <c r="M622" s="214">
        <v>2.0333333000000001E-3</v>
      </c>
      <c r="N622" s="213">
        <f>ROUND(K622*L622*M622,2)</f>
        <v>0.06</v>
      </c>
      <c r="O622" s="213">
        <f>ROUND(K622*M622*12,2)</f>
        <v>0.1</v>
      </c>
      <c r="P622" s="14"/>
      <c r="Q622" s="210" t="str">
        <f>VLOOKUP(D622,'WO Descriptions'!$A$5:$D$345,4)</f>
        <v>Service/Yard Line Replacement (SLRP): Contract Crew.  Modified Block by Block - Planned replacement of unprotected steel or copper  (St. Joseph)</v>
      </c>
    </row>
    <row r="623" spans="1:19" ht="30" outlineLevel="2">
      <c r="A623" s="3" t="s">
        <v>1616</v>
      </c>
      <c r="B623" s="211" t="s">
        <v>1584</v>
      </c>
      <c r="C623" s="212" t="s">
        <v>1615</v>
      </c>
      <c r="D623" s="212" t="s">
        <v>1616</v>
      </c>
      <c r="E623" s="211" t="s">
        <v>1593</v>
      </c>
      <c r="F623" s="212" t="s">
        <v>1617</v>
      </c>
      <c r="G623" s="211" t="s">
        <v>1590</v>
      </c>
      <c r="H623" s="212" t="s">
        <v>23</v>
      </c>
      <c r="I623" s="212" t="s">
        <v>1530</v>
      </c>
      <c r="J623" s="212">
        <v>201412</v>
      </c>
      <c r="K623" s="213">
        <v>-275.81</v>
      </c>
      <c r="L623" s="171">
        <f>VLOOKUP(J623,$U$9:$V$23,2)</f>
        <v>6</v>
      </c>
      <c r="M623" s="214">
        <v>2.0333333000000001E-3</v>
      </c>
      <c r="N623" s="213">
        <f>ROUND(K623*L623*M623,2)</f>
        <v>-3.36</v>
      </c>
      <c r="O623" s="213">
        <f>ROUND(K623*M623*12,2)</f>
        <v>-6.73</v>
      </c>
      <c r="P623" s="14"/>
      <c r="Q623" s="210" t="str">
        <f>VLOOKUP(D623,'WO Descriptions'!$A$5:$D$345,4)</f>
        <v>Service/Yard Line Replacement (SLRP): Contract Crew.  Modified Block by Block - Planned replacement of unprotected steel or copper  (St. Joseph)</v>
      </c>
    </row>
    <row r="624" spans="1:19" outlineLevel="1">
      <c r="A624" s="3" t="s">
        <v>1982</v>
      </c>
      <c r="B624" s="256"/>
      <c r="C624" s="257"/>
      <c r="D624" s="260" t="s">
        <v>1982</v>
      </c>
      <c r="E624" s="256"/>
      <c r="F624" s="257"/>
      <c r="G624" s="256"/>
      <c r="H624" s="257"/>
      <c r="I624" s="257"/>
      <c r="J624" s="257"/>
      <c r="K624" s="258">
        <f>SUBTOTAL(9,K620:K623)</f>
        <v>16983.07</v>
      </c>
      <c r="L624" s="252"/>
      <c r="M624" s="259"/>
      <c r="N624" s="258">
        <f>SUBTOTAL(9,N620:N623)</f>
        <v>304.27</v>
      </c>
      <c r="O624" s="258">
        <f>SUBTOTAL(9,O620:O623)</f>
        <v>414.39</v>
      </c>
      <c r="P624" s="223"/>
      <c r="Q624" s="210"/>
      <c r="R624" s="263" t="s">
        <v>2097</v>
      </c>
      <c r="S624" s="263" t="s">
        <v>2102</v>
      </c>
    </row>
    <row r="625" spans="1:19" ht="30" outlineLevel="2">
      <c r="A625" s="3" t="s">
        <v>754</v>
      </c>
      <c r="B625" s="211" t="s">
        <v>66</v>
      </c>
      <c r="C625" s="212" t="s">
        <v>753</v>
      </c>
      <c r="D625" s="212" t="s">
        <v>754</v>
      </c>
      <c r="E625" s="211" t="s">
        <v>206</v>
      </c>
      <c r="F625" s="212" t="s">
        <v>755</v>
      </c>
      <c r="G625" s="211" t="s">
        <v>97</v>
      </c>
      <c r="H625" s="212" t="s">
        <v>23</v>
      </c>
      <c r="I625" s="212" t="s">
        <v>1530</v>
      </c>
      <c r="J625" s="212">
        <v>201409</v>
      </c>
      <c r="K625" s="213">
        <v>7053.44</v>
      </c>
      <c r="L625" s="171">
        <f>VLOOKUP(J625,$U$9:$V$23,2)</f>
        <v>9</v>
      </c>
      <c r="M625" s="214">
        <v>2.23333E-3</v>
      </c>
      <c r="N625" s="213">
        <f>ROUND(K625*L625*M625,2)</f>
        <v>141.77000000000001</v>
      </c>
      <c r="O625" s="213">
        <f>ROUND(K625*M625*12,2)</f>
        <v>189.03</v>
      </c>
      <c r="P625" s="14"/>
      <c r="Q625" s="210" t="str">
        <f>VLOOKUP(D625,'WO Descriptions'!$A$5:$D$345,4)</f>
        <v>Service/Yard Line Replacement (SLRP): Company Crew.  Service/yard line replacement - Material Charges Only  (Lee's Summit - East Region)</v>
      </c>
    </row>
    <row r="626" spans="1:19" ht="30" outlineLevel="2">
      <c r="A626" s="3" t="s">
        <v>754</v>
      </c>
      <c r="B626" s="211" t="s">
        <v>66</v>
      </c>
      <c r="C626" s="212" t="s">
        <v>753</v>
      </c>
      <c r="D626" s="212" t="s">
        <v>754</v>
      </c>
      <c r="E626" s="211" t="s">
        <v>206</v>
      </c>
      <c r="F626" s="212" t="s">
        <v>755</v>
      </c>
      <c r="G626" s="211" t="s">
        <v>97</v>
      </c>
      <c r="H626" s="212" t="s">
        <v>23</v>
      </c>
      <c r="I626" s="212" t="s">
        <v>1530</v>
      </c>
      <c r="J626" s="212">
        <v>201410</v>
      </c>
      <c r="K626" s="213">
        <v>6651.75</v>
      </c>
      <c r="L626" s="171">
        <f>VLOOKUP(J626,$U$9:$V$23,2)</f>
        <v>8</v>
      </c>
      <c r="M626" s="214">
        <v>2.23333E-3</v>
      </c>
      <c r="N626" s="213">
        <f>ROUND(K626*L626*M626,2)</f>
        <v>118.84</v>
      </c>
      <c r="O626" s="213">
        <f>ROUND(K626*M626*12,2)</f>
        <v>178.27</v>
      </c>
      <c r="P626" s="14"/>
      <c r="Q626" s="210" t="str">
        <f>VLOOKUP(D626,'WO Descriptions'!$A$5:$D$345,4)</f>
        <v>Service/Yard Line Replacement (SLRP): Company Crew.  Service/yard line replacement - Material Charges Only  (Lee's Summit - East Region)</v>
      </c>
    </row>
    <row r="627" spans="1:19" ht="30" outlineLevel="2">
      <c r="A627" s="3" t="s">
        <v>754</v>
      </c>
      <c r="B627" s="211" t="s">
        <v>66</v>
      </c>
      <c r="C627" s="212" t="s">
        <v>753</v>
      </c>
      <c r="D627" s="212" t="s">
        <v>754</v>
      </c>
      <c r="E627" s="211" t="s">
        <v>206</v>
      </c>
      <c r="F627" s="212" t="s">
        <v>755</v>
      </c>
      <c r="G627" s="211" t="s">
        <v>97</v>
      </c>
      <c r="H627" s="212" t="s">
        <v>23</v>
      </c>
      <c r="I627" s="212" t="s">
        <v>1530</v>
      </c>
      <c r="J627" s="212">
        <v>201411</v>
      </c>
      <c r="K627" s="213">
        <v>8010.12</v>
      </c>
      <c r="L627" s="171">
        <f>VLOOKUP(J627,$U$9:$V$23,2)</f>
        <v>7</v>
      </c>
      <c r="M627" s="214">
        <v>2.23333E-3</v>
      </c>
      <c r="N627" s="213">
        <f>ROUND(K627*L627*M627,2)</f>
        <v>125.22</v>
      </c>
      <c r="O627" s="213">
        <f>ROUND(K627*M627*12,2)</f>
        <v>214.67</v>
      </c>
      <c r="P627" s="14"/>
      <c r="Q627" s="210" t="str">
        <f>VLOOKUP(D627,'WO Descriptions'!$A$5:$D$345,4)</f>
        <v>Service/Yard Line Replacement (SLRP): Company Crew.  Service/yard line replacement - Material Charges Only  (Lee's Summit - East Region)</v>
      </c>
    </row>
    <row r="628" spans="1:19" ht="30" outlineLevel="2">
      <c r="A628" s="3" t="s">
        <v>754</v>
      </c>
      <c r="B628" s="211" t="s">
        <v>66</v>
      </c>
      <c r="C628" s="212" t="s">
        <v>753</v>
      </c>
      <c r="D628" s="212" t="s">
        <v>754</v>
      </c>
      <c r="E628" s="211" t="s">
        <v>206</v>
      </c>
      <c r="F628" s="212" t="s">
        <v>755</v>
      </c>
      <c r="G628" s="211" t="s">
        <v>97</v>
      </c>
      <c r="H628" s="212" t="s">
        <v>23</v>
      </c>
      <c r="I628" s="212" t="s">
        <v>1530</v>
      </c>
      <c r="J628" s="212">
        <v>201412</v>
      </c>
      <c r="K628" s="213">
        <v>2824.7</v>
      </c>
      <c r="L628" s="171">
        <f>VLOOKUP(J628,$U$9:$V$23,2)</f>
        <v>6</v>
      </c>
      <c r="M628" s="214">
        <v>2.23333E-3</v>
      </c>
      <c r="N628" s="213">
        <f>ROUND(K628*L628*M628,2)</f>
        <v>37.85</v>
      </c>
      <c r="O628" s="213">
        <f>ROUND(K628*M628*12,2)</f>
        <v>75.7</v>
      </c>
      <c r="P628" s="14"/>
      <c r="Q628" s="210" t="str">
        <f>VLOOKUP(D628,'WO Descriptions'!$A$5:$D$345,4)</f>
        <v>Service/Yard Line Replacement (SLRP): Company Crew.  Service/yard line replacement - Material Charges Only  (Lee's Summit - East Region)</v>
      </c>
    </row>
    <row r="629" spans="1:19" outlineLevel="1">
      <c r="A629" s="3" t="s">
        <v>1983</v>
      </c>
      <c r="B629" s="256"/>
      <c r="C629" s="257"/>
      <c r="D629" s="260" t="s">
        <v>1983</v>
      </c>
      <c r="E629" s="256"/>
      <c r="F629" s="257"/>
      <c r="G629" s="256"/>
      <c r="H629" s="257"/>
      <c r="I629" s="257"/>
      <c r="J629" s="257"/>
      <c r="K629" s="258">
        <f>SUBTOTAL(9,K625:K628)</f>
        <v>24540.01</v>
      </c>
      <c r="L629" s="252"/>
      <c r="M629" s="259"/>
      <c r="N629" s="258">
        <f>SUBTOTAL(9,N625:N628)</f>
        <v>423.68000000000006</v>
      </c>
      <c r="O629" s="258">
        <f>SUBTOTAL(9,O625:O628)</f>
        <v>657.67000000000007</v>
      </c>
      <c r="P629" s="223"/>
      <c r="Q629" s="210"/>
      <c r="R629" s="263" t="s">
        <v>2097</v>
      </c>
      <c r="S629" s="263" t="s">
        <v>2102</v>
      </c>
    </row>
    <row r="630" spans="1:19" ht="45" outlineLevel="2">
      <c r="A630" s="3" t="s">
        <v>757</v>
      </c>
      <c r="B630" s="14" t="s">
        <v>17</v>
      </c>
      <c r="C630" s="15" t="s">
        <v>756</v>
      </c>
      <c r="D630" s="15" t="s">
        <v>757</v>
      </c>
      <c r="E630" s="14" t="s">
        <v>758</v>
      </c>
      <c r="F630" s="15" t="s">
        <v>141</v>
      </c>
      <c r="G630" s="14" t="s">
        <v>142</v>
      </c>
      <c r="H630" s="15" t="s">
        <v>23</v>
      </c>
      <c r="I630" s="15" t="s">
        <v>1525</v>
      </c>
      <c r="J630" s="15">
        <v>201409</v>
      </c>
      <c r="K630" s="16">
        <v>-4641.3900000000003</v>
      </c>
      <c r="L630" s="171">
        <f>VLOOKUP(J630,$U$9:$V$23,2)</f>
        <v>9</v>
      </c>
      <c r="M630" s="17">
        <v>1.4833299999999999E-3</v>
      </c>
      <c r="N630" s="16">
        <f>ROUND(K630*L630*M630,2)</f>
        <v>-61.96</v>
      </c>
      <c r="O630" s="16">
        <f>ROUND(K630*M630*12,2)</f>
        <v>-82.62</v>
      </c>
      <c r="P630" s="14"/>
      <c r="Q630" s="210" t="str">
        <f>VLOOKUP(D630,'WO Descriptions'!$A$5:$D$345,4)</f>
        <v>Approved by: Rob Hack on 04/30/2013,  ISRS. This work order is necessary to abandon a total of 3391' of cast iron main. LAY 1,316'-6in PE, 714'-4in PE, and 1310' of 8in PE as part of the safety replacement program to meet MPSC requirements.</v>
      </c>
    </row>
    <row r="631" spans="1:19" outlineLevel="1">
      <c r="A631" s="3" t="s">
        <v>1984</v>
      </c>
      <c r="B631" s="223"/>
      <c r="C631" s="250"/>
      <c r="D631" s="254" t="s">
        <v>1984</v>
      </c>
      <c r="E631" s="223"/>
      <c r="F631" s="250"/>
      <c r="G631" s="223"/>
      <c r="H631" s="250"/>
      <c r="I631" s="250"/>
      <c r="J631" s="250"/>
      <c r="K631" s="251">
        <f>SUBTOTAL(9,K630:K630)</f>
        <v>-4641.3900000000003</v>
      </c>
      <c r="L631" s="252"/>
      <c r="M631" s="253"/>
      <c r="N631" s="251">
        <f>SUBTOTAL(9,N630:N630)</f>
        <v>-61.96</v>
      </c>
      <c r="O631" s="251">
        <f>SUBTOTAL(9,O630:O630)</f>
        <v>-82.62</v>
      </c>
      <c r="P631" s="223"/>
      <c r="Q631" s="210"/>
      <c r="R631" s="263" t="s">
        <v>2097</v>
      </c>
      <c r="S631" s="263" t="s">
        <v>2100</v>
      </c>
    </row>
    <row r="632" spans="1:19" ht="75" outlineLevel="2">
      <c r="A632" s="3" t="s">
        <v>760</v>
      </c>
      <c r="B632" s="14" t="s">
        <v>17</v>
      </c>
      <c r="C632" s="15" t="s">
        <v>759</v>
      </c>
      <c r="D632" s="15" t="s">
        <v>760</v>
      </c>
      <c r="E632" s="14" t="s">
        <v>761</v>
      </c>
      <c r="F632" s="15" t="s">
        <v>62</v>
      </c>
      <c r="G632" s="14" t="s">
        <v>22</v>
      </c>
      <c r="H632" s="15" t="s">
        <v>23</v>
      </c>
      <c r="I632" s="15" t="s">
        <v>1525</v>
      </c>
      <c r="J632" s="15">
        <v>201409</v>
      </c>
      <c r="K632" s="16">
        <v>-84.14</v>
      </c>
      <c r="L632" s="171">
        <f>VLOOKUP(J632,$U$9:$V$23,2)</f>
        <v>9</v>
      </c>
      <c r="M632" s="17">
        <v>1.4833299999999999E-3</v>
      </c>
      <c r="N632" s="16">
        <f>ROUND(K632*L632*M632,2)</f>
        <v>-1.1200000000000001</v>
      </c>
      <c r="O632" s="16">
        <f>ROUND(K632*M632*12,2)</f>
        <v>-1.5</v>
      </c>
      <c r="P632" s="14"/>
      <c r="Q632" s="210" t="str">
        <f>VLOOKUP(D632,'WO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3" spans="1:19" ht="75" outlineLevel="2">
      <c r="A633" s="3" t="s">
        <v>760</v>
      </c>
      <c r="B633" s="14" t="s">
        <v>17</v>
      </c>
      <c r="C633" s="15" t="s">
        <v>759</v>
      </c>
      <c r="D633" s="15" t="s">
        <v>760</v>
      </c>
      <c r="E633" s="14" t="s">
        <v>761</v>
      </c>
      <c r="F633" s="15" t="s">
        <v>62</v>
      </c>
      <c r="G633" s="14" t="s">
        <v>22</v>
      </c>
      <c r="H633" s="15" t="s">
        <v>23</v>
      </c>
      <c r="I633" s="15" t="s">
        <v>1525</v>
      </c>
      <c r="J633" s="15">
        <v>201410</v>
      </c>
      <c r="K633" s="16">
        <v>325.61</v>
      </c>
      <c r="L633" s="171">
        <f>VLOOKUP(J633,$U$9:$V$23,2)</f>
        <v>8</v>
      </c>
      <c r="M633" s="17">
        <v>1.4833299999999999E-3</v>
      </c>
      <c r="N633" s="16">
        <f>ROUND(K633*L633*M633,2)</f>
        <v>3.86</v>
      </c>
      <c r="O633" s="16">
        <f>ROUND(K633*M633*12,2)</f>
        <v>5.8</v>
      </c>
      <c r="P633" s="14"/>
      <c r="Q633" s="210" t="str">
        <f>VLOOKUP(D633,'WO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4" spans="1:19" ht="75" outlineLevel="2">
      <c r="A634" s="3" t="s">
        <v>760</v>
      </c>
      <c r="B634" s="14" t="s">
        <v>17</v>
      </c>
      <c r="C634" s="15" t="s">
        <v>759</v>
      </c>
      <c r="D634" s="15" t="s">
        <v>760</v>
      </c>
      <c r="E634" s="14" t="s">
        <v>761</v>
      </c>
      <c r="F634" s="15" t="s">
        <v>62</v>
      </c>
      <c r="G634" s="14" t="s">
        <v>22</v>
      </c>
      <c r="H634" s="15" t="s">
        <v>23</v>
      </c>
      <c r="I634" s="15" t="s">
        <v>1525</v>
      </c>
      <c r="J634" s="15">
        <v>201411</v>
      </c>
      <c r="K634" s="16">
        <v>205.63</v>
      </c>
      <c r="L634" s="171">
        <f>VLOOKUP(J634,$U$9:$V$23,2)</f>
        <v>7</v>
      </c>
      <c r="M634" s="17">
        <v>1.4833299999999999E-3</v>
      </c>
      <c r="N634" s="16">
        <f>ROUND(K634*L634*M634,2)</f>
        <v>2.14</v>
      </c>
      <c r="O634" s="16">
        <f>ROUND(K634*M634*12,2)</f>
        <v>3.66</v>
      </c>
      <c r="P634" s="14"/>
      <c r="Q634" s="210" t="str">
        <f>VLOOKUP(D634,'WO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5" spans="1:19" ht="75" outlineLevel="2">
      <c r="A635" s="3" t="s">
        <v>760</v>
      </c>
      <c r="B635" s="14" t="s">
        <v>17</v>
      </c>
      <c r="C635" s="15" t="s">
        <v>759</v>
      </c>
      <c r="D635" s="15" t="s">
        <v>760</v>
      </c>
      <c r="E635" s="14" t="s">
        <v>761</v>
      </c>
      <c r="F635" s="15" t="s">
        <v>62</v>
      </c>
      <c r="G635" s="14" t="s">
        <v>22</v>
      </c>
      <c r="H635" s="15" t="s">
        <v>23</v>
      </c>
      <c r="I635" s="15" t="s">
        <v>1525</v>
      </c>
      <c r="J635" s="15">
        <v>201412</v>
      </c>
      <c r="K635" s="16">
        <v>-35.33</v>
      </c>
      <c r="L635" s="171">
        <f>VLOOKUP(J635,$U$9:$V$23,2)</f>
        <v>6</v>
      </c>
      <c r="M635" s="17">
        <v>1.4833299999999999E-3</v>
      </c>
      <c r="N635" s="16">
        <f>ROUND(K635*L635*M635,2)</f>
        <v>-0.31</v>
      </c>
      <c r="O635" s="16">
        <f>ROUND(K635*M635*12,2)</f>
        <v>-0.63</v>
      </c>
      <c r="P635" s="14"/>
      <c r="Q635" s="210" t="str">
        <f>VLOOKUP(D635,'WO Descriptions'!$A$5:$D$345,4)</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row>
    <row r="636" spans="1:19" outlineLevel="1">
      <c r="A636" s="3" t="s">
        <v>1985</v>
      </c>
      <c r="B636" s="223"/>
      <c r="C636" s="250"/>
      <c r="D636" s="254" t="s">
        <v>1985</v>
      </c>
      <c r="E636" s="223"/>
      <c r="F636" s="250"/>
      <c r="G636" s="223"/>
      <c r="H636" s="250"/>
      <c r="I636" s="250"/>
      <c r="J636" s="250"/>
      <c r="K636" s="251">
        <f>SUBTOTAL(9,K632:K635)</f>
        <v>411.77000000000004</v>
      </c>
      <c r="L636" s="252"/>
      <c r="M636" s="253"/>
      <c r="N636" s="251">
        <f>SUBTOTAL(9,N632:N635)</f>
        <v>4.57</v>
      </c>
      <c r="O636" s="251">
        <f>SUBTOTAL(9,O632:O635)</f>
        <v>7.33</v>
      </c>
      <c r="P636" s="223"/>
      <c r="Q636" s="210"/>
      <c r="R636" s="263" t="s">
        <v>2097</v>
      </c>
      <c r="S636" s="263" t="s">
        <v>2098</v>
      </c>
    </row>
    <row r="637" spans="1:19" ht="105" outlineLevel="2">
      <c r="A637" s="3" t="s">
        <v>763</v>
      </c>
      <c r="B637" s="14" t="s">
        <v>238</v>
      </c>
      <c r="C637" s="15" t="s">
        <v>762</v>
      </c>
      <c r="D637" s="15" t="s">
        <v>763</v>
      </c>
      <c r="E637" s="14" t="s">
        <v>764</v>
      </c>
      <c r="F637" s="15" t="s">
        <v>168</v>
      </c>
      <c r="G637" s="14" t="s">
        <v>169</v>
      </c>
      <c r="H637" s="15" t="s">
        <v>23</v>
      </c>
      <c r="I637" s="15" t="s">
        <v>1528</v>
      </c>
      <c r="J637" s="15">
        <v>201409</v>
      </c>
      <c r="K637" s="16">
        <v>-567.96</v>
      </c>
      <c r="L637" s="171">
        <f>VLOOKUP(J637,$U$9:$V$23,2)</f>
        <v>9</v>
      </c>
      <c r="M637" s="17">
        <v>2.3833299999999999E-3</v>
      </c>
      <c r="N637" s="16">
        <f>ROUND(K637*L637*M637,2)</f>
        <v>-12.18</v>
      </c>
      <c r="O637" s="16">
        <f>ROUND(K637*M637*12,2)</f>
        <v>-16.239999999999998</v>
      </c>
      <c r="P637" s="19"/>
      <c r="Q637" s="210" t="str">
        <f>VLOOKUP(D637,'WO Descriptions'!$A$5:$D$345,4)</f>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
    </row>
    <row r="638" spans="1:19" outlineLevel="1">
      <c r="A638" s="3" t="s">
        <v>1986</v>
      </c>
      <c r="B638" s="223"/>
      <c r="C638" s="250"/>
      <c r="D638" s="254" t="s">
        <v>1986</v>
      </c>
      <c r="E638" s="223"/>
      <c r="F638" s="250"/>
      <c r="G638" s="223"/>
      <c r="H638" s="250"/>
      <c r="I638" s="250"/>
      <c r="J638" s="250"/>
      <c r="K638" s="251">
        <f>SUBTOTAL(9,K637:K637)</f>
        <v>-567.96</v>
      </c>
      <c r="L638" s="252"/>
      <c r="M638" s="253"/>
      <c r="N638" s="251">
        <f>SUBTOTAL(9,N637:N637)</f>
        <v>-12.18</v>
      </c>
      <c r="O638" s="251">
        <f>SUBTOTAL(9,O637:O637)</f>
        <v>-16.239999999999998</v>
      </c>
      <c r="P638" s="261"/>
      <c r="Q638" s="210"/>
      <c r="R638" s="263" t="s">
        <v>2097</v>
      </c>
      <c r="S638" s="263" t="s">
        <v>2099</v>
      </c>
    </row>
    <row r="639" spans="1:19" ht="135" outlineLevel="2">
      <c r="A639" s="3" t="s">
        <v>766</v>
      </c>
      <c r="B639" s="14" t="s">
        <v>17</v>
      </c>
      <c r="C639" s="15" t="s">
        <v>765</v>
      </c>
      <c r="D639" s="15" t="s">
        <v>766</v>
      </c>
      <c r="E639" s="14" t="s">
        <v>767</v>
      </c>
      <c r="F639" s="15" t="s">
        <v>216</v>
      </c>
      <c r="G639" s="14" t="s">
        <v>22</v>
      </c>
      <c r="H639" s="15" t="s">
        <v>23</v>
      </c>
      <c r="I639" s="15" t="s">
        <v>1525</v>
      </c>
      <c r="J639" s="15">
        <v>201409</v>
      </c>
      <c r="K639" s="16">
        <v>-1384.18</v>
      </c>
      <c r="L639" s="171">
        <f>VLOOKUP(J639,$U$9:$V$23,2)</f>
        <v>9</v>
      </c>
      <c r="M639" s="17">
        <v>1.4833299999999999E-3</v>
      </c>
      <c r="N639" s="16">
        <f>ROUND(K639*L639*M639,2)</f>
        <v>-18.48</v>
      </c>
      <c r="O639" s="16">
        <f>ROUND(K639*M639*12,2)</f>
        <v>-24.64</v>
      </c>
      <c r="P639" s="14"/>
      <c r="Q639" s="210" t="str">
        <f>VLOOKUP(D639,'WO Descriptions'!$A$5:$D$345,4)</f>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
    </row>
    <row r="640" spans="1:19" outlineLevel="1">
      <c r="A640" s="3" t="s">
        <v>1987</v>
      </c>
      <c r="B640" s="223"/>
      <c r="C640" s="250"/>
      <c r="D640" s="254" t="s">
        <v>1987</v>
      </c>
      <c r="E640" s="223"/>
      <c r="F640" s="250"/>
      <c r="G640" s="223"/>
      <c r="H640" s="250"/>
      <c r="I640" s="250"/>
      <c r="J640" s="250"/>
      <c r="K640" s="251">
        <f>SUBTOTAL(9,K639:K639)</f>
        <v>-1384.18</v>
      </c>
      <c r="L640" s="252"/>
      <c r="M640" s="253"/>
      <c r="N640" s="251">
        <f>SUBTOTAL(9,N639:N639)</f>
        <v>-18.48</v>
      </c>
      <c r="O640" s="251">
        <f>SUBTOTAL(9,O639:O639)</f>
        <v>-24.64</v>
      </c>
      <c r="P640" s="223"/>
      <c r="Q640" s="210"/>
      <c r="R640" s="263" t="s">
        <v>2097</v>
      </c>
      <c r="S640" s="263" t="s">
        <v>2098</v>
      </c>
    </row>
    <row r="641" spans="1:19" ht="90" outlineLevel="2">
      <c r="A641" s="3" t="s">
        <v>769</v>
      </c>
      <c r="B641" s="14" t="s">
        <v>17</v>
      </c>
      <c r="C641" s="15" t="s">
        <v>768</v>
      </c>
      <c r="D641" s="15" t="s">
        <v>769</v>
      </c>
      <c r="E641" s="14" t="s">
        <v>770</v>
      </c>
      <c r="F641" s="15" t="s">
        <v>104</v>
      </c>
      <c r="G641" s="14" t="s">
        <v>41</v>
      </c>
      <c r="H641" s="15" t="s">
        <v>23</v>
      </c>
      <c r="I641" s="15" t="s">
        <v>1526</v>
      </c>
      <c r="J641" s="15">
        <v>201409</v>
      </c>
      <c r="K641" s="16">
        <v>-630.88</v>
      </c>
      <c r="L641" s="171">
        <f>VLOOKUP(J641,$U$9:$V$23,2)</f>
        <v>9</v>
      </c>
      <c r="M641" s="17">
        <v>1.4833299999999999E-3</v>
      </c>
      <c r="N641" s="16">
        <f>ROUND(K641*L641*M641,2)</f>
        <v>-8.42</v>
      </c>
      <c r="O641" s="16">
        <f>ROUND(K641*M641*12,2)</f>
        <v>-11.23</v>
      </c>
      <c r="P641" s="14"/>
      <c r="Q641" s="210" t="str">
        <f>VLOOKUP(D641,'WO Descriptions'!$A$5:$D$345,4)</f>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
    </row>
    <row r="642" spans="1:19" outlineLevel="1">
      <c r="A642" s="3" t="s">
        <v>1988</v>
      </c>
      <c r="B642" s="223"/>
      <c r="C642" s="250"/>
      <c r="D642" s="254" t="s">
        <v>1988</v>
      </c>
      <c r="E642" s="223"/>
      <c r="F642" s="250"/>
      <c r="G642" s="223"/>
      <c r="H642" s="250"/>
      <c r="I642" s="250"/>
      <c r="J642" s="250"/>
      <c r="K642" s="251">
        <f>SUBTOTAL(9,K641:K641)</f>
        <v>-630.88</v>
      </c>
      <c r="L642" s="252"/>
      <c r="M642" s="253"/>
      <c r="N642" s="251">
        <f>SUBTOTAL(9,N641:N641)</f>
        <v>-8.42</v>
      </c>
      <c r="O642" s="251">
        <f>SUBTOTAL(9,O641:O641)</f>
        <v>-11.23</v>
      </c>
      <c r="P642" s="223"/>
      <c r="Q642" s="210"/>
      <c r="R642" s="263" t="s">
        <v>2096</v>
      </c>
    </row>
    <row r="643" spans="1:19" ht="135" outlineLevel="2">
      <c r="A643" s="3" t="s">
        <v>772</v>
      </c>
      <c r="B643" s="14" t="s">
        <v>238</v>
      </c>
      <c r="C643" s="15" t="s">
        <v>771</v>
      </c>
      <c r="D643" s="15" t="s">
        <v>772</v>
      </c>
      <c r="E643" s="14" t="s">
        <v>773</v>
      </c>
      <c r="F643" s="15" t="s">
        <v>168</v>
      </c>
      <c r="G643" s="14" t="s">
        <v>169</v>
      </c>
      <c r="H643" s="15" t="s">
        <v>23</v>
      </c>
      <c r="I643" s="15" t="s">
        <v>1528</v>
      </c>
      <c r="J643" s="15">
        <v>201409</v>
      </c>
      <c r="K643" s="16">
        <v>-212.27</v>
      </c>
      <c r="L643" s="171">
        <f>VLOOKUP(J643,$U$9:$V$23,2)</f>
        <v>9</v>
      </c>
      <c r="M643" s="17">
        <v>2.3833299999999999E-3</v>
      </c>
      <c r="N643" s="16">
        <f>ROUND(K643*L643*M643,2)</f>
        <v>-4.55</v>
      </c>
      <c r="O643" s="16">
        <f>ROUND(K643*M643*12,2)</f>
        <v>-6.07</v>
      </c>
      <c r="P643" s="14"/>
      <c r="Q643" s="210" t="str">
        <f>VLOOKUP(D643,'WO Descriptions'!$A$5:$D$345,4)</f>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
    </row>
    <row r="644" spans="1:19" outlineLevel="1">
      <c r="A644" s="3" t="s">
        <v>1989</v>
      </c>
      <c r="B644" s="223"/>
      <c r="C644" s="250"/>
      <c r="D644" s="254" t="s">
        <v>1989</v>
      </c>
      <c r="E644" s="223"/>
      <c r="F644" s="250"/>
      <c r="G644" s="223"/>
      <c r="H644" s="250"/>
      <c r="I644" s="250"/>
      <c r="J644" s="250"/>
      <c r="K644" s="251">
        <f>SUBTOTAL(9,K643:K643)</f>
        <v>-212.27</v>
      </c>
      <c r="L644" s="252"/>
      <c r="M644" s="253"/>
      <c r="N644" s="251">
        <f>SUBTOTAL(9,N643:N643)</f>
        <v>-4.55</v>
      </c>
      <c r="O644" s="251">
        <f>SUBTOTAL(9,O643:O643)</f>
        <v>-6.07</v>
      </c>
      <c r="P644" s="223"/>
      <c r="Q644" s="210"/>
      <c r="R644" s="263" t="s">
        <v>2097</v>
      </c>
      <c r="S644" s="263" t="s">
        <v>2099</v>
      </c>
    </row>
    <row r="645" spans="1:19" ht="75" outlineLevel="2">
      <c r="A645" s="3" t="s">
        <v>775</v>
      </c>
      <c r="B645" s="14" t="s">
        <v>238</v>
      </c>
      <c r="C645" s="15" t="s">
        <v>774</v>
      </c>
      <c r="D645" s="15" t="s">
        <v>775</v>
      </c>
      <c r="E645" s="14" t="s">
        <v>776</v>
      </c>
      <c r="F645" s="15" t="s">
        <v>168</v>
      </c>
      <c r="G645" s="14" t="s">
        <v>169</v>
      </c>
      <c r="H645" s="15" t="s">
        <v>23</v>
      </c>
      <c r="I645" s="15" t="s">
        <v>1528</v>
      </c>
      <c r="J645" s="15">
        <v>201409</v>
      </c>
      <c r="K645" s="16">
        <v>12.14</v>
      </c>
      <c r="L645" s="171">
        <f>VLOOKUP(J645,$U$9:$V$23,2)</f>
        <v>9</v>
      </c>
      <c r="M645" s="17">
        <v>2.3833299999999999E-3</v>
      </c>
      <c r="N645" s="16">
        <f>ROUND(K645*L645*M645,2)</f>
        <v>0.26</v>
      </c>
      <c r="O645" s="16">
        <f>ROUND(K645*M645*12,2)</f>
        <v>0.35</v>
      </c>
      <c r="P645" s="14"/>
      <c r="Q645" s="210" t="str">
        <f>VLOOKUP(D645,'WO Descriptions'!$A$5:$D$345,4)</f>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
    </row>
    <row r="646" spans="1:19" outlineLevel="1">
      <c r="A646" s="3" t="s">
        <v>1990</v>
      </c>
      <c r="B646" s="223"/>
      <c r="C646" s="250"/>
      <c r="D646" s="254" t="s">
        <v>1990</v>
      </c>
      <c r="E646" s="223"/>
      <c r="F646" s="250"/>
      <c r="G646" s="223"/>
      <c r="H646" s="250"/>
      <c r="I646" s="250"/>
      <c r="J646" s="250"/>
      <c r="K646" s="251">
        <f>SUBTOTAL(9,K645:K645)</f>
        <v>12.14</v>
      </c>
      <c r="L646" s="252"/>
      <c r="M646" s="253"/>
      <c r="N646" s="251">
        <f>SUBTOTAL(9,N645:N645)</f>
        <v>0.26</v>
      </c>
      <c r="O646" s="251">
        <f>SUBTOTAL(9,O645:O645)</f>
        <v>0.35</v>
      </c>
      <c r="P646" s="223"/>
      <c r="Q646" s="210"/>
      <c r="R646" s="263" t="s">
        <v>2097</v>
      </c>
      <c r="S646" s="263" t="s">
        <v>2099</v>
      </c>
    </row>
    <row r="647" spans="1:19" ht="120" outlineLevel="2">
      <c r="A647" s="3" t="s">
        <v>778</v>
      </c>
      <c r="B647" s="14" t="s">
        <v>17</v>
      </c>
      <c r="C647" s="15" t="s">
        <v>777</v>
      </c>
      <c r="D647" s="15" t="s">
        <v>778</v>
      </c>
      <c r="E647" s="14" t="s">
        <v>779</v>
      </c>
      <c r="F647" s="15" t="s">
        <v>62</v>
      </c>
      <c r="G647" s="14" t="s">
        <v>22</v>
      </c>
      <c r="H647" s="15" t="s">
        <v>23</v>
      </c>
      <c r="I647" s="15" t="s">
        <v>1525</v>
      </c>
      <c r="J647" s="15">
        <v>201409</v>
      </c>
      <c r="K647" s="16">
        <v>-66.150000000000006</v>
      </c>
      <c r="L647" s="171">
        <f>VLOOKUP(J647,$U$9:$V$23,2)</f>
        <v>9</v>
      </c>
      <c r="M647" s="17">
        <v>1.4833299999999999E-3</v>
      </c>
      <c r="N647" s="16">
        <f>ROUND(K647*L647*M647,2)</f>
        <v>-0.88</v>
      </c>
      <c r="O647" s="16">
        <f>ROUND(K647*M647*12,2)</f>
        <v>-1.18</v>
      </c>
      <c r="P647" s="14"/>
      <c r="Q647" s="210" t="str">
        <f>VLOOKUP(D647,'WO Descriptions'!$A$5:$D$345,4)</f>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
    </row>
    <row r="648" spans="1:19" outlineLevel="1">
      <c r="A648" s="3" t="s">
        <v>1991</v>
      </c>
      <c r="B648" s="223"/>
      <c r="C648" s="250"/>
      <c r="D648" s="254" t="s">
        <v>1991</v>
      </c>
      <c r="E648" s="223"/>
      <c r="F648" s="250"/>
      <c r="G648" s="223"/>
      <c r="H648" s="250"/>
      <c r="I648" s="250"/>
      <c r="J648" s="250"/>
      <c r="K648" s="251">
        <f>SUBTOTAL(9,K647:K647)</f>
        <v>-66.150000000000006</v>
      </c>
      <c r="L648" s="252"/>
      <c r="M648" s="253"/>
      <c r="N648" s="251">
        <f>SUBTOTAL(9,N647:N647)</f>
        <v>-0.88</v>
      </c>
      <c r="O648" s="251">
        <f>SUBTOTAL(9,O647:O647)</f>
        <v>-1.18</v>
      </c>
      <c r="P648" s="223"/>
      <c r="Q648" s="210"/>
      <c r="R648" s="263" t="s">
        <v>2097</v>
      </c>
      <c r="S648" s="263" t="s">
        <v>2098</v>
      </c>
    </row>
    <row r="649" spans="1:19" ht="90" outlineLevel="2">
      <c r="A649" s="3" t="s">
        <v>781</v>
      </c>
      <c r="B649" s="14" t="s">
        <v>17</v>
      </c>
      <c r="C649" s="15" t="s">
        <v>780</v>
      </c>
      <c r="D649" s="15" t="s">
        <v>781</v>
      </c>
      <c r="E649" s="14" t="s">
        <v>782</v>
      </c>
      <c r="F649" s="15" t="s">
        <v>141</v>
      </c>
      <c r="G649" s="14" t="s">
        <v>142</v>
      </c>
      <c r="H649" s="15" t="s">
        <v>23</v>
      </c>
      <c r="I649" s="15" t="s">
        <v>1525</v>
      </c>
      <c r="J649" s="15">
        <v>201409</v>
      </c>
      <c r="K649" s="16">
        <v>-1734.87</v>
      </c>
      <c r="L649" s="171">
        <f>VLOOKUP(J649,$U$9:$V$23,2)</f>
        <v>9</v>
      </c>
      <c r="M649" s="17">
        <v>1.4833299999999999E-3</v>
      </c>
      <c r="N649" s="16">
        <f>ROUND(K649*L649*M649,2)</f>
        <v>-23.16</v>
      </c>
      <c r="O649" s="16">
        <f>ROUND(K649*M649*12,2)</f>
        <v>-30.88</v>
      </c>
      <c r="P649" s="14"/>
      <c r="Q649" s="210" t="str">
        <f>VLOOKUP(D649,'WO Descriptions'!$A$5:$D$345,4)</f>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
    </row>
    <row r="650" spans="1:19" outlineLevel="1">
      <c r="A650" s="3" t="s">
        <v>1992</v>
      </c>
      <c r="B650" s="223"/>
      <c r="C650" s="250"/>
      <c r="D650" s="254" t="s">
        <v>1992</v>
      </c>
      <c r="E650" s="223"/>
      <c r="F650" s="250"/>
      <c r="G650" s="223"/>
      <c r="H650" s="250"/>
      <c r="I650" s="250"/>
      <c r="J650" s="250"/>
      <c r="K650" s="251">
        <f>SUBTOTAL(9,K649:K649)</f>
        <v>-1734.87</v>
      </c>
      <c r="L650" s="252"/>
      <c r="M650" s="253"/>
      <c r="N650" s="251">
        <f>SUBTOTAL(9,N649:N649)</f>
        <v>-23.16</v>
      </c>
      <c r="O650" s="251">
        <f>SUBTOTAL(9,O649:O649)</f>
        <v>-30.88</v>
      </c>
      <c r="P650" s="223"/>
      <c r="Q650" s="210"/>
      <c r="R650" s="263" t="s">
        <v>2097</v>
      </c>
      <c r="S650" s="263" t="s">
        <v>2100</v>
      </c>
    </row>
    <row r="651" spans="1:19" ht="165" outlineLevel="2">
      <c r="A651" s="3" t="s">
        <v>784</v>
      </c>
      <c r="B651" s="14" t="s">
        <v>17</v>
      </c>
      <c r="C651" s="15" t="s">
        <v>783</v>
      </c>
      <c r="D651" s="15" t="s">
        <v>784</v>
      </c>
      <c r="E651" s="14" t="s">
        <v>785</v>
      </c>
      <c r="F651" s="15" t="s">
        <v>141</v>
      </c>
      <c r="G651" s="14" t="s">
        <v>142</v>
      </c>
      <c r="H651" s="15" t="s">
        <v>23</v>
      </c>
      <c r="I651" s="15" t="s">
        <v>1525</v>
      </c>
      <c r="J651" s="15">
        <v>201409</v>
      </c>
      <c r="K651" s="16">
        <v>-2330.69</v>
      </c>
      <c r="L651" s="171">
        <f>VLOOKUP(J651,$U$9:$V$23,2)</f>
        <v>9</v>
      </c>
      <c r="M651" s="17">
        <v>1.4833299999999999E-3</v>
      </c>
      <c r="N651" s="16">
        <f>ROUND(K651*L651*M651,2)</f>
        <v>-31.11</v>
      </c>
      <c r="O651" s="16">
        <f>ROUND(K651*M651*12,2)</f>
        <v>-41.49</v>
      </c>
      <c r="P651" s="14"/>
      <c r="Q651" s="210" t="str">
        <f>VLOOKUP(D651,'WO Descriptions'!$A$5:$D$345,4)</f>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
    </row>
    <row r="652" spans="1:19" outlineLevel="1">
      <c r="A652" s="3" t="s">
        <v>1993</v>
      </c>
      <c r="B652" s="223"/>
      <c r="C652" s="250"/>
      <c r="D652" s="254" t="s">
        <v>1993</v>
      </c>
      <c r="E652" s="223"/>
      <c r="F652" s="250"/>
      <c r="G652" s="223"/>
      <c r="H652" s="250"/>
      <c r="I652" s="250"/>
      <c r="J652" s="250"/>
      <c r="K652" s="251">
        <f>SUBTOTAL(9,K651:K651)</f>
        <v>-2330.69</v>
      </c>
      <c r="L652" s="252"/>
      <c r="M652" s="253"/>
      <c r="N652" s="251">
        <f>SUBTOTAL(9,N651:N651)</f>
        <v>-31.11</v>
      </c>
      <c r="O652" s="251">
        <f>SUBTOTAL(9,O651:O651)</f>
        <v>-41.49</v>
      </c>
      <c r="P652" s="223"/>
      <c r="Q652" s="210"/>
      <c r="R652" s="263" t="s">
        <v>2097</v>
      </c>
      <c r="S652" s="263" t="s">
        <v>2100</v>
      </c>
    </row>
    <row r="653" spans="1:19" ht="165" outlineLevel="2">
      <c r="A653" s="3" t="s">
        <v>787</v>
      </c>
      <c r="B653" s="14" t="s">
        <v>17</v>
      </c>
      <c r="C653" s="15" t="s">
        <v>786</v>
      </c>
      <c r="D653" s="15" t="s">
        <v>787</v>
      </c>
      <c r="E653" s="14" t="s">
        <v>788</v>
      </c>
      <c r="F653" s="15" t="s">
        <v>246</v>
      </c>
      <c r="G653" s="14" t="s">
        <v>247</v>
      </c>
      <c r="H653" s="15" t="s">
        <v>23</v>
      </c>
      <c r="I653" s="15" t="s">
        <v>1525</v>
      </c>
      <c r="J653" s="15">
        <v>201409</v>
      </c>
      <c r="K653" s="16">
        <v>-15326.11</v>
      </c>
      <c r="L653" s="171">
        <f>VLOOKUP(J653,$U$9:$V$23,2)</f>
        <v>9</v>
      </c>
      <c r="M653" s="17">
        <v>1.4833299999999999E-3</v>
      </c>
      <c r="N653" s="16">
        <f>ROUND(K653*L653*M653,2)</f>
        <v>-204.6</v>
      </c>
      <c r="O653" s="16">
        <f>ROUND(K653*M653*12,2)</f>
        <v>-272.8</v>
      </c>
      <c r="P653" s="14"/>
      <c r="Q653" s="210" t="str">
        <f>VLOOKUP(D653,'WO Descriptions'!$A$5:$D$345,4)</f>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
    </row>
    <row r="654" spans="1:19" outlineLevel="1">
      <c r="A654" s="3" t="s">
        <v>1994</v>
      </c>
      <c r="B654" s="223"/>
      <c r="C654" s="250"/>
      <c r="D654" s="254" t="s">
        <v>1994</v>
      </c>
      <c r="E654" s="223"/>
      <c r="F654" s="250"/>
      <c r="G654" s="223"/>
      <c r="H654" s="250"/>
      <c r="I654" s="250"/>
      <c r="J654" s="250"/>
      <c r="K654" s="251">
        <f>SUBTOTAL(9,K653:K653)</f>
        <v>-15326.11</v>
      </c>
      <c r="L654" s="252"/>
      <c r="M654" s="253"/>
      <c r="N654" s="251">
        <f>SUBTOTAL(9,N653:N653)</f>
        <v>-204.6</v>
      </c>
      <c r="O654" s="251">
        <f>SUBTOTAL(9,O653:O653)</f>
        <v>-272.8</v>
      </c>
      <c r="P654" s="223"/>
      <c r="Q654" s="210"/>
      <c r="R654" s="263" t="s">
        <v>2097</v>
      </c>
      <c r="S654" s="263" t="s">
        <v>2101</v>
      </c>
    </row>
    <row r="655" spans="1:19" ht="120" outlineLevel="2">
      <c r="A655" s="3" t="s">
        <v>1037</v>
      </c>
      <c r="B655" s="14" t="s">
        <v>17</v>
      </c>
      <c r="C655" s="15" t="s">
        <v>1036</v>
      </c>
      <c r="D655" s="15" t="s">
        <v>1037</v>
      </c>
      <c r="E655" s="14" t="s">
        <v>1038</v>
      </c>
      <c r="F655" s="15" t="s">
        <v>40</v>
      </c>
      <c r="G655" s="14" t="s">
        <v>41</v>
      </c>
      <c r="H655" s="15" t="s">
        <v>23</v>
      </c>
      <c r="I655" s="15" t="s">
        <v>1526</v>
      </c>
      <c r="J655" s="15">
        <v>201412</v>
      </c>
      <c r="K655" s="16">
        <v>423003.39</v>
      </c>
      <c r="L655" s="171">
        <f>VLOOKUP(J655,$U$9:$V$23,2)</f>
        <v>6</v>
      </c>
      <c r="M655" s="17">
        <v>1.4833299999999999E-3</v>
      </c>
      <c r="N655" s="16">
        <f>ROUND(K655*L655*M655,2)</f>
        <v>3764.72</v>
      </c>
      <c r="O655" s="16">
        <f>ROUND(K655*M655*12,2)</f>
        <v>7529.44</v>
      </c>
      <c r="P655" s="14"/>
      <c r="Q655" s="210" t="str">
        <f>VLOOKUP(D655,'WO Descriptions'!$A$5:$D$345,4)</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row>
    <row r="656" spans="1:19" outlineLevel="1">
      <c r="A656" s="3" t="s">
        <v>1995</v>
      </c>
      <c r="B656" s="223"/>
      <c r="C656" s="250"/>
      <c r="D656" s="254" t="s">
        <v>1995</v>
      </c>
      <c r="E656" s="223"/>
      <c r="F656" s="250"/>
      <c r="G656" s="223"/>
      <c r="H656" s="250"/>
      <c r="I656" s="250"/>
      <c r="J656" s="250"/>
      <c r="K656" s="251">
        <f>SUBTOTAL(9,K655:K655)</f>
        <v>423003.39</v>
      </c>
      <c r="L656" s="252"/>
      <c r="M656" s="253"/>
      <c r="N656" s="251">
        <f>SUBTOTAL(9,N655:N655)</f>
        <v>3764.72</v>
      </c>
      <c r="O656" s="251">
        <f>SUBTOTAL(9,O655:O655)</f>
        <v>7529.44</v>
      </c>
      <c r="P656" s="223"/>
      <c r="Q656" s="210"/>
      <c r="R656" s="263" t="s">
        <v>2096</v>
      </c>
    </row>
    <row r="657" spans="1:19" ht="120" outlineLevel="2">
      <c r="A657" s="3" t="s">
        <v>790</v>
      </c>
      <c r="B657" s="14" t="s">
        <v>17</v>
      </c>
      <c r="C657" s="15" t="s">
        <v>789</v>
      </c>
      <c r="D657" s="15" t="s">
        <v>790</v>
      </c>
      <c r="E657" s="14" t="s">
        <v>791</v>
      </c>
      <c r="F657" s="15" t="s">
        <v>246</v>
      </c>
      <c r="G657" s="14" t="s">
        <v>247</v>
      </c>
      <c r="H657" s="15" t="s">
        <v>23</v>
      </c>
      <c r="I657" s="15" t="s">
        <v>1525</v>
      </c>
      <c r="J657" s="15">
        <v>201409</v>
      </c>
      <c r="K657" s="16">
        <v>-1896.12</v>
      </c>
      <c r="L657" s="171">
        <f>VLOOKUP(J657,$U$9:$V$23,2)</f>
        <v>9</v>
      </c>
      <c r="M657" s="17">
        <v>1.4833299999999999E-3</v>
      </c>
      <c r="N657" s="16">
        <f>ROUND(K657*L657*M657,2)</f>
        <v>-25.31</v>
      </c>
      <c r="O657" s="16">
        <f>ROUND(K657*M657*12,2)</f>
        <v>-33.75</v>
      </c>
      <c r="P657" s="14"/>
      <c r="Q657" s="210" t="str">
        <f>VLOOKUP(D657,'WO Descriptions'!$A$5:$D$345,4)</f>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
    </row>
    <row r="658" spans="1:19" outlineLevel="1">
      <c r="A658" s="3" t="s">
        <v>1996</v>
      </c>
      <c r="B658" s="223"/>
      <c r="C658" s="250"/>
      <c r="D658" s="254" t="s">
        <v>1996</v>
      </c>
      <c r="E658" s="223"/>
      <c r="F658" s="250"/>
      <c r="G658" s="223"/>
      <c r="H658" s="250"/>
      <c r="I658" s="250"/>
      <c r="J658" s="250"/>
      <c r="K658" s="251">
        <f>SUBTOTAL(9,K657:K657)</f>
        <v>-1896.12</v>
      </c>
      <c r="L658" s="252"/>
      <c r="M658" s="253"/>
      <c r="N658" s="251">
        <f>SUBTOTAL(9,N657:N657)</f>
        <v>-25.31</v>
      </c>
      <c r="O658" s="251">
        <f>SUBTOTAL(9,O657:O657)</f>
        <v>-33.75</v>
      </c>
      <c r="P658" s="223"/>
      <c r="Q658" s="210"/>
      <c r="R658" s="263" t="s">
        <v>2097</v>
      </c>
      <c r="S658" s="263" t="s">
        <v>2101</v>
      </c>
    </row>
    <row r="659" spans="1:19" ht="60" outlineLevel="2">
      <c r="A659" s="3" t="s">
        <v>793</v>
      </c>
      <c r="B659" s="14" t="s">
        <v>54</v>
      </c>
      <c r="C659" s="15" t="s">
        <v>792</v>
      </c>
      <c r="D659" s="15" t="s">
        <v>793</v>
      </c>
      <c r="E659" s="14" t="s">
        <v>794</v>
      </c>
      <c r="F659" s="15" t="s">
        <v>58</v>
      </c>
      <c r="G659" s="14" t="s">
        <v>22</v>
      </c>
      <c r="H659" s="15" t="s">
        <v>23</v>
      </c>
      <c r="I659" s="15" t="s">
        <v>1525</v>
      </c>
      <c r="J659" s="15">
        <v>201409</v>
      </c>
      <c r="K659" s="16">
        <v>-672.99</v>
      </c>
      <c r="L659" s="171">
        <f>VLOOKUP(J659,$U$9:$V$23,2)</f>
        <v>9</v>
      </c>
      <c r="M659" s="17">
        <v>1.4833299999999999E-3</v>
      </c>
      <c r="N659" s="16">
        <f>ROUND(K659*L659*M659,2)</f>
        <v>-8.98</v>
      </c>
      <c r="O659" s="16">
        <f>ROUND(K659*M659*12,2)</f>
        <v>-11.98</v>
      </c>
      <c r="P659" s="14"/>
      <c r="Q659" s="210" t="str">
        <f>VLOOKUP(D659,'WO Descriptions'!$A$5:$D$345,4)</f>
        <v>Approved by: Galen Shoemaker on 12/03/2013,  Replace 588' 2" PBS &amp; 15' 2" PE with 645' of 2" PE due to leakage issues.  Project location: Florida Ave between Yuma St. &amp; Windsor St.  Pressure System: C-100.  MOP: 30 PSIG.  MAOP: 30 PSIG.  Design: 58 PSIG.  Test: 100 PSIG.  Price Per Foot: $38.35.</v>
      </c>
    </row>
    <row r="660" spans="1:19" outlineLevel="1">
      <c r="A660" s="3" t="s">
        <v>1997</v>
      </c>
      <c r="B660" s="223"/>
      <c r="C660" s="250"/>
      <c r="D660" s="254" t="s">
        <v>1997</v>
      </c>
      <c r="E660" s="223"/>
      <c r="F660" s="250"/>
      <c r="G660" s="223"/>
      <c r="H660" s="250"/>
      <c r="I660" s="250"/>
      <c r="J660" s="250"/>
      <c r="K660" s="251">
        <f>SUBTOTAL(9,K659:K659)</f>
        <v>-672.99</v>
      </c>
      <c r="L660" s="252"/>
      <c r="M660" s="253"/>
      <c r="N660" s="251">
        <f>SUBTOTAL(9,N659:N659)</f>
        <v>-8.98</v>
      </c>
      <c r="O660" s="251">
        <f>SUBTOTAL(9,O659:O659)</f>
        <v>-11.98</v>
      </c>
      <c r="P660" s="223"/>
      <c r="Q660" s="210"/>
      <c r="R660" s="263" t="s">
        <v>2097</v>
      </c>
      <c r="S660" s="263" t="s">
        <v>2098</v>
      </c>
    </row>
    <row r="661" spans="1:19" ht="90" outlineLevel="2">
      <c r="A661" s="3" t="s">
        <v>1040</v>
      </c>
      <c r="B661" s="14" t="s">
        <v>17</v>
      </c>
      <c r="C661" s="15" t="s">
        <v>1039</v>
      </c>
      <c r="D661" s="15" t="s">
        <v>1040</v>
      </c>
      <c r="E661" s="14" t="s">
        <v>1041</v>
      </c>
      <c r="F661" s="15" t="s">
        <v>40</v>
      </c>
      <c r="G661" s="14" t="s">
        <v>41</v>
      </c>
      <c r="H661" s="15" t="s">
        <v>23</v>
      </c>
      <c r="I661" s="15" t="s">
        <v>1526</v>
      </c>
      <c r="J661" s="15">
        <v>201412</v>
      </c>
      <c r="K661" s="16">
        <v>4268934.05</v>
      </c>
      <c r="L661" s="171">
        <f>VLOOKUP(J661,$U$9:$V$23,2)</f>
        <v>6</v>
      </c>
      <c r="M661" s="17">
        <v>1.4833299999999999E-3</v>
      </c>
      <c r="N661" s="16">
        <f>ROUND(K661*L661*M661,2)</f>
        <v>37993.43</v>
      </c>
      <c r="O661" s="16">
        <f>ROUND(K661*M661*12,2)</f>
        <v>75986.86</v>
      </c>
      <c r="P661" s="14"/>
      <c r="Q661" s="210" t="str">
        <f>VLOOKUP(D661,'WO Descriptions'!$A$5:$D$345,4)</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row>
    <row r="662" spans="1:19" outlineLevel="1">
      <c r="A662" s="3" t="s">
        <v>1998</v>
      </c>
      <c r="B662" s="223"/>
      <c r="C662" s="250"/>
      <c r="D662" s="254" t="s">
        <v>1998</v>
      </c>
      <c r="E662" s="223"/>
      <c r="F662" s="250"/>
      <c r="G662" s="223"/>
      <c r="H662" s="250"/>
      <c r="I662" s="250"/>
      <c r="J662" s="250"/>
      <c r="K662" s="251">
        <f>SUBTOTAL(9,K661:K661)</f>
        <v>4268934.05</v>
      </c>
      <c r="L662" s="252"/>
      <c r="M662" s="253"/>
      <c r="N662" s="251">
        <f>SUBTOTAL(9,N661:N661)</f>
        <v>37993.43</v>
      </c>
      <c r="O662" s="251">
        <f>SUBTOTAL(9,O661:O661)</f>
        <v>75986.86</v>
      </c>
      <c r="P662" s="223"/>
      <c r="Q662" s="210"/>
      <c r="R662" s="263" t="s">
        <v>2096</v>
      </c>
    </row>
    <row r="663" spans="1:19" ht="90" outlineLevel="2">
      <c r="A663" s="3" t="s">
        <v>796</v>
      </c>
      <c r="B663" s="14" t="s">
        <v>17</v>
      </c>
      <c r="C663" s="15" t="s">
        <v>795</v>
      </c>
      <c r="D663" s="15" t="s">
        <v>796</v>
      </c>
      <c r="E663" s="14" t="s">
        <v>797</v>
      </c>
      <c r="F663" s="15" t="s">
        <v>176</v>
      </c>
      <c r="G663" s="14" t="s">
        <v>28</v>
      </c>
      <c r="H663" s="15" t="s">
        <v>23</v>
      </c>
      <c r="I663" s="15" t="s">
        <v>1525</v>
      </c>
      <c r="J663" s="15">
        <v>201409</v>
      </c>
      <c r="K663" s="16">
        <v>-155.05000000000001</v>
      </c>
      <c r="L663" s="171">
        <f>VLOOKUP(J663,$U$9:$V$23,2)</f>
        <v>9</v>
      </c>
      <c r="M663" s="17">
        <v>1.4833299999999999E-3</v>
      </c>
      <c r="N663" s="16">
        <f>ROUND(K663*L663*M663,2)</f>
        <v>-2.0699999999999998</v>
      </c>
      <c r="O663" s="16">
        <f>ROUND(K663*M663*12,2)</f>
        <v>-2.76</v>
      </c>
      <c r="P663" s="14"/>
      <c r="Q663" s="210" t="str">
        <f>VLOOKUP(D663,'WO Descriptions'!$A$5:$D$345,4)</f>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
    </row>
    <row r="664" spans="1:19" outlineLevel="1">
      <c r="A664" s="3" t="s">
        <v>1999</v>
      </c>
      <c r="B664" s="223"/>
      <c r="C664" s="250"/>
      <c r="D664" s="254" t="s">
        <v>1999</v>
      </c>
      <c r="E664" s="223"/>
      <c r="F664" s="250"/>
      <c r="G664" s="223"/>
      <c r="H664" s="250"/>
      <c r="I664" s="250"/>
      <c r="J664" s="250"/>
      <c r="K664" s="251">
        <f>SUBTOTAL(9,K663:K663)</f>
        <v>-155.05000000000001</v>
      </c>
      <c r="L664" s="252"/>
      <c r="M664" s="253"/>
      <c r="N664" s="251">
        <f>SUBTOTAL(9,N663:N663)</f>
        <v>-2.0699999999999998</v>
      </c>
      <c r="O664" s="251">
        <f>SUBTOTAL(9,O663:O663)</f>
        <v>-2.76</v>
      </c>
      <c r="P664" s="223"/>
      <c r="Q664" s="210"/>
      <c r="R664" s="263" t="s">
        <v>2097</v>
      </c>
      <c r="S664" s="263" t="s">
        <v>2099</v>
      </c>
    </row>
    <row r="665" spans="1:19" ht="75" outlineLevel="2">
      <c r="A665" s="3" t="s">
        <v>799</v>
      </c>
      <c r="B665" s="14" t="s">
        <v>17</v>
      </c>
      <c r="C665" s="15" t="s">
        <v>798</v>
      </c>
      <c r="D665" s="15" t="s">
        <v>799</v>
      </c>
      <c r="E665" s="14" t="s">
        <v>800</v>
      </c>
      <c r="F665" s="15" t="s">
        <v>62</v>
      </c>
      <c r="G665" s="14" t="s">
        <v>22</v>
      </c>
      <c r="H665" s="15" t="s">
        <v>23</v>
      </c>
      <c r="I665" s="15" t="s">
        <v>1525</v>
      </c>
      <c r="J665" s="15">
        <v>201409</v>
      </c>
      <c r="K665" s="16">
        <v>-228.89</v>
      </c>
      <c r="L665" s="171">
        <f>VLOOKUP(J665,$U$9:$V$23,2)</f>
        <v>9</v>
      </c>
      <c r="M665" s="17">
        <v>1.4833299999999999E-3</v>
      </c>
      <c r="N665" s="16">
        <f>ROUND(K665*L665*M665,2)</f>
        <v>-3.06</v>
      </c>
      <c r="O665" s="16">
        <f>ROUND(K665*M665*12,2)</f>
        <v>-4.07</v>
      </c>
      <c r="P665" s="14"/>
      <c r="Q665" s="210" t="str">
        <f>VLOOKUP(D665,'WO Descriptions'!$A$5:$D$345,4)</f>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
    </row>
    <row r="666" spans="1:19" outlineLevel="1">
      <c r="A666" s="3" t="s">
        <v>2000</v>
      </c>
      <c r="B666" s="223"/>
      <c r="C666" s="250"/>
      <c r="D666" s="254" t="s">
        <v>2000</v>
      </c>
      <c r="E666" s="223"/>
      <c r="F666" s="250"/>
      <c r="G666" s="223"/>
      <c r="H666" s="250"/>
      <c r="I666" s="250"/>
      <c r="J666" s="250"/>
      <c r="K666" s="251">
        <f>SUBTOTAL(9,K665:K665)</f>
        <v>-228.89</v>
      </c>
      <c r="L666" s="252"/>
      <c r="M666" s="253"/>
      <c r="N666" s="251">
        <f>SUBTOTAL(9,N665:N665)</f>
        <v>-3.06</v>
      </c>
      <c r="O666" s="251">
        <f>SUBTOTAL(9,O665:O665)</f>
        <v>-4.07</v>
      </c>
      <c r="P666" s="223"/>
      <c r="Q666" s="210"/>
      <c r="R666" s="263" t="s">
        <v>2097</v>
      </c>
      <c r="S666" s="263" t="s">
        <v>2098</v>
      </c>
    </row>
    <row r="667" spans="1:19" ht="30" outlineLevel="2">
      <c r="A667" s="3" t="s">
        <v>802</v>
      </c>
      <c r="B667" s="14" t="s">
        <v>17</v>
      </c>
      <c r="C667" s="15" t="s">
        <v>801</v>
      </c>
      <c r="D667" s="15" t="s">
        <v>802</v>
      </c>
      <c r="E667" s="14" t="s">
        <v>803</v>
      </c>
      <c r="F667" s="15" t="s">
        <v>440</v>
      </c>
      <c r="G667" s="14" t="s">
        <v>28</v>
      </c>
      <c r="H667" s="15" t="s">
        <v>23</v>
      </c>
      <c r="I667" s="15" t="s">
        <v>1525</v>
      </c>
      <c r="J667" s="15">
        <v>201409</v>
      </c>
      <c r="K667" s="16">
        <v>-553.08000000000004</v>
      </c>
      <c r="L667" s="171">
        <f>VLOOKUP(J667,$U$9:$V$23,2)</f>
        <v>9</v>
      </c>
      <c r="M667" s="17">
        <v>1.4833299999999999E-3</v>
      </c>
      <c r="N667" s="16">
        <f>ROUND(K667*L667*M667,2)</f>
        <v>-7.38</v>
      </c>
      <c r="O667" s="16">
        <f>ROUND(K667*M667*12,2)</f>
        <v>-9.84</v>
      </c>
      <c r="P667" s="14"/>
      <c r="Q667" s="210" t="str">
        <f>VLOOKUP(D667,'WO Descriptions'!$A$5:$D$345,4)</f>
        <v>Approved by: Gary Williams on 10/31/2013,  5/5/3 Replace 1235' of 2'' PCS main with 1235' of 2" PE main due to leaks and pipe condition. Original WO# 75-2872.</v>
      </c>
    </row>
    <row r="668" spans="1:19" outlineLevel="1">
      <c r="A668" s="3" t="s">
        <v>2001</v>
      </c>
      <c r="B668" s="223"/>
      <c r="C668" s="250"/>
      <c r="D668" s="254" t="s">
        <v>2001</v>
      </c>
      <c r="E668" s="223"/>
      <c r="F668" s="250"/>
      <c r="G668" s="223"/>
      <c r="H668" s="250"/>
      <c r="I668" s="250"/>
      <c r="J668" s="250"/>
      <c r="K668" s="251">
        <f>SUBTOTAL(9,K667:K667)</f>
        <v>-553.08000000000004</v>
      </c>
      <c r="L668" s="252"/>
      <c r="M668" s="253"/>
      <c r="N668" s="251">
        <f>SUBTOTAL(9,N667:N667)</f>
        <v>-7.38</v>
      </c>
      <c r="O668" s="251">
        <f>SUBTOTAL(9,O667:O667)</f>
        <v>-9.84</v>
      </c>
      <c r="P668" s="223"/>
      <c r="Q668" s="210"/>
      <c r="R668" s="263" t="s">
        <v>2097</v>
      </c>
      <c r="S668" s="263" t="s">
        <v>2099</v>
      </c>
    </row>
    <row r="669" spans="1:19" ht="60" outlineLevel="2">
      <c r="A669" s="3" t="s">
        <v>805</v>
      </c>
      <c r="B669" s="14" t="s">
        <v>17</v>
      </c>
      <c r="C669" s="15" t="s">
        <v>804</v>
      </c>
      <c r="D669" s="15" t="s">
        <v>805</v>
      </c>
      <c r="E669" s="14" t="s">
        <v>806</v>
      </c>
      <c r="F669" s="15" t="s">
        <v>141</v>
      </c>
      <c r="G669" s="14" t="s">
        <v>142</v>
      </c>
      <c r="H669" s="15" t="s">
        <v>23</v>
      </c>
      <c r="I669" s="15" t="s">
        <v>1525</v>
      </c>
      <c r="J669" s="15">
        <v>201409</v>
      </c>
      <c r="K669" s="16">
        <v>-540.4</v>
      </c>
      <c r="L669" s="171">
        <f>VLOOKUP(J669,$U$9:$V$23,2)</f>
        <v>9</v>
      </c>
      <c r="M669" s="17">
        <v>1.4833299999999999E-3</v>
      </c>
      <c r="N669" s="16">
        <f>ROUND(K669*L669*M669,2)</f>
        <v>-7.21</v>
      </c>
      <c r="O669" s="16">
        <f>ROUND(K669*M669*12,2)</f>
        <v>-9.6199999999999992</v>
      </c>
      <c r="P669" s="14"/>
      <c r="Q669" s="210" t="str">
        <f>VLOOKUP(D669,'WO Descriptions'!$A$5:$D$345,4)</f>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
    </row>
    <row r="670" spans="1:19" outlineLevel="1">
      <c r="A670" s="3" t="s">
        <v>2002</v>
      </c>
      <c r="B670" s="223"/>
      <c r="C670" s="250"/>
      <c r="D670" s="254" t="s">
        <v>2002</v>
      </c>
      <c r="E670" s="223"/>
      <c r="F670" s="250"/>
      <c r="G670" s="223"/>
      <c r="H670" s="250"/>
      <c r="I670" s="250"/>
      <c r="J670" s="250"/>
      <c r="K670" s="251">
        <f>SUBTOTAL(9,K669:K669)</f>
        <v>-540.4</v>
      </c>
      <c r="L670" s="252"/>
      <c r="M670" s="253"/>
      <c r="N670" s="251">
        <f>SUBTOTAL(9,N669:N669)</f>
        <v>-7.21</v>
      </c>
      <c r="O670" s="251">
        <f>SUBTOTAL(9,O669:O669)</f>
        <v>-9.6199999999999992</v>
      </c>
      <c r="P670" s="223"/>
      <c r="Q670" s="210"/>
      <c r="R670" s="263" t="s">
        <v>2097</v>
      </c>
      <c r="S670" s="263" t="s">
        <v>2100</v>
      </c>
    </row>
    <row r="671" spans="1:19" ht="30" outlineLevel="2">
      <c r="A671" s="3" t="s">
        <v>808</v>
      </c>
      <c r="B671" s="14" t="s">
        <v>17</v>
      </c>
      <c r="C671" s="15" t="s">
        <v>807</v>
      </c>
      <c r="D671" s="15" t="s">
        <v>808</v>
      </c>
      <c r="E671" s="14" t="s">
        <v>809</v>
      </c>
      <c r="F671" s="15" t="s">
        <v>108</v>
      </c>
      <c r="G671" s="14" t="s">
        <v>28</v>
      </c>
      <c r="H671" s="15" t="s">
        <v>23</v>
      </c>
      <c r="I671" s="15" t="s">
        <v>1525</v>
      </c>
      <c r="J671" s="15">
        <v>201409</v>
      </c>
      <c r="K671" s="16">
        <v>27.48</v>
      </c>
      <c r="L671" s="171">
        <f>VLOOKUP(J671,$U$9:$V$23,2)</f>
        <v>9</v>
      </c>
      <c r="M671" s="17">
        <v>1.4833299999999999E-3</v>
      </c>
      <c r="N671" s="16">
        <f>ROUND(K671*L671*M671,2)</f>
        <v>0.37</v>
      </c>
      <c r="O671" s="16">
        <f>ROUND(K671*M671*12,2)</f>
        <v>0.49</v>
      </c>
      <c r="P671" s="14"/>
      <c r="Q671" s="210" t="str">
        <f>VLOOKUP(D671,'WO Descriptions'!$A$5:$D$345,4)</f>
        <v>Approved by: Kevin Driskell on 10/31/2013,  Replace 2in PCS with 15'-2in PE due to hit main.  Work done by MGE crew.</v>
      </c>
    </row>
    <row r="672" spans="1:19" outlineLevel="1">
      <c r="A672" s="3" t="s">
        <v>2003</v>
      </c>
      <c r="B672" s="223"/>
      <c r="C672" s="250"/>
      <c r="D672" s="254" t="s">
        <v>2003</v>
      </c>
      <c r="E672" s="223"/>
      <c r="F672" s="250"/>
      <c r="G672" s="223"/>
      <c r="H672" s="250"/>
      <c r="I672" s="250"/>
      <c r="J672" s="250"/>
      <c r="K672" s="251">
        <f>SUBTOTAL(9,K671:K671)</f>
        <v>27.48</v>
      </c>
      <c r="L672" s="252"/>
      <c r="M672" s="253"/>
      <c r="N672" s="251">
        <f>SUBTOTAL(9,N671:N671)</f>
        <v>0.37</v>
      </c>
      <c r="O672" s="251">
        <f>SUBTOTAL(9,O671:O671)</f>
        <v>0.49</v>
      </c>
      <c r="P672" s="223"/>
      <c r="Q672" s="210"/>
      <c r="R672" s="263" t="s">
        <v>2097</v>
      </c>
      <c r="S672" s="263" t="s">
        <v>2099</v>
      </c>
    </row>
    <row r="673" spans="1:19" ht="90" outlineLevel="2">
      <c r="A673" s="3" t="s">
        <v>811</v>
      </c>
      <c r="B673" s="14" t="s">
        <v>17</v>
      </c>
      <c r="C673" s="15" t="s">
        <v>810</v>
      </c>
      <c r="D673" s="15" t="s">
        <v>811</v>
      </c>
      <c r="E673" s="14" t="s">
        <v>812</v>
      </c>
      <c r="F673" s="15" t="s">
        <v>104</v>
      </c>
      <c r="G673" s="14" t="s">
        <v>41</v>
      </c>
      <c r="H673" s="15" t="s">
        <v>23</v>
      </c>
      <c r="I673" s="15" t="s">
        <v>1526</v>
      </c>
      <c r="J673" s="15">
        <v>201409</v>
      </c>
      <c r="K673" s="16">
        <v>-22637.86</v>
      </c>
      <c r="L673" s="171">
        <f>VLOOKUP(J673,$U$9:$V$23,2)</f>
        <v>9</v>
      </c>
      <c r="M673" s="17">
        <v>1.4833299999999999E-3</v>
      </c>
      <c r="N673" s="16">
        <f>ROUND(K673*L673*M673,2)</f>
        <v>-302.20999999999998</v>
      </c>
      <c r="O673" s="16">
        <f>ROUND(K673*M673*12,2)</f>
        <v>-402.95</v>
      </c>
      <c r="P673" s="14"/>
      <c r="Q673" s="210" t="str">
        <f>VLOOKUP(D673,'WO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674" spans="1:19" ht="90" outlineLevel="2">
      <c r="A674" s="3" t="s">
        <v>811</v>
      </c>
      <c r="B674" s="14" t="s">
        <v>54</v>
      </c>
      <c r="C674" s="15" t="s">
        <v>810</v>
      </c>
      <c r="D674" s="15" t="s">
        <v>811</v>
      </c>
      <c r="E674" s="14" t="s">
        <v>812</v>
      </c>
      <c r="F674" s="15" t="s">
        <v>104</v>
      </c>
      <c r="G674" s="14" t="s">
        <v>41</v>
      </c>
      <c r="H674" s="15" t="s">
        <v>23</v>
      </c>
      <c r="I674" s="15" t="s">
        <v>1526</v>
      </c>
      <c r="J674" s="15">
        <v>201409</v>
      </c>
      <c r="K674" s="16">
        <v>22317.37</v>
      </c>
      <c r="L674" s="171">
        <f>VLOOKUP(J674,$U$9:$V$23,2)</f>
        <v>9</v>
      </c>
      <c r="M674" s="17">
        <v>1.4833299999999999E-3</v>
      </c>
      <c r="N674" s="16">
        <f>ROUND(K674*L674*M674,2)</f>
        <v>297.94</v>
      </c>
      <c r="O674" s="16">
        <f>ROUND(K674*M674*12,2)</f>
        <v>397.25</v>
      </c>
      <c r="P674" s="14"/>
      <c r="Q674" s="210" t="str">
        <f>VLOOKUP(D674,'WO Descriptions'!$A$5:$D$345,4)</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row>
    <row r="675" spans="1:19" outlineLevel="1">
      <c r="A675" s="3" t="s">
        <v>2004</v>
      </c>
      <c r="B675" s="223"/>
      <c r="C675" s="250"/>
      <c r="D675" s="254" t="s">
        <v>2004</v>
      </c>
      <c r="E675" s="223"/>
      <c r="F675" s="250"/>
      <c r="G675" s="223"/>
      <c r="H675" s="250"/>
      <c r="I675" s="250"/>
      <c r="J675" s="250"/>
      <c r="K675" s="251">
        <f>SUBTOTAL(9,K673:K674)</f>
        <v>-320.4900000000016</v>
      </c>
      <c r="L675" s="252"/>
      <c r="M675" s="253"/>
      <c r="N675" s="251">
        <f>SUBTOTAL(9,N673:N674)</f>
        <v>-4.2699999999999818</v>
      </c>
      <c r="O675" s="251">
        <f>SUBTOTAL(9,O673:O674)</f>
        <v>-5.6999999999999886</v>
      </c>
      <c r="P675" s="223"/>
      <c r="Q675" s="210"/>
      <c r="R675" s="263" t="s">
        <v>2096</v>
      </c>
    </row>
    <row r="676" spans="1:19" ht="210" outlineLevel="2">
      <c r="A676" s="3" t="s">
        <v>814</v>
      </c>
      <c r="B676" s="14" t="s">
        <v>54</v>
      </c>
      <c r="C676" s="15" t="s">
        <v>813</v>
      </c>
      <c r="D676" s="15" t="s">
        <v>814</v>
      </c>
      <c r="E676" s="14" t="s">
        <v>815</v>
      </c>
      <c r="F676" s="15" t="s">
        <v>62</v>
      </c>
      <c r="G676" s="14" t="s">
        <v>22</v>
      </c>
      <c r="H676" s="15" t="s">
        <v>23</v>
      </c>
      <c r="I676" s="15" t="s">
        <v>1525</v>
      </c>
      <c r="J676" s="15">
        <v>201411</v>
      </c>
      <c r="K676" s="16">
        <v>611627.82999999996</v>
      </c>
      <c r="L676" s="171">
        <f>VLOOKUP(J676,$U$9:$V$23,2)</f>
        <v>7</v>
      </c>
      <c r="M676" s="17">
        <v>1.4833299999999999E-3</v>
      </c>
      <c r="N676" s="16">
        <f>ROUND(K676*L676*M676,2)</f>
        <v>6350.72</v>
      </c>
      <c r="O676" s="16">
        <f>ROUND(K676*M676*12,2)</f>
        <v>10886.95</v>
      </c>
      <c r="P676" s="14"/>
      <c r="Q676" s="210" t="str">
        <f>VLOOKUP(D676,'WO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77" spans="1:19" ht="210" outlineLevel="2">
      <c r="A677" s="3" t="s">
        <v>814</v>
      </c>
      <c r="B677" s="14" t="s">
        <v>54</v>
      </c>
      <c r="C677" s="15" t="s">
        <v>813</v>
      </c>
      <c r="D677" s="15" t="s">
        <v>814</v>
      </c>
      <c r="E677" s="14" t="s">
        <v>815</v>
      </c>
      <c r="F677" s="15" t="s">
        <v>62</v>
      </c>
      <c r="G677" s="14" t="s">
        <v>22</v>
      </c>
      <c r="H677" s="15" t="s">
        <v>23</v>
      </c>
      <c r="I677" s="15" t="s">
        <v>1525</v>
      </c>
      <c r="J677" s="15">
        <v>201412</v>
      </c>
      <c r="K677" s="16">
        <v>14879.8</v>
      </c>
      <c r="L677" s="171">
        <f>VLOOKUP(J677,$U$9:$V$23,2)</f>
        <v>6</v>
      </c>
      <c r="M677" s="17">
        <v>1.4833299999999999E-3</v>
      </c>
      <c r="N677" s="16">
        <f>ROUND(K677*L677*M677,2)</f>
        <v>132.43</v>
      </c>
      <c r="O677" s="16">
        <f>ROUND(K677*M677*12,2)</f>
        <v>264.86</v>
      </c>
      <c r="P677" s="14"/>
      <c r="Q677" s="210" t="str">
        <f>VLOOKUP(D677,'WO Descriptions'!$A$5:$D$345,4)</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row>
    <row r="678" spans="1:19" outlineLevel="1">
      <c r="A678" s="3" t="s">
        <v>2005</v>
      </c>
      <c r="B678" s="223"/>
      <c r="C678" s="250"/>
      <c r="D678" s="254" t="s">
        <v>2005</v>
      </c>
      <c r="E678" s="223"/>
      <c r="F678" s="250"/>
      <c r="G678" s="223"/>
      <c r="H678" s="250"/>
      <c r="I678" s="250"/>
      <c r="J678" s="250"/>
      <c r="K678" s="251">
        <f>SUBTOTAL(9,K676:K677)</f>
        <v>626507.63</v>
      </c>
      <c r="L678" s="252"/>
      <c r="M678" s="253"/>
      <c r="N678" s="251">
        <f>SUBTOTAL(9,N676:N677)</f>
        <v>6483.1500000000005</v>
      </c>
      <c r="O678" s="251">
        <f>SUBTOTAL(9,O676:O677)</f>
        <v>11151.810000000001</v>
      </c>
      <c r="P678" s="223"/>
      <c r="Q678" s="210"/>
      <c r="R678" s="263" t="s">
        <v>2097</v>
      </c>
      <c r="S678" s="263" t="s">
        <v>2098</v>
      </c>
    </row>
    <row r="679" spans="1:19" ht="75" outlineLevel="2">
      <c r="A679" s="3" t="s">
        <v>817</v>
      </c>
      <c r="B679" s="14" t="s">
        <v>54</v>
      </c>
      <c r="C679" s="15" t="s">
        <v>816</v>
      </c>
      <c r="D679" s="15" t="s">
        <v>817</v>
      </c>
      <c r="E679" s="14" t="s">
        <v>818</v>
      </c>
      <c r="F679" s="15" t="s">
        <v>62</v>
      </c>
      <c r="G679" s="14" t="s">
        <v>22</v>
      </c>
      <c r="H679" s="15" t="s">
        <v>23</v>
      </c>
      <c r="I679" s="15" t="s">
        <v>1525</v>
      </c>
      <c r="J679" s="15">
        <v>201409</v>
      </c>
      <c r="K679" s="16">
        <v>-900.72</v>
      </c>
      <c r="L679" s="171">
        <f>VLOOKUP(J679,$U$9:$V$23,2)</f>
        <v>9</v>
      </c>
      <c r="M679" s="17">
        <v>1.4833299999999999E-3</v>
      </c>
      <c r="N679" s="16">
        <f>ROUND(K679*L679*M679,2)</f>
        <v>-12.02</v>
      </c>
      <c r="O679" s="16">
        <f>ROUND(K679*M679*12,2)</f>
        <v>-16.03</v>
      </c>
      <c r="P679" s="14"/>
      <c r="Q679" s="210" t="str">
        <f>VLOOKUP(D679,'WO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680" spans="1:19" ht="75" outlineLevel="2">
      <c r="A680" s="3" t="s">
        <v>817</v>
      </c>
      <c r="B680" s="14" t="s">
        <v>54</v>
      </c>
      <c r="C680" s="15" t="s">
        <v>816</v>
      </c>
      <c r="D680" s="15" t="s">
        <v>817</v>
      </c>
      <c r="E680" s="14" t="s">
        <v>818</v>
      </c>
      <c r="F680" s="15" t="s">
        <v>62</v>
      </c>
      <c r="G680" s="14" t="s">
        <v>22</v>
      </c>
      <c r="H680" s="15" t="s">
        <v>23</v>
      </c>
      <c r="I680" s="15" t="s">
        <v>1525</v>
      </c>
      <c r="J680" s="15">
        <v>201410</v>
      </c>
      <c r="K680" s="16">
        <v>-119.09</v>
      </c>
      <c r="L680" s="171">
        <f>VLOOKUP(J680,$U$9:$V$23,2)</f>
        <v>8</v>
      </c>
      <c r="M680" s="17">
        <v>1.4833299999999999E-3</v>
      </c>
      <c r="N680" s="16">
        <f>ROUND(K680*L680*M680,2)</f>
        <v>-1.41</v>
      </c>
      <c r="O680" s="16">
        <f>ROUND(K680*M680*12,2)</f>
        <v>-2.12</v>
      </c>
      <c r="P680" s="14"/>
      <c r="Q680" s="210" t="str">
        <f>VLOOKUP(D680,'WO Descriptions'!$A$5:$D$345,4)</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row>
    <row r="681" spans="1:19" outlineLevel="1">
      <c r="A681" s="3" t="s">
        <v>2006</v>
      </c>
      <c r="B681" s="223"/>
      <c r="C681" s="250"/>
      <c r="D681" s="254" t="s">
        <v>2006</v>
      </c>
      <c r="E681" s="223"/>
      <c r="F681" s="250"/>
      <c r="G681" s="223"/>
      <c r="H681" s="250"/>
      <c r="I681" s="250"/>
      <c r="J681" s="250"/>
      <c r="K681" s="251">
        <f>SUBTOTAL(9,K679:K680)</f>
        <v>-1019.8100000000001</v>
      </c>
      <c r="L681" s="252"/>
      <c r="M681" s="253"/>
      <c r="N681" s="251">
        <f>SUBTOTAL(9,N679:N680)</f>
        <v>-13.43</v>
      </c>
      <c r="O681" s="251">
        <f>SUBTOTAL(9,O679:O680)</f>
        <v>-18.150000000000002</v>
      </c>
      <c r="P681" s="223"/>
      <c r="Q681" s="210"/>
      <c r="R681" s="263" t="s">
        <v>2097</v>
      </c>
      <c r="S681" s="263" t="s">
        <v>2098</v>
      </c>
    </row>
    <row r="682" spans="1:19" ht="150" outlineLevel="2">
      <c r="A682" s="3" t="s">
        <v>820</v>
      </c>
      <c r="B682" s="14" t="s">
        <v>17</v>
      </c>
      <c r="C682" s="15" t="s">
        <v>819</v>
      </c>
      <c r="D682" s="15" t="s">
        <v>820</v>
      </c>
      <c r="E682" s="14" t="s">
        <v>821</v>
      </c>
      <c r="F682" s="15" t="s">
        <v>822</v>
      </c>
      <c r="G682" s="14" t="s">
        <v>823</v>
      </c>
      <c r="H682" s="15" t="s">
        <v>23</v>
      </c>
      <c r="I682" s="15" t="s">
        <v>1526</v>
      </c>
      <c r="J682" s="15">
        <v>201409</v>
      </c>
      <c r="K682" s="16">
        <v>-1563.62</v>
      </c>
      <c r="L682" s="171">
        <f>VLOOKUP(J682,$U$9:$V$23,2)</f>
        <v>9</v>
      </c>
      <c r="M682" s="17">
        <v>1.4833299999999999E-3</v>
      </c>
      <c r="N682" s="16">
        <f>ROUND(K682*L682*M682,2)</f>
        <v>-20.87</v>
      </c>
      <c r="O682" s="16">
        <f>ROUND(K682*M682*12,2)</f>
        <v>-27.83</v>
      </c>
      <c r="P682" s="14"/>
      <c r="Q682" s="210" t="str">
        <f>VLOOKUP(D682,'WO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3" spans="1:19" ht="150" outlineLevel="2">
      <c r="A683" s="3" t="s">
        <v>820</v>
      </c>
      <c r="B683" s="14" t="s">
        <v>17</v>
      </c>
      <c r="C683" s="15" t="s">
        <v>819</v>
      </c>
      <c r="D683" s="15" t="s">
        <v>820</v>
      </c>
      <c r="E683" s="14" t="s">
        <v>821</v>
      </c>
      <c r="F683" s="15" t="s">
        <v>822</v>
      </c>
      <c r="G683" s="14" t="s">
        <v>823</v>
      </c>
      <c r="H683" s="15" t="s">
        <v>23</v>
      </c>
      <c r="I683" s="15" t="s">
        <v>1526</v>
      </c>
      <c r="J683" s="15">
        <v>201410</v>
      </c>
      <c r="K683" s="16">
        <v>-165.61</v>
      </c>
      <c r="L683" s="171">
        <f>VLOOKUP(J683,$U$9:$V$23,2)</f>
        <v>8</v>
      </c>
      <c r="M683" s="17">
        <v>1.4833299999999999E-3</v>
      </c>
      <c r="N683" s="16">
        <f>ROUND(K683*L683*M683,2)</f>
        <v>-1.97</v>
      </c>
      <c r="O683" s="16">
        <f>ROUND(K683*M683*12,2)</f>
        <v>-2.95</v>
      </c>
      <c r="P683" s="14"/>
      <c r="Q683" s="210" t="str">
        <f>VLOOKUP(D683,'WO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4" spans="1:19" ht="150" outlineLevel="2">
      <c r="A684" s="3" t="s">
        <v>820</v>
      </c>
      <c r="B684" s="14" t="s">
        <v>17</v>
      </c>
      <c r="C684" s="15" t="s">
        <v>819</v>
      </c>
      <c r="D684" s="15" t="s">
        <v>820</v>
      </c>
      <c r="E684" s="14" t="s">
        <v>821</v>
      </c>
      <c r="F684" s="15" t="s">
        <v>822</v>
      </c>
      <c r="G684" s="14" t="s">
        <v>823</v>
      </c>
      <c r="H684" s="15" t="s">
        <v>23</v>
      </c>
      <c r="I684" s="15" t="s">
        <v>1526</v>
      </c>
      <c r="J684" s="15">
        <v>201411</v>
      </c>
      <c r="K684" s="16">
        <v>1769.72</v>
      </c>
      <c r="L684" s="171">
        <f>VLOOKUP(J684,$U$9:$V$23,2)</f>
        <v>7</v>
      </c>
      <c r="M684" s="17">
        <v>1.4833299999999999E-3</v>
      </c>
      <c r="N684" s="16">
        <f>ROUND(K684*L684*M684,2)</f>
        <v>18.38</v>
      </c>
      <c r="O684" s="16">
        <f>ROUND(K684*M684*12,2)</f>
        <v>31.5</v>
      </c>
      <c r="P684" s="14"/>
      <c r="Q684" s="210" t="str">
        <f>VLOOKUP(D684,'WO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5" spans="1:19" ht="150" outlineLevel="2">
      <c r="A685" s="3" t="s">
        <v>820</v>
      </c>
      <c r="B685" s="14" t="s">
        <v>17</v>
      </c>
      <c r="C685" s="15" t="s">
        <v>819</v>
      </c>
      <c r="D685" s="15" t="s">
        <v>820</v>
      </c>
      <c r="E685" s="14" t="s">
        <v>821</v>
      </c>
      <c r="F685" s="15" t="s">
        <v>822</v>
      </c>
      <c r="G685" s="14" t="s">
        <v>823</v>
      </c>
      <c r="H685" s="15" t="s">
        <v>23</v>
      </c>
      <c r="I685" s="15" t="s">
        <v>1526</v>
      </c>
      <c r="J685" s="15">
        <v>201412</v>
      </c>
      <c r="K685" s="16">
        <v>-166.27</v>
      </c>
      <c r="L685" s="171">
        <f>VLOOKUP(J685,$U$9:$V$23,2)</f>
        <v>6</v>
      </c>
      <c r="M685" s="17">
        <v>1.4833299999999999E-3</v>
      </c>
      <c r="N685" s="16">
        <f>ROUND(K685*L685*M685,2)</f>
        <v>-1.48</v>
      </c>
      <c r="O685" s="16">
        <f>ROUND(K685*M685*12,2)</f>
        <v>-2.96</v>
      </c>
      <c r="P685" s="14"/>
      <c r="Q685" s="210" t="str">
        <f>VLOOKUP(D685,'WO Descriptions'!$A$5:$D$345,4)</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row>
    <row r="686" spans="1:19" outlineLevel="1">
      <c r="A686" s="3" t="s">
        <v>2007</v>
      </c>
      <c r="B686" s="223"/>
      <c r="C686" s="250"/>
      <c r="D686" s="254" t="s">
        <v>2007</v>
      </c>
      <c r="E686" s="223"/>
      <c r="F686" s="250"/>
      <c r="G686" s="223"/>
      <c r="H686" s="250"/>
      <c r="I686" s="250"/>
      <c r="J686" s="250"/>
      <c r="K686" s="251">
        <f>SUBTOTAL(9,K682:K685)</f>
        <v>-125.78</v>
      </c>
      <c r="L686" s="252"/>
      <c r="M686" s="253"/>
      <c r="N686" s="251">
        <f>SUBTOTAL(9,N682:N685)</f>
        <v>-5.9400000000000013</v>
      </c>
      <c r="O686" s="251">
        <f>SUBTOTAL(9,O682:O685)</f>
        <v>-2.2399999999999975</v>
      </c>
      <c r="P686" s="223"/>
      <c r="Q686" s="210"/>
      <c r="R686" s="263" t="s">
        <v>2096</v>
      </c>
    </row>
    <row r="687" spans="1:19" ht="60" outlineLevel="2">
      <c r="A687" s="3" t="s">
        <v>825</v>
      </c>
      <c r="B687" s="14" t="s">
        <v>54</v>
      </c>
      <c r="C687" s="15" t="s">
        <v>824</v>
      </c>
      <c r="D687" s="15" t="s">
        <v>825</v>
      </c>
      <c r="E687" s="14" t="s">
        <v>826</v>
      </c>
      <c r="F687" s="15" t="s">
        <v>136</v>
      </c>
      <c r="G687" s="14" t="s">
        <v>137</v>
      </c>
      <c r="H687" s="15" t="s">
        <v>23</v>
      </c>
      <c r="I687" s="15" t="s">
        <v>1526</v>
      </c>
      <c r="J687" s="15">
        <v>201410</v>
      </c>
      <c r="K687" s="16">
        <v>6203.97</v>
      </c>
      <c r="L687" s="171">
        <f>VLOOKUP(J687,$U$9:$V$23,2)</f>
        <v>8</v>
      </c>
      <c r="M687" s="17">
        <v>1.4833299999999999E-3</v>
      </c>
      <c r="N687" s="16">
        <f>ROUND(K687*L687*M687,2)</f>
        <v>73.62</v>
      </c>
      <c r="O687" s="16">
        <f>ROUND(K687*M687*12,2)</f>
        <v>110.43</v>
      </c>
      <c r="P687" s="14"/>
      <c r="Q687" s="210" t="str">
        <f>VLOOKUP(D687,'WO Descriptions'!$A$5:$D$345,4)</f>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
    </row>
    <row r="688" spans="1:19" outlineLevel="1">
      <c r="A688" s="3" t="s">
        <v>2008</v>
      </c>
      <c r="B688" s="223"/>
      <c r="C688" s="250"/>
      <c r="D688" s="254" t="s">
        <v>2008</v>
      </c>
      <c r="E688" s="223"/>
      <c r="F688" s="250"/>
      <c r="G688" s="223"/>
      <c r="H688" s="250"/>
      <c r="I688" s="250"/>
      <c r="J688" s="250"/>
      <c r="K688" s="251">
        <f>SUBTOTAL(9,K687:K687)</f>
        <v>6203.97</v>
      </c>
      <c r="L688" s="252"/>
      <c r="M688" s="253"/>
      <c r="N688" s="251">
        <f>SUBTOTAL(9,N687:N687)</f>
        <v>73.62</v>
      </c>
      <c r="O688" s="251">
        <f>SUBTOTAL(9,O687:O687)</f>
        <v>110.43</v>
      </c>
      <c r="P688" s="223"/>
      <c r="Q688" s="210"/>
      <c r="R688" s="263" t="s">
        <v>2096</v>
      </c>
    </row>
    <row r="689" spans="1:19" ht="45" outlineLevel="2">
      <c r="A689" s="3" t="s">
        <v>828</v>
      </c>
      <c r="B689" s="14" t="s">
        <v>54</v>
      </c>
      <c r="C689" s="15" t="s">
        <v>827</v>
      </c>
      <c r="D689" s="15" t="s">
        <v>828</v>
      </c>
      <c r="E689" s="14" t="s">
        <v>829</v>
      </c>
      <c r="F689" s="15" t="s">
        <v>62</v>
      </c>
      <c r="G689" s="14" t="s">
        <v>22</v>
      </c>
      <c r="H689" s="15" t="s">
        <v>23</v>
      </c>
      <c r="I689" s="15" t="s">
        <v>1525</v>
      </c>
      <c r="J689" s="15">
        <v>201409</v>
      </c>
      <c r="K689" s="16">
        <v>-72.66</v>
      </c>
      <c r="L689" s="171">
        <f>VLOOKUP(J689,$U$9:$V$23,2)</f>
        <v>9</v>
      </c>
      <c r="M689" s="17">
        <v>1.4833299999999999E-3</v>
      </c>
      <c r="N689" s="16">
        <f>ROUND(K689*L689*M689,2)</f>
        <v>-0.97</v>
      </c>
      <c r="O689" s="16">
        <f>ROUND(K689*M689*12,2)</f>
        <v>-1.29</v>
      </c>
      <c r="P689" s="14"/>
      <c r="Q689" s="210" t="str">
        <f>VLOOKUP(D689,'WO Descriptions'!$A$5:$D$345,4)</f>
        <v>Approved by: Ralph Janes on 04/04/2014,  Replace and abandon 520' - 2" pbs main (Work order unknown 1940) by installing 130' - 2" pe to clear 2 active leaks and due to condition of pipe.  (ISRS)</v>
      </c>
    </row>
    <row r="690" spans="1:19" ht="45" outlineLevel="2">
      <c r="A690" s="3" t="s">
        <v>828</v>
      </c>
      <c r="B690" s="14" t="s">
        <v>54</v>
      </c>
      <c r="C690" s="15" t="s">
        <v>827</v>
      </c>
      <c r="D690" s="15" t="s">
        <v>828</v>
      </c>
      <c r="E690" s="14" t="s">
        <v>829</v>
      </c>
      <c r="F690" s="15" t="s">
        <v>62</v>
      </c>
      <c r="G690" s="14" t="s">
        <v>22</v>
      </c>
      <c r="H690" s="15" t="s">
        <v>23</v>
      </c>
      <c r="I690" s="15" t="s">
        <v>1525</v>
      </c>
      <c r="J690" s="15">
        <v>201410</v>
      </c>
      <c r="K690" s="16">
        <v>0</v>
      </c>
      <c r="L690" s="171">
        <f>VLOOKUP(J690,$U$9:$V$23,2)</f>
        <v>8</v>
      </c>
      <c r="M690" s="17">
        <v>1.4833299999999999E-3</v>
      </c>
      <c r="N690" s="16">
        <f>ROUND(K690*L690*M690,2)</f>
        <v>0</v>
      </c>
      <c r="O690" s="16">
        <f>ROUND(K690*M690*12,2)</f>
        <v>0</v>
      </c>
      <c r="P690" s="14"/>
      <c r="Q690" s="210" t="str">
        <f>VLOOKUP(D690,'WO Descriptions'!$A$5:$D$345,4)</f>
        <v>Approved by: Ralph Janes on 04/04/2014,  Replace and abandon 520' - 2" pbs main (Work order unknown 1940) by installing 130' - 2" pe to clear 2 active leaks and due to condition of pipe.  (ISRS)</v>
      </c>
    </row>
    <row r="691" spans="1:19" outlineLevel="1">
      <c r="A691" s="3" t="s">
        <v>2009</v>
      </c>
      <c r="B691" s="223"/>
      <c r="C691" s="250"/>
      <c r="D691" s="254" t="s">
        <v>2009</v>
      </c>
      <c r="E691" s="223"/>
      <c r="F691" s="250"/>
      <c r="G691" s="223"/>
      <c r="H691" s="250"/>
      <c r="I691" s="250"/>
      <c r="J691" s="250"/>
      <c r="K691" s="251">
        <f>SUBTOTAL(9,K689:K690)</f>
        <v>-72.66</v>
      </c>
      <c r="L691" s="252"/>
      <c r="M691" s="253"/>
      <c r="N691" s="251">
        <f>SUBTOTAL(9,N689:N690)</f>
        <v>-0.97</v>
      </c>
      <c r="O691" s="251">
        <f>SUBTOTAL(9,O689:O690)</f>
        <v>-1.29</v>
      </c>
      <c r="P691" s="223"/>
      <c r="Q691" s="210"/>
      <c r="R691" s="263" t="s">
        <v>2097</v>
      </c>
      <c r="S691" s="263" t="s">
        <v>2098</v>
      </c>
    </row>
    <row r="692" spans="1:19" ht="60" outlineLevel="2">
      <c r="A692" s="3" t="s">
        <v>831</v>
      </c>
      <c r="B692" s="14" t="s">
        <v>54</v>
      </c>
      <c r="C692" s="15" t="s">
        <v>830</v>
      </c>
      <c r="D692" s="15" t="s">
        <v>831</v>
      </c>
      <c r="E692" s="14" t="s">
        <v>832</v>
      </c>
      <c r="F692" s="15" t="s">
        <v>62</v>
      </c>
      <c r="G692" s="14" t="s">
        <v>22</v>
      </c>
      <c r="H692" s="15" t="s">
        <v>23</v>
      </c>
      <c r="I692" s="15" t="s">
        <v>1525</v>
      </c>
      <c r="J692" s="15">
        <v>201411</v>
      </c>
      <c r="K692" s="16">
        <v>35798.080000000002</v>
      </c>
      <c r="L692" s="171">
        <f>VLOOKUP(J692,$U$9:$V$23,2)</f>
        <v>7</v>
      </c>
      <c r="M692" s="17">
        <v>1.4833299999999999E-3</v>
      </c>
      <c r="N692" s="16">
        <f>ROUND(K692*L692*M692,2)</f>
        <v>371.7</v>
      </c>
      <c r="O692" s="16">
        <f>ROUND(K692*M692*12,2)</f>
        <v>637.20000000000005</v>
      </c>
      <c r="P692" s="14"/>
      <c r="Q692" s="210" t="str">
        <f>VLOOKUP(D692,'WO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693" spans="1:19" ht="60" outlineLevel="2">
      <c r="A693" s="3" t="s">
        <v>831</v>
      </c>
      <c r="B693" s="14" t="s">
        <v>54</v>
      </c>
      <c r="C693" s="15" t="s">
        <v>830</v>
      </c>
      <c r="D693" s="15" t="s">
        <v>831</v>
      </c>
      <c r="E693" s="14" t="s">
        <v>832</v>
      </c>
      <c r="F693" s="15" t="s">
        <v>62</v>
      </c>
      <c r="G693" s="14" t="s">
        <v>22</v>
      </c>
      <c r="H693" s="15" t="s">
        <v>23</v>
      </c>
      <c r="I693" s="15" t="s">
        <v>1525</v>
      </c>
      <c r="J693" s="15">
        <v>201412</v>
      </c>
      <c r="K693" s="16">
        <v>-96.51</v>
      </c>
      <c r="L693" s="171">
        <f>VLOOKUP(J693,$U$9:$V$23,2)</f>
        <v>6</v>
      </c>
      <c r="M693" s="17">
        <v>1.4833299999999999E-3</v>
      </c>
      <c r="N693" s="16">
        <f>ROUND(K693*L693*M693,2)</f>
        <v>-0.86</v>
      </c>
      <c r="O693" s="16">
        <f>ROUND(K693*M693*12,2)</f>
        <v>-1.72</v>
      </c>
      <c r="P693" s="14"/>
      <c r="Q693" s="210" t="str">
        <f>VLOOKUP(D693,'WO Descriptions'!$A$5:$D$345,4)</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row>
    <row r="694" spans="1:19" outlineLevel="1">
      <c r="A694" s="3" t="s">
        <v>2010</v>
      </c>
      <c r="B694" s="223"/>
      <c r="C694" s="250"/>
      <c r="D694" s="254" t="s">
        <v>2010</v>
      </c>
      <c r="E694" s="223"/>
      <c r="F694" s="250"/>
      <c r="G694" s="223"/>
      <c r="H694" s="250"/>
      <c r="I694" s="250"/>
      <c r="J694" s="250"/>
      <c r="K694" s="251">
        <f>SUBTOTAL(9,K692:K693)</f>
        <v>35701.57</v>
      </c>
      <c r="L694" s="252"/>
      <c r="M694" s="253"/>
      <c r="N694" s="251">
        <f>SUBTOTAL(9,N692:N693)</f>
        <v>370.84</v>
      </c>
      <c r="O694" s="251">
        <f>SUBTOTAL(9,O692:O693)</f>
        <v>635.48</v>
      </c>
      <c r="P694" s="223"/>
      <c r="Q694" s="210"/>
      <c r="R694" s="263" t="s">
        <v>2097</v>
      </c>
      <c r="S694" s="263" t="s">
        <v>2098</v>
      </c>
    </row>
    <row r="695" spans="1:19" ht="45" outlineLevel="2">
      <c r="A695" s="3" t="s">
        <v>834</v>
      </c>
      <c r="B695" s="14" t="s">
        <v>66</v>
      </c>
      <c r="C695" s="15" t="s">
        <v>833</v>
      </c>
      <c r="D695" s="15" t="s">
        <v>834</v>
      </c>
      <c r="E695" s="14" t="s">
        <v>835</v>
      </c>
      <c r="F695" s="15" t="s">
        <v>40</v>
      </c>
      <c r="G695" s="14" t="s">
        <v>41</v>
      </c>
      <c r="H695" s="15" t="s">
        <v>23</v>
      </c>
      <c r="I695" s="15" t="s">
        <v>1526</v>
      </c>
      <c r="J695" s="15">
        <v>201409</v>
      </c>
      <c r="K695" s="16">
        <v>-307.58</v>
      </c>
      <c r="L695" s="171">
        <f>VLOOKUP(J695,$U$9:$V$23,2)</f>
        <v>9</v>
      </c>
      <c r="M695" s="17">
        <v>2.23333E-3</v>
      </c>
      <c r="N695" s="16">
        <f>ROUND(K695*L695*M695,2)</f>
        <v>-6.18</v>
      </c>
      <c r="O695" s="16">
        <f>ROUND(K695*M695*12,2)</f>
        <v>-8.24</v>
      </c>
      <c r="P695" s="14"/>
      <c r="Q695" s="210" t="str">
        <f>VLOOKUP(D695,'WO Descriptions'!$A$5:$D$345,4)</f>
        <v>Approved by: Kevin Driskell on 04/04/2014,  (ISRS)  Replace and extend 8in steel service for 911 Main Street to new main location on WO 13-2400 (Streetcar Phase 2).  Location of valve for service to be determined in field.</v>
      </c>
    </row>
    <row r="696" spans="1:19" outlineLevel="1">
      <c r="A696" s="3" t="s">
        <v>2011</v>
      </c>
      <c r="B696" s="223"/>
      <c r="C696" s="250"/>
      <c r="D696" s="254" t="s">
        <v>2011</v>
      </c>
      <c r="E696" s="223"/>
      <c r="F696" s="250"/>
      <c r="G696" s="223"/>
      <c r="H696" s="250"/>
      <c r="I696" s="250"/>
      <c r="J696" s="250"/>
      <c r="K696" s="251">
        <f>SUBTOTAL(9,K695:K695)</f>
        <v>-307.58</v>
      </c>
      <c r="L696" s="252"/>
      <c r="M696" s="253"/>
      <c r="N696" s="251">
        <f>SUBTOTAL(9,N695:N695)</f>
        <v>-6.18</v>
      </c>
      <c r="O696" s="251">
        <f>SUBTOTAL(9,O695:O695)</f>
        <v>-8.24</v>
      </c>
      <c r="P696" s="223"/>
      <c r="Q696" s="210"/>
      <c r="R696" s="263" t="s">
        <v>2096</v>
      </c>
    </row>
    <row r="697" spans="1:19" ht="60" outlineLevel="2">
      <c r="A697" s="3" t="s">
        <v>837</v>
      </c>
      <c r="B697" s="14" t="s">
        <v>54</v>
      </c>
      <c r="C697" s="15" t="s">
        <v>836</v>
      </c>
      <c r="D697" s="15" t="s">
        <v>837</v>
      </c>
      <c r="E697" s="14" t="s">
        <v>838</v>
      </c>
      <c r="F697" s="15" t="s">
        <v>21</v>
      </c>
      <c r="G697" s="14" t="s">
        <v>22</v>
      </c>
      <c r="H697" s="15" t="s">
        <v>23</v>
      </c>
      <c r="I697" s="15" t="s">
        <v>1525</v>
      </c>
      <c r="J697" s="15">
        <v>201409</v>
      </c>
      <c r="K697" s="16">
        <v>-828.96</v>
      </c>
      <c r="L697" s="171">
        <f>VLOOKUP(J697,$U$9:$V$23,2)</f>
        <v>9</v>
      </c>
      <c r="M697" s="17">
        <v>1.4833299999999999E-3</v>
      </c>
      <c r="N697" s="16">
        <f>ROUND(K697*L697*M697,2)</f>
        <v>-11.07</v>
      </c>
      <c r="O697" s="16">
        <f>ROUND(K697*M697*12,2)</f>
        <v>-14.76</v>
      </c>
      <c r="P697" s="14"/>
      <c r="Q697" s="210" t="str">
        <f>VLOOKUP(D697,'WO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698" spans="1:19" ht="60" outlineLevel="2">
      <c r="A698" s="3" t="s">
        <v>837</v>
      </c>
      <c r="B698" s="14" t="s">
        <v>54</v>
      </c>
      <c r="C698" s="15" t="s">
        <v>836</v>
      </c>
      <c r="D698" s="15" t="s">
        <v>837</v>
      </c>
      <c r="E698" s="14" t="s">
        <v>838</v>
      </c>
      <c r="F698" s="15" t="s">
        <v>21</v>
      </c>
      <c r="G698" s="14" t="s">
        <v>22</v>
      </c>
      <c r="H698" s="15" t="s">
        <v>23</v>
      </c>
      <c r="I698" s="15" t="s">
        <v>1525</v>
      </c>
      <c r="J698" s="15">
        <v>201410</v>
      </c>
      <c r="K698" s="16">
        <v>-81.62</v>
      </c>
      <c r="L698" s="171">
        <f>VLOOKUP(J698,$U$9:$V$23,2)</f>
        <v>8</v>
      </c>
      <c r="M698" s="17">
        <v>1.4833299999999999E-3</v>
      </c>
      <c r="N698" s="16">
        <f>ROUND(K698*L698*M698,2)</f>
        <v>-0.97</v>
      </c>
      <c r="O698" s="16">
        <f>ROUND(K698*M698*12,2)</f>
        <v>-1.45</v>
      </c>
      <c r="P698" s="14"/>
      <c r="Q698" s="210" t="str">
        <f>VLOOKUP(D698,'WO Descriptions'!$A$5:$D$345,4)</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row>
    <row r="699" spans="1:19" outlineLevel="1">
      <c r="A699" s="3" t="s">
        <v>2012</v>
      </c>
      <c r="B699" s="223"/>
      <c r="C699" s="250"/>
      <c r="D699" s="254" t="s">
        <v>2012</v>
      </c>
      <c r="E699" s="223"/>
      <c r="F699" s="250"/>
      <c r="G699" s="223"/>
      <c r="H699" s="250"/>
      <c r="I699" s="250"/>
      <c r="J699" s="250"/>
      <c r="K699" s="251">
        <f>SUBTOTAL(9,K697:K698)</f>
        <v>-910.58</v>
      </c>
      <c r="L699" s="252"/>
      <c r="M699" s="253"/>
      <c r="N699" s="251">
        <f>SUBTOTAL(9,N697:N698)</f>
        <v>-12.040000000000001</v>
      </c>
      <c r="O699" s="251">
        <f>SUBTOTAL(9,O697:O698)</f>
        <v>-16.21</v>
      </c>
      <c r="P699" s="223"/>
      <c r="Q699" s="210"/>
      <c r="R699" s="263" t="s">
        <v>2097</v>
      </c>
      <c r="S699" s="263" t="s">
        <v>2098</v>
      </c>
    </row>
    <row r="700" spans="1:19" ht="30" outlineLevel="2">
      <c r="A700" s="3" t="s">
        <v>840</v>
      </c>
      <c r="B700" s="14" t="s">
        <v>66</v>
      </c>
      <c r="C700" s="15" t="s">
        <v>839</v>
      </c>
      <c r="D700" s="15" t="s">
        <v>840</v>
      </c>
      <c r="E700" s="14" t="s">
        <v>841</v>
      </c>
      <c r="F700" s="15" t="s">
        <v>842</v>
      </c>
      <c r="G700" s="14" t="s">
        <v>624</v>
      </c>
      <c r="H700" s="15" t="s">
        <v>23</v>
      </c>
      <c r="I700" s="15" t="s">
        <v>1527</v>
      </c>
      <c r="J700" s="15">
        <v>201409</v>
      </c>
      <c r="K700" s="16">
        <v>-113.44</v>
      </c>
      <c r="L700" s="171">
        <f>VLOOKUP(J700,$U$9:$V$23,2)</f>
        <v>9</v>
      </c>
      <c r="M700" s="17">
        <v>2.23333E-3</v>
      </c>
      <c r="N700" s="16">
        <f>ROUND(K700*L700*M700,2)</f>
        <v>-2.2799999999999998</v>
      </c>
      <c r="O700" s="16">
        <f>ROUND(K700*M700*12,2)</f>
        <v>-3.04</v>
      </c>
      <c r="P700" s="14"/>
      <c r="Q700" s="210" t="str">
        <f>VLOOKUP(D700,'WO Descriptions'!$A$5:$D$345,4)</f>
        <v>Approved by: Kevin Driskell on 04/08/2014,  REPLACING 160ft-2in cs service line with 2in pe service line. Due to leak on service line.</v>
      </c>
    </row>
    <row r="701" spans="1:19" outlineLevel="1">
      <c r="A701" s="3" t="s">
        <v>2013</v>
      </c>
      <c r="B701" s="223"/>
      <c r="C701" s="250"/>
      <c r="D701" s="254" t="s">
        <v>2013</v>
      </c>
      <c r="E701" s="223"/>
      <c r="F701" s="250"/>
      <c r="G701" s="223"/>
      <c r="H701" s="250"/>
      <c r="I701" s="250"/>
      <c r="J701" s="250"/>
      <c r="K701" s="251">
        <f>SUBTOTAL(9,K700:K700)</f>
        <v>-113.44</v>
      </c>
      <c r="L701" s="252"/>
      <c r="M701" s="253"/>
      <c r="N701" s="251">
        <f>SUBTOTAL(9,N700:N700)</f>
        <v>-2.2799999999999998</v>
      </c>
      <c r="O701" s="251">
        <f>SUBTOTAL(9,O700:O700)</f>
        <v>-3.04</v>
      </c>
      <c r="P701" s="223"/>
      <c r="Q701" s="210"/>
      <c r="R701" s="263" t="s">
        <v>2097</v>
      </c>
      <c r="S701" s="263" t="s">
        <v>2104</v>
      </c>
    </row>
    <row r="702" spans="1:19" ht="30" outlineLevel="2">
      <c r="A702" s="3" t="s">
        <v>844</v>
      </c>
      <c r="B702" s="14" t="s">
        <v>17</v>
      </c>
      <c r="C702" s="15" t="s">
        <v>843</v>
      </c>
      <c r="D702" s="15" t="s">
        <v>844</v>
      </c>
      <c r="E702" s="14" t="s">
        <v>845</v>
      </c>
      <c r="F702" s="15" t="s">
        <v>45</v>
      </c>
      <c r="G702" s="14" t="s">
        <v>22</v>
      </c>
      <c r="H702" s="15" t="s">
        <v>23</v>
      </c>
      <c r="I702" s="15" t="s">
        <v>1525</v>
      </c>
      <c r="J702" s="15">
        <v>201409</v>
      </c>
      <c r="K702" s="16">
        <v>149.26</v>
      </c>
      <c r="L702" s="171">
        <f>VLOOKUP(J702,$U$9:$V$23,2)</f>
        <v>9</v>
      </c>
      <c r="M702" s="17">
        <v>1.4833299999999999E-3</v>
      </c>
      <c r="N702" s="16">
        <f>ROUND(K702*L702*M702,2)</f>
        <v>1.99</v>
      </c>
      <c r="O702" s="16">
        <f>ROUND(K702*M702*12,2)</f>
        <v>2.66</v>
      </c>
      <c r="P702" s="14"/>
      <c r="Q702" s="210" t="str">
        <f>VLOOKUP(D702,'WO Descriptions'!$A$5:$D$345,4)</f>
        <v>Approved by: Kevin Driskell on 04/07/2014,  Replace 3in and 2in PBS due to leak.  Lay 10'-3in thin film and 14'-2in thin film.  Work done by MGE crew.Original JO 7740C &amp; 7740B, year 1949</v>
      </c>
    </row>
    <row r="703" spans="1:19" ht="30" outlineLevel="2">
      <c r="A703" s="3" t="s">
        <v>844</v>
      </c>
      <c r="B703" s="14" t="s">
        <v>17</v>
      </c>
      <c r="C703" s="15" t="s">
        <v>843</v>
      </c>
      <c r="D703" s="15" t="s">
        <v>844</v>
      </c>
      <c r="E703" s="14" t="s">
        <v>845</v>
      </c>
      <c r="F703" s="15" t="s">
        <v>45</v>
      </c>
      <c r="G703" s="14" t="s">
        <v>22</v>
      </c>
      <c r="H703" s="15" t="s">
        <v>23</v>
      </c>
      <c r="I703" s="15" t="s">
        <v>1525</v>
      </c>
      <c r="J703" s="15">
        <v>201410</v>
      </c>
      <c r="K703" s="16">
        <v>1828.42</v>
      </c>
      <c r="L703" s="171">
        <f>VLOOKUP(J703,$U$9:$V$23,2)</f>
        <v>8</v>
      </c>
      <c r="M703" s="17">
        <v>1.4833299999999999E-3</v>
      </c>
      <c r="N703" s="16">
        <f>ROUND(K703*L703*M703,2)</f>
        <v>21.7</v>
      </c>
      <c r="O703" s="16">
        <f>ROUND(K703*M703*12,2)</f>
        <v>32.549999999999997</v>
      </c>
      <c r="P703" s="14"/>
      <c r="Q703" s="210" t="str">
        <f>VLOOKUP(D703,'WO Descriptions'!$A$5:$D$345,4)</f>
        <v>Approved by: Kevin Driskell on 04/07/2014,  Replace 3in and 2in PBS due to leak.  Lay 10'-3in thin film and 14'-2in thin film.  Work done by MGE crew.Original JO 7740C &amp; 7740B, year 1949</v>
      </c>
    </row>
    <row r="704" spans="1:19" ht="30" outlineLevel="2">
      <c r="A704" s="3" t="s">
        <v>844</v>
      </c>
      <c r="B704" s="14" t="s">
        <v>17</v>
      </c>
      <c r="C704" s="15" t="s">
        <v>843</v>
      </c>
      <c r="D704" s="15" t="s">
        <v>844</v>
      </c>
      <c r="E704" s="14" t="s">
        <v>845</v>
      </c>
      <c r="F704" s="15" t="s">
        <v>45</v>
      </c>
      <c r="G704" s="14" t="s">
        <v>22</v>
      </c>
      <c r="H704" s="15" t="s">
        <v>23</v>
      </c>
      <c r="I704" s="15" t="s">
        <v>1525</v>
      </c>
      <c r="J704" s="15">
        <v>201411</v>
      </c>
      <c r="K704" s="16">
        <v>-85.84</v>
      </c>
      <c r="L704" s="171">
        <f>VLOOKUP(J704,$U$9:$V$23,2)</f>
        <v>7</v>
      </c>
      <c r="M704" s="17">
        <v>1.4833299999999999E-3</v>
      </c>
      <c r="N704" s="16">
        <f>ROUND(K704*L704*M704,2)</f>
        <v>-0.89</v>
      </c>
      <c r="O704" s="16">
        <f>ROUND(K704*M704*12,2)</f>
        <v>-1.53</v>
      </c>
      <c r="P704" s="14"/>
      <c r="Q704" s="210" t="str">
        <f>VLOOKUP(D704,'WO Descriptions'!$A$5:$D$345,4)</f>
        <v>Approved by: Kevin Driskell on 04/07/2014,  Replace 3in and 2in PBS due to leak.  Lay 10'-3in thin film and 14'-2in thin film.  Work done by MGE crew.Original JO 7740C &amp; 7740B, year 1949</v>
      </c>
    </row>
    <row r="705" spans="1:19" ht="30" outlineLevel="2">
      <c r="A705" s="3" t="s">
        <v>844</v>
      </c>
      <c r="B705" s="14" t="s">
        <v>17</v>
      </c>
      <c r="C705" s="15" t="s">
        <v>843</v>
      </c>
      <c r="D705" s="15" t="s">
        <v>844</v>
      </c>
      <c r="E705" s="14" t="s">
        <v>845</v>
      </c>
      <c r="F705" s="15" t="s">
        <v>45</v>
      </c>
      <c r="G705" s="14" t="s">
        <v>22</v>
      </c>
      <c r="H705" s="15" t="s">
        <v>23</v>
      </c>
      <c r="I705" s="15" t="s">
        <v>1525</v>
      </c>
      <c r="J705" s="15">
        <v>201412</v>
      </c>
      <c r="K705" s="16">
        <v>-122.95</v>
      </c>
      <c r="L705" s="171">
        <f>VLOOKUP(J705,$U$9:$V$23,2)</f>
        <v>6</v>
      </c>
      <c r="M705" s="17">
        <v>1.4833299999999999E-3</v>
      </c>
      <c r="N705" s="16">
        <f>ROUND(K705*L705*M705,2)</f>
        <v>-1.0900000000000001</v>
      </c>
      <c r="O705" s="16">
        <f>ROUND(K705*M705*12,2)</f>
        <v>-2.19</v>
      </c>
      <c r="P705" s="14"/>
      <c r="Q705" s="210" t="str">
        <f>VLOOKUP(D705,'WO Descriptions'!$A$5:$D$345,4)</f>
        <v>Approved by: Kevin Driskell on 04/07/2014,  Replace 3in and 2in PBS due to leak.  Lay 10'-3in thin film and 14'-2in thin film.  Work done by MGE crew.Original JO 7740C &amp; 7740B, year 1949</v>
      </c>
    </row>
    <row r="706" spans="1:19" outlineLevel="1">
      <c r="A706" s="3" t="s">
        <v>2014</v>
      </c>
      <c r="B706" s="223"/>
      <c r="C706" s="250"/>
      <c r="D706" s="254" t="s">
        <v>2014</v>
      </c>
      <c r="E706" s="223"/>
      <c r="F706" s="250"/>
      <c r="G706" s="223"/>
      <c r="H706" s="250"/>
      <c r="I706" s="250"/>
      <c r="J706" s="250"/>
      <c r="K706" s="251">
        <f>SUBTOTAL(9,K702:K705)</f>
        <v>1768.89</v>
      </c>
      <c r="L706" s="252"/>
      <c r="M706" s="253"/>
      <c r="N706" s="251">
        <f>SUBTOTAL(9,N702:N705)</f>
        <v>21.709999999999997</v>
      </c>
      <c r="O706" s="251">
        <f>SUBTOTAL(9,O702:O705)</f>
        <v>31.489999999999991</v>
      </c>
      <c r="P706" s="223"/>
      <c r="Q706" s="210"/>
      <c r="R706" s="263" t="s">
        <v>2097</v>
      </c>
      <c r="S706" s="263" t="s">
        <v>2098</v>
      </c>
    </row>
    <row r="707" spans="1:19" ht="135" outlineLevel="2">
      <c r="A707" s="3" t="s">
        <v>847</v>
      </c>
      <c r="B707" s="14" t="s">
        <v>54</v>
      </c>
      <c r="C707" s="15" t="s">
        <v>846</v>
      </c>
      <c r="D707" s="15" t="s">
        <v>847</v>
      </c>
      <c r="E707" s="14" t="s">
        <v>848</v>
      </c>
      <c r="F707" s="15" t="s">
        <v>141</v>
      </c>
      <c r="G707" s="14" t="s">
        <v>142</v>
      </c>
      <c r="H707" s="15" t="s">
        <v>23</v>
      </c>
      <c r="I707" s="15" t="s">
        <v>1525</v>
      </c>
      <c r="J707" s="15">
        <v>201409</v>
      </c>
      <c r="K707" s="16">
        <v>1253310.78</v>
      </c>
      <c r="L707" s="171">
        <f>VLOOKUP(J707,$U$9:$V$23,2)</f>
        <v>9</v>
      </c>
      <c r="M707" s="17">
        <v>1.4833299999999999E-3</v>
      </c>
      <c r="N707" s="16">
        <f>ROUND(K707*L707*M707,2)</f>
        <v>16731.66</v>
      </c>
      <c r="O707" s="16">
        <f>ROUND(K707*M707*12,2)</f>
        <v>22308.880000000001</v>
      </c>
      <c r="P707" s="14"/>
      <c r="Q707" s="210" t="str">
        <f>VLOOKUP(D707,'WO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08" spans="1:19" ht="135" outlineLevel="2">
      <c r="A708" s="3" t="s">
        <v>847</v>
      </c>
      <c r="B708" s="14" t="s">
        <v>54</v>
      </c>
      <c r="C708" s="15" t="s">
        <v>846</v>
      </c>
      <c r="D708" s="15" t="s">
        <v>847</v>
      </c>
      <c r="E708" s="14" t="s">
        <v>848</v>
      </c>
      <c r="F708" s="15" t="s">
        <v>141</v>
      </c>
      <c r="G708" s="14" t="s">
        <v>142</v>
      </c>
      <c r="H708" s="15" t="s">
        <v>23</v>
      </c>
      <c r="I708" s="15" t="s">
        <v>1525</v>
      </c>
      <c r="J708" s="15">
        <v>201410</v>
      </c>
      <c r="K708" s="16">
        <v>15539.61</v>
      </c>
      <c r="L708" s="171">
        <f>VLOOKUP(J708,$U$9:$V$23,2)</f>
        <v>8</v>
      </c>
      <c r="M708" s="17">
        <v>1.4833299999999999E-3</v>
      </c>
      <c r="N708" s="16">
        <f>ROUND(K708*L708*M708,2)</f>
        <v>184.4</v>
      </c>
      <c r="O708" s="16">
        <f>ROUND(K708*M708*12,2)</f>
        <v>276.60000000000002</v>
      </c>
      <c r="P708" s="14"/>
      <c r="Q708" s="210" t="str">
        <f>VLOOKUP(D708,'WO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09" spans="1:19" ht="135" outlineLevel="2">
      <c r="A709" s="3" t="s">
        <v>847</v>
      </c>
      <c r="B709" s="14" t="s">
        <v>54</v>
      </c>
      <c r="C709" s="15" t="s">
        <v>846</v>
      </c>
      <c r="D709" s="15" t="s">
        <v>847</v>
      </c>
      <c r="E709" s="14" t="s">
        <v>848</v>
      </c>
      <c r="F709" s="15" t="s">
        <v>141</v>
      </c>
      <c r="G709" s="14" t="s">
        <v>142</v>
      </c>
      <c r="H709" s="15" t="s">
        <v>23</v>
      </c>
      <c r="I709" s="15" t="s">
        <v>1525</v>
      </c>
      <c r="J709" s="15">
        <v>201411</v>
      </c>
      <c r="K709" s="16">
        <v>11927.86</v>
      </c>
      <c r="L709" s="171">
        <f>VLOOKUP(J709,$U$9:$V$23,2)</f>
        <v>7</v>
      </c>
      <c r="M709" s="17">
        <v>1.4833299999999999E-3</v>
      </c>
      <c r="N709" s="16">
        <f>ROUND(K709*L709*M709,2)</f>
        <v>123.85</v>
      </c>
      <c r="O709" s="16">
        <f>ROUND(K709*M709*12,2)</f>
        <v>212.32</v>
      </c>
      <c r="P709" s="14"/>
      <c r="Q709" s="210" t="str">
        <f>VLOOKUP(D709,'WO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10" spans="1:19" ht="135" outlineLevel="2">
      <c r="A710" s="3" t="s">
        <v>847</v>
      </c>
      <c r="B710" s="14" t="s">
        <v>54</v>
      </c>
      <c r="C710" s="15" t="s">
        <v>846</v>
      </c>
      <c r="D710" s="15" t="s">
        <v>847</v>
      </c>
      <c r="E710" s="14" t="s">
        <v>848</v>
      </c>
      <c r="F710" s="15" t="s">
        <v>141</v>
      </c>
      <c r="G710" s="14" t="s">
        <v>142</v>
      </c>
      <c r="H710" s="15" t="s">
        <v>23</v>
      </c>
      <c r="I710" s="15" t="s">
        <v>1525</v>
      </c>
      <c r="J710" s="15">
        <v>201412</v>
      </c>
      <c r="K710" s="16">
        <v>-1373.08</v>
      </c>
      <c r="L710" s="171">
        <f>VLOOKUP(J710,$U$9:$V$23,2)</f>
        <v>6</v>
      </c>
      <c r="M710" s="17">
        <v>1.4833299999999999E-3</v>
      </c>
      <c r="N710" s="16">
        <f>ROUND(K710*L710*M710,2)</f>
        <v>-12.22</v>
      </c>
      <c r="O710" s="16">
        <f>ROUND(K710*M710*12,2)</f>
        <v>-24.44</v>
      </c>
      <c r="P710" s="14"/>
      <c r="Q710" s="210" t="str">
        <f>VLOOKUP(D710,'WO Descriptions'!$A$5:$D$345,4)</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row>
    <row r="711" spans="1:19" outlineLevel="1">
      <c r="A711" s="3" t="s">
        <v>2015</v>
      </c>
      <c r="B711" s="223"/>
      <c r="C711" s="250"/>
      <c r="D711" s="254" t="s">
        <v>2015</v>
      </c>
      <c r="E711" s="223"/>
      <c r="F711" s="250"/>
      <c r="G711" s="223"/>
      <c r="H711" s="250"/>
      <c r="I711" s="250"/>
      <c r="J711" s="250"/>
      <c r="K711" s="251">
        <f>SUBTOTAL(9,K707:K710)</f>
        <v>1279405.1700000002</v>
      </c>
      <c r="L711" s="252"/>
      <c r="M711" s="253"/>
      <c r="N711" s="251">
        <f>SUBTOTAL(9,N707:N710)</f>
        <v>17027.689999999999</v>
      </c>
      <c r="O711" s="251">
        <f>SUBTOTAL(9,O707:O710)</f>
        <v>22773.360000000001</v>
      </c>
      <c r="P711" s="223"/>
      <c r="Q711" s="210"/>
      <c r="R711" s="263" t="s">
        <v>2097</v>
      </c>
      <c r="S711" s="263" t="s">
        <v>2100</v>
      </c>
    </row>
    <row r="712" spans="1:19" ht="60" outlineLevel="2">
      <c r="A712" s="3" t="s">
        <v>850</v>
      </c>
      <c r="B712" s="14" t="s">
        <v>17</v>
      </c>
      <c r="C712" s="15" t="s">
        <v>849</v>
      </c>
      <c r="D712" s="15" t="s">
        <v>850</v>
      </c>
      <c r="E712" s="14" t="s">
        <v>851</v>
      </c>
      <c r="F712" s="15" t="s">
        <v>27</v>
      </c>
      <c r="G712" s="14" t="s">
        <v>28</v>
      </c>
      <c r="H712" s="15" t="s">
        <v>23</v>
      </c>
      <c r="I712" s="15" t="s">
        <v>1525</v>
      </c>
      <c r="J712" s="15">
        <v>201409</v>
      </c>
      <c r="K712" s="16">
        <v>-269.87</v>
      </c>
      <c r="L712" s="171">
        <f>VLOOKUP(J712,$U$9:$V$23,2)</f>
        <v>9</v>
      </c>
      <c r="M712" s="17">
        <v>1.4833299999999999E-3</v>
      </c>
      <c r="N712" s="16">
        <f>ROUND(K712*L712*M712,2)</f>
        <v>-3.6</v>
      </c>
      <c r="O712" s="16">
        <f>ROUND(K712*M712*12,2)</f>
        <v>-4.8</v>
      </c>
      <c r="P712" s="14"/>
      <c r="Q712" s="210" t="str">
        <f>VLOOKUP(D712,'WO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713" spans="1:19" ht="60" outlineLevel="2">
      <c r="A713" s="3" t="s">
        <v>850</v>
      </c>
      <c r="B713" s="14" t="s">
        <v>17</v>
      </c>
      <c r="C713" s="15" t="s">
        <v>849</v>
      </c>
      <c r="D713" s="15" t="s">
        <v>850</v>
      </c>
      <c r="E713" s="14" t="s">
        <v>851</v>
      </c>
      <c r="F713" s="15" t="s">
        <v>27</v>
      </c>
      <c r="G713" s="14" t="s">
        <v>28</v>
      </c>
      <c r="H713" s="15" t="s">
        <v>23</v>
      </c>
      <c r="I713" s="15" t="s">
        <v>1525</v>
      </c>
      <c r="J713" s="15">
        <v>201412</v>
      </c>
      <c r="K713" s="16">
        <v>58.38</v>
      </c>
      <c r="L713" s="171">
        <f>VLOOKUP(J713,$U$9:$V$23,2)</f>
        <v>6</v>
      </c>
      <c r="M713" s="17">
        <v>1.4833299999999999E-3</v>
      </c>
      <c r="N713" s="16">
        <f>ROUND(K713*L713*M713,2)</f>
        <v>0.52</v>
      </c>
      <c r="O713" s="16">
        <f>ROUND(K713*M713*12,2)</f>
        <v>1.04</v>
      </c>
      <c r="P713" s="14"/>
      <c r="Q713" s="210" t="str">
        <f>VLOOKUP(D713,'WO Descriptions'!$A$5:$D$345,4)</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row>
    <row r="714" spans="1:19" outlineLevel="1">
      <c r="A714" s="3" t="s">
        <v>2016</v>
      </c>
      <c r="B714" s="223"/>
      <c r="C714" s="250"/>
      <c r="D714" s="254" t="s">
        <v>2016</v>
      </c>
      <c r="E714" s="223"/>
      <c r="F714" s="250"/>
      <c r="G714" s="223"/>
      <c r="H714" s="250"/>
      <c r="I714" s="250"/>
      <c r="J714" s="250"/>
      <c r="K714" s="251">
        <f>SUBTOTAL(9,K712:K713)</f>
        <v>-211.49</v>
      </c>
      <c r="L714" s="252"/>
      <c r="M714" s="253"/>
      <c r="N714" s="251">
        <f>SUBTOTAL(9,N712:N713)</f>
        <v>-3.08</v>
      </c>
      <c r="O714" s="251">
        <f>SUBTOTAL(9,O712:O713)</f>
        <v>-3.76</v>
      </c>
      <c r="P714" s="223"/>
      <c r="Q714" s="210"/>
      <c r="R714" s="263" t="s">
        <v>2097</v>
      </c>
      <c r="S714" s="263" t="s">
        <v>2099</v>
      </c>
    </row>
    <row r="715" spans="1:19" ht="75" outlineLevel="2">
      <c r="A715" s="3" t="s">
        <v>853</v>
      </c>
      <c r="B715" s="14" t="s">
        <v>54</v>
      </c>
      <c r="C715" s="15" t="s">
        <v>852</v>
      </c>
      <c r="D715" s="15" t="s">
        <v>853</v>
      </c>
      <c r="E715" s="14" t="s">
        <v>854</v>
      </c>
      <c r="F715" s="15" t="s">
        <v>62</v>
      </c>
      <c r="G715" s="14" t="s">
        <v>22</v>
      </c>
      <c r="H715" s="15" t="s">
        <v>23</v>
      </c>
      <c r="I715" s="15" t="s">
        <v>1525</v>
      </c>
      <c r="J715" s="15">
        <v>201410</v>
      </c>
      <c r="K715" s="16">
        <v>27394.7</v>
      </c>
      <c r="L715" s="171">
        <f>VLOOKUP(J715,$U$9:$V$23,2)</f>
        <v>8</v>
      </c>
      <c r="M715" s="17">
        <v>1.4833299999999999E-3</v>
      </c>
      <c r="N715" s="16">
        <f>ROUND(K715*L715*M715,2)</f>
        <v>325.08</v>
      </c>
      <c r="O715" s="16">
        <f>ROUND(K715*M715*12,2)</f>
        <v>487.62</v>
      </c>
      <c r="P715" s="14"/>
      <c r="Q715" s="210" t="str">
        <f>VLOOKUP(D715,'WO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6" spans="1:19" ht="75" outlineLevel="2">
      <c r="A716" s="3" t="s">
        <v>853</v>
      </c>
      <c r="B716" s="14" t="s">
        <v>54</v>
      </c>
      <c r="C716" s="15" t="s">
        <v>852</v>
      </c>
      <c r="D716" s="15" t="s">
        <v>853</v>
      </c>
      <c r="E716" s="14" t="s">
        <v>854</v>
      </c>
      <c r="F716" s="15" t="s">
        <v>62</v>
      </c>
      <c r="G716" s="14" t="s">
        <v>22</v>
      </c>
      <c r="H716" s="15" t="s">
        <v>23</v>
      </c>
      <c r="I716" s="15" t="s">
        <v>1525</v>
      </c>
      <c r="J716" s="15">
        <v>201411</v>
      </c>
      <c r="K716" s="16">
        <v>2279.85</v>
      </c>
      <c r="L716" s="171">
        <f>VLOOKUP(J716,$U$9:$V$23,2)</f>
        <v>7</v>
      </c>
      <c r="M716" s="17">
        <v>1.4833299999999999E-3</v>
      </c>
      <c r="N716" s="16">
        <f>ROUND(K716*L716*M716,2)</f>
        <v>23.67</v>
      </c>
      <c r="O716" s="16">
        <f>ROUND(K716*M716*12,2)</f>
        <v>40.58</v>
      </c>
      <c r="P716" s="14"/>
      <c r="Q716" s="210" t="str">
        <f>VLOOKUP(D716,'WO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7" spans="1:19" ht="75" outlineLevel="2">
      <c r="A717" s="3" t="s">
        <v>853</v>
      </c>
      <c r="B717" s="14" t="s">
        <v>54</v>
      </c>
      <c r="C717" s="15" t="s">
        <v>852</v>
      </c>
      <c r="D717" s="15" t="s">
        <v>853</v>
      </c>
      <c r="E717" s="14" t="s">
        <v>854</v>
      </c>
      <c r="F717" s="15" t="s">
        <v>62</v>
      </c>
      <c r="G717" s="14" t="s">
        <v>22</v>
      </c>
      <c r="H717" s="15" t="s">
        <v>23</v>
      </c>
      <c r="I717" s="15" t="s">
        <v>1525</v>
      </c>
      <c r="J717" s="15">
        <v>201412</v>
      </c>
      <c r="K717" s="16">
        <v>-428.47</v>
      </c>
      <c r="L717" s="171">
        <f>VLOOKUP(J717,$U$9:$V$23,2)</f>
        <v>6</v>
      </c>
      <c r="M717" s="17">
        <v>1.4833299999999999E-3</v>
      </c>
      <c r="N717" s="16">
        <f>ROUND(K717*L717*M717,2)</f>
        <v>-3.81</v>
      </c>
      <c r="O717" s="16">
        <f>ROUND(K717*M717*12,2)</f>
        <v>-7.63</v>
      </c>
      <c r="P717" s="14"/>
      <c r="Q717" s="210" t="str">
        <f>VLOOKUP(D717,'WO Descriptions'!$A$5:$D$345,4)</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row>
    <row r="718" spans="1:19" outlineLevel="1">
      <c r="A718" s="3" t="s">
        <v>2017</v>
      </c>
      <c r="B718" s="223"/>
      <c r="C718" s="250"/>
      <c r="D718" s="254" t="s">
        <v>2017</v>
      </c>
      <c r="E718" s="223"/>
      <c r="F718" s="250"/>
      <c r="G718" s="223"/>
      <c r="H718" s="250"/>
      <c r="I718" s="250"/>
      <c r="J718" s="250"/>
      <c r="K718" s="251">
        <f>SUBTOTAL(9,K715:K717)</f>
        <v>29246.079999999998</v>
      </c>
      <c r="L718" s="252"/>
      <c r="M718" s="253"/>
      <c r="N718" s="251">
        <f>SUBTOTAL(9,N715:N717)</f>
        <v>344.94</v>
      </c>
      <c r="O718" s="251">
        <f>SUBTOTAL(9,O715:O717)</f>
        <v>520.57000000000005</v>
      </c>
      <c r="P718" s="223"/>
      <c r="Q718" s="210"/>
      <c r="R718" s="263" t="s">
        <v>2097</v>
      </c>
      <c r="S718" s="263" t="s">
        <v>2098</v>
      </c>
    </row>
    <row r="719" spans="1:19" ht="45" outlineLevel="2">
      <c r="A719" s="3" t="s">
        <v>856</v>
      </c>
      <c r="B719" s="14" t="s">
        <v>54</v>
      </c>
      <c r="C719" s="15" t="s">
        <v>855</v>
      </c>
      <c r="D719" s="15" t="s">
        <v>856</v>
      </c>
      <c r="E719" s="14" t="s">
        <v>857</v>
      </c>
      <c r="F719" s="15" t="s">
        <v>62</v>
      </c>
      <c r="G719" s="14" t="s">
        <v>22</v>
      </c>
      <c r="H719" s="15" t="s">
        <v>23</v>
      </c>
      <c r="I719" s="15" t="s">
        <v>1525</v>
      </c>
      <c r="J719" s="15">
        <v>201409</v>
      </c>
      <c r="K719" s="16">
        <v>1326.56</v>
      </c>
      <c r="L719" s="171">
        <f>VLOOKUP(J719,$U$9:$V$23,2)</f>
        <v>9</v>
      </c>
      <c r="M719" s="17">
        <v>1.4833299999999999E-3</v>
      </c>
      <c r="N719" s="16">
        <f>ROUND(K719*L719*M719,2)</f>
        <v>17.71</v>
      </c>
      <c r="O719" s="16">
        <f>ROUND(K719*M719*12,2)</f>
        <v>23.61</v>
      </c>
      <c r="P719" s="14"/>
      <c r="Q719" s="210" t="str">
        <f>VLOOKUP(D719,'WO Descriptions'!$A$5:$D$345,4)</f>
        <v>Approved by: Ralph Janes on 04/18/2014,  Replace 436' - 4" PBS (WO# 202) with 440' - 4" PE. The existing main is actively leaking and is isolated bare steel. Price per ft = $65.38 due to 12 tie-overs and anticipated paving repairs. (ISRS)</v>
      </c>
    </row>
    <row r="720" spans="1:19" ht="45" outlineLevel="2">
      <c r="A720" s="3" t="s">
        <v>856</v>
      </c>
      <c r="B720" s="14" t="s">
        <v>54</v>
      </c>
      <c r="C720" s="15" t="s">
        <v>855</v>
      </c>
      <c r="D720" s="15" t="s">
        <v>856</v>
      </c>
      <c r="E720" s="14" t="s">
        <v>857</v>
      </c>
      <c r="F720" s="15" t="s">
        <v>62</v>
      </c>
      <c r="G720" s="14" t="s">
        <v>22</v>
      </c>
      <c r="H720" s="15" t="s">
        <v>23</v>
      </c>
      <c r="I720" s="15" t="s">
        <v>1525</v>
      </c>
      <c r="J720" s="15">
        <v>201410</v>
      </c>
      <c r="K720" s="16">
        <v>-19.38</v>
      </c>
      <c r="L720" s="171">
        <f>VLOOKUP(J720,$U$9:$V$23,2)</f>
        <v>8</v>
      </c>
      <c r="M720" s="17">
        <v>1.4833299999999999E-3</v>
      </c>
      <c r="N720" s="16">
        <f>ROUND(K720*L720*M720,2)</f>
        <v>-0.23</v>
      </c>
      <c r="O720" s="16">
        <f>ROUND(K720*M720*12,2)</f>
        <v>-0.34</v>
      </c>
      <c r="P720" s="14"/>
      <c r="Q720" s="210" t="str">
        <f>VLOOKUP(D720,'WO Descriptions'!$A$5:$D$345,4)</f>
        <v>Approved by: Ralph Janes on 04/18/2014,  Replace 436' - 4" PBS (WO# 202) with 440' - 4" PE. The existing main is actively leaking and is isolated bare steel. Price per ft = $65.38 due to 12 tie-overs and anticipated paving repairs. (ISRS)</v>
      </c>
    </row>
    <row r="721" spans="1:19" outlineLevel="1">
      <c r="A721" s="3" t="s">
        <v>2018</v>
      </c>
      <c r="B721" s="223"/>
      <c r="C721" s="250"/>
      <c r="D721" s="254" t="s">
        <v>2018</v>
      </c>
      <c r="E721" s="223"/>
      <c r="F721" s="250"/>
      <c r="G721" s="223"/>
      <c r="H721" s="250"/>
      <c r="I721" s="250"/>
      <c r="J721" s="250"/>
      <c r="K721" s="251">
        <f>SUBTOTAL(9,K719:K720)</f>
        <v>1307.1799999999998</v>
      </c>
      <c r="L721" s="252"/>
      <c r="M721" s="253"/>
      <c r="N721" s="251">
        <f>SUBTOTAL(9,N719:N720)</f>
        <v>17.48</v>
      </c>
      <c r="O721" s="251">
        <f>SUBTOTAL(9,O719:O720)</f>
        <v>23.27</v>
      </c>
      <c r="P721" s="223"/>
      <c r="Q721" s="210"/>
      <c r="R721" s="263" t="s">
        <v>2097</v>
      </c>
      <c r="S721" s="263" t="s">
        <v>2098</v>
      </c>
    </row>
    <row r="722" spans="1:19" ht="180" outlineLevel="2">
      <c r="A722" s="3" t="s">
        <v>859</v>
      </c>
      <c r="B722" s="14" t="s">
        <v>54</v>
      </c>
      <c r="C722" s="15" t="s">
        <v>858</v>
      </c>
      <c r="D722" s="15" t="s">
        <v>859</v>
      </c>
      <c r="E722" s="14" t="s">
        <v>860</v>
      </c>
      <c r="F722" s="15" t="s">
        <v>62</v>
      </c>
      <c r="G722" s="14" t="s">
        <v>22</v>
      </c>
      <c r="H722" s="15" t="s">
        <v>23</v>
      </c>
      <c r="I722" s="15" t="s">
        <v>1525</v>
      </c>
      <c r="J722" s="15">
        <v>201409</v>
      </c>
      <c r="K722" s="16">
        <v>89949.2</v>
      </c>
      <c r="L722" s="171">
        <f>VLOOKUP(J722,$U$9:$V$23,2)</f>
        <v>9</v>
      </c>
      <c r="M722" s="17">
        <v>1.4833299999999999E-3</v>
      </c>
      <c r="N722" s="16">
        <f>ROUND(K722*L722*M722,2)</f>
        <v>1200.82</v>
      </c>
      <c r="O722" s="16">
        <f>ROUND(K722*M722*12,2)</f>
        <v>1601.09</v>
      </c>
      <c r="P722" s="14"/>
      <c r="Q722" s="210" t="str">
        <f>VLOOKUP(D722,'WO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3" spans="1:19" ht="180" outlineLevel="2">
      <c r="A723" s="3" t="s">
        <v>859</v>
      </c>
      <c r="B723" s="14" t="s">
        <v>54</v>
      </c>
      <c r="C723" s="15" t="s">
        <v>858</v>
      </c>
      <c r="D723" s="15" t="s">
        <v>859</v>
      </c>
      <c r="E723" s="14" t="s">
        <v>860</v>
      </c>
      <c r="F723" s="15" t="s">
        <v>62</v>
      </c>
      <c r="G723" s="14" t="s">
        <v>22</v>
      </c>
      <c r="H723" s="15" t="s">
        <v>23</v>
      </c>
      <c r="I723" s="15" t="s">
        <v>1525</v>
      </c>
      <c r="J723" s="15">
        <v>201410</v>
      </c>
      <c r="K723" s="16">
        <v>3048.22</v>
      </c>
      <c r="L723" s="171">
        <f>VLOOKUP(J723,$U$9:$V$23,2)</f>
        <v>8</v>
      </c>
      <c r="M723" s="17">
        <v>1.4833299999999999E-3</v>
      </c>
      <c r="N723" s="16">
        <f>ROUND(K723*L723*M723,2)</f>
        <v>36.17</v>
      </c>
      <c r="O723" s="16">
        <f>ROUND(K723*M723*12,2)</f>
        <v>54.26</v>
      </c>
      <c r="P723" s="14"/>
      <c r="Q723" s="210" t="str">
        <f>VLOOKUP(D723,'WO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4" spans="1:19" ht="180" outlineLevel="2">
      <c r="A724" s="3" t="s">
        <v>859</v>
      </c>
      <c r="B724" s="14" t="s">
        <v>54</v>
      </c>
      <c r="C724" s="15" t="s">
        <v>858</v>
      </c>
      <c r="D724" s="15" t="s">
        <v>859</v>
      </c>
      <c r="E724" s="14" t="s">
        <v>860</v>
      </c>
      <c r="F724" s="15" t="s">
        <v>62</v>
      </c>
      <c r="G724" s="14" t="s">
        <v>22</v>
      </c>
      <c r="H724" s="15" t="s">
        <v>23</v>
      </c>
      <c r="I724" s="15" t="s">
        <v>1525</v>
      </c>
      <c r="J724" s="15">
        <v>201411</v>
      </c>
      <c r="K724" s="16">
        <v>-3013.95</v>
      </c>
      <c r="L724" s="171">
        <f>VLOOKUP(J724,$U$9:$V$23,2)</f>
        <v>7</v>
      </c>
      <c r="M724" s="17">
        <v>1.4833299999999999E-3</v>
      </c>
      <c r="N724" s="16">
        <f>ROUND(K724*L724*M724,2)</f>
        <v>-31.29</v>
      </c>
      <c r="O724" s="16">
        <f>ROUND(K724*M724*12,2)</f>
        <v>-53.65</v>
      </c>
      <c r="P724" s="14"/>
      <c r="Q724" s="210" t="str">
        <f>VLOOKUP(D724,'WO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5" spans="1:19" ht="180" outlineLevel="2">
      <c r="A725" s="3" t="s">
        <v>859</v>
      </c>
      <c r="B725" s="14" t="s">
        <v>54</v>
      </c>
      <c r="C725" s="15" t="s">
        <v>858</v>
      </c>
      <c r="D725" s="15" t="s">
        <v>859</v>
      </c>
      <c r="E725" s="14" t="s">
        <v>860</v>
      </c>
      <c r="F725" s="15" t="s">
        <v>62</v>
      </c>
      <c r="G725" s="14" t="s">
        <v>22</v>
      </c>
      <c r="H725" s="15" t="s">
        <v>23</v>
      </c>
      <c r="I725" s="15" t="s">
        <v>1525</v>
      </c>
      <c r="J725" s="15">
        <v>201412</v>
      </c>
      <c r="K725" s="16">
        <v>45.84</v>
      </c>
      <c r="L725" s="171">
        <f>VLOOKUP(J725,$U$9:$V$23,2)</f>
        <v>6</v>
      </c>
      <c r="M725" s="17">
        <v>1.4833299999999999E-3</v>
      </c>
      <c r="N725" s="16">
        <f>ROUND(K725*L725*M725,2)</f>
        <v>0.41</v>
      </c>
      <c r="O725" s="16">
        <f>ROUND(K725*M725*12,2)</f>
        <v>0.82</v>
      </c>
      <c r="P725" s="14"/>
      <c r="Q725" s="210" t="str">
        <f>VLOOKUP(D725,'WO Descriptions'!$A$5:$D$345,4)</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row>
    <row r="726" spans="1:19" outlineLevel="1">
      <c r="A726" s="3" t="s">
        <v>2019</v>
      </c>
      <c r="B726" s="223"/>
      <c r="C726" s="250"/>
      <c r="D726" s="254" t="s">
        <v>2019</v>
      </c>
      <c r="E726" s="223"/>
      <c r="F726" s="250"/>
      <c r="G726" s="223"/>
      <c r="H726" s="250"/>
      <c r="I726" s="250"/>
      <c r="J726" s="250"/>
      <c r="K726" s="251">
        <f>SUBTOTAL(9,K722:K725)</f>
        <v>90029.31</v>
      </c>
      <c r="L726" s="252"/>
      <c r="M726" s="253"/>
      <c r="N726" s="251">
        <f>SUBTOTAL(9,N722:N725)</f>
        <v>1206.1100000000001</v>
      </c>
      <c r="O726" s="251">
        <f>SUBTOTAL(9,O722:O725)</f>
        <v>1602.5199999999998</v>
      </c>
      <c r="P726" s="223"/>
      <c r="Q726" s="210"/>
      <c r="R726" s="263" t="s">
        <v>2097</v>
      </c>
      <c r="S726" s="263" t="s">
        <v>2098</v>
      </c>
    </row>
    <row r="727" spans="1:19" ht="30" outlineLevel="2">
      <c r="A727" s="3" t="s">
        <v>862</v>
      </c>
      <c r="B727" s="14" t="s">
        <v>54</v>
      </c>
      <c r="C727" s="15" t="s">
        <v>861</v>
      </c>
      <c r="D727" s="15" t="s">
        <v>862</v>
      </c>
      <c r="E727" s="14" t="s">
        <v>863</v>
      </c>
      <c r="F727" s="15" t="s">
        <v>45</v>
      </c>
      <c r="G727" s="14" t="s">
        <v>22</v>
      </c>
      <c r="H727" s="15" t="s">
        <v>23</v>
      </c>
      <c r="I727" s="15" t="s">
        <v>1525</v>
      </c>
      <c r="J727" s="15">
        <v>201409</v>
      </c>
      <c r="K727" s="16">
        <v>-304.48</v>
      </c>
      <c r="L727" s="171">
        <f>VLOOKUP(J727,$U$9:$V$23,2)</f>
        <v>9</v>
      </c>
      <c r="M727" s="17">
        <v>1.4833299999999999E-3</v>
      </c>
      <c r="N727" s="16">
        <f>ROUND(K727*L727*M727,2)</f>
        <v>-4.0599999999999996</v>
      </c>
      <c r="O727" s="16">
        <f>ROUND(K727*M727*12,2)</f>
        <v>-5.42</v>
      </c>
      <c r="P727" s="14"/>
      <c r="Q727" s="210" t="str">
        <f>VLOOKUP(D727,'WO Descriptions'!$A$5:$D$345,4)</f>
        <v>Approved by: Gary Williams on 04/22/2014,  Replace 4'' PBS that is leaking with 4'' PE. Tie in 58' NNC Franklin and 30' SSC Franklin. Ensure north side is 4'WEC. Pressure System - C-001.</v>
      </c>
    </row>
    <row r="728" spans="1:19" ht="30" outlineLevel="2">
      <c r="A728" s="3" t="s">
        <v>862</v>
      </c>
      <c r="B728" s="14" t="s">
        <v>54</v>
      </c>
      <c r="C728" s="15" t="s">
        <v>861</v>
      </c>
      <c r="D728" s="15" t="s">
        <v>862</v>
      </c>
      <c r="E728" s="14" t="s">
        <v>863</v>
      </c>
      <c r="F728" s="15" t="s">
        <v>45</v>
      </c>
      <c r="G728" s="14" t="s">
        <v>22</v>
      </c>
      <c r="H728" s="15" t="s">
        <v>23</v>
      </c>
      <c r="I728" s="15" t="s">
        <v>1525</v>
      </c>
      <c r="J728" s="15">
        <v>201410</v>
      </c>
      <c r="K728" s="16">
        <v>-40.68</v>
      </c>
      <c r="L728" s="171">
        <f>VLOOKUP(J728,$U$9:$V$23,2)</f>
        <v>8</v>
      </c>
      <c r="M728" s="17">
        <v>1.4833299999999999E-3</v>
      </c>
      <c r="N728" s="16">
        <f>ROUND(K728*L728*M728,2)</f>
        <v>-0.48</v>
      </c>
      <c r="O728" s="16">
        <f>ROUND(K728*M728*12,2)</f>
        <v>-0.72</v>
      </c>
      <c r="P728" s="14"/>
      <c r="Q728" s="210" t="str">
        <f>VLOOKUP(D728,'WO Descriptions'!$A$5:$D$345,4)</f>
        <v>Approved by: Gary Williams on 04/22/2014,  Replace 4'' PBS that is leaking with 4'' PE. Tie in 58' NNC Franklin and 30' SSC Franklin. Ensure north side is 4'WEC. Pressure System - C-001.</v>
      </c>
    </row>
    <row r="729" spans="1:19" outlineLevel="1">
      <c r="A729" s="3" t="s">
        <v>2020</v>
      </c>
      <c r="B729" s="223"/>
      <c r="C729" s="250"/>
      <c r="D729" s="254" t="s">
        <v>2020</v>
      </c>
      <c r="E729" s="223"/>
      <c r="F729" s="250"/>
      <c r="G729" s="223"/>
      <c r="H729" s="250"/>
      <c r="I729" s="250"/>
      <c r="J729" s="250"/>
      <c r="K729" s="251">
        <f>SUBTOTAL(9,K727:K728)</f>
        <v>-345.16</v>
      </c>
      <c r="L729" s="252"/>
      <c r="M729" s="253"/>
      <c r="N729" s="251">
        <f>SUBTOTAL(9,N727:N728)</f>
        <v>-4.5399999999999991</v>
      </c>
      <c r="O729" s="251">
        <f>SUBTOTAL(9,O727:O728)</f>
        <v>-6.14</v>
      </c>
      <c r="P729" s="223"/>
      <c r="Q729" s="210"/>
      <c r="R729" s="263" t="s">
        <v>2097</v>
      </c>
      <c r="S729" s="263" t="s">
        <v>2098</v>
      </c>
    </row>
    <row r="730" spans="1:19" ht="60" outlineLevel="2">
      <c r="A730" s="3" t="s">
        <v>1043</v>
      </c>
      <c r="B730" s="14" t="s">
        <v>238</v>
      </c>
      <c r="C730" s="15" t="s">
        <v>1042</v>
      </c>
      <c r="D730" s="15" t="s">
        <v>1043</v>
      </c>
      <c r="E730" s="14" t="s">
        <v>1044</v>
      </c>
      <c r="F730" s="15" t="s">
        <v>168</v>
      </c>
      <c r="G730" s="14" t="s">
        <v>169</v>
      </c>
      <c r="H730" s="15" t="s">
        <v>23</v>
      </c>
      <c r="I730" s="15" t="s">
        <v>1528</v>
      </c>
      <c r="J730" s="15">
        <v>201412</v>
      </c>
      <c r="K730" s="16">
        <v>32263.57</v>
      </c>
      <c r="L730" s="171">
        <f>VLOOKUP(J730,$U$9:$V$23,2)</f>
        <v>6</v>
      </c>
      <c r="M730" s="17">
        <v>2.3833299999999999E-3</v>
      </c>
      <c r="N730" s="16">
        <f>ROUND(K730*L730*M730,2)</f>
        <v>461.37</v>
      </c>
      <c r="O730" s="16">
        <f>ROUND(K730*M730*12,2)</f>
        <v>922.74</v>
      </c>
      <c r="P730" s="14"/>
      <c r="Q730" s="210" t="str">
        <f>VLOOKUP(D730,'WO Descriptions'!$A$5:$D$345,4)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731" spans="1:19" outlineLevel="1">
      <c r="A731" s="3" t="s">
        <v>2021</v>
      </c>
      <c r="B731" s="223"/>
      <c r="C731" s="250"/>
      <c r="D731" s="254" t="s">
        <v>2021</v>
      </c>
      <c r="E731" s="223"/>
      <c r="F731" s="250"/>
      <c r="G731" s="223"/>
      <c r="H731" s="250"/>
      <c r="I731" s="250"/>
      <c r="J731" s="250"/>
      <c r="K731" s="251">
        <f>SUBTOTAL(9,K730:K730)</f>
        <v>32263.57</v>
      </c>
      <c r="L731" s="252"/>
      <c r="M731" s="253"/>
      <c r="N731" s="251">
        <f>SUBTOTAL(9,N730:N730)</f>
        <v>461.37</v>
      </c>
      <c r="O731" s="251">
        <f>SUBTOTAL(9,O730:O730)</f>
        <v>922.74</v>
      </c>
      <c r="P731" s="223"/>
      <c r="Q731" s="210"/>
      <c r="R731" s="263" t="s">
        <v>2097</v>
      </c>
      <c r="S731" s="263" t="s">
        <v>2099</v>
      </c>
    </row>
    <row r="732" spans="1:19" ht="45" outlineLevel="2">
      <c r="A732" s="3" t="s">
        <v>865</v>
      </c>
      <c r="B732" s="14" t="s">
        <v>54</v>
      </c>
      <c r="C732" s="15" t="s">
        <v>864</v>
      </c>
      <c r="D732" s="15" t="s">
        <v>865</v>
      </c>
      <c r="E732" s="14" t="s">
        <v>866</v>
      </c>
      <c r="F732" s="15" t="s">
        <v>141</v>
      </c>
      <c r="G732" s="14" t="s">
        <v>142</v>
      </c>
      <c r="H732" s="15" t="s">
        <v>23</v>
      </c>
      <c r="I732" s="15" t="s">
        <v>1525</v>
      </c>
      <c r="J732" s="15">
        <v>201409</v>
      </c>
      <c r="K732" s="16">
        <v>-738.77</v>
      </c>
      <c r="L732" s="171">
        <f>VLOOKUP(J732,$U$9:$V$23,2)</f>
        <v>9</v>
      </c>
      <c r="M732" s="17">
        <v>1.4833299999999999E-3</v>
      </c>
      <c r="N732" s="16">
        <f>ROUND(K732*L732*M732,2)</f>
        <v>-9.86</v>
      </c>
      <c r="O732" s="16">
        <f>ROUND(K732*M732*12,2)</f>
        <v>-13.15</v>
      </c>
      <c r="P732" s="14"/>
      <c r="Q732" s="210" t="str">
        <f>VLOOKUP(D732,'WO Descriptions'!$A$5:$D$345,4)</f>
        <v>Approved by: Gary Williams on 04/28/2014,  TO LAY 542FT -6IN PE MAIN,REPLACE 542FT-10IN CI MAIN (WO#94-0724 330FT,WO#77-1701 73FT,WO#06-0843 110FT). THIS WORK ORDER IS NECESSARY DUE TO LEAKAGE</v>
      </c>
    </row>
    <row r="733" spans="1:19" ht="45" outlineLevel="2">
      <c r="A733" s="3" t="s">
        <v>865</v>
      </c>
      <c r="B733" s="14" t="s">
        <v>54</v>
      </c>
      <c r="C733" s="15" t="s">
        <v>864</v>
      </c>
      <c r="D733" s="15" t="s">
        <v>865</v>
      </c>
      <c r="E733" s="14" t="s">
        <v>866</v>
      </c>
      <c r="F733" s="15" t="s">
        <v>141</v>
      </c>
      <c r="G733" s="14" t="s">
        <v>142</v>
      </c>
      <c r="H733" s="15" t="s">
        <v>23</v>
      </c>
      <c r="I733" s="15" t="s">
        <v>1525</v>
      </c>
      <c r="J733" s="15">
        <v>201410</v>
      </c>
      <c r="K733" s="16">
        <v>-89.02</v>
      </c>
      <c r="L733" s="171">
        <f>VLOOKUP(J733,$U$9:$V$23,2)</f>
        <v>8</v>
      </c>
      <c r="M733" s="17">
        <v>1.4833299999999999E-3</v>
      </c>
      <c r="N733" s="16">
        <f>ROUND(K733*L733*M733,2)</f>
        <v>-1.06</v>
      </c>
      <c r="O733" s="16">
        <f>ROUND(K733*M733*12,2)</f>
        <v>-1.58</v>
      </c>
      <c r="P733" s="14"/>
      <c r="Q733" s="210" t="str">
        <f>VLOOKUP(D733,'WO Descriptions'!$A$5:$D$345,4)</f>
        <v>Approved by: Gary Williams on 04/28/2014,  TO LAY 542FT -6IN PE MAIN,REPLACE 542FT-10IN CI MAIN (WO#94-0724 330FT,WO#77-1701 73FT,WO#06-0843 110FT). THIS WORK ORDER IS NECESSARY DUE TO LEAKAGE</v>
      </c>
    </row>
    <row r="734" spans="1:19" outlineLevel="1">
      <c r="A734" s="3" t="s">
        <v>2022</v>
      </c>
      <c r="B734" s="223"/>
      <c r="C734" s="250"/>
      <c r="D734" s="254" t="s">
        <v>2022</v>
      </c>
      <c r="E734" s="223"/>
      <c r="F734" s="250"/>
      <c r="G734" s="223"/>
      <c r="H734" s="250"/>
      <c r="I734" s="250"/>
      <c r="J734" s="250"/>
      <c r="K734" s="251">
        <f>SUBTOTAL(9,K732:K733)</f>
        <v>-827.79</v>
      </c>
      <c r="L734" s="252"/>
      <c r="M734" s="253"/>
      <c r="N734" s="251">
        <f>SUBTOTAL(9,N732:N733)</f>
        <v>-10.92</v>
      </c>
      <c r="O734" s="251">
        <f>SUBTOTAL(9,O732:O733)</f>
        <v>-14.73</v>
      </c>
      <c r="P734" s="223"/>
      <c r="Q734" s="210"/>
      <c r="R734" s="263" t="s">
        <v>2097</v>
      </c>
      <c r="S734" s="263" t="s">
        <v>2100</v>
      </c>
    </row>
    <row r="735" spans="1:19" ht="45" outlineLevel="2">
      <c r="A735" s="3" t="s">
        <v>868</v>
      </c>
      <c r="B735" s="14" t="s">
        <v>54</v>
      </c>
      <c r="C735" s="15" t="s">
        <v>867</v>
      </c>
      <c r="D735" s="15" t="s">
        <v>868</v>
      </c>
      <c r="E735" s="14" t="s">
        <v>869</v>
      </c>
      <c r="F735" s="15" t="s">
        <v>36</v>
      </c>
      <c r="G735" s="14" t="s">
        <v>22</v>
      </c>
      <c r="H735" s="15" t="s">
        <v>23</v>
      </c>
      <c r="I735" s="15" t="s">
        <v>1525</v>
      </c>
      <c r="J735" s="15">
        <v>201409</v>
      </c>
      <c r="K735" s="16">
        <v>-73.569999999999993</v>
      </c>
      <c r="L735" s="171">
        <f>VLOOKUP(J735,$U$9:$V$23,2)</f>
        <v>9</v>
      </c>
      <c r="M735" s="17">
        <v>1.4833299999999999E-3</v>
      </c>
      <c r="N735" s="16">
        <f>ROUND(K735*L735*M735,2)</f>
        <v>-0.98</v>
      </c>
      <c r="O735" s="16">
        <f>ROUND(K735*M735*12,2)</f>
        <v>-1.31</v>
      </c>
      <c r="P735" s="14"/>
      <c r="Q735" s="210" t="str">
        <f>VLOOKUP(D735,'WO Descriptions'!$A$5:$D$345,4)</f>
        <v>Approved by: Gary Williams on 04/28/2014,  To lay 450' of 4"PE main to replace 450' of 4" bare steel main due to down project. Pressure System: C-O1: MOP : .88oz MAOP: .88oz Design MAOP: .88oz Pressure Test: 100 PSIG.</v>
      </c>
    </row>
    <row r="736" spans="1:19" ht="45" outlineLevel="2">
      <c r="A736" s="3" t="s">
        <v>868</v>
      </c>
      <c r="B736" s="14" t="s">
        <v>54</v>
      </c>
      <c r="C736" s="15" t="s">
        <v>867</v>
      </c>
      <c r="D736" s="15" t="s">
        <v>868</v>
      </c>
      <c r="E736" s="14" t="s">
        <v>869</v>
      </c>
      <c r="F736" s="15" t="s">
        <v>36</v>
      </c>
      <c r="G736" s="14" t="s">
        <v>22</v>
      </c>
      <c r="H736" s="15" t="s">
        <v>23</v>
      </c>
      <c r="I736" s="15" t="s">
        <v>1525</v>
      </c>
      <c r="J736" s="15">
        <v>201410</v>
      </c>
      <c r="K736" s="16">
        <v>-21.63</v>
      </c>
      <c r="L736" s="171">
        <f>VLOOKUP(J736,$U$9:$V$23,2)</f>
        <v>8</v>
      </c>
      <c r="M736" s="17">
        <v>1.4833299999999999E-3</v>
      </c>
      <c r="N736" s="16">
        <f>ROUND(K736*L736*M736,2)</f>
        <v>-0.26</v>
      </c>
      <c r="O736" s="16">
        <f>ROUND(K736*M736*12,2)</f>
        <v>-0.39</v>
      </c>
      <c r="P736" s="14"/>
      <c r="Q736" s="210" t="str">
        <f>VLOOKUP(D736,'WO Descriptions'!$A$5:$D$345,4)</f>
        <v>Approved by: Gary Williams on 04/28/2014,  To lay 450' of 4"PE main to replace 450' of 4" bare steel main due to down project. Pressure System: C-O1: MOP : .88oz MAOP: .88oz Design MAOP: .88oz Pressure Test: 100 PSIG.</v>
      </c>
    </row>
    <row r="737" spans="1:19" outlineLevel="1">
      <c r="A737" s="3" t="s">
        <v>2023</v>
      </c>
      <c r="B737" s="223"/>
      <c r="C737" s="250"/>
      <c r="D737" s="254" t="s">
        <v>2023</v>
      </c>
      <c r="E737" s="223"/>
      <c r="F737" s="250"/>
      <c r="G737" s="223"/>
      <c r="H737" s="250"/>
      <c r="I737" s="250"/>
      <c r="J737" s="250"/>
      <c r="K737" s="251">
        <f>SUBTOTAL(9,K735:K736)</f>
        <v>-95.199999999999989</v>
      </c>
      <c r="L737" s="252"/>
      <c r="M737" s="253"/>
      <c r="N737" s="251">
        <f>SUBTOTAL(9,N735:N736)</f>
        <v>-1.24</v>
      </c>
      <c r="O737" s="251">
        <f>SUBTOTAL(9,O735:O736)</f>
        <v>-1.7000000000000002</v>
      </c>
      <c r="P737" s="223"/>
      <c r="Q737" s="210"/>
      <c r="R737" s="263" t="s">
        <v>2097</v>
      </c>
      <c r="S737" s="263" t="s">
        <v>2098</v>
      </c>
    </row>
    <row r="738" spans="1:19" ht="30" outlineLevel="2">
      <c r="A738" s="3" t="s">
        <v>871</v>
      </c>
      <c r="B738" s="14" t="s">
        <v>54</v>
      </c>
      <c r="C738" s="15" t="s">
        <v>870</v>
      </c>
      <c r="D738" s="15" t="s">
        <v>871</v>
      </c>
      <c r="E738" s="14" t="s">
        <v>872</v>
      </c>
      <c r="F738" s="15" t="s">
        <v>108</v>
      </c>
      <c r="G738" s="14" t="s">
        <v>28</v>
      </c>
      <c r="H738" s="15" t="s">
        <v>23</v>
      </c>
      <c r="I738" s="15" t="s">
        <v>1525</v>
      </c>
      <c r="J738" s="15">
        <v>201409</v>
      </c>
      <c r="K738" s="16">
        <v>-159.66</v>
      </c>
      <c r="L738" s="171">
        <f>VLOOKUP(J738,$U$9:$V$23,2)</f>
        <v>9</v>
      </c>
      <c r="M738" s="17">
        <v>1.4833299999999999E-3</v>
      </c>
      <c r="N738" s="16">
        <f>ROUND(K738*L738*M738,2)</f>
        <v>-2.13</v>
      </c>
      <c r="O738" s="16">
        <f>ROUND(K738*M738*12,2)</f>
        <v>-2.84</v>
      </c>
      <c r="P738" s="14"/>
      <c r="Q738" s="210" t="str">
        <f>VLOOKUP(D738,'WO Descriptions'!$A$5:$D$345,4)</f>
        <v>Approved by: Gary Williams on 04/28/2014,  TO LAY 103FT-2IN PE MAIN TO REPLACE 103FT-1 1/8 PE (WO#74-2599). Due to increased load.</v>
      </c>
    </row>
    <row r="739" spans="1:19" ht="30" outlineLevel="2">
      <c r="A739" s="3" t="s">
        <v>871</v>
      </c>
      <c r="B739" s="14" t="s">
        <v>54</v>
      </c>
      <c r="C739" s="15" t="s">
        <v>870</v>
      </c>
      <c r="D739" s="15" t="s">
        <v>871</v>
      </c>
      <c r="E739" s="14" t="s">
        <v>872</v>
      </c>
      <c r="F739" s="15" t="s">
        <v>108</v>
      </c>
      <c r="G739" s="14" t="s">
        <v>28</v>
      </c>
      <c r="H739" s="15" t="s">
        <v>23</v>
      </c>
      <c r="I739" s="15" t="s">
        <v>1525</v>
      </c>
      <c r="J739" s="15">
        <v>201410</v>
      </c>
      <c r="K739" s="16">
        <v>-10.32</v>
      </c>
      <c r="L739" s="171">
        <f>VLOOKUP(J739,$U$9:$V$23,2)</f>
        <v>8</v>
      </c>
      <c r="M739" s="17">
        <v>1.4833299999999999E-3</v>
      </c>
      <c r="N739" s="16">
        <f>ROUND(K739*L739*M739,2)</f>
        <v>-0.12</v>
      </c>
      <c r="O739" s="16">
        <f>ROUND(K739*M739*12,2)</f>
        <v>-0.18</v>
      </c>
      <c r="P739" s="14"/>
      <c r="Q739" s="210" t="str">
        <f>VLOOKUP(D739,'WO Descriptions'!$A$5:$D$345,4)</f>
        <v>Approved by: Gary Williams on 04/28/2014,  TO LAY 103FT-2IN PE MAIN TO REPLACE 103FT-1 1/8 PE (WO#74-2599). Due to increased load.</v>
      </c>
    </row>
    <row r="740" spans="1:19" outlineLevel="1">
      <c r="A740" s="3" t="s">
        <v>2024</v>
      </c>
      <c r="B740" s="223"/>
      <c r="C740" s="250"/>
      <c r="D740" s="254" t="s">
        <v>2024</v>
      </c>
      <c r="E740" s="223"/>
      <c r="F740" s="250"/>
      <c r="G740" s="223"/>
      <c r="H740" s="250"/>
      <c r="I740" s="250"/>
      <c r="J740" s="250"/>
      <c r="K740" s="251">
        <f>SUBTOTAL(9,K738:K739)</f>
        <v>-169.98</v>
      </c>
      <c r="L740" s="252"/>
      <c r="M740" s="253"/>
      <c r="N740" s="251">
        <f>SUBTOTAL(9,N738:N739)</f>
        <v>-2.25</v>
      </c>
      <c r="O740" s="251">
        <f>SUBTOTAL(9,O738:O739)</f>
        <v>-3.02</v>
      </c>
      <c r="P740" s="223"/>
      <c r="Q740" s="210"/>
      <c r="R740" s="263" t="s">
        <v>2097</v>
      </c>
      <c r="S740" s="263" t="s">
        <v>2099</v>
      </c>
    </row>
    <row r="741" spans="1:19" ht="45" outlineLevel="2">
      <c r="A741" s="3" t="s">
        <v>874</v>
      </c>
      <c r="B741" s="14" t="s">
        <v>54</v>
      </c>
      <c r="C741" s="15" t="s">
        <v>873</v>
      </c>
      <c r="D741" s="15" t="s">
        <v>874</v>
      </c>
      <c r="E741" s="14" t="s">
        <v>875</v>
      </c>
      <c r="F741" s="15" t="s">
        <v>36</v>
      </c>
      <c r="G741" s="14" t="s">
        <v>22</v>
      </c>
      <c r="H741" s="15" t="s">
        <v>23</v>
      </c>
      <c r="I741" s="15" t="s">
        <v>1525</v>
      </c>
      <c r="J741" s="15">
        <v>201409</v>
      </c>
      <c r="K741" s="16">
        <v>-132.54</v>
      </c>
      <c r="L741" s="171">
        <f>VLOOKUP(J741,$U$9:$V$23,2)</f>
        <v>9</v>
      </c>
      <c r="M741" s="17">
        <v>1.4833299999999999E-3</v>
      </c>
      <c r="N741" s="16">
        <f>ROUND(K741*L741*M741,2)</f>
        <v>-1.77</v>
      </c>
      <c r="O741" s="16">
        <f>ROUND(K741*M741*12,2)</f>
        <v>-2.36</v>
      </c>
      <c r="P741" s="14"/>
      <c r="Q741" s="210" t="str">
        <f>VLOOKUP(D741,'WO Descriptions'!$A$5:$D$345,4)</f>
        <v>Approved by: Gary Williams on 04/28/2014,  To lay 150' of 4"PE main to replace 150' of 4" bare steel main due to down project. System: C-O1: MOP :14oz MAOP : .88oz Design MAOP : .88oz Pressure Test: 100 PSIG.</v>
      </c>
    </row>
    <row r="742" spans="1:19" ht="45" outlineLevel="2">
      <c r="A742" s="3" t="s">
        <v>874</v>
      </c>
      <c r="B742" s="14" t="s">
        <v>54</v>
      </c>
      <c r="C742" s="15" t="s">
        <v>873</v>
      </c>
      <c r="D742" s="15" t="s">
        <v>874</v>
      </c>
      <c r="E742" s="14" t="s">
        <v>875</v>
      </c>
      <c r="F742" s="15" t="s">
        <v>36</v>
      </c>
      <c r="G742" s="14" t="s">
        <v>22</v>
      </c>
      <c r="H742" s="15" t="s">
        <v>23</v>
      </c>
      <c r="I742" s="15" t="s">
        <v>1525</v>
      </c>
      <c r="J742" s="15">
        <v>201410</v>
      </c>
      <c r="K742" s="16">
        <v>-14.44</v>
      </c>
      <c r="L742" s="171">
        <f>VLOOKUP(J742,$U$9:$V$23,2)</f>
        <v>8</v>
      </c>
      <c r="M742" s="17">
        <v>1.4833299999999999E-3</v>
      </c>
      <c r="N742" s="16">
        <f>ROUND(K742*L742*M742,2)</f>
        <v>-0.17</v>
      </c>
      <c r="O742" s="16">
        <f>ROUND(K742*M742*12,2)</f>
        <v>-0.26</v>
      </c>
      <c r="P742" s="14"/>
      <c r="Q742" s="210" t="str">
        <f>VLOOKUP(D742,'WO Descriptions'!$A$5:$D$345,4)</f>
        <v>Approved by: Gary Williams on 04/28/2014,  To lay 150' of 4"PE main to replace 150' of 4" bare steel main due to down project. System: C-O1: MOP :14oz MAOP : .88oz Design MAOP : .88oz Pressure Test: 100 PSIG.</v>
      </c>
    </row>
    <row r="743" spans="1:19" outlineLevel="1">
      <c r="A743" s="3" t="s">
        <v>2025</v>
      </c>
      <c r="B743" s="223"/>
      <c r="C743" s="250"/>
      <c r="D743" s="254" t="s">
        <v>2025</v>
      </c>
      <c r="E743" s="223"/>
      <c r="F743" s="250"/>
      <c r="G743" s="223"/>
      <c r="H743" s="250"/>
      <c r="I743" s="250"/>
      <c r="J743" s="250"/>
      <c r="K743" s="251">
        <f>SUBTOTAL(9,K741:K742)</f>
        <v>-146.97999999999999</v>
      </c>
      <c r="L743" s="252"/>
      <c r="M743" s="253"/>
      <c r="N743" s="251">
        <f>SUBTOTAL(9,N741:N742)</f>
        <v>-1.94</v>
      </c>
      <c r="O743" s="251">
        <f>SUBTOTAL(9,O741:O742)</f>
        <v>-2.62</v>
      </c>
      <c r="P743" s="223"/>
      <c r="Q743" s="210"/>
      <c r="R743" s="263" t="s">
        <v>2097</v>
      </c>
      <c r="S743" s="263" t="s">
        <v>2098</v>
      </c>
    </row>
    <row r="744" spans="1:19" ht="60" outlineLevel="2">
      <c r="A744" s="3" t="s">
        <v>877</v>
      </c>
      <c r="B744" s="14" t="s">
        <v>54</v>
      </c>
      <c r="C744" s="15" t="s">
        <v>876</v>
      </c>
      <c r="D744" s="15" t="s">
        <v>877</v>
      </c>
      <c r="E744" s="14" t="s">
        <v>878</v>
      </c>
      <c r="F744" s="15" t="s">
        <v>62</v>
      </c>
      <c r="G744" s="14" t="s">
        <v>22</v>
      </c>
      <c r="H744" s="15" t="s">
        <v>23</v>
      </c>
      <c r="I744" s="15" t="s">
        <v>1525</v>
      </c>
      <c r="J744" s="15">
        <v>201410</v>
      </c>
      <c r="K744" s="16">
        <v>40690.879999999997</v>
      </c>
      <c r="L744" s="171">
        <f>VLOOKUP(J744,$U$9:$V$23,2)</f>
        <v>8</v>
      </c>
      <c r="M744" s="17">
        <v>1.4833299999999999E-3</v>
      </c>
      <c r="N744" s="16">
        <f>ROUND(K744*L744*M744,2)</f>
        <v>482.86</v>
      </c>
      <c r="O744" s="16">
        <f>ROUND(K744*M744*12,2)</f>
        <v>724.3</v>
      </c>
      <c r="P744" s="14"/>
      <c r="Q744" s="210" t="str">
        <f>VLOOKUP(D744,'WO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5" spans="1:19" ht="60" outlineLevel="2">
      <c r="A745" s="3" t="s">
        <v>877</v>
      </c>
      <c r="B745" s="14" t="s">
        <v>54</v>
      </c>
      <c r="C745" s="15" t="s">
        <v>876</v>
      </c>
      <c r="D745" s="15" t="s">
        <v>877</v>
      </c>
      <c r="E745" s="14" t="s">
        <v>878</v>
      </c>
      <c r="F745" s="15" t="s">
        <v>62</v>
      </c>
      <c r="G745" s="14" t="s">
        <v>22</v>
      </c>
      <c r="H745" s="15" t="s">
        <v>23</v>
      </c>
      <c r="I745" s="15" t="s">
        <v>1525</v>
      </c>
      <c r="J745" s="15">
        <v>201411</v>
      </c>
      <c r="K745" s="16">
        <v>8478.08</v>
      </c>
      <c r="L745" s="171">
        <f>VLOOKUP(J745,$U$9:$V$23,2)</f>
        <v>7</v>
      </c>
      <c r="M745" s="17">
        <v>1.4833299999999999E-3</v>
      </c>
      <c r="N745" s="16">
        <f>ROUND(K745*L745*M745,2)</f>
        <v>88.03</v>
      </c>
      <c r="O745" s="16">
        <f>ROUND(K745*M745*12,2)</f>
        <v>150.91</v>
      </c>
      <c r="P745" s="14"/>
      <c r="Q745" s="210" t="str">
        <f>VLOOKUP(D745,'WO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6" spans="1:19" ht="60" outlineLevel="2">
      <c r="A746" s="3" t="s">
        <v>877</v>
      </c>
      <c r="B746" s="14" t="s">
        <v>54</v>
      </c>
      <c r="C746" s="15" t="s">
        <v>876</v>
      </c>
      <c r="D746" s="15" t="s">
        <v>877</v>
      </c>
      <c r="E746" s="14" t="s">
        <v>878</v>
      </c>
      <c r="F746" s="15" t="s">
        <v>62</v>
      </c>
      <c r="G746" s="14" t="s">
        <v>22</v>
      </c>
      <c r="H746" s="15" t="s">
        <v>23</v>
      </c>
      <c r="I746" s="15" t="s">
        <v>1525</v>
      </c>
      <c r="J746" s="15">
        <v>201412</v>
      </c>
      <c r="K746" s="16">
        <v>-865.92</v>
      </c>
      <c r="L746" s="171">
        <f>VLOOKUP(J746,$U$9:$V$23,2)</f>
        <v>6</v>
      </c>
      <c r="M746" s="17">
        <v>1.4833299999999999E-3</v>
      </c>
      <c r="N746" s="16">
        <f>ROUND(K746*L746*M746,2)</f>
        <v>-7.71</v>
      </c>
      <c r="O746" s="16">
        <f>ROUND(K746*M746*12,2)</f>
        <v>-15.41</v>
      </c>
      <c r="P746" s="14"/>
      <c r="Q746" s="210" t="str">
        <f>VLOOKUP(D746,'WO Descriptions'!$A$5:$D$345,4)</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row>
    <row r="747" spans="1:19" outlineLevel="1">
      <c r="A747" s="3" t="s">
        <v>2026</v>
      </c>
      <c r="B747" s="223"/>
      <c r="C747" s="250"/>
      <c r="D747" s="254" t="s">
        <v>2026</v>
      </c>
      <c r="E747" s="223"/>
      <c r="F747" s="250"/>
      <c r="G747" s="223"/>
      <c r="H747" s="250"/>
      <c r="I747" s="250"/>
      <c r="J747" s="250"/>
      <c r="K747" s="251">
        <f>SUBTOTAL(9,K744:K746)</f>
        <v>48303.040000000001</v>
      </c>
      <c r="L747" s="252"/>
      <c r="M747" s="253"/>
      <c r="N747" s="251">
        <f>SUBTOTAL(9,N744:N746)</f>
        <v>563.17999999999995</v>
      </c>
      <c r="O747" s="251">
        <f>SUBTOTAL(9,O744:O746)</f>
        <v>859.8</v>
      </c>
      <c r="P747" s="223"/>
      <c r="Q747" s="210"/>
      <c r="R747" s="263" t="s">
        <v>2097</v>
      </c>
      <c r="S747" s="263" t="s">
        <v>2098</v>
      </c>
    </row>
    <row r="748" spans="1:19" ht="30" outlineLevel="2">
      <c r="A748" s="3" t="s">
        <v>1046</v>
      </c>
      <c r="B748" s="14" t="s">
        <v>54</v>
      </c>
      <c r="C748" s="15" t="s">
        <v>1045</v>
      </c>
      <c r="D748" s="15" t="s">
        <v>1046</v>
      </c>
      <c r="E748" s="14" t="s">
        <v>1047</v>
      </c>
      <c r="F748" s="15" t="s">
        <v>462</v>
      </c>
      <c r="G748" s="14" t="s">
        <v>142</v>
      </c>
      <c r="H748" s="15" t="s">
        <v>23</v>
      </c>
      <c r="I748" s="15" t="s">
        <v>1525</v>
      </c>
      <c r="J748" s="15">
        <v>201412</v>
      </c>
      <c r="K748" s="16">
        <v>5321.09</v>
      </c>
      <c r="L748" s="171">
        <f>VLOOKUP(J748,$U$9:$V$23,2)</f>
        <v>6</v>
      </c>
      <c r="M748" s="17">
        <v>1.4833299999999999E-3</v>
      </c>
      <c r="N748" s="16">
        <f>ROUND(K748*L748*M748,2)</f>
        <v>47.36</v>
      </c>
      <c r="O748" s="16">
        <f>ROUND(K748*M748*12,2)</f>
        <v>94.72</v>
      </c>
      <c r="P748" s="14"/>
      <c r="Q748" s="210" t="str">
        <f>VLOOKUP(D748,'WO Descriptions'!$A$5:$D$345,4)</f>
        <v>Approved by: Kevin Driskell on 03/28/2014,  Replace 4in CI w/ 190'-4in PE due to leak.  Tie-over 3 services and replace 1 service.</v>
      </c>
    </row>
    <row r="749" spans="1:19" outlineLevel="1">
      <c r="A749" s="3" t="s">
        <v>2027</v>
      </c>
      <c r="B749" s="223"/>
      <c r="C749" s="250"/>
      <c r="D749" s="254" t="s">
        <v>2027</v>
      </c>
      <c r="E749" s="223"/>
      <c r="F749" s="250"/>
      <c r="G749" s="223"/>
      <c r="H749" s="250"/>
      <c r="I749" s="250"/>
      <c r="J749" s="250"/>
      <c r="K749" s="251">
        <f>SUBTOTAL(9,K748:K748)</f>
        <v>5321.09</v>
      </c>
      <c r="L749" s="252"/>
      <c r="M749" s="253"/>
      <c r="N749" s="251">
        <f>SUBTOTAL(9,N748:N748)</f>
        <v>47.36</v>
      </c>
      <c r="O749" s="251">
        <f>SUBTOTAL(9,O748:O748)</f>
        <v>94.72</v>
      </c>
      <c r="P749" s="223"/>
      <c r="Q749" s="210"/>
      <c r="R749" s="263" t="s">
        <v>2097</v>
      </c>
      <c r="S749" s="263" t="s">
        <v>2100</v>
      </c>
    </row>
    <row r="750" spans="1:19" ht="60" outlineLevel="2">
      <c r="A750" s="3" t="s">
        <v>880</v>
      </c>
      <c r="B750" s="14" t="s">
        <v>54</v>
      </c>
      <c r="C750" s="15" t="s">
        <v>879</v>
      </c>
      <c r="D750" s="15" t="s">
        <v>880</v>
      </c>
      <c r="E750" s="14" t="s">
        <v>881</v>
      </c>
      <c r="F750" s="15" t="s">
        <v>53</v>
      </c>
      <c r="G750" s="14" t="s">
        <v>41</v>
      </c>
      <c r="H750" s="15" t="s">
        <v>23</v>
      </c>
      <c r="I750" s="15" t="s">
        <v>1526</v>
      </c>
      <c r="J750" s="15">
        <v>201409</v>
      </c>
      <c r="K750" s="16">
        <v>-421.12</v>
      </c>
      <c r="L750" s="171">
        <f>VLOOKUP(J750,$U$9:$V$23,2)</f>
        <v>9</v>
      </c>
      <c r="M750" s="17">
        <v>1.4833299999999999E-3</v>
      </c>
      <c r="N750" s="16">
        <f>ROUND(K750*L750*M750,2)</f>
        <v>-5.62</v>
      </c>
      <c r="O750" s="16">
        <f>ROUND(K750*M750*12,2)</f>
        <v>-7.5</v>
      </c>
      <c r="P750" s="14"/>
      <c r="Q750" s="210" t="str">
        <f>VLOOKUP(D750,'WO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1" spans="1:19" ht="60" outlineLevel="2">
      <c r="A751" s="3" t="s">
        <v>880</v>
      </c>
      <c r="B751" s="14" t="s">
        <v>54</v>
      </c>
      <c r="C751" s="15" t="s">
        <v>879</v>
      </c>
      <c r="D751" s="15" t="s">
        <v>880</v>
      </c>
      <c r="E751" s="14" t="s">
        <v>881</v>
      </c>
      <c r="F751" s="15" t="s">
        <v>53</v>
      </c>
      <c r="G751" s="14" t="s">
        <v>41</v>
      </c>
      <c r="H751" s="15" t="s">
        <v>23</v>
      </c>
      <c r="I751" s="15" t="s">
        <v>1526</v>
      </c>
      <c r="J751" s="15">
        <v>201410</v>
      </c>
      <c r="K751" s="16">
        <v>-7153.05</v>
      </c>
      <c r="L751" s="171">
        <f>VLOOKUP(J751,$U$9:$V$23,2)</f>
        <v>8</v>
      </c>
      <c r="M751" s="17">
        <v>1.4833299999999999E-3</v>
      </c>
      <c r="N751" s="16">
        <f>ROUND(K751*L751*M751,2)</f>
        <v>-84.88</v>
      </c>
      <c r="O751" s="16">
        <f>ROUND(K751*M751*12,2)</f>
        <v>-127.32</v>
      </c>
      <c r="P751" s="14"/>
      <c r="Q751" s="210" t="str">
        <f>VLOOKUP(D751,'WO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2" spans="1:19" ht="60" outlineLevel="2">
      <c r="A752" s="3" t="s">
        <v>880</v>
      </c>
      <c r="B752" s="14" t="s">
        <v>54</v>
      </c>
      <c r="C752" s="15" t="s">
        <v>879</v>
      </c>
      <c r="D752" s="15" t="s">
        <v>880</v>
      </c>
      <c r="E752" s="14" t="s">
        <v>881</v>
      </c>
      <c r="F752" s="15" t="s">
        <v>53</v>
      </c>
      <c r="G752" s="14" t="s">
        <v>41</v>
      </c>
      <c r="H752" s="15" t="s">
        <v>23</v>
      </c>
      <c r="I752" s="15" t="s">
        <v>1526</v>
      </c>
      <c r="J752" s="15">
        <v>201411</v>
      </c>
      <c r="K752" s="16">
        <v>195.47</v>
      </c>
      <c r="L752" s="171">
        <f>VLOOKUP(J752,$U$9:$V$23,2)</f>
        <v>7</v>
      </c>
      <c r="M752" s="17">
        <v>1.4833299999999999E-3</v>
      </c>
      <c r="N752" s="16">
        <f>ROUND(K752*L752*M752,2)</f>
        <v>2.0299999999999998</v>
      </c>
      <c r="O752" s="16">
        <f>ROUND(K752*M752*12,2)</f>
        <v>3.48</v>
      </c>
      <c r="P752" s="14"/>
      <c r="Q752" s="210" t="str">
        <f>VLOOKUP(D752,'WO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3" spans="1:19" ht="60" outlineLevel="2">
      <c r="A753" s="3" t="s">
        <v>880</v>
      </c>
      <c r="B753" s="14" t="s">
        <v>54</v>
      </c>
      <c r="C753" s="15" t="s">
        <v>879</v>
      </c>
      <c r="D753" s="15" t="s">
        <v>880</v>
      </c>
      <c r="E753" s="14" t="s">
        <v>881</v>
      </c>
      <c r="F753" s="15" t="s">
        <v>53</v>
      </c>
      <c r="G753" s="14" t="s">
        <v>41</v>
      </c>
      <c r="H753" s="15" t="s">
        <v>23</v>
      </c>
      <c r="I753" s="15" t="s">
        <v>1526</v>
      </c>
      <c r="J753" s="15">
        <v>201412</v>
      </c>
      <c r="K753" s="16">
        <v>544.26</v>
      </c>
      <c r="L753" s="171">
        <f>VLOOKUP(J753,$U$9:$V$23,2)</f>
        <v>6</v>
      </c>
      <c r="M753" s="17">
        <v>1.4833299999999999E-3</v>
      </c>
      <c r="N753" s="16">
        <f>ROUND(K753*L753*M753,2)</f>
        <v>4.84</v>
      </c>
      <c r="O753" s="16">
        <f>ROUND(K753*M753*12,2)</f>
        <v>9.69</v>
      </c>
      <c r="P753" s="14"/>
      <c r="Q753" s="210" t="str">
        <f>VLOOKUP(D753,'WO Descriptions'!$A$5:$D$345,4)</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row>
    <row r="754" spans="1:19" outlineLevel="1">
      <c r="A754" s="3" t="s">
        <v>2028</v>
      </c>
      <c r="B754" s="223"/>
      <c r="C754" s="250"/>
      <c r="D754" s="254" t="s">
        <v>2028</v>
      </c>
      <c r="E754" s="223"/>
      <c r="F754" s="250"/>
      <c r="G754" s="223"/>
      <c r="H754" s="250"/>
      <c r="I754" s="250"/>
      <c r="J754" s="250"/>
      <c r="K754" s="251">
        <f>SUBTOTAL(9,K750:K753)</f>
        <v>-6834.44</v>
      </c>
      <c r="L754" s="252"/>
      <c r="M754" s="253"/>
      <c r="N754" s="251">
        <f>SUBTOTAL(9,N750:N753)</f>
        <v>-83.63</v>
      </c>
      <c r="O754" s="251">
        <f>SUBTOTAL(9,O750:O753)</f>
        <v>-121.65</v>
      </c>
      <c r="P754" s="223"/>
      <c r="Q754" s="210"/>
      <c r="R754" s="263" t="s">
        <v>2096</v>
      </c>
    </row>
    <row r="755" spans="1:19" ht="75" outlineLevel="2">
      <c r="A755" s="3" t="s">
        <v>1049</v>
      </c>
      <c r="B755" s="14" t="s">
        <v>54</v>
      </c>
      <c r="C755" s="15" t="s">
        <v>1048</v>
      </c>
      <c r="D755" s="15" t="s">
        <v>1049</v>
      </c>
      <c r="E755" s="14" t="s">
        <v>1050</v>
      </c>
      <c r="F755" s="15" t="s">
        <v>925</v>
      </c>
      <c r="G755" s="14" t="s">
        <v>41</v>
      </c>
      <c r="H755" s="15" t="s">
        <v>23</v>
      </c>
      <c r="I755" s="15" t="s">
        <v>1526</v>
      </c>
      <c r="J755" s="15">
        <v>201412</v>
      </c>
      <c r="K755" s="16">
        <v>310904.90000000002</v>
      </c>
      <c r="L755" s="171">
        <f>VLOOKUP(J755,$U$9:$V$23,2)</f>
        <v>6</v>
      </c>
      <c r="M755" s="17">
        <v>1.4833299999999999E-3</v>
      </c>
      <c r="N755" s="16">
        <f>ROUND(K755*L755*M755,2)</f>
        <v>2767.05</v>
      </c>
      <c r="O755" s="16">
        <f>ROUND(K755*M755*12,2)</f>
        <v>5534.09</v>
      </c>
      <c r="P755" s="14"/>
      <c r="Q755" s="210" t="str">
        <f>VLOOKUP(D755,'WO Descriptions'!$A$5:$D$345,4)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756" spans="1:19" outlineLevel="1">
      <c r="A756" s="3" t="s">
        <v>2029</v>
      </c>
      <c r="B756" s="223"/>
      <c r="C756" s="250"/>
      <c r="D756" s="254" t="s">
        <v>2029</v>
      </c>
      <c r="E756" s="223"/>
      <c r="F756" s="250"/>
      <c r="G756" s="223"/>
      <c r="H756" s="250"/>
      <c r="I756" s="250"/>
      <c r="J756" s="250"/>
      <c r="K756" s="251">
        <f>SUBTOTAL(9,K755:K755)</f>
        <v>310904.90000000002</v>
      </c>
      <c r="L756" s="252"/>
      <c r="M756" s="253"/>
      <c r="N756" s="251">
        <f>SUBTOTAL(9,N755:N755)</f>
        <v>2767.05</v>
      </c>
      <c r="O756" s="251">
        <f>SUBTOTAL(9,O755:O755)</f>
        <v>5534.09</v>
      </c>
      <c r="P756" s="223"/>
      <c r="Q756" s="210"/>
      <c r="R756" s="263" t="s">
        <v>2096</v>
      </c>
    </row>
    <row r="757" spans="1:19" ht="60" outlineLevel="2">
      <c r="A757" s="3" t="s">
        <v>883</v>
      </c>
      <c r="B757" s="14" t="s">
        <v>17</v>
      </c>
      <c r="C757" s="15" t="s">
        <v>882</v>
      </c>
      <c r="D757" s="15" t="s">
        <v>883</v>
      </c>
      <c r="E757" s="14" t="s">
        <v>884</v>
      </c>
      <c r="F757" s="15" t="s">
        <v>216</v>
      </c>
      <c r="G757" s="14" t="s">
        <v>22</v>
      </c>
      <c r="H757" s="15" t="s">
        <v>23</v>
      </c>
      <c r="I757" s="15" t="s">
        <v>1525</v>
      </c>
      <c r="J757" s="15">
        <v>201409</v>
      </c>
      <c r="K757" s="16">
        <v>-0.43</v>
      </c>
      <c r="L757" s="171">
        <f>VLOOKUP(J757,$U$9:$V$23,2)</f>
        <v>9</v>
      </c>
      <c r="M757" s="17">
        <v>1.4833299999999999E-3</v>
      </c>
      <c r="N757" s="16">
        <f>ROUND(K757*L757*M757,2)</f>
        <v>-0.01</v>
      </c>
      <c r="O757" s="16">
        <f>ROUND(K757*M757*12,2)</f>
        <v>-0.01</v>
      </c>
      <c r="P757" s="14"/>
      <c r="Q757" s="210" t="str">
        <f>VLOOKUP(D757,'WO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58" spans="1:19" ht="60" outlineLevel="2">
      <c r="A758" s="3" t="s">
        <v>883</v>
      </c>
      <c r="B758" s="14" t="s">
        <v>17</v>
      </c>
      <c r="C758" s="15" t="s">
        <v>882</v>
      </c>
      <c r="D758" s="15" t="s">
        <v>883</v>
      </c>
      <c r="E758" s="14" t="s">
        <v>884</v>
      </c>
      <c r="F758" s="15" t="s">
        <v>216</v>
      </c>
      <c r="G758" s="14" t="s">
        <v>22</v>
      </c>
      <c r="H758" s="15" t="s">
        <v>23</v>
      </c>
      <c r="I758" s="15" t="s">
        <v>1525</v>
      </c>
      <c r="J758" s="15">
        <v>201410</v>
      </c>
      <c r="K758" s="16">
        <v>-23.54</v>
      </c>
      <c r="L758" s="171">
        <f>VLOOKUP(J758,$U$9:$V$23,2)</f>
        <v>8</v>
      </c>
      <c r="M758" s="17">
        <v>1.4833299999999999E-3</v>
      </c>
      <c r="N758" s="16">
        <f>ROUND(K758*L758*M758,2)</f>
        <v>-0.28000000000000003</v>
      </c>
      <c r="O758" s="16">
        <f>ROUND(K758*M758*12,2)</f>
        <v>-0.42</v>
      </c>
      <c r="P758" s="14"/>
      <c r="Q758" s="210" t="str">
        <f>VLOOKUP(D758,'WO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59" spans="1:19" ht="60" outlineLevel="2">
      <c r="A759" s="3" t="s">
        <v>883</v>
      </c>
      <c r="B759" s="14" t="s">
        <v>54</v>
      </c>
      <c r="C759" s="15" t="s">
        <v>882</v>
      </c>
      <c r="D759" s="15" t="s">
        <v>883</v>
      </c>
      <c r="E759" s="14" t="s">
        <v>884</v>
      </c>
      <c r="F759" s="15" t="s">
        <v>216</v>
      </c>
      <c r="G759" s="14" t="s">
        <v>22</v>
      </c>
      <c r="H759" s="15" t="s">
        <v>23</v>
      </c>
      <c r="I759" s="15" t="s">
        <v>1525</v>
      </c>
      <c r="J759" s="15">
        <v>201409</v>
      </c>
      <c r="K759" s="16">
        <v>-114.88</v>
      </c>
      <c r="L759" s="171">
        <f>VLOOKUP(J759,$U$9:$V$23,2)</f>
        <v>9</v>
      </c>
      <c r="M759" s="17">
        <v>1.4833299999999999E-3</v>
      </c>
      <c r="N759" s="16">
        <f>ROUND(K759*L759*M759,2)</f>
        <v>-1.53</v>
      </c>
      <c r="O759" s="16">
        <f>ROUND(K759*M759*12,2)</f>
        <v>-2.04</v>
      </c>
      <c r="P759" s="14"/>
      <c r="Q759" s="210" t="str">
        <f>VLOOKUP(D759,'WO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60" spans="1:19" ht="60" outlineLevel="2">
      <c r="A760" s="3" t="s">
        <v>883</v>
      </c>
      <c r="B760" s="14" t="s">
        <v>54</v>
      </c>
      <c r="C760" s="15" t="s">
        <v>882</v>
      </c>
      <c r="D760" s="15" t="s">
        <v>883</v>
      </c>
      <c r="E760" s="14" t="s">
        <v>884</v>
      </c>
      <c r="F760" s="15" t="s">
        <v>216</v>
      </c>
      <c r="G760" s="14" t="s">
        <v>22</v>
      </c>
      <c r="H760" s="15" t="s">
        <v>23</v>
      </c>
      <c r="I760" s="15" t="s">
        <v>1525</v>
      </c>
      <c r="J760" s="15">
        <v>201410</v>
      </c>
      <c r="K760" s="16">
        <v>5.81</v>
      </c>
      <c r="L760" s="171">
        <f>VLOOKUP(J760,$U$9:$V$23,2)</f>
        <v>8</v>
      </c>
      <c r="M760" s="17">
        <v>1.4833299999999999E-3</v>
      </c>
      <c r="N760" s="16">
        <f>ROUND(K760*L760*M760,2)</f>
        <v>7.0000000000000007E-2</v>
      </c>
      <c r="O760" s="16">
        <f>ROUND(K760*M760*12,2)</f>
        <v>0.1</v>
      </c>
      <c r="P760" s="14"/>
      <c r="Q760" s="210" t="str">
        <f>VLOOKUP(D760,'WO Descriptions'!$A$5:$D$345,4)</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row>
    <row r="761" spans="1:19" outlineLevel="1">
      <c r="A761" s="3" t="s">
        <v>2030</v>
      </c>
      <c r="B761" s="223"/>
      <c r="C761" s="250"/>
      <c r="D761" s="254" t="s">
        <v>2030</v>
      </c>
      <c r="E761" s="223"/>
      <c r="F761" s="250"/>
      <c r="G761" s="223"/>
      <c r="H761" s="250"/>
      <c r="I761" s="250"/>
      <c r="J761" s="250"/>
      <c r="K761" s="251">
        <f>SUBTOTAL(9,K757:K760)</f>
        <v>-133.04</v>
      </c>
      <c r="L761" s="252"/>
      <c r="M761" s="253"/>
      <c r="N761" s="251">
        <f>SUBTOTAL(9,N757:N760)</f>
        <v>-1.75</v>
      </c>
      <c r="O761" s="251">
        <f>SUBTOTAL(9,O757:O760)</f>
        <v>-2.37</v>
      </c>
      <c r="P761" s="223"/>
      <c r="Q761" s="210"/>
      <c r="R761" s="263" t="s">
        <v>2097</v>
      </c>
      <c r="S761" s="263" t="s">
        <v>2098</v>
      </c>
    </row>
    <row r="762" spans="1:19" ht="30" outlineLevel="2">
      <c r="A762" s="3" t="s">
        <v>886</v>
      </c>
      <c r="B762" s="14" t="s">
        <v>54</v>
      </c>
      <c r="C762" s="15" t="s">
        <v>885</v>
      </c>
      <c r="D762" s="15" t="s">
        <v>886</v>
      </c>
      <c r="E762" s="14" t="s">
        <v>887</v>
      </c>
      <c r="F762" s="15" t="s">
        <v>141</v>
      </c>
      <c r="G762" s="14" t="s">
        <v>142</v>
      </c>
      <c r="H762" s="15" t="s">
        <v>23</v>
      </c>
      <c r="I762" s="15" t="s">
        <v>1525</v>
      </c>
      <c r="J762" s="15">
        <v>201409</v>
      </c>
      <c r="K762" s="16">
        <v>45.46</v>
      </c>
      <c r="L762" s="171">
        <f>VLOOKUP(J762,$U$9:$V$23,2)</f>
        <v>9</v>
      </c>
      <c r="M762" s="17">
        <v>1.4833299999999999E-3</v>
      </c>
      <c r="N762" s="16">
        <f>ROUND(K762*L762*M762,2)</f>
        <v>0.61</v>
      </c>
      <c r="O762" s="16">
        <f>ROUND(K762*M762*12,2)</f>
        <v>0.81</v>
      </c>
      <c r="P762" s="14"/>
      <c r="Q762" s="210" t="str">
        <f>VLOOKUP(D762,'WO Descriptions'!$A$5:$D$345,4)</f>
        <v>Approved by: Kevin Driskell on 05/13/2014,  6'' CI was replaced with 6'' PE. Pressure system - C-001</v>
      </c>
    </row>
    <row r="763" spans="1:19" ht="30" outlineLevel="2">
      <c r="A763" s="3" t="s">
        <v>886</v>
      </c>
      <c r="B763" s="14" t="s">
        <v>54</v>
      </c>
      <c r="C763" s="15" t="s">
        <v>885</v>
      </c>
      <c r="D763" s="15" t="s">
        <v>886</v>
      </c>
      <c r="E763" s="14" t="s">
        <v>887</v>
      </c>
      <c r="F763" s="15" t="s">
        <v>141</v>
      </c>
      <c r="G763" s="14" t="s">
        <v>142</v>
      </c>
      <c r="H763" s="15" t="s">
        <v>23</v>
      </c>
      <c r="I763" s="15" t="s">
        <v>1525</v>
      </c>
      <c r="J763" s="15">
        <v>201410</v>
      </c>
      <c r="K763" s="16">
        <v>9.77</v>
      </c>
      <c r="L763" s="171">
        <f>VLOOKUP(J763,$U$9:$V$23,2)</f>
        <v>8</v>
      </c>
      <c r="M763" s="17">
        <v>1.4833299999999999E-3</v>
      </c>
      <c r="N763" s="16">
        <f>ROUND(K763*L763*M763,2)</f>
        <v>0.12</v>
      </c>
      <c r="O763" s="16">
        <f>ROUND(K763*M763*12,2)</f>
        <v>0.17</v>
      </c>
      <c r="P763" s="14"/>
      <c r="Q763" s="210" t="str">
        <f>VLOOKUP(D763,'WO Descriptions'!$A$5:$D$345,4)</f>
        <v>Approved by: Kevin Driskell on 05/13/2014,  6'' CI was replaced with 6'' PE. Pressure system - C-001</v>
      </c>
    </row>
    <row r="764" spans="1:19" outlineLevel="1">
      <c r="A764" s="3" t="s">
        <v>2031</v>
      </c>
      <c r="B764" s="223"/>
      <c r="C764" s="250"/>
      <c r="D764" s="254" t="s">
        <v>2031</v>
      </c>
      <c r="E764" s="223"/>
      <c r="F764" s="250"/>
      <c r="G764" s="223"/>
      <c r="H764" s="250"/>
      <c r="I764" s="250"/>
      <c r="J764" s="250"/>
      <c r="K764" s="251">
        <f>SUBTOTAL(9,K762:K763)</f>
        <v>55.230000000000004</v>
      </c>
      <c r="L764" s="252"/>
      <c r="M764" s="253"/>
      <c r="N764" s="251">
        <f>SUBTOTAL(9,N762:N763)</f>
        <v>0.73</v>
      </c>
      <c r="O764" s="251">
        <f>SUBTOTAL(9,O762:O763)</f>
        <v>0.98000000000000009</v>
      </c>
      <c r="P764" s="223"/>
      <c r="Q764" s="210"/>
      <c r="R764" s="263" t="s">
        <v>2097</v>
      </c>
      <c r="S764" s="263" t="s">
        <v>2100</v>
      </c>
    </row>
    <row r="765" spans="1:19" ht="60" outlineLevel="2">
      <c r="A765" s="3" t="s">
        <v>1052</v>
      </c>
      <c r="B765" s="14" t="s">
        <v>54</v>
      </c>
      <c r="C765" s="15" t="s">
        <v>1051</v>
      </c>
      <c r="D765" s="15" t="s">
        <v>1052</v>
      </c>
      <c r="E765" s="14" t="s">
        <v>1053</v>
      </c>
      <c r="F765" s="15" t="s">
        <v>45</v>
      </c>
      <c r="G765" s="14" t="s">
        <v>22</v>
      </c>
      <c r="H765" s="15" t="s">
        <v>23</v>
      </c>
      <c r="I765" s="15" t="s">
        <v>1525</v>
      </c>
      <c r="J765" s="15">
        <v>201412</v>
      </c>
      <c r="K765" s="16">
        <v>74180.240000000005</v>
      </c>
      <c r="L765" s="171">
        <f>VLOOKUP(J765,$U$9:$V$23,2)</f>
        <v>6</v>
      </c>
      <c r="M765" s="17">
        <v>1.4833299999999999E-3</v>
      </c>
      <c r="N765" s="16">
        <f>ROUND(K765*L765*M765,2)</f>
        <v>660.2</v>
      </c>
      <c r="O765" s="16">
        <f>ROUND(K765*M765*12,2)</f>
        <v>1320.41</v>
      </c>
      <c r="P765" s="14"/>
      <c r="Q765" s="210" t="str">
        <f>VLOOKUP(D765,'WO Descriptions'!$A$5:$D$345,4)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766" spans="1:19" outlineLevel="1">
      <c r="A766" s="3" t="s">
        <v>2032</v>
      </c>
      <c r="B766" s="223"/>
      <c r="C766" s="250"/>
      <c r="D766" s="254" t="s">
        <v>2032</v>
      </c>
      <c r="E766" s="223"/>
      <c r="F766" s="250"/>
      <c r="G766" s="223"/>
      <c r="H766" s="250"/>
      <c r="I766" s="250"/>
      <c r="J766" s="250"/>
      <c r="K766" s="251">
        <f>SUBTOTAL(9,K765:K765)</f>
        <v>74180.240000000005</v>
      </c>
      <c r="L766" s="252"/>
      <c r="M766" s="253"/>
      <c r="N766" s="251">
        <f>SUBTOTAL(9,N765:N765)</f>
        <v>660.2</v>
      </c>
      <c r="O766" s="251">
        <f>SUBTOTAL(9,O765:O765)</f>
        <v>1320.41</v>
      </c>
      <c r="P766" s="223"/>
      <c r="Q766" s="210"/>
      <c r="R766" s="263" t="s">
        <v>2097</v>
      </c>
      <c r="S766" s="263" t="s">
        <v>2098</v>
      </c>
    </row>
    <row r="767" spans="1:19" ht="75" outlineLevel="2">
      <c r="A767" s="3" t="s">
        <v>889</v>
      </c>
      <c r="B767" s="14" t="s">
        <v>54</v>
      </c>
      <c r="C767" s="15" t="s">
        <v>888</v>
      </c>
      <c r="D767" s="15" t="s">
        <v>889</v>
      </c>
      <c r="E767" s="14" t="s">
        <v>890</v>
      </c>
      <c r="F767" s="15" t="s">
        <v>32</v>
      </c>
      <c r="G767" s="14" t="s">
        <v>22</v>
      </c>
      <c r="H767" s="15" t="s">
        <v>23</v>
      </c>
      <c r="I767" s="15" t="s">
        <v>1525</v>
      </c>
      <c r="J767" s="15">
        <v>201409</v>
      </c>
      <c r="K767" s="16">
        <v>-1910.67</v>
      </c>
      <c r="L767" s="171">
        <f>VLOOKUP(J767,$U$9:$V$23,2)</f>
        <v>9</v>
      </c>
      <c r="M767" s="17">
        <v>1.4833299999999999E-3</v>
      </c>
      <c r="N767" s="16">
        <f>ROUND(K767*L767*M767,2)</f>
        <v>-25.51</v>
      </c>
      <c r="O767" s="16">
        <f>ROUND(K767*M767*12,2)</f>
        <v>-34.01</v>
      </c>
      <c r="P767" s="14"/>
      <c r="Q767" s="210" t="str">
        <f>VLOOKUP(D767,'WO Descriptions'!$A$5:$D$345,4)</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row>
    <row r="768" spans="1:19" outlineLevel="1">
      <c r="A768" s="3" t="s">
        <v>2033</v>
      </c>
      <c r="B768" s="223"/>
      <c r="C768" s="250"/>
      <c r="D768" s="254" t="s">
        <v>2033</v>
      </c>
      <c r="E768" s="223"/>
      <c r="F768" s="250"/>
      <c r="G768" s="223"/>
      <c r="H768" s="250"/>
      <c r="I768" s="250"/>
      <c r="J768" s="250"/>
      <c r="K768" s="251">
        <f>SUBTOTAL(9,K767:K767)</f>
        <v>-1910.67</v>
      </c>
      <c r="L768" s="252"/>
      <c r="M768" s="253"/>
      <c r="N768" s="251">
        <f>SUBTOTAL(9,N767:N767)</f>
        <v>-25.51</v>
      </c>
      <c r="O768" s="251">
        <f>SUBTOTAL(9,O767:O767)</f>
        <v>-34.01</v>
      </c>
      <c r="P768" s="223"/>
      <c r="Q768" s="210"/>
      <c r="R768" s="263" t="s">
        <v>2097</v>
      </c>
      <c r="S768" s="263" t="s">
        <v>2098</v>
      </c>
    </row>
    <row r="769" spans="1:19" ht="45" outlineLevel="2">
      <c r="A769" s="3" t="s">
        <v>1103</v>
      </c>
      <c r="B769" s="14" t="s">
        <v>66</v>
      </c>
      <c r="C769" s="15" t="s">
        <v>1102</v>
      </c>
      <c r="D769" s="15" t="s">
        <v>1103</v>
      </c>
      <c r="E769" s="14" t="s">
        <v>1104</v>
      </c>
      <c r="F769" s="15" t="s">
        <v>466</v>
      </c>
      <c r="G769" s="14" t="s">
        <v>467</v>
      </c>
      <c r="H769" s="15" t="s">
        <v>23</v>
      </c>
      <c r="I769" s="15" t="s">
        <v>1527</v>
      </c>
      <c r="J769" s="15">
        <v>201409</v>
      </c>
      <c r="K769" s="16">
        <v>4582.03</v>
      </c>
      <c r="L769" s="171">
        <f>VLOOKUP(J769,$U$9:$V$23,2)</f>
        <v>9</v>
      </c>
      <c r="M769" s="17">
        <v>2.23333E-3</v>
      </c>
      <c r="N769" s="16">
        <f>ROUND(K769*L769*M769,2)</f>
        <v>92.1</v>
      </c>
      <c r="O769" s="16">
        <f>ROUND(K769*M769*12,2)</f>
        <v>122.8</v>
      </c>
      <c r="P769" s="14"/>
      <c r="Q769" s="210" t="str">
        <f>VLOOKUP(D769,'WO Descriptions'!$A$5:$D$345,4)</f>
        <v>Approved by: Kevin Driskell on 05/18/2014,  Repl 120ft-1 1/4in pe service line WITH 120ft-2in pe service line due to increase in load (17,900 cfh). Tie-in 4in cs (wo#89-6994). ECONOMIC EVALUATION WILL COVER THIS PROJECT.</v>
      </c>
    </row>
    <row r="770" spans="1:19" ht="45" outlineLevel="2">
      <c r="A770" s="3" t="s">
        <v>1103</v>
      </c>
      <c r="B770" s="14" t="s">
        <v>66</v>
      </c>
      <c r="C770" s="15" t="s">
        <v>1102</v>
      </c>
      <c r="D770" s="15" t="s">
        <v>1103</v>
      </c>
      <c r="E770" s="14" t="s">
        <v>1104</v>
      </c>
      <c r="F770" s="15" t="s">
        <v>466</v>
      </c>
      <c r="G770" s="14" t="s">
        <v>467</v>
      </c>
      <c r="H770" s="15" t="s">
        <v>23</v>
      </c>
      <c r="I770" s="15" t="s">
        <v>1527</v>
      </c>
      <c r="J770" s="15">
        <v>201410</v>
      </c>
      <c r="K770" s="16">
        <v>-0.01</v>
      </c>
      <c r="L770" s="171">
        <f>VLOOKUP(J770,$U$9:$V$23,2)</f>
        <v>8</v>
      </c>
      <c r="M770" s="17">
        <v>2.23333E-3</v>
      </c>
      <c r="N770" s="16">
        <f>ROUND(K770*L770*M770,2)</f>
        <v>0</v>
      </c>
      <c r="O770" s="16">
        <f>ROUND(K770*M770*12,2)</f>
        <v>0</v>
      </c>
      <c r="P770" s="14"/>
      <c r="Q770" s="210" t="str">
        <f>VLOOKUP(D770,'WO Descriptions'!$A$5:$D$345,4)</f>
        <v>Approved by: Kevin Driskell on 05/18/2014,  Repl 120ft-1 1/4in pe service line WITH 120ft-2in pe service line due to increase in load (17,900 cfh). Tie-in 4in cs (wo#89-6994). ECONOMIC EVALUATION WILL COVER THIS PROJECT.</v>
      </c>
    </row>
    <row r="771" spans="1:19" outlineLevel="1">
      <c r="A771" s="3" t="s">
        <v>2034</v>
      </c>
      <c r="B771" s="223"/>
      <c r="C771" s="250"/>
      <c r="D771" s="254" t="s">
        <v>2034</v>
      </c>
      <c r="E771" s="223"/>
      <c r="F771" s="250"/>
      <c r="G771" s="223"/>
      <c r="H771" s="250"/>
      <c r="I771" s="250"/>
      <c r="J771" s="250"/>
      <c r="K771" s="251">
        <f>SUBTOTAL(9,K769:K770)</f>
        <v>4582.0199999999995</v>
      </c>
      <c r="L771" s="252"/>
      <c r="M771" s="253"/>
      <c r="N771" s="251">
        <f>SUBTOTAL(9,N769:N770)</f>
        <v>92.1</v>
      </c>
      <c r="O771" s="251">
        <f>SUBTOTAL(9,O769:O770)</f>
        <v>122.8</v>
      </c>
      <c r="P771" s="223"/>
      <c r="Q771" s="210"/>
      <c r="R771" s="263" t="s">
        <v>2097</v>
      </c>
      <c r="S771" s="263" t="s">
        <v>2104</v>
      </c>
    </row>
    <row r="772" spans="1:19" ht="135" outlineLevel="2">
      <c r="A772" s="3" t="s">
        <v>892</v>
      </c>
      <c r="B772" s="14" t="s">
        <v>17</v>
      </c>
      <c r="C772" s="15" t="s">
        <v>891</v>
      </c>
      <c r="D772" s="15" t="s">
        <v>892</v>
      </c>
      <c r="E772" s="14" t="s">
        <v>893</v>
      </c>
      <c r="F772" s="15" t="s">
        <v>32</v>
      </c>
      <c r="G772" s="14" t="s">
        <v>22</v>
      </c>
      <c r="H772" s="15" t="s">
        <v>23</v>
      </c>
      <c r="I772" s="15" t="s">
        <v>1525</v>
      </c>
      <c r="J772" s="15">
        <v>201409</v>
      </c>
      <c r="K772" s="16">
        <v>946.06</v>
      </c>
      <c r="L772" s="171">
        <f>VLOOKUP(J772,$U$9:$V$23,2)</f>
        <v>9</v>
      </c>
      <c r="M772" s="17">
        <v>1.4833299999999999E-3</v>
      </c>
      <c r="N772" s="16">
        <f>ROUND(K772*L772*M772,2)</f>
        <v>12.63</v>
      </c>
      <c r="O772" s="16">
        <f>ROUND(K772*M772*12,2)</f>
        <v>16.84</v>
      </c>
      <c r="P772" s="14"/>
      <c r="Q772" s="210" t="str">
        <f>VLOOKUP(D772,'WO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3" spans="1:19" ht="135" outlineLevel="2">
      <c r="A773" s="3" t="s">
        <v>892</v>
      </c>
      <c r="B773" s="14" t="s">
        <v>17</v>
      </c>
      <c r="C773" s="15" t="s">
        <v>891</v>
      </c>
      <c r="D773" s="15" t="s">
        <v>892</v>
      </c>
      <c r="E773" s="14" t="s">
        <v>893</v>
      </c>
      <c r="F773" s="15" t="s">
        <v>32</v>
      </c>
      <c r="G773" s="14" t="s">
        <v>22</v>
      </c>
      <c r="H773" s="15" t="s">
        <v>23</v>
      </c>
      <c r="I773" s="15" t="s">
        <v>1525</v>
      </c>
      <c r="J773" s="15">
        <v>201412</v>
      </c>
      <c r="K773" s="16">
        <v>-568.53</v>
      </c>
      <c r="L773" s="171">
        <f>VLOOKUP(J773,$U$9:$V$23,2)</f>
        <v>6</v>
      </c>
      <c r="M773" s="17">
        <v>1.4833299999999999E-3</v>
      </c>
      <c r="N773" s="16">
        <f>ROUND(K773*L773*M773,2)</f>
        <v>-5.0599999999999996</v>
      </c>
      <c r="O773" s="16">
        <f>ROUND(K773*M773*12,2)</f>
        <v>-10.119999999999999</v>
      </c>
      <c r="P773" s="14"/>
      <c r="Q773" s="210" t="str">
        <f>VLOOKUP(D773,'WO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4" spans="1:19" ht="135" outlineLevel="2">
      <c r="A774" s="3" t="s">
        <v>892</v>
      </c>
      <c r="B774" s="14" t="s">
        <v>54</v>
      </c>
      <c r="C774" s="15" t="s">
        <v>891</v>
      </c>
      <c r="D774" s="15" t="s">
        <v>892</v>
      </c>
      <c r="E774" s="14" t="s">
        <v>893</v>
      </c>
      <c r="F774" s="15" t="s">
        <v>32</v>
      </c>
      <c r="G774" s="14" t="s">
        <v>22</v>
      </c>
      <c r="H774" s="15" t="s">
        <v>23</v>
      </c>
      <c r="I774" s="15" t="s">
        <v>1525</v>
      </c>
      <c r="J774" s="15">
        <v>201412</v>
      </c>
      <c r="K774" s="16">
        <v>446.02</v>
      </c>
      <c r="L774" s="171">
        <f>VLOOKUP(J774,$U$9:$V$23,2)</f>
        <v>6</v>
      </c>
      <c r="M774" s="17">
        <v>1.4833299999999999E-3</v>
      </c>
      <c r="N774" s="16">
        <f>ROUND(K774*L774*M774,2)</f>
        <v>3.97</v>
      </c>
      <c r="O774" s="16">
        <f>ROUND(K774*M774*12,2)</f>
        <v>7.94</v>
      </c>
      <c r="P774" s="14"/>
      <c r="Q774" s="210" t="str">
        <f>VLOOKUP(D774,'WO Descriptions'!$A$5:$D$345,4)</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row>
    <row r="775" spans="1:19" outlineLevel="1">
      <c r="A775" s="3" t="s">
        <v>2035</v>
      </c>
      <c r="B775" s="223"/>
      <c r="C775" s="250"/>
      <c r="D775" s="254" t="s">
        <v>2035</v>
      </c>
      <c r="E775" s="223"/>
      <c r="F775" s="250"/>
      <c r="G775" s="223"/>
      <c r="H775" s="250"/>
      <c r="I775" s="250"/>
      <c r="J775" s="250"/>
      <c r="K775" s="251">
        <f>SUBTOTAL(9,K772:K774)</f>
        <v>823.55</v>
      </c>
      <c r="L775" s="252"/>
      <c r="M775" s="253"/>
      <c r="N775" s="251">
        <f>SUBTOTAL(9,N772:N774)</f>
        <v>11.540000000000001</v>
      </c>
      <c r="O775" s="251">
        <f>SUBTOTAL(9,O772:O774)</f>
        <v>14.66</v>
      </c>
      <c r="P775" s="223"/>
      <c r="Q775" s="210"/>
      <c r="R775" s="263" t="s">
        <v>2097</v>
      </c>
      <c r="S775" s="263" t="s">
        <v>2098</v>
      </c>
    </row>
    <row r="776" spans="1:19" ht="30" outlineLevel="2">
      <c r="A776" s="3" t="s">
        <v>895</v>
      </c>
      <c r="B776" s="14" t="s">
        <v>17</v>
      </c>
      <c r="C776" s="15" t="s">
        <v>894</v>
      </c>
      <c r="D776" s="15" t="s">
        <v>895</v>
      </c>
      <c r="E776" s="14" t="s">
        <v>896</v>
      </c>
      <c r="F776" s="15" t="s">
        <v>440</v>
      </c>
      <c r="G776" s="14" t="s">
        <v>28</v>
      </c>
      <c r="H776" s="15" t="s">
        <v>23</v>
      </c>
      <c r="I776" s="15" t="s">
        <v>1525</v>
      </c>
      <c r="J776" s="15">
        <v>201409</v>
      </c>
      <c r="K776" s="16">
        <v>-159.26</v>
      </c>
      <c r="L776" s="171">
        <f>VLOOKUP(J776,$U$9:$V$23,2)</f>
        <v>9</v>
      </c>
      <c r="M776" s="17">
        <v>1.4833299999999999E-3</v>
      </c>
      <c r="N776" s="16">
        <f>ROUND(K776*L776*M776,2)</f>
        <v>-2.13</v>
      </c>
      <c r="O776" s="16">
        <f>ROUND(K776*M776*12,2)</f>
        <v>-2.83</v>
      </c>
      <c r="P776" s="14"/>
      <c r="Q776" s="210" t="str">
        <f>VLOOKUP(D776,'WO Descriptions'!$A$5:$D$345,4)</f>
        <v>Approved by: Kevin Driskell on 05/28/2014,  Replace 16ft of 8'' PCS due to 3rd party damage. Pressure system C-041 Ret 16'-8in coated steel, year 1967, wo 67-1440.</v>
      </c>
    </row>
    <row r="777" spans="1:19" ht="30" outlineLevel="2">
      <c r="A777" s="3" t="s">
        <v>895</v>
      </c>
      <c r="B777" s="14" t="s">
        <v>17</v>
      </c>
      <c r="C777" s="15" t="s">
        <v>894</v>
      </c>
      <c r="D777" s="15" t="s">
        <v>895</v>
      </c>
      <c r="E777" s="14" t="s">
        <v>896</v>
      </c>
      <c r="F777" s="15" t="s">
        <v>440</v>
      </c>
      <c r="G777" s="14" t="s">
        <v>28</v>
      </c>
      <c r="H777" s="15" t="s">
        <v>23</v>
      </c>
      <c r="I777" s="15" t="s">
        <v>1525</v>
      </c>
      <c r="J777" s="15">
        <v>201410</v>
      </c>
      <c r="K777" s="16">
        <v>0</v>
      </c>
      <c r="L777" s="171">
        <f>VLOOKUP(J777,$U$9:$V$23,2)</f>
        <v>8</v>
      </c>
      <c r="M777" s="17">
        <v>1.4833299999999999E-3</v>
      </c>
      <c r="N777" s="16">
        <f>ROUND(K777*L777*M777,2)</f>
        <v>0</v>
      </c>
      <c r="O777" s="16">
        <f>ROUND(K777*M777*12,2)</f>
        <v>0</v>
      </c>
      <c r="P777" s="14"/>
      <c r="Q777" s="210" t="str">
        <f>VLOOKUP(D777,'WO Descriptions'!$A$5:$D$345,4)</f>
        <v>Approved by: Kevin Driskell on 05/28/2014,  Replace 16ft of 8'' PCS due to 3rd party damage. Pressure system C-041 Ret 16'-8in coated steel, year 1967, wo 67-1440.</v>
      </c>
    </row>
    <row r="778" spans="1:19" ht="30" outlineLevel="2">
      <c r="A778" s="3" t="s">
        <v>895</v>
      </c>
      <c r="B778" s="14" t="s">
        <v>17</v>
      </c>
      <c r="C778" s="15" t="s">
        <v>894</v>
      </c>
      <c r="D778" s="15" t="s">
        <v>895</v>
      </c>
      <c r="E778" s="14" t="s">
        <v>896</v>
      </c>
      <c r="F778" s="15" t="s">
        <v>440</v>
      </c>
      <c r="G778" s="14" t="s">
        <v>28</v>
      </c>
      <c r="H778" s="15" t="s">
        <v>23</v>
      </c>
      <c r="I778" s="15" t="s">
        <v>1525</v>
      </c>
      <c r="J778" s="15">
        <v>201411</v>
      </c>
      <c r="K778" s="16">
        <v>63.81</v>
      </c>
      <c r="L778" s="171">
        <f>VLOOKUP(J778,$U$9:$V$23,2)</f>
        <v>7</v>
      </c>
      <c r="M778" s="17">
        <v>1.4833299999999999E-3</v>
      </c>
      <c r="N778" s="16">
        <f>ROUND(K778*L778*M778,2)</f>
        <v>0.66</v>
      </c>
      <c r="O778" s="16">
        <f>ROUND(K778*M778*12,2)</f>
        <v>1.1399999999999999</v>
      </c>
      <c r="P778" s="14"/>
      <c r="Q778" s="210" t="str">
        <f>VLOOKUP(D778,'WO Descriptions'!$A$5:$D$345,4)</f>
        <v>Approved by: Kevin Driskell on 05/28/2014,  Replace 16ft of 8'' PCS due to 3rd party damage. Pressure system C-041 Ret 16'-8in coated steel, year 1967, wo 67-1440.</v>
      </c>
    </row>
    <row r="779" spans="1:19" outlineLevel="1">
      <c r="A779" s="3" t="s">
        <v>2036</v>
      </c>
      <c r="B779" s="223"/>
      <c r="C779" s="250"/>
      <c r="D779" s="254" t="s">
        <v>2036</v>
      </c>
      <c r="E779" s="223"/>
      <c r="F779" s="250"/>
      <c r="G779" s="223"/>
      <c r="H779" s="250"/>
      <c r="I779" s="250"/>
      <c r="J779" s="250"/>
      <c r="K779" s="251">
        <f>SUBTOTAL(9,K776:K778)</f>
        <v>-95.449999999999989</v>
      </c>
      <c r="L779" s="252"/>
      <c r="M779" s="253"/>
      <c r="N779" s="251">
        <f>SUBTOTAL(9,N776:N778)</f>
        <v>-1.4699999999999998</v>
      </c>
      <c r="O779" s="251">
        <f>SUBTOTAL(9,O776:O778)</f>
        <v>-1.6900000000000002</v>
      </c>
      <c r="P779" s="223"/>
      <c r="Q779" s="210"/>
      <c r="R779" s="263" t="s">
        <v>2097</v>
      </c>
      <c r="S779" s="263" t="s">
        <v>2099</v>
      </c>
    </row>
    <row r="780" spans="1:19" ht="30" outlineLevel="2">
      <c r="A780" s="3" t="s">
        <v>898</v>
      </c>
      <c r="B780" s="14" t="s">
        <v>54</v>
      </c>
      <c r="C780" s="15" t="s">
        <v>897</v>
      </c>
      <c r="D780" s="15" t="s">
        <v>898</v>
      </c>
      <c r="E780" s="14" t="s">
        <v>899</v>
      </c>
      <c r="F780" s="15" t="s">
        <v>45</v>
      </c>
      <c r="G780" s="14" t="s">
        <v>22</v>
      </c>
      <c r="H780" s="15" t="s">
        <v>23</v>
      </c>
      <c r="I780" s="15" t="s">
        <v>1525</v>
      </c>
      <c r="J780" s="15">
        <v>201409</v>
      </c>
      <c r="K780" s="16">
        <v>-4885.22</v>
      </c>
      <c r="L780" s="171">
        <f>VLOOKUP(J780,$U$9:$V$23,2)</f>
        <v>9</v>
      </c>
      <c r="M780" s="17">
        <v>1.4833299999999999E-3</v>
      </c>
      <c r="N780" s="16">
        <f>ROUND(K780*L780*M780,2)</f>
        <v>-65.22</v>
      </c>
      <c r="O780" s="16">
        <f>ROUND(K780*M780*12,2)</f>
        <v>-86.96</v>
      </c>
      <c r="P780" s="14"/>
      <c r="Q780" s="210" t="str">
        <f>VLOOKUP(D780,'WO Descriptions'!$A$5:$D$345,4)</f>
        <v>Approved by: Steve Holcomb on 05/28/2014,  Replace 4'' PBS, 4'' PCS, and 3'' PCS with 2" and 4" PE due to down project. Pressure System - C-02</v>
      </c>
    </row>
    <row r="781" spans="1:19" ht="30" outlineLevel="2">
      <c r="A781" s="3" t="s">
        <v>898</v>
      </c>
      <c r="B781" s="14" t="s">
        <v>54</v>
      </c>
      <c r="C781" s="15" t="s">
        <v>897</v>
      </c>
      <c r="D781" s="15" t="s">
        <v>898</v>
      </c>
      <c r="E781" s="14" t="s">
        <v>899</v>
      </c>
      <c r="F781" s="15" t="s">
        <v>45</v>
      </c>
      <c r="G781" s="14" t="s">
        <v>22</v>
      </c>
      <c r="H781" s="15" t="s">
        <v>23</v>
      </c>
      <c r="I781" s="15" t="s">
        <v>1525</v>
      </c>
      <c r="J781" s="15">
        <v>201410</v>
      </c>
      <c r="K781" s="16">
        <v>422.88</v>
      </c>
      <c r="L781" s="171">
        <f>VLOOKUP(J781,$U$9:$V$23,2)</f>
        <v>8</v>
      </c>
      <c r="M781" s="17">
        <v>1.4833299999999999E-3</v>
      </c>
      <c r="N781" s="16">
        <f>ROUND(K781*L781*M781,2)</f>
        <v>5.0199999999999996</v>
      </c>
      <c r="O781" s="16">
        <f>ROUND(K781*M781*12,2)</f>
        <v>7.53</v>
      </c>
      <c r="P781" s="14"/>
      <c r="Q781" s="210" t="str">
        <f>VLOOKUP(D781,'WO Descriptions'!$A$5:$D$345,4)</f>
        <v>Approved by: Steve Holcomb on 05/28/2014,  Replace 4'' PBS, 4'' PCS, and 3'' PCS with 2" and 4" PE due to down project. Pressure System - C-02</v>
      </c>
    </row>
    <row r="782" spans="1:19" outlineLevel="1">
      <c r="A782" s="3" t="s">
        <v>2037</v>
      </c>
      <c r="B782" s="223"/>
      <c r="C782" s="250"/>
      <c r="D782" s="254" t="s">
        <v>2037</v>
      </c>
      <c r="E782" s="223"/>
      <c r="F782" s="250"/>
      <c r="G782" s="223"/>
      <c r="H782" s="250"/>
      <c r="I782" s="250"/>
      <c r="J782" s="250"/>
      <c r="K782" s="251">
        <f>SUBTOTAL(9,K780:K781)</f>
        <v>-4462.34</v>
      </c>
      <c r="L782" s="252"/>
      <c r="M782" s="253"/>
      <c r="N782" s="251">
        <f>SUBTOTAL(9,N780:N781)</f>
        <v>-60.2</v>
      </c>
      <c r="O782" s="251">
        <f>SUBTOTAL(9,O780:O781)</f>
        <v>-79.429999999999993</v>
      </c>
      <c r="P782" s="223"/>
      <c r="Q782" s="210"/>
      <c r="R782" s="263" t="s">
        <v>2097</v>
      </c>
      <c r="S782" s="263" t="s">
        <v>2098</v>
      </c>
    </row>
    <row r="783" spans="1:19" ht="120" outlineLevel="2">
      <c r="A783" s="3" t="s">
        <v>1055</v>
      </c>
      <c r="B783" s="14" t="s">
        <v>54</v>
      </c>
      <c r="C783" s="15" t="s">
        <v>1054</v>
      </c>
      <c r="D783" s="15" t="s">
        <v>1055</v>
      </c>
      <c r="E783" s="14" t="s">
        <v>1056</v>
      </c>
      <c r="F783" s="15" t="s">
        <v>141</v>
      </c>
      <c r="G783" s="14" t="s">
        <v>142</v>
      </c>
      <c r="H783" s="15" t="s">
        <v>23</v>
      </c>
      <c r="I783" s="15" t="s">
        <v>1525</v>
      </c>
      <c r="J783" s="15">
        <v>201412</v>
      </c>
      <c r="K783" s="16">
        <v>887506.89</v>
      </c>
      <c r="L783" s="171">
        <f>VLOOKUP(J783,$U$9:$V$23,2)</f>
        <v>6</v>
      </c>
      <c r="M783" s="17">
        <v>1.4833299999999999E-3</v>
      </c>
      <c r="N783" s="16">
        <f>ROUND(K783*L783*M783,2)</f>
        <v>7898.79</v>
      </c>
      <c r="O783" s="16">
        <f>ROUND(K783*M783*12,2)</f>
        <v>15797.59</v>
      </c>
      <c r="P783" s="14"/>
      <c r="Q783" s="210" t="str">
        <f>VLOOKUP(D783,'WO Descriptions'!$A$5:$D$345,4)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784" spans="1:19" outlineLevel="1">
      <c r="A784" s="3" t="s">
        <v>2038</v>
      </c>
      <c r="B784" s="223"/>
      <c r="C784" s="250"/>
      <c r="D784" s="254" t="s">
        <v>2038</v>
      </c>
      <c r="E784" s="223"/>
      <c r="F784" s="250"/>
      <c r="G784" s="223"/>
      <c r="H784" s="250"/>
      <c r="I784" s="250"/>
      <c r="J784" s="250"/>
      <c r="K784" s="251">
        <f>SUBTOTAL(9,K783:K783)</f>
        <v>887506.89</v>
      </c>
      <c r="L784" s="252"/>
      <c r="M784" s="253"/>
      <c r="N784" s="251">
        <f>SUBTOTAL(9,N783:N783)</f>
        <v>7898.79</v>
      </c>
      <c r="O784" s="251">
        <f>SUBTOTAL(9,O783:O783)</f>
        <v>15797.59</v>
      </c>
      <c r="P784" s="223"/>
      <c r="Q784" s="210"/>
      <c r="R784" s="263" t="s">
        <v>2097</v>
      </c>
      <c r="S784" s="263" t="s">
        <v>2100</v>
      </c>
    </row>
    <row r="785" spans="1:19" ht="45" outlineLevel="2">
      <c r="A785" s="3" t="s">
        <v>901</v>
      </c>
      <c r="B785" s="14" t="s">
        <v>54</v>
      </c>
      <c r="C785" s="15" t="s">
        <v>900</v>
      </c>
      <c r="D785" s="15" t="s">
        <v>901</v>
      </c>
      <c r="E785" s="14" t="s">
        <v>902</v>
      </c>
      <c r="F785" s="15" t="s">
        <v>462</v>
      </c>
      <c r="G785" s="14" t="s">
        <v>142</v>
      </c>
      <c r="H785" s="15" t="s">
        <v>23</v>
      </c>
      <c r="I785" s="15" t="s">
        <v>1525</v>
      </c>
      <c r="J785" s="15">
        <v>201409</v>
      </c>
      <c r="K785" s="16">
        <v>1294.2</v>
      </c>
      <c r="L785" s="171">
        <f>VLOOKUP(J785,$U$9:$V$23,2)</f>
        <v>9</v>
      </c>
      <c r="M785" s="17">
        <v>1.4833299999999999E-3</v>
      </c>
      <c r="N785" s="16">
        <f>ROUND(K785*L785*M785,2)</f>
        <v>17.28</v>
      </c>
      <c r="O785" s="16">
        <f>ROUND(K785*M785*12,2)</f>
        <v>23.04</v>
      </c>
      <c r="P785" s="14"/>
      <c r="Q785" s="210" t="str">
        <f>VLOOKUP(D785,'WO Descriptions'!$A$5:$D$345,4)</f>
        <v>Approved by: Kevin Driskell on 06/05/2014,  ISRS LAY 101' - 4" PE DUE TO LEAK ON EXISTING 4" CI MAIN ON EAST SIDE OF BROOKLYN AVE.  ABANDON 112'-4" CI (UNKNOWN W.O.).  ONE WAY FEED.</v>
      </c>
    </row>
    <row r="786" spans="1:19" ht="45" outlineLevel="2">
      <c r="A786" s="3" t="s">
        <v>901</v>
      </c>
      <c r="B786" s="14" t="s">
        <v>54</v>
      </c>
      <c r="C786" s="15" t="s">
        <v>900</v>
      </c>
      <c r="D786" s="15" t="s">
        <v>901</v>
      </c>
      <c r="E786" s="14" t="s">
        <v>902</v>
      </c>
      <c r="F786" s="15" t="s">
        <v>462</v>
      </c>
      <c r="G786" s="14" t="s">
        <v>142</v>
      </c>
      <c r="H786" s="15" t="s">
        <v>23</v>
      </c>
      <c r="I786" s="15" t="s">
        <v>1525</v>
      </c>
      <c r="J786" s="15">
        <v>201410</v>
      </c>
      <c r="K786" s="16">
        <v>8.59</v>
      </c>
      <c r="L786" s="171">
        <f>VLOOKUP(J786,$U$9:$V$23,2)</f>
        <v>8</v>
      </c>
      <c r="M786" s="17">
        <v>1.4833299999999999E-3</v>
      </c>
      <c r="N786" s="16">
        <f>ROUND(K786*L786*M786,2)</f>
        <v>0.1</v>
      </c>
      <c r="O786" s="16">
        <f>ROUND(K786*M786*12,2)</f>
        <v>0.15</v>
      </c>
      <c r="P786" s="14"/>
      <c r="Q786" s="210" t="str">
        <f>VLOOKUP(D786,'WO Descriptions'!$A$5:$D$345,4)</f>
        <v>Approved by: Kevin Driskell on 06/05/2014,  ISRS LAY 101' - 4" PE DUE TO LEAK ON EXISTING 4" CI MAIN ON EAST SIDE OF BROOKLYN AVE.  ABANDON 112'-4" CI (UNKNOWN W.O.).  ONE WAY FEED.</v>
      </c>
    </row>
    <row r="787" spans="1:19" outlineLevel="1">
      <c r="A787" s="3" t="s">
        <v>2039</v>
      </c>
      <c r="B787" s="223"/>
      <c r="C787" s="250"/>
      <c r="D787" s="254" t="s">
        <v>2039</v>
      </c>
      <c r="E787" s="223"/>
      <c r="F787" s="250"/>
      <c r="G787" s="223"/>
      <c r="H787" s="250"/>
      <c r="I787" s="250"/>
      <c r="J787" s="250"/>
      <c r="K787" s="251">
        <f>SUBTOTAL(9,K785:K786)</f>
        <v>1302.79</v>
      </c>
      <c r="L787" s="252"/>
      <c r="M787" s="253"/>
      <c r="N787" s="251">
        <f>SUBTOTAL(9,N785:N786)</f>
        <v>17.380000000000003</v>
      </c>
      <c r="O787" s="251">
        <f>SUBTOTAL(9,O785:O786)</f>
        <v>23.189999999999998</v>
      </c>
      <c r="P787" s="223"/>
      <c r="Q787" s="210"/>
      <c r="R787" s="263" t="s">
        <v>2097</v>
      </c>
      <c r="S787" s="263" t="s">
        <v>2100</v>
      </c>
    </row>
    <row r="788" spans="1:19" ht="60" outlineLevel="2">
      <c r="A788" s="3" t="s">
        <v>904</v>
      </c>
      <c r="B788" s="14" t="s">
        <v>17</v>
      </c>
      <c r="C788" s="15" t="s">
        <v>903</v>
      </c>
      <c r="D788" s="15" t="s">
        <v>904</v>
      </c>
      <c r="E788" s="14" t="s">
        <v>905</v>
      </c>
      <c r="F788" s="15" t="s">
        <v>49</v>
      </c>
      <c r="G788" s="14" t="s">
        <v>22</v>
      </c>
      <c r="H788" s="15" t="s">
        <v>23</v>
      </c>
      <c r="I788" s="15" t="s">
        <v>1525</v>
      </c>
      <c r="J788" s="15">
        <v>201409</v>
      </c>
      <c r="K788" s="16">
        <v>2797.11</v>
      </c>
      <c r="L788" s="171">
        <f>VLOOKUP(J788,$U$9:$V$23,2)</f>
        <v>9</v>
      </c>
      <c r="M788" s="17">
        <v>1.4833299999999999E-3</v>
      </c>
      <c r="N788" s="16">
        <f>ROUND(K788*L788*M788,2)</f>
        <v>37.340000000000003</v>
      </c>
      <c r="O788" s="16">
        <f>ROUND(K788*M788*12,2)</f>
        <v>49.79</v>
      </c>
      <c r="P788" s="14"/>
      <c r="Q788" s="210" t="str">
        <f>VLOOKUP(D788,'WO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89" spans="1:19" ht="60" outlineLevel="2">
      <c r="A789" s="3" t="s">
        <v>904</v>
      </c>
      <c r="B789" s="14" t="s">
        <v>17</v>
      </c>
      <c r="C789" s="15" t="s">
        <v>903</v>
      </c>
      <c r="D789" s="15" t="s">
        <v>904</v>
      </c>
      <c r="E789" s="14" t="s">
        <v>905</v>
      </c>
      <c r="F789" s="15" t="s">
        <v>49</v>
      </c>
      <c r="G789" s="14" t="s">
        <v>22</v>
      </c>
      <c r="H789" s="15" t="s">
        <v>23</v>
      </c>
      <c r="I789" s="15" t="s">
        <v>1525</v>
      </c>
      <c r="J789" s="15">
        <v>201410</v>
      </c>
      <c r="K789" s="16">
        <v>343.32</v>
      </c>
      <c r="L789" s="171">
        <f>VLOOKUP(J789,$U$9:$V$23,2)</f>
        <v>8</v>
      </c>
      <c r="M789" s="17">
        <v>1.4833299999999999E-3</v>
      </c>
      <c r="N789" s="16">
        <f>ROUND(K789*L789*M789,2)</f>
        <v>4.07</v>
      </c>
      <c r="O789" s="16">
        <f>ROUND(K789*M789*12,2)</f>
        <v>6.11</v>
      </c>
      <c r="P789" s="14"/>
      <c r="Q789" s="210" t="str">
        <f>VLOOKUP(D789,'WO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0" spans="1:19" ht="60" outlineLevel="2">
      <c r="A790" s="3" t="s">
        <v>904</v>
      </c>
      <c r="B790" s="14" t="s">
        <v>17</v>
      </c>
      <c r="C790" s="15" t="s">
        <v>903</v>
      </c>
      <c r="D790" s="15" t="s">
        <v>904</v>
      </c>
      <c r="E790" s="14" t="s">
        <v>905</v>
      </c>
      <c r="F790" s="15" t="s">
        <v>49</v>
      </c>
      <c r="G790" s="14" t="s">
        <v>22</v>
      </c>
      <c r="H790" s="15" t="s">
        <v>23</v>
      </c>
      <c r="I790" s="15" t="s">
        <v>1525</v>
      </c>
      <c r="J790" s="15">
        <v>201411</v>
      </c>
      <c r="K790" s="16">
        <v>-25.51</v>
      </c>
      <c r="L790" s="171">
        <f>VLOOKUP(J790,$U$9:$V$23,2)</f>
        <v>7</v>
      </c>
      <c r="M790" s="17">
        <v>1.4833299999999999E-3</v>
      </c>
      <c r="N790" s="16">
        <f>ROUND(K790*L790*M790,2)</f>
        <v>-0.26</v>
      </c>
      <c r="O790" s="16">
        <f>ROUND(K790*M790*12,2)</f>
        <v>-0.45</v>
      </c>
      <c r="P790" s="14"/>
      <c r="Q790" s="210" t="str">
        <f>VLOOKUP(D790,'WO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1" spans="1:19" ht="60" outlineLevel="2">
      <c r="A791" s="3" t="s">
        <v>904</v>
      </c>
      <c r="B791" s="14" t="s">
        <v>17</v>
      </c>
      <c r="C791" s="15" t="s">
        <v>903</v>
      </c>
      <c r="D791" s="15" t="s">
        <v>904</v>
      </c>
      <c r="E791" s="14" t="s">
        <v>905</v>
      </c>
      <c r="F791" s="15" t="s">
        <v>49</v>
      </c>
      <c r="G791" s="14" t="s">
        <v>22</v>
      </c>
      <c r="H791" s="15" t="s">
        <v>23</v>
      </c>
      <c r="I791" s="15" t="s">
        <v>1525</v>
      </c>
      <c r="J791" s="15">
        <v>201412</v>
      </c>
      <c r="K791" s="16">
        <v>-20.71</v>
      </c>
      <c r="L791" s="171">
        <f>VLOOKUP(J791,$U$9:$V$23,2)</f>
        <v>6</v>
      </c>
      <c r="M791" s="17">
        <v>1.4833299999999999E-3</v>
      </c>
      <c r="N791" s="16">
        <f>ROUND(K791*L791*M791,2)</f>
        <v>-0.18</v>
      </c>
      <c r="O791" s="16">
        <f>ROUND(K791*M791*12,2)</f>
        <v>-0.37</v>
      </c>
      <c r="P791" s="14"/>
      <c r="Q791" s="210" t="str">
        <f>VLOOKUP(D791,'WO Descriptions'!$A$5:$D$345,4)</f>
        <v>Approved by: Galen Shoemaker on 06/06/2014,  To lay 50ft of 2in Coated Steel Main to replace 40ft of 2in Protected Bare Steel from WO 14582 and 10ft of 2in Coated Steel Main from WO 631926. Active #3 leak 14-31 will be repaired with this replacement. MAOP=44# MOP=40# SYSTEM=C-1 TEST=100#</v>
      </c>
    </row>
    <row r="792" spans="1:19" outlineLevel="1">
      <c r="A792" s="3" t="s">
        <v>2040</v>
      </c>
      <c r="B792" s="223"/>
      <c r="C792" s="250"/>
      <c r="D792" s="254" t="s">
        <v>2040</v>
      </c>
      <c r="E792" s="223"/>
      <c r="F792" s="250"/>
      <c r="G792" s="223"/>
      <c r="H792" s="250"/>
      <c r="I792" s="250"/>
      <c r="J792" s="250"/>
      <c r="K792" s="251">
        <f>SUBTOTAL(9,K788:K791)</f>
        <v>3094.21</v>
      </c>
      <c r="L792" s="252"/>
      <c r="M792" s="253"/>
      <c r="N792" s="251">
        <f>SUBTOTAL(9,N788:N791)</f>
        <v>40.970000000000006</v>
      </c>
      <c r="O792" s="251">
        <f>SUBTOTAL(9,O788:O791)</f>
        <v>55.08</v>
      </c>
      <c r="P792" s="223"/>
      <c r="Q792" s="210"/>
      <c r="R792" s="263" t="s">
        <v>2097</v>
      </c>
      <c r="S792" s="263" t="s">
        <v>2098</v>
      </c>
    </row>
    <row r="793" spans="1:19" ht="30" outlineLevel="2">
      <c r="A793" s="3" t="s">
        <v>907</v>
      </c>
      <c r="B793" s="14" t="s">
        <v>54</v>
      </c>
      <c r="C793" s="15" t="s">
        <v>906</v>
      </c>
      <c r="D793" s="15" t="s">
        <v>907</v>
      </c>
      <c r="E793" s="14" t="s">
        <v>908</v>
      </c>
      <c r="F793" s="15" t="s">
        <v>909</v>
      </c>
      <c r="G793" s="14" t="s">
        <v>22</v>
      </c>
      <c r="H793" s="15" t="s">
        <v>23</v>
      </c>
      <c r="I793" s="15" t="s">
        <v>1525</v>
      </c>
      <c r="J793" s="15">
        <v>201409</v>
      </c>
      <c r="K793" s="16">
        <v>-193.96</v>
      </c>
      <c r="L793" s="171">
        <f>VLOOKUP(J793,$U$9:$V$23,2)</f>
        <v>9</v>
      </c>
      <c r="M793" s="17">
        <v>1.4833299999999999E-3</v>
      </c>
      <c r="N793" s="16">
        <f>ROUND(K793*L793*M793,2)</f>
        <v>-2.59</v>
      </c>
      <c r="O793" s="16">
        <f>ROUND(K793*M793*12,2)</f>
        <v>-3.45</v>
      </c>
      <c r="P793" s="14"/>
      <c r="Q793" s="210" t="str">
        <f>VLOOKUP(D793,'WO Descriptions'!$A$5:$D$345,4)</f>
        <v>Approved by: Gary Williams on 06/10/2014,  Replace PBS due to down project. Pressure system C-01</v>
      </c>
    </row>
    <row r="794" spans="1:19" ht="30" outlineLevel="2">
      <c r="A794" s="3" t="s">
        <v>907</v>
      </c>
      <c r="B794" s="14" t="s">
        <v>54</v>
      </c>
      <c r="C794" s="15" t="s">
        <v>906</v>
      </c>
      <c r="D794" s="15" t="s">
        <v>907</v>
      </c>
      <c r="E794" s="14" t="s">
        <v>908</v>
      </c>
      <c r="F794" s="15" t="s">
        <v>909</v>
      </c>
      <c r="G794" s="14" t="s">
        <v>22</v>
      </c>
      <c r="H794" s="15" t="s">
        <v>23</v>
      </c>
      <c r="I794" s="15" t="s">
        <v>1525</v>
      </c>
      <c r="J794" s="15">
        <v>201411</v>
      </c>
      <c r="K794" s="16">
        <v>0</v>
      </c>
      <c r="L794" s="171">
        <f>VLOOKUP(J794,$U$9:$V$23,2)</f>
        <v>7</v>
      </c>
      <c r="M794" s="17">
        <v>1.4833299999999999E-3</v>
      </c>
      <c r="N794" s="16">
        <f>ROUND(K794*L794*M794,2)</f>
        <v>0</v>
      </c>
      <c r="O794" s="16">
        <f>ROUND(K794*M794*12,2)</f>
        <v>0</v>
      </c>
      <c r="P794" s="14"/>
      <c r="Q794" s="210" t="str">
        <f>VLOOKUP(D794,'WO Descriptions'!$A$5:$D$345,4)</f>
        <v>Approved by: Gary Williams on 06/10/2014,  Replace PBS due to down project. Pressure system C-01</v>
      </c>
    </row>
    <row r="795" spans="1:19" ht="30" outlineLevel="2">
      <c r="A795" s="3" t="s">
        <v>907</v>
      </c>
      <c r="B795" s="14" t="s">
        <v>54</v>
      </c>
      <c r="C795" s="15" t="s">
        <v>906</v>
      </c>
      <c r="D795" s="15" t="s">
        <v>907</v>
      </c>
      <c r="E795" s="14" t="s">
        <v>908</v>
      </c>
      <c r="F795" s="15" t="s">
        <v>909</v>
      </c>
      <c r="G795" s="14" t="s">
        <v>22</v>
      </c>
      <c r="H795" s="15" t="s">
        <v>23</v>
      </c>
      <c r="I795" s="15" t="s">
        <v>1525</v>
      </c>
      <c r="J795" s="15">
        <v>201412</v>
      </c>
      <c r="K795" s="16">
        <v>1.08</v>
      </c>
      <c r="L795" s="171">
        <f>VLOOKUP(J795,$U$9:$V$23,2)</f>
        <v>6</v>
      </c>
      <c r="M795" s="17">
        <v>1.4833299999999999E-3</v>
      </c>
      <c r="N795" s="16">
        <f>ROUND(K795*L795*M795,2)</f>
        <v>0.01</v>
      </c>
      <c r="O795" s="16">
        <f>ROUND(K795*M795*12,2)</f>
        <v>0.02</v>
      </c>
      <c r="P795" s="14"/>
      <c r="Q795" s="210" t="str">
        <f>VLOOKUP(D795,'WO Descriptions'!$A$5:$D$345,4)</f>
        <v>Approved by: Gary Williams on 06/10/2014,  Replace PBS due to down project. Pressure system C-01</v>
      </c>
    </row>
    <row r="796" spans="1:19" outlineLevel="1">
      <c r="A796" s="3" t="s">
        <v>2041</v>
      </c>
      <c r="B796" s="223"/>
      <c r="C796" s="250"/>
      <c r="D796" s="254" t="s">
        <v>2041</v>
      </c>
      <c r="E796" s="223"/>
      <c r="F796" s="250"/>
      <c r="G796" s="223"/>
      <c r="H796" s="250"/>
      <c r="I796" s="250"/>
      <c r="J796" s="250"/>
      <c r="K796" s="251">
        <f>SUBTOTAL(9,K793:K795)</f>
        <v>-192.88</v>
      </c>
      <c r="L796" s="252"/>
      <c r="M796" s="253"/>
      <c r="N796" s="251">
        <f>SUBTOTAL(9,N793:N795)</f>
        <v>-2.58</v>
      </c>
      <c r="O796" s="251">
        <f>SUBTOTAL(9,O793:O795)</f>
        <v>-3.43</v>
      </c>
      <c r="P796" s="223"/>
      <c r="Q796" s="210"/>
      <c r="R796" s="263" t="s">
        <v>2097</v>
      </c>
      <c r="S796" s="263" t="s">
        <v>2098</v>
      </c>
    </row>
    <row r="797" spans="1:19" ht="45" outlineLevel="2">
      <c r="A797" s="3" t="s">
        <v>911</v>
      </c>
      <c r="B797" s="14" t="s">
        <v>17</v>
      </c>
      <c r="C797" s="15" t="s">
        <v>910</v>
      </c>
      <c r="D797" s="15" t="s">
        <v>911</v>
      </c>
      <c r="E797" s="14" t="s">
        <v>912</v>
      </c>
      <c r="F797" s="15" t="s">
        <v>362</v>
      </c>
      <c r="G797" s="14" t="s">
        <v>41</v>
      </c>
      <c r="H797" s="15" t="s">
        <v>23</v>
      </c>
      <c r="I797" s="15" t="s">
        <v>1526</v>
      </c>
      <c r="J797" s="15">
        <v>201409</v>
      </c>
      <c r="K797" s="16">
        <v>-58.71</v>
      </c>
      <c r="L797" s="171">
        <f>VLOOKUP(J797,$U$9:$V$23,2)</f>
        <v>9</v>
      </c>
      <c r="M797" s="17">
        <v>1.4833299999999999E-3</v>
      </c>
      <c r="N797" s="16">
        <f>ROUND(K797*L797*M797,2)</f>
        <v>-0.78</v>
      </c>
      <c r="O797" s="16">
        <f>ROUND(K797*M797*12,2)</f>
        <v>-1.05</v>
      </c>
      <c r="P797" s="14"/>
      <c r="Q797" s="210" t="str">
        <f>VLOOKUP(D797,'WO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98" spans="1:19" ht="45" outlineLevel="2">
      <c r="A798" s="3" t="s">
        <v>911</v>
      </c>
      <c r="B798" s="14" t="s">
        <v>17</v>
      </c>
      <c r="C798" s="15" t="s">
        <v>910</v>
      </c>
      <c r="D798" s="15" t="s">
        <v>911</v>
      </c>
      <c r="E798" s="14" t="s">
        <v>912</v>
      </c>
      <c r="F798" s="15" t="s">
        <v>362</v>
      </c>
      <c r="G798" s="14" t="s">
        <v>41</v>
      </c>
      <c r="H798" s="15" t="s">
        <v>23</v>
      </c>
      <c r="I798" s="15" t="s">
        <v>1526</v>
      </c>
      <c r="J798" s="15">
        <v>201410</v>
      </c>
      <c r="K798" s="16">
        <v>0</v>
      </c>
      <c r="L798" s="171">
        <f>VLOOKUP(J798,$U$9:$V$23,2)</f>
        <v>8</v>
      </c>
      <c r="M798" s="17">
        <v>1.4833299999999999E-3</v>
      </c>
      <c r="N798" s="16">
        <f>ROUND(K798*L798*M798,2)</f>
        <v>0</v>
      </c>
      <c r="O798" s="16">
        <f>ROUND(K798*M798*12,2)</f>
        <v>0</v>
      </c>
      <c r="P798" s="14"/>
      <c r="Q798" s="210" t="str">
        <f>VLOOKUP(D798,'WO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799" spans="1:19" ht="45" outlineLevel="2">
      <c r="A799" s="3" t="s">
        <v>911</v>
      </c>
      <c r="B799" s="14" t="s">
        <v>17</v>
      </c>
      <c r="C799" s="15" t="s">
        <v>910</v>
      </c>
      <c r="D799" s="15" t="s">
        <v>911</v>
      </c>
      <c r="E799" s="14" t="s">
        <v>912</v>
      </c>
      <c r="F799" s="15" t="s">
        <v>362</v>
      </c>
      <c r="G799" s="14" t="s">
        <v>41</v>
      </c>
      <c r="H799" s="15" t="s">
        <v>23</v>
      </c>
      <c r="I799" s="15" t="s">
        <v>1526</v>
      </c>
      <c r="J799" s="15">
        <v>201411</v>
      </c>
      <c r="K799" s="16">
        <v>0.95</v>
      </c>
      <c r="L799" s="171">
        <f>VLOOKUP(J799,$U$9:$V$23,2)</f>
        <v>7</v>
      </c>
      <c r="M799" s="17">
        <v>1.4833299999999999E-3</v>
      </c>
      <c r="N799" s="16">
        <f>ROUND(K799*L799*M799,2)</f>
        <v>0.01</v>
      </c>
      <c r="O799" s="16">
        <f>ROUND(K799*M799*12,2)</f>
        <v>0.02</v>
      </c>
      <c r="P799" s="14"/>
      <c r="Q799" s="210" t="str">
        <f>VLOOKUP(D799,'WO Descriptions'!$A$5:$D$345,4)</f>
        <v>Approved by: Galen Shoemaker on 06/10/2014,  To replace 6ft of 3in Coated Steel Main from WO 7906K with 3in Coated Steel to lower Main to allow for a 24in Plastic Drain to be installed in the path of our existing Main. MOP=25# MAOP=25# SYSTEM=S-3 TEST=100# ISRS</v>
      </c>
    </row>
    <row r="800" spans="1:19" outlineLevel="1">
      <c r="A800" s="3" t="s">
        <v>2042</v>
      </c>
      <c r="B800" s="223"/>
      <c r="C800" s="250"/>
      <c r="D800" s="254" t="s">
        <v>2042</v>
      </c>
      <c r="E800" s="223"/>
      <c r="F800" s="250"/>
      <c r="G800" s="223"/>
      <c r="H800" s="250"/>
      <c r="I800" s="250"/>
      <c r="J800" s="250"/>
      <c r="K800" s="251">
        <f>SUBTOTAL(9,K797:K799)</f>
        <v>-57.76</v>
      </c>
      <c r="L800" s="252"/>
      <c r="M800" s="253"/>
      <c r="N800" s="251">
        <f>SUBTOTAL(9,N797:N799)</f>
        <v>-0.77</v>
      </c>
      <c r="O800" s="251">
        <f>SUBTOTAL(9,O797:O799)</f>
        <v>-1.03</v>
      </c>
      <c r="P800" s="223"/>
      <c r="Q800" s="210"/>
      <c r="R800" s="263" t="s">
        <v>2096</v>
      </c>
    </row>
    <row r="801" spans="1:19" outlineLevel="2">
      <c r="A801" s="3" t="s">
        <v>914</v>
      </c>
      <c r="B801" s="14" t="s">
        <v>54</v>
      </c>
      <c r="C801" s="15" t="s">
        <v>913</v>
      </c>
      <c r="D801" s="15" t="s">
        <v>914</v>
      </c>
      <c r="E801" s="14" t="s">
        <v>915</v>
      </c>
      <c r="F801" s="15" t="s">
        <v>36</v>
      </c>
      <c r="G801" s="14" t="s">
        <v>22</v>
      </c>
      <c r="H801" s="15" t="s">
        <v>23</v>
      </c>
      <c r="I801" s="15" t="s">
        <v>1525</v>
      </c>
      <c r="J801" s="15">
        <v>201409</v>
      </c>
      <c r="K801" s="16">
        <v>10702.77</v>
      </c>
      <c r="L801" s="171">
        <f>VLOOKUP(J801,$U$9:$V$23,2)</f>
        <v>9</v>
      </c>
      <c r="M801" s="17">
        <v>1.4833299999999999E-3</v>
      </c>
      <c r="N801" s="16">
        <f>ROUND(K801*L801*M801,2)</f>
        <v>142.88</v>
      </c>
      <c r="O801" s="16">
        <f>ROUND(K801*M801*12,2)</f>
        <v>190.51</v>
      </c>
      <c r="P801" s="14"/>
      <c r="Q801" s="210" t="str">
        <f>VLOOKUP(D801,'WO Descriptions'!$A$5:$D$345,4)</f>
        <v>Approved by: Gary Williams on 06/10/2014,  Replace PBS due to down project</v>
      </c>
    </row>
    <row r="802" spans="1:19" outlineLevel="2">
      <c r="A802" s="3" t="s">
        <v>914</v>
      </c>
      <c r="B802" s="14" t="s">
        <v>54</v>
      </c>
      <c r="C802" s="15" t="s">
        <v>913</v>
      </c>
      <c r="D802" s="15" t="s">
        <v>914</v>
      </c>
      <c r="E802" s="14" t="s">
        <v>915</v>
      </c>
      <c r="F802" s="15" t="s">
        <v>36</v>
      </c>
      <c r="G802" s="14" t="s">
        <v>22</v>
      </c>
      <c r="H802" s="15" t="s">
        <v>23</v>
      </c>
      <c r="I802" s="15" t="s">
        <v>1525</v>
      </c>
      <c r="J802" s="15">
        <v>201410</v>
      </c>
      <c r="K802" s="16">
        <v>38.01</v>
      </c>
      <c r="L802" s="171">
        <f>VLOOKUP(J802,$U$9:$V$23,2)</f>
        <v>8</v>
      </c>
      <c r="M802" s="17">
        <v>1.4833299999999999E-3</v>
      </c>
      <c r="N802" s="16">
        <f>ROUND(K802*L802*M802,2)</f>
        <v>0.45</v>
      </c>
      <c r="O802" s="16">
        <f>ROUND(K802*M802*12,2)</f>
        <v>0.68</v>
      </c>
      <c r="P802" s="14"/>
      <c r="Q802" s="210" t="str">
        <f>VLOOKUP(D802,'WO Descriptions'!$A$5:$D$345,4)</f>
        <v>Approved by: Gary Williams on 06/10/2014,  Replace PBS due to down project</v>
      </c>
    </row>
    <row r="803" spans="1:19" outlineLevel="2">
      <c r="A803" s="3" t="s">
        <v>914</v>
      </c>
      <c r="B803" s="14" t="s">
        <v>54</v>
      </c>
      <c r="C803" s="15" t="s">
        <v>913</v>
      </c>
      <c r="D803" s="15" t="s">
        <v>914</v>
      </c>
      <c r="E803" s="14" t="s">
        <v>915</v>
      </c>
      <c r="F803" s="15" t="s">
        <v>36</v>
      </c>
      <c r="G803" s="14" t="s">
        <v>22</v>
      </c>
      <c r="H803" s="15" t="s">
        <v>23</v>
      </c>
      <c r="I803" s="15" t="s">
        <v>1525</v>
      </c>
      <c r="J803" s="15">
        <v>201411</v>
      </c>
      <c r="K803" s="16">
        <v>-1080.8800000000001</v>
      </c>
      <c r="L803" s="171">
        <f>VLOOKUP(J803,$U$9:$V$23,2)</f>
        <v>7</v>
      </c>
      <c r="M803" s="17">
        <v>1.4833299999999999E-3</v>
      </c>
      <c r="N803" s="16">
        <f>ROUND(K803*L803*M803,2)</f>
        <v>-11.22</v>
      </c>
      <c r="O803" s="16">
        <f>ROUND(K803*M803*12,2)</f>
        <v>-19.239999999999998</v>
      </c>
      <c r="P803" s="14"/>
      <c r="Q803" s="210" t="str">
        <f>VLOOKUP(D803,'WO Descriptions'!$A$5:$D$345,4)</f>
        <v>Approved by: Gary Williams on 06/10/2014,  Replace PBS due to down project</v>
      </c>
    </row>
    <row r="804" spans="1:19" outlineLevel="2">
      <c r="A804" s="3" t="s">
        <v>914</v>
      </c>
      <c r="B804" s="14" t="s">
        <v>54</v>
      </c>
      <c r="C804" s="15" t="s">
        <v>913</v>
      </c>
      <c r="D804" s="15" t="s">
        <v>914</v>
      </c>
      <c r="E804" s="14" t="s">
        <v>915</v>
      </c>
      <c r="F804" s="15" t="s">
        <v>36</v>
      </c>
      <c r="G804" s="14" t="s">
        <v>22</v>
      </c>
      <c r="H804" s="15" t="s">
        <v>23</v>
      </c>
      <c r="I804" s="15" t="s">
        <v>1525</v>
      </c>
      <c r="J804" s="15">
        <v>201412</v>
      </c>
      <c r="K804" s="16">
        <v>136.69</v>
      </c>
      <c r="L804" s="171">
        <f>VLOOKUP(J804,$U$9:$V$23,2)</f>
        <v>6</v>
      </c>
      <c r="M804" s="17">
        <v>1.4833299999999999E-3</v>
      </c>
      <c r="N804" s="16">
        <f>ROUND(K804*L804*M804,2)</f>
        <v>1.22</v>
      </c>
      <c r="O804" s="16">
        <f>ROUND(K804*M804*12,2)</f>
        <v>2.4300000000000002</v>
      </c>
      <c r="P804" s="14"/>
      <c r="Q804" s="210" t="str">
        <f>VLOOKUP(D804,'WO Descriptions'!$A$5:$D$345,4)</f>
        <v>Approved by: Gary Williams on 06/10/2014,  Replace PBS due to down project</v>
      </c>
    </row>
    <row r="805" spans="1:19" outlineLevel="1">
      <c r="A805" s="3" t="s">
        <v>2043</v>
      </c>
      <c r="B805" s="223"/>
      <c r="C805" s="250"/>
      <c r="D805" s="254" t="s">
        <v>2043</v>
      </c>
      <c r="E805" s="223"/>
      <c r="F805" s="250"/>
      <c r="G805" s="223"/>
      <c r="H805" s="250"/>
      <c r="I805" s="250"/>
      <c r="J805" s="250"/>
      <c r="K805" s="251">
        <f>SUBTOTAL(9,K801:K804)</f>
        <v>9796.590000000002</v>
      </c>
      <c r="L805" s="252"/>
      <c r="M805" s="253"/>
      <c r="N805" s="251">
        <f>SUBTOTAL(9,N801:N804)</f>
        <v>133.32999999999998</v>
      </c>
      <c r="O805" s="251">
        <f>SUBTOTAL(9,O801:O804)</f>
        <v>174.38</v>
      </c>
      <c r="P805" s="223"/>
      <c r="Q805" s="210"/>
      <c r="R805" s="263" t="s">
        <v>2097</v>
      </c>
      <c r="S805" s="263" t="s">
        <v>2098</v>
      </c>
    </row>
    <row r="806" spans="1:19" ht="30" outlineLevel="2">
      <c r="A806" s="3" t="s">
        <v>917</v>
      </c>
      <c r="B806" s="14" t="s">
        <v>54</v>
      </c>
      <c r="C806" s="15" t="s">
        <v>916</v>
      </c>
      <c r="D806" s="15" t="s">
        <v>917</v>
      </c>
      <c r="E806" s="14" t="s">
        <v>918</v>
      </c>
      <c r="F806" s="15" t="s">
        <v>909</v>
      </c>
      <c r="G806" s="14" t="s">
        <v>22</v>
      </c>
      <c r="H806" s="15" t="s">
        <v>23</v>
      </c>
      <c r="I806" s="15" t="s">
        <v>1525</v>
      </c>
      <c r="J806" s="15">
        <v>201409</v>
      </c>
      <c r="K806" s="16">
        <v>6119.67</v>
      </c>
      <c r="L806" s="171">
        <f>VLOOKUP(J806,$U$9:$V$23,2)</f>
        <v>9</v>
      </c>
      <c r="M806" s="17">
        <v>1.4833299999999999E-3</v>
      </c>
      <c r="N806" s="16">
        <f>ROUND(K806*L806*M806,2)</f>
        <v>81.7</v>
      </c>
      <c r="O806" s="16">
        <f>ROUND(K806*M806*12,2)</f>
        <v>108.93</v>
      </c>
      <c r="P806" s="14"/>
      <c r="Q806" s="210" t="str">
        <f>VLOOKUP(D806,'WO Descriptions'!$A$5:$D$345,4)</f>
        <v>Approved by: Gary Williams on 06/10/2014,  Replace PBS due to down project. Pressure system C-01</v>
      </c>
    </row>
    <row r="807" spans="1:19" ht="30" outlineLevel="2">
      <c r="A807" s="3" t="s">
        <v>917</v>
      </c>
      <c r="B807" s="14" t="s">
        <v>54</v>
      </c>
      <c r="C807" s="15" t="s">
        <v>916</v>
      </c>
      <c r="D807" s="15" t="s">
        <v>917</v>
      </c>
      <c r="E807" s="14" t="s">
        <v>918</v>
      </c>
      <c r="F807" s="15" t="s">
        <v>909</v>
      </c>
      <c r="G807" s="14" t="s">
        <v>22</v>
      </c>
      <c r="H807" s="15" t="s">
        <v>23</v>
      </c>
      <c r="I807" s="15" t="s">
        <v>1525</v>
      </c>
      <c r="J807" s="15">
        <v>201410</v>
      </c>
      <c r="K807" s="16">
        <v>0.82</v>
      </c>
      <c r="L807" s="171">
        <f>VLOOKUP(J807,$U$9:$V$23,2)</f>
        <v>8</v>
      </c>
      <c r="M807" s="17">
        <v>1.4833299999999999E-3</v>
      </c>
      <c r="N807" s="16">
        <f>ROUND(K807*L807*M807,2)</f>
        <v>0.01</v>
      </c>
      <c r="O807" s="16">
        <f>ROUND(K807*M807*12,2)</f>
        <v>0.01</v>
      </c>
      <c r="P807" s="14"/>
      <c r="Q807" s="210" t="str">
        <f>VLOOKUP(D807,'WO Descriptions'!$A$5:$D$345,4)</f>
        <v>Approved by: Gary Williams on 06/10/2014,  Replace PBS due to down project. Pressure system C-01</v>
      </c>
    </row>
    <row r="808" spans="1:19" outlineLevel="1">
      <c r="A808" s="3" t="s">
        <v>2044</v>
      </c>
      <c r="B808" s="223"/>
      <c r="C808" s="250"/>
      <c r="D808" s="254" t="s">
        <v>2044</v>
      </c>
      <c r="E808" s="223"/>
      <c r="F808" s="250"/>
      <c r="G808" s="223"/>
      <c r="H808" s="250"/>
      <c r="I808" s="250"/>
      <c r="J808" s="250"/>
      <c r="K808" s="251">
        <f>SUBTOTAL(9,K806:K807)</f>
        <v>6120.49</v>
      </c>
      <c r="L808" s="252"/>
      <c r="M808" s="253"/>
      <c r="N808" s="251">
        <f>SUBTOTAL(9,N806:N807)</f>
        <v>81.710000000000008</v>
      </c>
      <c r="O808" s="251">
        <f>SUBTOTAL(9,O806:O807)</f>
        <v>108.94000000000001</v>
      </c>
      <c r="P808" s="223"/>
      <c r="Q808" s="210"/>
      <c r="R808" s="263" t="s">
        <v>2097</v>
      </c>
      <c r="S808" s="263" t="s">
        <v>2098</v>
      </c>
    </row>
    <row r="809" spans="1:19" ht="120" outlineLevel="2">
      <c r="A809" s="3" t="s">
        <v>920</v>
      </c>
      <c r="B809" s="14" t="s">
        <v>54</v>
      </c>
      <c r="C809" s="15" t="s">
        <v>919</v>
      </c>
      <c r="D809" s="15" t="s">
        <v>920</v>
      </c>
      <c r="E809" s="14" t="s">
        <v>921</v>
      </c>
      <c r="F809" s="15" t="s">
        <v>362</v>
      </c>
      <c r="G809" s="14" t="s">
        <v>41</v>
      </c>
      <c r="H809" s="15" t="s">
        <v>23</v>
      </c>
      <c r="I809" s="15" t="s">
        <v>1526</v>
      </c>
      <c r="J809" s="15">
        <v>201411</v>
      </c>
      <c r="K809" s="16">
        <v>156809.47</v>
      </c>
      <c r="L809" s="171">
        <f>VLOOKUP(J809,$U$9:$V$23,2)</f>
        <v>7</v>
      </c>
      <c r="M809" s="17">
        <v>1.4833299999999999E-3</v>
      </c>
      <c r="N809" s="16">
        <f>ROUND(K809*L809*M809,2)</f>
        <v>1628.2</v>
      </c>
      <c r="O809" s="16">
        <f>ROUND(K809*M809*12,2)</f>
        <v>2791.2</v>
      </c>
      <c r="P809" s="14"/>
      <c r="Q809" s="210" t="str">
        <f>VLOOKUP(D809,'WO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10" spans="1:19" ht="120" outlineLevel="2">
      <c r="A810" s="3" t="s">
        <v>920</v>
      </c>
      <c r="B810" s="14" t="s">
        <v>54</v>
      </c>
      <c r="C810" s="15" t="s">
        <v>919</v>
      </c>
      <c r="D810" s="15" t="s">
        <v>920</v>
      </c>
      <c r="E810" s="14" t="s">
        <v>921</v>
      </c>
      <c r="F810" s="15" t="s">
        <v>362</v>
      </c>
      <c r="G810" s="14" t="s">
        <v>41</v>
      </c>
      <c r="H810" s="15" t="s">
        <v>23</v>
      </c>
      <c r="I810" s="15" t="s">
        <v>1526</v>
      </c>
      <c r="J810" s="15">
        <v>201412</v>
      </c>
      <c r="K810" s="16">
        <v>-653.91</v>
      </c>
      <c r="L810" s="171">
        <f>VLOOKUP(J810,$U$9:$V$23,2)</f>
        <v>6</v>
      </c>
      <c r="M810" s="17">
        <v>1.4833299999999999E-3</v>
      </c>
      <c r="N810" s="16">
        <f>ROUND(K810*L810*M810,2)</f>
        <v>-5.82</v>
      </c>
      <c r="O810" s="16">
        <f>ROUND(K810*M810*12,2)</f>
        <v>-11.64</v>
      </c>
      <c r="P810" s="14"/>
      <c r="Q810" s="210" t="str">
        <f>VLOOKUP(D810,'WO Descriptions'!$A$5:$D$345,4)</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row>
    <row r="811" spans="1:19" outlineLevel="1">
      <c r="A811" s="3" t="s">
        <v>2045</v>
      </c>
      <c r="B811" s="223"/>
      <c r="C811" s="250"/>
      <c r="D811" s="254" t="s">
        <v>2045</v>
      </c>
      <c r="E811" s="223"/>
      <c r="F811" s="250"/>
      <c r="G811" s="223"/>
      <c r="H811" s="250"/>
      <c r="I811" s="250"/>
      <c r="J811" s="250"/>
      <c r="K811" s="251">
        <f>SUBTOTAL(9,K809:K810)</f>
        <v>156155.56</v>
      </c>
      <c r="L811" s="252"/>
      <c r="M811" s="253"/>
      <c r="N811" s="251">
        <f>SUBTOTAL(9,N809:N810)</f>
        <v>1622.38</v>
      </c>
      <c r="O811" s="251">
        <f>SUBTOTAL(9,O809:O810)</f>
        <v>2779.56</v>
      </c>
      <c r="P811" s="223"/>
      <c r="Q811" s="210"/>
      <c r="R811" s="263" t="s">
        <v>2096</v>
      </c>
    </row>
    <row r="812" spans="1:19" ht="45" outlineLevel="2">
      <c r="A812" s="3" t="s">
        <v>1058</v>
      </c>
      <c r="B812" s="14" t="s">
        <v>17</v>
      </c>
      <c r="C812" s="15" t="s">
        <v>1057</v>
      </c>
      <c r="D812" s="15" t="s">
        <v>1058</v>
      </c>
      <c r="E812" s="14" t="s">
        <v>1059</v>
      </c>
      <c r="F812" s="15" t="s">
        <v>925</v>
      </c>
      <c r="G812" s="14" t="s">
        <v>41</v>
      </c>
      <c r="H812" s="15" t="s">
        <v>23</v>
      </c>
      <c r="I812" s="15" t="s">
        <v>1526</v>
      </c>
      <c r="J812" s="15">
        <v>201412</v>
      </c>
      <c r="K812" s="16">
        <v>37991.93</v>
      </c>
      <c r="L812" s="171">
        <f>VLOOKUP(J812,$U$9:$V$23,2)</f>
        <v>6</v>
      </c>
      <c r="M812" s="17">
        <v>1.4833299999999999E-3</v>
      </c>
      <c r="N812" s="16">
        <f>ROUND(K812*L812*M812,2)</f>
        <v>338.13</v>
      </c>
      <c r="O812" s="16">
        <f>ROUND(K812*M812*12,2)</f>
        <v>676.25</v>
      </c>
      <c r="P812" s="14"/>
      <c r="Q812" s="210" t="str">
        <f>VLOOKUP(D812,'WO Descriptions'!$A$5:$D$345,4)</f>
        <v>Approved by: Gary Williams on 06/13/2014,  (ISRS)  Lay 325'-6in thin film for MODOT project J4I3005 under I-35.  Main needs to be 12' deep under the highway due to cuts.  No services to tie-over.  Retire 325'-10in PCS, WO 67-5537, Year 1967.  COST PER FOOT $132.92</v>
      </c>
    </row>
    <row r="813" spans="1:19" outlineLevel="1">
      <c r="A813" s="3" t="s">
        <v>2046</v>
      </c>
      <c r="B813" s="223"/>
      <c r="C813" s="250"/>
      <c r="D813" s="254" t="s">
        <v>2046</v>
      </c>
      <c r="E813" s="223"/>
      <c r="F813" s="250"/>
      <c r="G813" s="223"/>
      <c r="H813" s="250"/>
      <c r="I813" s="250"/>
      <c r="J813" s="250"/>
      <c r="K813" s="251">
        <f>SUBTOTAL(9,K812:K812)</f>
        <v>37991.93</v>
      </c>
      <c r="L813" s="252"/>
      <c r="M813" s="253"/>
      <c r="N813" s="251">
        <f>SUBTOTAL(9,N812:N812)</f>
        <v>338.13</v>
      </c>
      <c r="O813" s="251">
        <f>SUBTOTAL(9,O812:O812)</f>
        <v>676.25</v>
      </c>
      <c r="P813" s="223"/>
      <c r="Q813" s="210"/>
      <c r="R813" s="263" t="s">
        <v>2096</v>
      </c>
    </row>
    <row r="814" spans="1:19" ht="75" outlineLevel="2">
      <c r="A814" s="3" t="s">
        <v>923</v>
      </c>
      <c r="B814" s="14" t="s">
        <v>54</v>
      </c>
      <c r="C814" s="15" t="s">
        <v>922</v>
      </c>
      <c r="D814" s="15" t="s">
        <v>923</v>
      </c>
      <c r="E814" s="14" t="s">
        <v>924</v>
      </c>
      <c r="F814" s="15" t="s">
        <v>925</v>
      </c>
      <c r="G814" s="14" t="s">
        <v>41</v>
      </c>
      <c r="H814" s="15" t="s">
        <v>23</v>
      </c>
      <c r="I814" s="15" t="s">
        <v>1526</v>
      </c>
      <c r="J814" s="15">
        <v>201411</v>
      </c>
      <c r="K814" s="16">
        <v>100429.48</v>
      </c>
      <c r="L814" s="171">
        <f>VLOOKUP(J814,$U$9:$V$23,2)</f>
        <v>7</v>
      </c>
      <c r="M814" s="17">
        <v>1.4833299999999999E-3</v>
      </c>
      <c r="N814" s="16">
        <f>ROUND(K814*L814*M814,2)</f>
        <v>1042.79</v>
      </c>
      <c r="O814" s="16">
        <f>ROUND(K814*M814*12,2)</f>
        <v>1787.64</v>
      </c>
      <c r="P814" s="14"/>
      <c r="Q814" s="210" t="str">
        <f>VLOOKUP(D814,'WO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15" spans="1:19" ht="75" outlineLevel="2">
      <c r="A815" s="3" t="s">
        <v>923</v>
      </c>
      <c r="B815" s="14" t="s">
        <v>54</v>
      </c>
      <c r="C815" s="15" t="s">
        <v>922</v>
      </c>
      <c r="D815" s="15" t="s">
        <v>923</v>
      </c>
      <c r="E815" s="14" t="s">
        <v>924</v>
      </c>
      <c r="F815" s="15" t="s">
        <v>925</v>
      </c>
      <c r="G815" s="14" t="s">
        <v>41</v>
      </c>
      <c r="H815" s="15" t="s">
        <v>23</v>
      </c>
      <c r="I815" s="15" t="s">
        <v>1526</v>
      </c>
      <c r="J815" s="15">
        <v>201412</v>
      </c>
      <c r="K815" s="16">
        <v>1865.84</v>
      </c>
      <c r="L815" s="171">
        <f>VLOOKUP(J815,$U$9:$V$23,2)</f>
        <v>6</v>
      </c>
      <c r="M815" s="17">
        <v>1.4833299999999999E-3</v>
      </c>
      <c r="N815" s="16">
        <f>ROUND(K815*L815*M815,2)</f>
        <v>16.61</v>
      </c>
      <c r="O815" s="16">
        <f>ROUND(K815*M815*12,2)</f>
        <v>33.21</v>
      </c>
      <c r="P815" s="14"/>
      <c r="Q815" s="210" t="str">
        <f>VLOOKUP(D815,'WO Descriptions'!$A$5:$D$345,4)</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row>
    <row r="816" spans="1:19" outlineLevel="1">
      <c r="A816" s="3" t="s">
        <v>2047</v>
      </c>
      <c r="B816" s="223"/>
      <c r="C816" s="250"/>
      <c r="D816" s="254" t="s">
        <v>2047</v>
      </c>
      <c r="E816" s="223"/>
      <c r="F816" s="250"/>
      <c r="G816" s="223"/>
      <c r="H816" s="250"/>
      <c r="I816" s="250"/>
      <c r="J816" s="250"/>
      <c r="K816" s="251">
        <f>SUBTOTAL(9,K814:K815)</f>
        <v>102295.31999999999</v>
      </c>
      <c r="L816" s="252"/>
      <c r="M816" s="253"/>
      <c r="N816" s="251">
        <f>SUBTOTAL(9,N814:N815)</f>
        <v>1059.3999999999999</v>
      </c>
      <c r="O816" s="251">
        <f>SUBTOTAL(9,O814:O815)</f>
        <v>1820.8500000000001</v>
      </c>
      <c r="P816" s="223"/>
      <c r="Q816" s="210"/>
      <c r="R816" s="263" t="s">
        <v>2096</v>
      </c>
    </row>
    <row r="817" spans="1:19" ht="45" outlineLevel="2">
      <c r="A817" s="3" t="s">
        <v>927</v>
      </c>
      <c r="B817" s="14" t="s">
        <v>54</v>
      </c>
      <c r="C817" s="15" t="s">
        <v>926</v>
      </c>
      <c r="D817" s="15" t="s">
        <v>927</v>
      </c>
      <c r="E817" s="14" t="s">
        <v>928</v>
      </c>
      <c r="F817" s="15" t="s">
        <v>141</v>
      </c>
      <c r="G817" s="14" t="s">
        <v>142</v>
      </c>
      <c r="H817" s="15" t="s">
        <v>23</v>
      </c>
      <c r="I817" s="15" t="s">
        <v>1525</v>
      </c>
      <c r="J817" s="15">
        <v>201409</v>
      </c>
      <c r="K817" s="16">
        <v>10991.12</v>
      </c>
      <c r="L817" s="171">
        <f>VLOOKUP(J817,$U$9:$V$23,2)</f>
        <v>9</v>
      </c>
      <c r="M817" s="17">
        <v>1.4833299999999999E-3</v>
      </c>
      <c r="N817" s="16">
        <f>ROUND(K817*L817*M817,2)</f>
        <v>146.72999999999999</v>
      </c>
      <c r="O817" s="16">
        <f>ROUND(K817*M817*12,2)</f>
        <v>195.64</v>
      </c>
      <c r="P817" s="14"/>
      <c r="Q817" s="210" t="str">
        <f>VLOOKUP(D817,'WO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818" spans="1:19" ht="45" outlineLevel="2">
      <c r="A818" s="3" t="s">
        <v>927</v>
      </c>
      <c r="B818" s="14" t="s">
        <v>54</v>
      </c>
      <c r="C818" s="15" t="s">
        <v>926</v>
      </c>
      <c r="D818" s="15" t="s">
        <v>927</v>
      </c>
      <c r="E818" s="14" t="s">
        <v>928</v>
      </c>
      <c r="F818" s="15" t="s">
        <v>141</v>
      </c>
      <c r="G818" s="14" t="s">
        <v>142</v>
      </c>
      <c r="H818" s="15" t="s">
        <v>23</v>
      </c>
      <c r="I818" s="15" t="s">
        <v>1525</v>
      </c>
      <c r="J818" s="15">
        <v>201410</v>
      </c>
      <c r="K818" s="16">
        <v>129.80000000000001</v>
      </c>
      <c r="L818" s="171">
        <f>VLOOKUP(J818,$U$9:$V$23,2)</f>
        <v>8</v>
      </c>
      <c r="M818" s="17">
        <v>1.4833299999999999E-3</v>
      </c>
      <c r="N818" s="16">
        <f>ROUND(K818*L818*M818,2)</f>
        <v>1.54</v>
      </c>
      <c r="O818" s="16">
        <f>ROUND(K818*M818*12,2)</f>
        <v>2.31</v>
      </c>
      <c r="P818" s="14"/>
      <c r="Q818" s="210" t="str">
        <f>VLOOKUP(D818,'WO Descriptions'!$A$5:$D$345,4)</f>
        <v>Approved by: Gary Williams on 06/13/2014,  ISRS Replace 1124' of 4'' CI with 2'' PE (due to graphitization). Current CI is tied onto pressure system: C-1 . New 2'' PE tie in will be on 16'' CS. Service tie overs 14. Pressure system:C-3. Be sure to abandon east of CI break 12-1014.</v>
      </c>
    </row>
    <row r="819" spans="1:19" outlineLevel="1">
      <c r="A819" s="3" t="s">
        <v>2048</v>
      </c>
      <c r="B819" s="223"/>
      <c r="C819" s="250"/>
      <c r="D819" s="254" t="s">
        <v>2048</v>
      </c>
      <c r="E819" s="223"/>
      <c r="F819" s="250"/>
      <c r="G819" s="223"/>
      <c r="H819" s="250"/>
      <c r="I819" s="250"/>
      <c r="J819" s="250"/>
      <c r="K819" s="251">
        <f>SUBTOTAL(9,K817:K818)</f>
        <v>11120.92</v>
      </c>
      <c r="L819" s="252"/>
      <c r="M819" s="253"/>
      <c r="N819" s="251">
        <f>SUBTOTAL(9,N817:N818)</f>
        <v>148.26999999999998</v>
      </c>
      <c r="O819" s="251">
        <f>SUBTOTAL(9,O817:O818)</f>
        <v>197.95</v>
      </c>
      <c r="P819" s="223"/>
      <c r="Q819" s="210"/>
      <c r="R819" s="263" t="s">
        <v>2097</v>
      </c>
      <c r="S819" s="263" t="s">
        <v>2100</v>
      </c>
    </row>
    <row r="820" spans="1:19" ht="90" outlineLevel="2">
      <c r="A820" s="3" t="s">
        <v>930</v>
      </c>
      <c r="B820" s="14" t="s">
        <v>54</v>
      </c>
      <c r="C820" s="15" t="s">
        <v>929</v>
      </c>
      <c r="D820" s="15" t="s">
        <v>930</v>
      </c>
      <c r="E820" s="14" t="s">
        <v>931</v>
      </c>
      <c r="F820" s="15" t="s">
        <v>394</v>
      </c>
      <c r="G820" s="14" t="s">
        <v>137</v>
      </c>
      <c r="H820" s="15" t="s">
        <v>23</v>
      </c>
      <c r="I820" s="15" t="s">
        <v>1526</v>
      </c>
      <c r="J820" s="15">
        <v>201411</v>
      </c>
      <c r="K820" s="16">
        <v>37016.21</v>
      </c>
      <c r="L820" s="171">
        <f>VLOOKUP(J820,$U$9:$V$23,2)</f>
        <v>7</v>
      </c>
      <c r="M820" s="17">
        <v>1.4833299999999999E-3</v>
      </c>
      <c r="N820" s="16">
        <f>ROUND(K820*L820*M820,2)</f>
        <v>384.35</v>
      </c>
      <c r="O820" s="16">
        <f>ROUND(K820*M820*12,2)</f>
        <v>658.89</v>
      </c>
      <c r="P820" s="14"/>
      <c r="Q820" s="210" t="str">
        <f>VLOOKUP(D820,'WO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21" spans="1:19" ht="90" outlineLevel="2">
      <c r="A821" s="3" t="s">
        <v>930</v>
      </c>
      <c r="B821" s="14" t="s">
        <v>54</v>
      </c>
      <c r="C821" s="15" t="s">
        <v>929</v>
      </c>
      <c r="D821" s="15" t="s">
        <v>930</v>
      </c>
      <c r="E821" s="14" t="s">
        <v>931</v>
      </c>
      <c r="F821" s="15" t="s">
        <v>394</v>
      </c>
      <c r="G821" s="14" t="s">
        <v>137</v>
      </c>
      <c r="H821" s="15" t="s">
        <v>23</v>
      </c>
      <c r="I821" s="15" t="s">
        <v>1526</v>
      </c>
      <c r="J821" s="15">
        <v>201412</v>
      </c>
      <c r="K821" s="16">
        <v>237.88</v>
      </c>
      <c r="L821" s="171">
        <f>VLOOKUP(J821,$U$9:$V$23,2)</f>
        <v>6</v>
      </c>
      <c r="M821" s="17">
        <v>1.4833299999999999E-3</v>
      </c>
      <c r="N821" s="16">
        <f>ROUND(K821*L821*M821,2)</f>
        <v>2.12</v>
      </c>
      <c r="O821" s="16">
        <f>ROUND(K821*M821*12,2)</f>
        <v>4.2300000000000004</v>
      </c>
      <c r="P821" s="14"/>
      <c r="Q821" s="210" t="str">
        <f>VLOOKUP(D821,'WO Descriptions'!$A$5:$D$345,4)</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row>
    <row r="822" spans="1:19" outlineLevel="1">
      <c r="A822" s="3" t="s">
        <v>2049</v>
      </c>
      <c r="B822" s="223"/>
      <c r="C822" s="250"/>
      <c r="D822" s="254" t="s">
        <v>2049</v>
      </c>
      <c r="E822" s="223"/>
      <c r="F822" s="250"/>
      <c r="G822" s="223"/>
      <c r="H822" s="250"/>
      <c r="I822" s="250"/>
      <c r="J822" s="250"/>
      <c r="K822" s="251">
        <f>SUBTOTAL(9,K820:K821)</f>
        <v>37254.089999999997</v>
      </c>
      <c r="L822" s="252"/>
      <c r="M822" s="253"/>
      <c r="N822" s="251">
        <f>SUBTOTAL(9,N820:N821)</f>
        <v>386.47</v>
      </c>
      <c r="O822" s="251">
        <f>SUBTOTAL(9,O820:O821)</f>
        <v>663.12</v>
      </c>
      <c r="P822" s="223"/>
      <c r="Q822" s="210"/>
      <c r="R822" s="263" t="s">
        <v>2096</v>
      </c>
    </row>
    <row r="823" spans="1:19" ht="90" outlineLevel="2">
      <c r="A823" s="3" t="s">
        <v>1061</v>
      </c>
      <c r="B823" s="14" t="s">
        <v>54</v>
      </c>
      <c r="C823" s="15" t="s">
        <v>1060</v>
      </c>
      <c r="D823" s="15" t="s">
        <v>1061</v>
      </c>
      <c r="E823" s="14" t="s">
        <v>1062</v>
      </c>
      <c r="F823" s="15" t="s">
        <v>53</v>
      </c>
      <c r="G823" s="14" t="s">
        <v>41</v>
      </c>
      <c r="H823" s="15" t="s">
        <v>23</v>
      </c>
      <c r="I823" s="15" t="s">
        <v>1526</v>
      </c>
      <c r="J823" s="15">
        <v>201412</v>
      </c>
      <c r="K823" s="16">
        <v>116872.01</v>
      </c>
      <c r="L823" s="171">
        <f>VLOOKUP(J823,$U$9:$V$23,2)</f>
        <v>6</v>
      </c>
      <c r="M823" s="17">
        <v>1.4833299999999999E-3</v>
      </c>
      <c r="N823" s="16">
        <f>ROUND(K823*L823*M823,2)</f>
        <v>1040.1600000000001</v>
      </c>
      <c r="O823" s="16">
        <f>ROUND(K823*M823*12,2)</f>
        <v>2080.3200000000002</v>
      </c>
      <c r="P823" s="14"/>
      <c r="Q823" s="210" t="str">
        <f>VLOOKUP(D823,'WO Descriptions'!$A$5:$D$345,4)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row>
    <row r="824" spans="1:19" outlineLevel="1">
      <c r="A824" s="3" t="s">
        <v>2050</v>
      </c>
      <c r="B824" s="223"/>
      <c r="C824" s="250"/>
      <c r="D824" s="254" t="s">
        <v>2050</v>
      </c>
      <c r="E824" s="223"/>
      <c r="F824" s="250"/>
      <c r="G824" s="223"/>
      <c r="H824" s="250"/>
      <c r="I824" s="250"/>
      <c r="J824" s="250"/>
      <c r="K824" s="251">
        <f>SUBTOTAL(9,K823:K823)</f>
        <v>116872.01</v>
      </c>
      <c r="L824" s="252"/>
      <c r="M824" s="253"/>
      <c r="N824" s="251">
        <f>SUBTOTAL(9,N823:N823)</f>
        <v>1040.1600000000001</v>
      </c>
      <c r="O824" s="251">
        <f>SUBTOTAL(9,O823:O823)</f>
        <v>2080.3200000000002</v>
      </c>
      <c r="P824" s="223"/>
      <c r="Q824" s="210"/>
      <c r="R824" s="263" t="s">
        <v>2096</v>
      </c>
    </row>
    <row r="825" spans="1:19" ht="45" outlineLevel="2">
      <c r="A825" s="3" t="s">
        <v>933</v>
      </c>
      <c r="B825" s="14" t="s">
        <v>17</v>
      </c>
      <c r="C825" s="15" t="s">
        <v>932</v>
      </c>
      <c r="D825" s="15" t="s">
        <v>933</v>
      </c>
      <c r="E825" s="14" t="s">
        <v>934</v>
      </c>
      <c r="F825" s="15" t="s">
        <v>925</v>
      </c>
      <c r="G825" s="14" t="s">
        <v>41</v>
      </c>
      <c r="H825" s="15" t="s">
        <v>23</v>
      </c>
      <c r="I825" s="15" t="s">
        <v>1526</v>
      </c>
      <c r="J825" s="15">
        <v>201409</v>
      </c>
      <c r="K825" s="16">
        <v>72544.160000000003</v>
      </c>
      <c r="L825" s="171">
        <f>VLOOKUP(J825,$U$9:$V$23,2)</f>
        <v>9</v>
      </c>
      <c r="M825" s="17">
        <v>1.4833299999999999E-3</v>
      </c>
      <c r="N825" s="16">
        <f>ROUND(K825*L825*M825,2)</f>
        <v>968.46</v>
      </c>
      <c r="O825" s="16">
        <f>ROUND(K825*M825*12,2)</f>
        <v>1291.28</v>
      </c>
      <c r="P825" s="14"/>
      <c r="Q825" s="210" t="str">
        <f>VLOOKUP(D825,'WO Descriptions'!$A$5:$D$345,4)</f>
        <v>Approved by: Steve Holcomb on 06/25/2014,  (ISRS).  Relocate 8in PBS &amp; PCS with 410'-8in PCS due to public improvement project. City is cutting in a new street on an old vacant right of way. Tie over 3 services.  MODOT permit needed for project.</v>
      </c>
    </row>
    <row r="826" spans="1:19" ht="45" outlineLevel="2">
      <c r="A826" s="3" t="s">
        <v>933</v>
      </c>
      <c r="B826" s="14" t="s">
        <v>17</v>
      </c>
      <c r="C826" s="15" t="s">
        <v>932</v>
      </c>
      <c r="D826" s="15" t="s">
        <v>933</v>
      </c>
      <c r="E826" s="14" t="s">
        <v>934</v>
      </c>
      <c r="F826" s="15" t="s">
        <v>925</v>
      </c>
      <c r="G826" s="14" t="s">
        <v>41</v>
      </c>
      <c r="H826" s="15" t="s">
        <v>23</v>
      </c>
      <c r="I826" s="15" t="s">
        <v>1526</v>
      </c>
      <c r="J826" s="15">
        <v>201410</v>
      </c>
      <c r="K826" s="16">
        <v>163.34</v>
      </c>
      <c r="L826" s="171">
        <f>VLOOKUP(J826,$U$9:$V$23,2)</f>
        <v>8</v>
      </c>
      <c r="M826" s="17">
        <v>1.4833299999999999E-3</v>
      </c>
      <c r="N826" s="16">
        <f>ROUND(K826*L826*M826,2)</f>
        <v>1.94</v>
      </c>
      <c r="O826" s="16">
        <f>ROUND(K826*M826*12,2)</f>
        <v>2.91</v>
      </c>
      <c r="P826" s="14"/>
      <c r="Q826" s="210" t="str">
        <f>VLOOKUP(D826,'WO Descriptions'!$A$5:$D$345,4)</f>
        <v>Approved by: Steve Holcomb on 06/25/2014,  (ISRS).  Relocate 8in PBS &amp; PCS with 410'-8in PCS due to public improvement project. City is cutting in a new street on an old vacant right of way. Tie over 3 services.  MODOT permit needed for project.</v>
      </c>
    </row>
    <row r="827" spans="1:19" outlineLevel="1">
      <c r="A827" s="3" t="s">
        <v>2051</v>
      </c>
      <c r="B827" s="223"/>
      <c r="C827" s="250"/>
      <c r="D827" s="254" t="s">
        <v>2051</v>
      </c>
      <c r="E827" s="223"/>
      <c r="F827" s="250"/>
      <c r="G827" s="223"/>
      <c r="H827" s="250"/>
      <c r="I827" s="250"/>
      <c r="J827" s="250"/>
      <c r="K827" s="251">
        <f>SUBTOTAL(9,K825:K826)</f>
        <v>72707.5</v>
      </c>
      <c r="L827" s="252"/>
      <c r="M827" s="253"/>
      <c r="N827" s="251">
        <f>SUBTOTAL(9,N825:N826)</f>
        <v>970.40000000000009</v>
      </c>
      <c r="O827" s="251">
        <f>SUBTOTAL(9,O825:O826)</f>
        <v>1294.19</v>
      </c>
      <c r="P827" s="223"/>
      <c r="Q827" s="210"/>
      <c r="R827" s="263" t="s">
        <v>2096</v>
      </c>
    </row>
    <row r="828" spans="1:19" ht="75" outlineLevel="2">
      <c r="A828" s="3" t="s">
        <v>936</v>
      </c>
      <c r="B828" s="14" t="s">
        <v>17</v>
      </c>
      <c r="C828" s="15" t="s">
        <v>935</v>
      </c>
      <c r="D828" s="15" t="s">
        <v>936</v>
      </c>
      <c r="E828" s="14" t="s">
        <v>937</v>
      </c>
      <c r="F828" s="15" t="s">
        <v>53</v>
      </c>
      <c r="G828" s="14" t="s">
        <v>41</v>
      </c>
      <c r="H828" s="15" t="s">
        <v>23</v>
      </c>
      <c r="I828" s="15" t="s">
        <v>1526</v>
      </c>
      <c r="J828" s="15">
        <v>201409</v>
      </c>
      <c r="K828" s="16">
        <v>319.49</v>
      </c>
      <c r="L828" s="171">
        <f>VLOOKUP(J828,$U$9:$V$23,2)</f>
        <v>9</v>
      </c>
      <c r="M828" s="17">
        <v>1.4833299999999999E-3</v>
      </c>
      <c r="N828" s="16">
        <f>ROUND(K828*L828*M828,2)</f>
        <v>4.2699999999999996</v>
      </c>
      <c r="O828" s="16">
        <f>ROUND(K828*M828*12,2)</f>
        <v>5.69</v>
      </c>
      <c r="P828" s="14"/>
      <c r="Q828" s="210" t="str">
        <f>VLOOKUP(D828,'WO Descriptions'!$A$5:$D$345,4)</f>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
    </row>
    <row r="829" spans="1:19" outlineLevel="1">
      <c r="A829" s="3" t="s">
        <v>2052</v>
      </c>
      <c r="B829" s="223"/>
      <c r="C829" s="250"/>
      <c r="D829" s="254" t="s">
        <v>2052</v>
      </c>
      <c r="E829" s="223"/>
      <c r="F829" s="250"/>
      <c r="G829" s="223"/>
      <c r="H829" s="250"/>
      <c r="I829" s="250"/>
      <c r="J829" s="250"/>
      <c r="K829" s="251">
        <f>SUBTOTAL(9,K828:K828)</f>
        <v>319.49</v>
      </c>
      <c r="L829" s="252"/>
      <c r="M829" s="253"/>
      <c r="N829" s="251">
        <f>SUBTOTAL(9,N828:N828)</f>
        <v>4.2699999999999996</v>
      </c>
      <c r="O829" s="251">
        <f>SUBTOTAL(9,O828:O828)</f>
        <v>5.69</v>
      </c>
      <c r="P829" s="223"/>
      <c r="Q829" s="210"/>
      <c r="R829" s="263" t="s">
        <v>2096</v>
      </c>
    </row>
    <row r="830" spans="1:19" ht="30" outlineLevel="2">
      <c r="A830" s="3" t="s">
        <v>939</v>
      </c>
      <c r="B830" s="14" t="s">
        <v>54</v>
      </c>
      <c r="C830" s="15" t="s">
        <v>938</v>
      </c>
      <c r="D830" s="15" t="s">
        <v>939</v>
      </c>
      <c r="E830" s="14" t="s">
        <v>940</v>
      </c>
      <c r="F830" s="15" t="s">
        <v>141</v>
      </c>
      <c r="G830" s="14" t="s">
        <v>142</v>
      </c>
      <c r="H830" s="15" t="s">
        <v>23</v>
      </c>
      <c r="I830" s="15" t="s">
        <v>1525</v>
      </c>
      <c r="J830" s="15">
        <v>201409</v>
      </c>
      <c r="K830" s="16">
        <v>32210.09</v>
      </c>
      <c r="L830" s="171">
        <f>VLOOKUP(J830,$U$9:$V$23,2)</f>
        <v>9</v>
      </c>
      <c r="M830" s="17">
        <v>1.4833299999999999E-3</v>
      </c>
      <c r="N830" s="16">
        <f>ROUND(K830*L830*M830,2)</f>
        <v>430</v>
      </c>
      <c r="O830" s="16">
        <f>ROUND(K830*M830*12,2)</f>
        <v>573.34</v>
      </c>
      <c r="P830" s="14"/>
      <c r="Q830" s="210" t="str">
        <f>VLOOKUP(D830,'WO Descriptions'!$A$5:$D$345,4)</f>
        <v>Approved by: Steve Holcomb on 06/30/2014,  Replace 8'' CI WITH 6'' PE DUE TO LEAKS. PRESSURE SYSTEM C-01</v>
      </c>
    </row>
    <row r="831" spans="1:19" ht="30" outlineLevel="2">
      <c r="A831" s="3" t="s">
        <v>939</v>
      </c>
      <c r="B831" s="14" t="s">
        <v>54</v>
      </c>
      <c r="C831" s="15" t="s">
        <v>938</v>
      </c>
      <c r="D831" s="15" t="s">
        <v>939</v>
      </c>
      <c r="E831" s="14" t="s">
        <v>940</v>
      </c>
      <c r="F831" s="15" t="s">
        <v>141</v>
      </c>
      <c r="G831" s="14" t="s">
        <v>142</v>
      </c>
      <c r="H831" s="15" t="s">
        <v>23</v>
      </c>
      <c r="I831" s="15" t="s">
        <v>1525</v>
      </c>
      <c r="J831" s="15">
        <v>201410</v>
      </c>
      <c r="K831" s="16">
        <v>9145.27</v>
      </c>
      <c r="L831" s="171">
        <f>VLOOKUP(J831,$U$9:$V$23,2)</f>
        <v>8</v>
      </c>
      <c r="M831" s="17">
        <v>1.4833299999999999E-3</v>
      </c>
      <c r="N831" s="16">
        <f>ROUND(K831*L831*M831,2)</f>
        <v>108.52</v>
      </c>
      <c r="O831" s="16">
        <f>ROUND(K831*M831*12,2)</f>
        <v>162.79</v>
      </c>
      <c r="P831" s="14"/>
      <c r="Q831" s="210" t="str">
        <f>VLOOKUP(D831,'WO Descriptions'!$A$5:$D$345,4)</f>
        <v>Approved by: Steve Holcomb on 06/30/2014,  Replace 8'' CI WITH 6'' PE DUE TO LEAKS. PRESSURE SYSTEM C-01</v>
      </c>
    </row>
    <row r="832" spans="1:19" ht="30" outlineLevel="2">
      <c r="A832" s="3" t="s">
        <v>939</v>
      </c>
      <c r="B832" s="14" t="s">
        <v>54</v>
      </c>
      <c r="C832" s="15" t="s">
        <v>938</v>
      </c>
      <c r="D832" s="15" t="s">
        <v>939</v>
      </c>
      <c r="E832" s="14" t="s">
        <v>940</v>
      </c>
      <c r="F832" s="15" t="s">
        <v>141</v>
      </c>
      <c r="G832" s="14" t="s">
        <v>142</v>
      </c>
      <c r="H832" s="15" t="s">
        <v>23</v>
      </c>
      <c r="I832" s="15" t="s">
        <v>1525</v>
      </c>
      <c r="J832" s="15">
        <v>201411</v>
      </c>
      <c r="K832" s="16">
        <v>-767.04</v>
      </c>
      <c r="L832" s="171">
        <f>VLOOKUP(J832,$U$9:$V$23,2)</f>
        <v>7</v>
      </c>
      <c r="M832" s="17">
        <v>1.4833299999999999E-3</v>
      </c>
      <c r="N832" s="16">
        <f>ROUND(K832*L832*M832,2)</f>
        <v>-7.96</v>
      </c>
      <c r="O832" s="16">
        <f>ROUND(K832*M832*12,2)</f>
        <v>-13.65</v>
      </c>
      <c r="P832" s="14"/>
      <c r="Q832" s="210" t="str">
        <f>VLOOKUP(D832,'WO Descriptions'!$A$5:$D$345,4)</f>
        <v>Approved by: Steve Holcomb on 06/30/2014,  Replace 8'' CI WITH 6'' PE DUE TO LEAKS. PRESSURE SYSTEM C-01</v>
      </c>
    </row>
    <row r="833" spans="1:19" ht="30" outlineLevel="2">
      <c r="A833" s="3" t="s">
        <v>939</v>
      </c>
      <c r="B833" s="14" t="s">
        <v>54</v>
      </c>
      <c r="C833" s="15" t="s">
        <v>938</v>
      </c>
      <c r="D833" s="15" t="s">
        <v>939</v>
      </c>
      <c r="E833" s="14" t="s">
        <v>940</v>
      </c>
      <c r="F833" s="15" t="s">
        <v>141</v>
      </c>
      <c r="G833" s="14" t="s">
        <v>142</v>
      </c>
      <c r="H833" s="15" t="s">
        <v>23</v>
      </c>
      <c r="I833" s="15" t="s">
        <v>1525</v>
      </c>
      <c r="J833" s="15">
        <v>201412</v>
      </c>
      <c r="K833" s="16">
        <v>-683.61</v>
      </c>
      <c r="L833" s="171">
        <f>VLOOKUP(J833,$U$9:$V$23,2)</f>
        <v>6</v>
      </c>
      <c r="M833" s="17">
        <v>1.4833299999999999E-3</v>
      </c>
      <c r="N833" s="16">
        <f>ROUND(K833*L833*M833,2)</f>
        <v>-6.08</v>
      </c>
      <c r="O833" s="16">
        <f>ROUND(K833*M833*12,2)</f>
        <v>-12.17</v>
      </c>
      <c r="P833" s="14"/>
      <c r="Q833" s="210" t="str">
        <f>VLOOKUP(D833,'WO Descriptions'!$A$5:$D$345,4)</f>
        <v>Approved by: Steve Holcomb on 06/30/2014,  Replace 8'' CI WITH 6'' PE DUE TO LEAKS. PRESSURE SYSTEM C-01</v>
      </c>
    </row>
    <row r="834" spans="1:19" outlineLevel="1">
      <c r="A834" s="3" t="s">
        <v>2053</v>
      </c>
      <c r="B834" s="223"/>
      <c r="C834" s="250"/>
      <c r="D834" s="254" t="s">
        <v>2053</v>
      </c>
      <c r="E834" s="223"/>
      <c r="F834" s="250"/>
      <c r="G834" s="223"/>
      <c r="H834" s="250"/>
      <c r="I834" s="250"/>
      <c r="J834" s="250"/>
      <c r="K834" s="251">
        <f>SUBTOTAL(9,K830:K833)</f>
        <v>39904.71</v>
      </c>
      <c r="L834" s="252"/>
      <c r="M834" s="253"/>
      <c r="N834" s="251">
        <f>SUBTOTAL(9,N830:N833)</f>
        <v>524.4799999999999</v>
      </c>
      <c r="O834" s="251">
        <f>SUBTOTAL(9,O830:O833)</f>
        <v>710.31000000000006</v>
      </c>
      <c r="P834" s="223"/>
      <c r="Q834" s="210"/>
      <c r="R834" s="263" t="s">
        <v>2097</v>
      </c>
      <c r="S834" s="263" t="s">
        <v>2100</v>
      </c>
    </row>
    <row r="835" spans="1:19" ht="45" outlineLevel="2">
      <c r="A835" s="3" t="s">
        <v>942</v>
      </c>
      <c r="B835" s="14" t="s">
        <v>66</v>
      </c>
      <c r="C835" s="15" t="s">
        <v>941</v>
      </c>
      <c r="D835" s="15" t="s">
        <v>942</v>
      </c>
      <c r="E835" s="14" t="s">
        <v>943</v>
      </c>
      <c r="F835" s="15" t="s">
        <v>369</v>
      </c>
      <c r="G835" s="14" t="s">
        <v>41</v>
      </c>
      <c r="H835" s="15" t="s">
        <v>23</v>
      </c>
      <c r="I835" s="15" t="s">
        <v>1526</v>
      </c>
      <c r="J835" s="15">
        <v>201409</v>
      </c>
      <c r="K835" s="16">
        <v>-49.67</v>
      </c>
      <c r="L835" s="171">
        <f>VLOOKUP(J835,$U$9:$V$23,2)</f>
        <v>9</v>
      </c>
      <c r="M835" s="17">
        <v>2.23333E-3</v>
      </c>
      <c r="N835" s="16">
        <f>ROUND(K835*L835*M835,2)</f>
        <v>-1</v>
      </c>
      <c r="O835" s="16">
        <f>ROUND(K835*M835*12,2)</f>
        <v>-1.33</v>
      </c>
      <c r="P835" s="14"/>
      <c r="Q835" s="210" t="str">
        <f>VLOOKUP(D835,'WO Descriptions'!$A$5:$D$345,4)</f>
        <v>Approved by: Ralph Janes on 06/23/2014,  Relocate and retire 120' - 2" pe service line (work order 05-8339) by installing 135' - 2" pe service line to allow the Holden School District to build a new Childhood Development Center.</v>
      </c>
    </row>
    <row r="836" spans="1:19" outlineLevel="1">
      <c r="A836" s="3" t="s">
        <v>2054</v>
      </c>
      <c r="B836" s="223"/>
      <c r="C836" s="250"/>
      <c r="D836" s="254" t="s">
        <v>2054</v>
      </c>
      <c r="E836" s="223"/>
      <c r="F836" s="250"/>
      <c r="G836" s="223"/>
      <c r="H836" s="250"/>
      <c r="I836" s="250"/>
      <c r="J836" s="250"/>
      <c r="K836" s="251">
        <f>SUBTOTAL(9,K835:K835)</f>
        <v>-49.67</v>
      </c>
      <c r="L836" s="252"/>
      <c r="M836" s="253"/>
      <c r="N836" s="251">
        <f>SUBTOTAL(9,N835:N835)</f>
        <v>-1</v>
      </c>
      <c r="O836" s="251">
        <f>SUBTOTAL(9,O835:O835)</f>
        <v>-1.33</v>
      </c>
      <c r="P836" s="223"/>
      <c r="Q836" s="210"/>
      <c r="R836" s="263" t="s">
        <v>2096</v>
      </c>
    </row>
    <row r="837" spans="1:19" ht="30" outlineLevel="2">
      <c r="A837" s="3" t="s">
        <v>945</v>
      </c>
      <c r="B837" s="14" t="s">
        <v>17</v>
      </c>
      <c r="C837" s="15" t="s">
        <v>944</v>
      </c>
      <c r="D837" s="15" t="s">
        <v>945</v>
      </c>
      <c r="E837" s="14" t="s">
        <v>946</v>
      </c>
      <c r="F837" s="15" t="s">
        <v>104</v>
      </c>
      <c r="G837" s="14" t="s">
        <v>41</v>
      </c>
      <c r="H837" s="15" t="s">
        <v>23</v>
      </c>
      <c r="I837" s="15" t="s">
        <v>1526</v>
      </c>
      <c r="J837" s="15">
        <v>201409</v>
      </c>
      <c r="K837" s="16">
        <v>3364.94</v>
      </c>
      <c r="L837" s="171">
        <f>VLOOKUP(J837,$U$9:$V$23,2)</f>
        <v>9</v>
      </c>
      <c r="M837" s="17">
        <v>1.4833299999999999E-3</v>
      </c>
      <c r="N837" s="16">
        <f>ROUND(K837*L837*M837,2)</f>
        <v>44.92</v>
      </c>
      <c r="O837" s="16">
        <f>ROUND(K837*M837*12,2)</f>
        <v>59.9</v>
      </c>
      <c r="P837" s="14"/>
      <c r="Q837" s="210" t="str">
        <f>VLOOKUP(D837,'WO Descriptions'!$A$5:$D$345,4)</f>
        <v>Approved by: Ralph Janes on 07/02/2014,  Relocate and abandon 8' - 6" pcs main (work order 132741) by installing 16' - 6" pcs main to allow City to install new strom sewer structure. (ISRS)</v>
      </c>
    </row>
    <row r="838" spans="1:19" ht="30" outlineLevel="2">
      <c r="A838" s="3" t="s">
        <v>945</v>
      </c>
      <c r="B838" s="14" t="s">
        <v>17</v>
      </c>
      <c r="C838" s="15" t="s">
        <v>944</v>
      </c>
      <c r="D838" s="15" t="s">
        <v>945</v>
      </c>
      <c r="E838" s="14" t="s">
        <v>946</v>
      </c>
      <c r="F838" s="15" t="s">
        <v>104</v>
      </c>
      <c r="G838" s="14" t="s">
        <v>41</v>
      </c>
      <c r="H838" s="15" t="s">
        <v>23</v>
      </c>
      <c r="I838" s="15" t="s">
        <v>1526</v>
      </c>
      <c r="J838" s="15">
        <v>201410</v>
      </c>
      <c r="K838" s="16">
        <v>904.96</v>
      </c>
      <c r="L838" s="171">
        <f>VLOOKUP(J838,$U$9:$V$23,2)</f>
        <v>8</v>
      </c>
      <c r="M838" s="17">
        <v>1.4833299999999999E-3</v>
      </c>
      <c r="N838" s="16">
        <f>ROUND(K838*L838*M838,2)</f>
        <v>10.74</v>
      </c>
      <c r="O838" s="16">
        <f>ROUND(K838*M838*12,2)</f>
        <v>16.11</v>
      </c>
      <c r="P838" s="14"/>
      <c r="Q838" s="210" t="str">
        <f>VLOOKUP(D838,'WO Descriptions'!$A$5:$D$345,4)</f>
        <v>Approved by: Ralph Janes on 07/02/2014,  Relocate and abandon 8' - 6" pcs main (work order 132741) by installing 16' - 6" pcs main to allow City to install new strom sewer structure. (ISRS)</v>
      </c>
    </row>
    <row r="839" spans="1:19" ht="30" outlineLevel="2">
      <c r="A839" s="3" t="s">
        <v>945</v>
      </c>
      <c r="B839" s="14" t="s">
        <v>17</v>
      </c>
      <c r="C839" s="15" t="s">
        <v>944</v>
      </c>
      <c r="D839" s="15" t="s">
        <v>945</v>
      </c>
      <c r="E839" s="14" t="s">
        <v>946</v>
      </c>
      <c r="F839" s="15" t="s">
        <v>104</v>
      </c>
      <c r="G839" s="14" t="s">
        <v>41</v>
      </c>
      <c r="H839" s="15" t="s">
        <v>23</v>
      </c>
      <c r="I839" s="15" t="s">
        <v>1526</v>
      </c>
      <c r="J839" s="15">
        <v>201411</v>
      </c>
      <c r="K839" s="16">
        <v>-42.39</v>
      </c>
      <c r="L839" s="171">
        <f>VLOOKUP(J839,$U$9:$V$23,2)</f>
        <v>7</v>
      </c>
      <c r="M839" s="17">
        <v>1.4833299999999999E-3</v>
      </c>
      <c r="N839" s="16">
        <f>ROUND(K839*L839*M839,2)</f>
        <v>-0.44</v>
      </c>
      <c r="O839" s="16">
        <f>ROUND(K839*M839*12,2)</f>
        <v>-0.75</v>
      </c>
      <c r="P839" s="14"/>
      <c r="Q839" s="210" t="str">
        <f>VLOOKUP(D839,'WO Descriptions'!$A$5:$D$345,4)</f>
        <v>Approved by: Ralph Janes on 07/02/2014,  Relocate and abandon 8' - 6" pcs main (work order 132741) by installing 16' - 6" pcs main to allow City to install new strom sewer structure. (ISRS)</v>
      </c>
    </row>
    <row r="840" spans="1:19" ht="30" outlineLevel="2">
      <c r="A840" s="3" t="s">
        <v>945</v>
      </c>
      <c r="B840" s="14" t="s">
        <v>17</v>
      </c>
      <c r="C840" s="15" t="s">
        <v>944</v>
      </c>
      <c r="D840" s="15" t="s">
        <v>945</v>
      </c>
      <c r="E840" s="14" t="s">
        <v>946</v>
      </c>
      <c r="F840" s="15" t="s">
        <v>104</v>
      </c>
      <c r="G840" s="14" t="s">
        <v>41</v>
      </c>
      <c r="H840" s="15" t="s">
        <v>23</v>
      </c>
      <c r="I840" s="15" t="s">
        <v>1526</v>
      </c>
      <c r="J840" s="15">
        <v>201412</v>
      </c>
      <c r="K840" s="16">
        <v>-69.72</v>
      </c>
      <c r="L840" s="171">
        <f>VLOOKUP(J840,$U$9:$V$23,2)</f>
        <v>6</v>
      </c>
      <c r="M840" s="17">
        <v>1.4833299999999999E-3</v>
      </c>
      <c r="N840" s="16">
        <f>ROUND(K840*L840*M840,2)</f>
        <v>-0.62</v>
      </c>
      <c r="O840" s="16">
        <f>ROUND(K840*M840*12,2)</f>
        <v>-1.24</v>
      </c>
      <c r="P840" s="14"/>
      <c r="Q840" s="210" t="str">
        <f>VLOOKUP(D840,'WO Descriptions'!$A$5:$D$345,4)</f>
        <v>Approved by: Ralph Janes on 07/02/2014,  Relocate and abandon 8' - 6" pcs main (work order 132741) by installing 16' - 6" pcs main to allow City to install new strom sewer structure. (ISRS)</v>
      </c>
    </row>
    <row r="841" spans="1:19" outlineLevel="1">
      <c r="A841" s="3" t="s">
        <v>2055</v>
      </c>
      <c r="B841" s="223"/>
      <c r="C841" s="250"/>
      <c r="D841" s="254" t="s">
        <v>2055</v>
      </c>
      <c r="E841" s="223"/>
      <c r="F841" s="250"/>
      <c r="G841" s="223"/>
      <c r="H841" s="250"/>
      <c r="I841" s="250"/>
      <c r="J841" s="250"/>
      <c r="K841" s="251">
        <f>SUBTOTAL(9,K837:K840)</f>
        <v>4157.7899999999991</v>
      </c>
      <c r="L841" s="252"/>
      <c r="M841" s="253"/>
      <c r="N841" s="251">
        <f>SUBTOTAL(9,N837:N840)</f>
        <v>54.600000000000009</v>
      </c>
      <c r="O841" s="251">
        <f>SUBTOTAL(9,O837:O840)</f>
        <v>74.02</v>
      </c>
      <c r="P841" s="223"/>
      <c r="Q841" s="210"/>
      <c r="R841" s="263" t="s">
        <v>2096</v>
      </c>
    </row>
    <row r="842" spans="1:19" ht="75" outlineLevel="2">
      <c r="A842" s="3" t="s">
        <v>948</v>
      </c>
      <c r="B842" s="14" t="s">
        <v>54</v>
      </c>
      <c r="C842" s="15" t="s">
        <v>947</v>
      </c>
      <c r="D842" s="15" t="s">
        <v>948</v>
      </c>
      <c r="E842" s="14" t="s">
        <v>949</v>
      </c>
      <c r="F842" s="15" t="s">
        <v>141</v>
      </c>
      <c r="G842" s="14" t="s">
        <v>142</v>
      </c>
      <c r="H842" s="15" t="s">
        <v>23</v>
      </c>
      <c r="I842" s="15" t="s">
        <v>1525</v>
      </c>
      <c r="J842" s="15">
        <v>201410</v>
      </c>
      <c r="K842" s="16">
        <v>110798.91</v>
      </c>
      <c r="L842" s="171">
        <f>VLOOKUP(J842,$U$9:$V$23,2)</f>
        <v>8</v>
      </c>
      <c r="M842" s="17">
        <v>1.4833299999999999E-3</v>
      </c>
      <c r="N842" s="16">
        <f>ROUND(K842*L842*M842,2)</f>
        <v>1314.81</v>
      </c>
      <c r="O842" s="16">
        <f>ROUND(K842*M842*12,2)</f>
        <v>1972.22</v>
      </c>
      <c r="P842" s="14"/>
      <c r="Q842" s="210" t="str">
        <f>VLOOKUP(D842,'WO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3" spans="1:19" ht="75" outlineLevel="2">
      <c r="A843" s="3" t="s">
        <v>948</v>
      </c>
      <c r="B843" s="14" t="s">
        <v>54</v>
      </c>
      <c r="C843" s="15" t="s">
        <v>947</v>
      </c>
      <c r="D843" s="15" t="s">
        <v>948</v>
      </c>
      <c r="E843" s="14" t="s">
        <v>949</v>
      </c>
      <c r="F843" s="15" t="s">
        <v>141</v>
      </c>
      <c r="G843" s="14" t="s">
        <v>142</v>
      </c>
      <c r="H843" s="15" t="s">
        <v>23</v>
      </c>
      <c r="I843" s="15" t="s">
        <v>1525</v>
      </c>
      <c r="J843" s="15">
        <v>201411</v>
      </c>
      <c r="K843" s="16">
        <v>88675.88</v>
      </c>
      <c r="L843" s="171">
        <f>VLOOKUP(J843,$U$9:$V$23,2)</f>
        <v>7</v>
      </c>
      <c r="M843" s="17">
        <v>1.4833299999999999E-3</v>
      </c>
      <c r="N843" s="16">
        <f>ROUND(K843*L843*M843,2)</f>
        <v>920.75</v>
      </c>
      <c r="O843" s="16">
        <f>ROUND(K843*M843*12,2)</f>
        <v>1578.43</v>
      </c>
      <c r="P843" s="14"/>
      <c r="Q843" s="210" t="str">
        <f>VLOOKUP(D843,'WO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4" spans="1:19" ht="75" outlineLevel="2">
      <c r="A844" s="3" t="s">
        <v>948</v>
      </c>
      <c r="B844" s="14" t="s">
        <v>54</v>
      </c>
      <c r="C844" s="15" t="s">
        <v>947</v>
      </c>
      <c r="D844" s="15" t="s">
        <v>948</v>
      </c>
      <c r="E844" s="14" t="s">
        <v>949</v>
      </c>
      <c r="F844" s="15" t="s">
        <v>141</v>
      </c>
      <c r="G844" s="14" t="s">
        <v>142</v>
      </c>
      <c r="H844" s="15" t="s">
        <v>23</v>
      </c>
      <c r="I844" s="15" t="s">
        <v>1525</v>
      </c>
      <c r="J844" s="15">
        <v>201412</v>
      </c>
      <c r="K844" s="16">
        <v>18827.39</v>
      </c>
      <c r="L844" s="171">
        <f>VLOOKUP(J844,$U$9:$V$23,2)</f>
        <v>6</v>
      </c>
      <c r="M844" s="17">
        <v>1.4833299999999999E-3</v>
      </c>
      <c r="N844" s="16">
        <f>ROUND(K844*L844*M844,2)</f>
        <v>167.56</v>
      </c>
      <c r="O844" s="16">
        <f>ROUND(K844*M844*12,2)</f>
        <v>335.13</v>
      </c>
      <c r="P844" s="14"/>
      <c r="Q844" s="210" t="str">
        <f>VLOOKUP(D844,'WO Descriptions'!$A$5:$D$345,4)</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row>
    <row r="845" spans="1:19" outlineLevel="1">
      <c r="A845" s="3" t="s">
        <v>2056</v>
      </c>
      <c r="B845" s="223"/>
      <c r="C845" s="250"/>
      <c r="D845" s="254" t="s">
        <v>2056</v>
      </c>
      <c r="E845" s="223"/>
      <c r="F845" s="250"/>
      <c r="G845" s="223"/>
      <c r="H845" s="250"/>
      <c r="I845" s="250"/>
      <c r="J845" s="250"/>
      <c r="K845" s="251">
        <f>SUBTOTAL(9,K842:K844)</f>
        <v>218302.18</v>
      </c>
      <c r="L845" s="252"/>
      <c r="M845" s="253"/>
      <c r="N845" s="251">
        <f>SUBTOTAL(9,N842:N844)</f>
        <v>2403.12</v>
      </c>
      <c r="O845" s="251">
        <f>SUBTOTAL(9,O842:O844)</f>
        <v>3885.78</v>
      </c>
      <c r="P845" s="223"/>
      <c r="Q845" s="210"/>
      <c r="R845" s="263" t="s">
        <v>2097</v>
      </c>
      <c r="S845" s="263" t="s">
        <v>2100</v>
      </c>
    </row>
    <row r="846" spans="1:19" ht="45" outlineLevel="2">
      <c r="A846" s="3" t="s">
        <v>951</v>
      </c>
      <c r="B846" s="14" t="s">
        <v>54</v>
      </c>
      <c r="C846" s="15" t="s">
        <v>950</v>
      </c>
      <c r="D846" s="15" t="s">
        <v>951</v>
      </c>
      <c r="E846" s="14" t="s">
        <v>952</v>
      </c>
      <c r="F846" s="15" t="s">
        <v>141</v>
      </c>
      <c r="G846" s="14" t="s">
        <v>142</v>
      </c>
      <c r="H846" s="15" t="s">
        <v>23</v>
      </c>
      <c r="I846" s="15" t="s">
        <v>1525</v>
      </c>
      <c r="J846" s="15">
        <v>201409</v>
      </c>
      <c r="K846" s="16">
        <v>84619.839999999997</v>
      </c>
      <c r="L846" s="171">
        <f>VLOOKUP(J846,$U$9:$V$23,2)</f>
        <v>9</v>
      </c>
      <c r="M846" s="17">
        <v>1.4833299999999999E-3</v>
      </c>
      <c r="N846" s="16">
        <f>ROUND(K846*L846*M846,2)</f>
        <v>1129.67</v>
      </c>
      <c r="O846" s="16">
        <f>ROUND(K846*M846*12,2)</f>
        <v>1506.23</v>
      </c>
      <c r="P846" s="14"/>
      <c r="Q846" s="210" t="str">
        <f>VLOOKUP(D846,'WO Descriptions'!$A$5:$D$345,4)</f>
        <v>Approved by: Steve Holcomb on 07/09/2014,  Replace 4'' and 6'' CI main due to graphitization. CI break 12-1018 - 122' NNC of 50th St and 4' EEC of highland. Due 09-28-2014. Pressure System C-001</v>
      </c>
    </row>
    <row r="847" spans="1:19" ht="45" outlineLevel="2">
      <c r="A847" s="3" t="s">
        <v>951</v>
      </c>
      <c r="B847" s="14" t="s">
        <v>54</v>
      </c>
      <c r="C847" s="15" t="s">
        <v>950</v>
      </c>
      <c r="D847" s="15" t="s">
        <v>951</v>
      </c>
      <c r="E847" s="14" t="s">
        <v>952</v>
      </c>
      <c r="F847" s="15" t="s">
        <v>141</v>
      </c>
      <c r="G847" s="14" t="s">
        <v>142</v>
      </c>
      <c r="H847" s="15" t="s">
        <v>23</v>
      </c>
      <c r="I847" s="15" t="s">
        <v>1525</v>
      </c>
      <c r="J847" s="15">
        <v>201410</v>
      </c>
      <c r="K847" s="16">
        <v>15389.95</v>
      </c>
      <c r="L847" s="171">
        <f>VLOOKUP(J847,$U$9:$V$23,2)</f>
        <v>8</v>
      </c>
      <c r="M847" s="17">
        <v>1.4833299999999999E-3</v>
      </c>
      <c r="N847" s="16">
        <f>ROUND(K847*L847*M847,2)</f>
        <v>182.63</v>
      </c>
      <c r="O847" s="16">
        <f>ROUND(K847*M847*12,2)</f>
        <v>273.94</v>
      </c>
      <c r="P847" s="14"/>
      <c r="Q847" s="210" t="str">
        <f>VLOOKUP(D847,'WO Descriptions'!$A$5:$D$345,4)</f>
        <v>Approved by: Steve Holcomb on 07/09/2014,  Replace 4'' and 6'' CI main due to graphitization. CI break 12-1018 - 122' NNC of 50th St and 4' EEC of highland. Due 09-28-2014. Pressure System C-001</v>
      </c>
    </row>
    <row r="848" spans="1:19" ht="45" outlineLevel="2">
      <c r="A848" s="3" t="s">
        <v>951</v>
      </c>
      <c r="B848" s="14" t="s">
        <v>54</v>
      </c>
      <c r="C848" s="15" t="s">
        <v>950</v>
      </c>
      <c r="D848" s="15" t="s">
        <v>951</v>
      </c>
      <c r="E848" s="14" t="s">
        <v>952</v>
      </c>
      <c r="F848" s="15" t="s">
        <v>141</v>
      </c>
      <c r="G848" s="14" t="s">
        <v>142</v>
      </c>
      <c r="H848" s="15" t="s">
        <v>23</v>
      </c>
      <c r="I848" s="15" t="s">
        <v>1525</v>
      </c>
      <c r="J848" s="15">
        <v>201411</v>
      </c>
      <c r="K848" s="16">
        <v>11910.35</v>
      </c>
      <c r="L848" s="171">
        <f>VLOOKUP(J848,$U$9:$V$23,2)</f>
        <v>7</v>
      </c>
      <c r="M848" s="17">
        <v>1.4833299999999999E-3</v>
      </c>
      <c r="N848" s="16">
        <f>ROUND(K848*L848*M848,2)</f>
        <v>123.67</v>
      </c>
      <c r="O848" s="16">
        <f>ROUND(K848*M848*12,2)</f>
        <v>212</v>
      </c>
      <c r="P848" s="14"/>
      <c r="Q848" s="210" t="str">
        <f>VLOOKUP(D848,'WO Descriptions'!$A$5:$D$345,4)</f>
        <v>Approved by: Steve Holcomb on 07/09/2014,  Replace 4'' and 6'' CI main due to graphitization. CI break 12-1018 - 122' NNC of 50th St and 4' EEC of highland. Due 09-28-2014. Pressure System C-001</v>
      </c>
    </row>
    <row r="849" spans="1:19" ht="45" outlineLevel="2">
      <c r="A849" s="3" t="s">
        <v>951</v>
      </c>
      <c r="B849" s="14" t="s">
        <v>54</v>
      </c>
      <c r="C849" s="15" t="s">
        <v>950</v>
      </c>
      <c r="D849" s="15" t="s">
        <v>951</v>
      </c>
      <c r="E849" s="14" t="s">
        <v>952</v>
      </c>
      <c r="F849" s="15" t="s">
        <v>141</v>
      </c>
      <c r="G849" s="14" t="s">
        <v>142</v>
      </c>
      <c r="H849" s="15" t="s">
        <v>23</v>
      </c>
      <c r="I849" s="15" t="s">
        <v>1525</v>
      </c>
      <c r="J849" s="15">
        <v>201412</v>
      </c>
      <c r="K849" s="16">
        <v>-2384.0100000000002</v>
      </c>
      <c r="L849" s="171">
        <f>VLOOKUP(J849,$U$9:$V$23,2)</f>
        <v>6</v>
      </c>
      <c r="M849" s="17">
        <v>1.4833299999999999E-3</v>
      </c>
      <c r="N849" s="16">
        <f>ROUND(K849*L849*M849,2)</f>
        <v>-21.22</v>
      </c>
      <c r="O849" s="16">
        <f>ROUND(K849*M849*12,2)</f>
        <v>-42.44</v>
      </c>
      <c r="P849" s="14"/>
      <c r="Q849" s="210" t="str">
        <f>VLOOKUP(D849,'WO Descriptions'!$A$5:$D$345,4)</f>
        <v>Approved by: Steve Holcomb on 07/09/2014,  Replace 4'' and 6'' CI main due to graphitization. CI break 12-1018 - 122' NNC of 50th St and 4' EEC of highland. Due 09-28-2014. Pressure System C-001</v>
      </c>
    </row>
    <row r="850" spans="1:19" outlineLevel="1">
      <c r="A850" s="3" t="s">
        <v>2057</v>
      </c>
      <c r="B850" s="223"/>
      <c r="C850" s="250"/>
      <c r="D850" s="254" t="s">
        <v>2057</v>
      </c>
      <c r="E850" s="223"/>
      <c r="F850" s="250"/>
      <c r="G850" s="223"/>
      <c r="H850" s="250"/>
      <c r="I850" s="250"/>
      <c r="J850" s="250"/>
      <c r="K850" s="251">
        <f>SUBTOTAL(9,K846:K849)</f>
        <v>109536.13</v>
      </c>
      <c r="L850" s="252"/>
      <c r="M850" s="253"/>
      <c r="N850" s="251">
        <f>SUBTOTAL(9,N846:N849)</f>
        <v>1414.7500000000002</v>
      </c>
      <c r="O850" s="251">
        <f>SUBTOTAL(9,O846:O849)</f>
        <v>1949.73</v>
      </c>
      <c r="P850" s="223"/>
      <c r="Q850" s="210"/>
      <c r="R850" s="263" t="s">
        <v>2097</v>
      </c>
      <c r="S850" s="263" t="s">
        <v>2100</v>
      </c>
    </row>
    <row r="851" spans="1:19" ht="45" outlineLevel="2">
      <c r="A851" s="3" t="s">
        <v>954</v>
      </c>
      <c r="B851" s="14" t="s">
        <v>17</v>
      </c>
      <c r="C851" s="15" t="s">
        <v>953</v>
      </c>
      <c r="D851" s="15" t="s">
        <v>954</v>
      </c>
      <c r="E851" s="14" t="s">
        <v>955</v>
      </c>
      <c r="F851" s="15" t="s">
        <v>40</v>
      </c>
      <c r="G851" s="14" t="s">
        <v>41</v>
      </c>
      <c r="H851" s="15" t="s">
        <v>23</v>
      </c>
      <c r="I851" s="15" t="s">
        <v>1526</v>
      </c>
      <c r="J851" s="15">
        <v>201409</v>
      </c>
      <c r="K851" s="16">
        <v>-925.65</v>
      </c>
      <c r="L851" s="171">
        <f>VLOOKUP(J851,$U$9:$V$23,2)</f>
        <v>9</v>
      </c>
      <c r="M851" s="17">
        <v>1.4833299999999999E-3</v>
      </c>
      <c r="N851" s="16">
        <f>ROUND(K851*L851*M851,2)</f>
        <v>-12.36</v>
      </c>
      <c r="O851" s="16">
        <f>ROUND(K851*M851*12,2)</f>
        <v>-16.48</v>
      </c>
      <c r="P851" s="14"/>
      <c r="Q851" s="210" t="str">
        <f>VLOOKUP(D851,'WO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2" spans="1:19" ht="45" outlineLevel="2">
      <c r="A852" s="3" t="s">
        <v>954</v>
      </c>
      <c r="B852" s="14" t="s">
        <v>17</v>
      </c>
      <c r="C852" s="15" t="s">
        <v>953</v>
      </c>
      <c r="D852" s="15" t="s">
        <v>954</v>
      </c>
      <c r="E852" s="14" t="s">
        <v>955</v>
      </c>
      <c r="F852" s="15" t="s">
        <v>40</v>
      </c>
      <c r="G852" s="14" t="s">
        <v>41</v>
      </c>
      <c r="H852" s="15" t="s">
        <v>23</v>
      </c>
      <c r="I852" s="15" t="s">
        <v>1526</v>
      </c>
      <c r="J852" s="15">
        <v>201411</v>
      </c>
      <c r="K852" s="16">
        <v>0</v>
      </c>
      <c r="L852" s="171">
        <f>VLOOKUP(J852,$U$9:$V$23,2)</f>
        <v>7</v>
      </c>
      <c r="M852" s="17">
        <v>1.4833299999999999E-3</v>
      </c>
      <c r="N852" s="16">
        <f>ROUND(K852*L852*M852,2)</f>
        <v>0</v>
      </c>
      <c r="O852" s="16">
        <f>ROUND(K852*M852*12,2)</f>
        <v>0</v>
      </c>
      <c r="P852" s="14"/>
      <c r="Q852" s="210" t="str">
        <f>VLOOKUP(D852,'WO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3" spans="1:19" ht="45" outlineLevel="2">
      <c r="A853" s="3" t="s">
        <v>954</v>
      </c>
      <c r="B853" s="14" t="s">
        <v>17</v>
      </c>
      <c r="C853" s="15" t="s">
        <v>953</v>
      </c>
      <c r="D853" s="15" t="s">
        <v>954</v>
      </c>
      <c r="E853" s="14" t="s">
        <v>955</v>
      </c>
      <c r="F853" s="15" t="s">
        <v>40</v>
      </c>
      <c r="G853" s="14" t="s">
        <v>41</v>
      </c>
      <c r="H853" s="15" t="s">
        <v>23</v>
      </c>
      <c r="I853" s="15" t="s">
        <v>1526</v>
      </c>
      <c r="J853" s="15">
        <v>201412</v>
      </c>
      <c r="K853" s="16">
        <v>73.510000000000005</v>
      </c>
      <c r="L853" s="171">
        <f>VLOOKUP(J853,$U$9:$V$23,2)</f>
        <v>6</v>
      </c>
      <c r="M853" s="17">
        <v>1.4833299999999999E-3</v>
      </c>
      <c r="N853" s="16">
        <f>ROUND(K853*L853*M853,2)</f>
        <v>0.65</v>
      </c>
      <c r="O853" s="16">
        <f>ROUND(K853*M853*12,2)</f>
        <v>1.31</v>
      </c>
      <c r="P853" s="14"/>
      <c r="Q853" s="210" t="str">
        <f>VLOOKUP(D853,'WO Descriptions'!$A$5:$D$345,4)</f>
        <v>Approved by: Kevin Driskell on 07/07/2014,  This work order is due to publice improvement project. Removal and installation of new curb inlet box (conflict is with new larger box). Contact Eric Bachman (913-961-5884) with Mega Ind. before start of project for site visit.</v>
      </c>
    </row>
    <row r="854" spans="1:19" outlineLevel="1">
      <c r="A854" s="3" t="s">
        <v>2058</v>
      </c>
      <c r="B854" s="223"/>
      <c r="C854" s="250"/>
      <c r="D854" s="254" t="s">
        <v>2058</v>
      </c>
      <c r="E854" s="223"/>
      <c r="F854" s="250"/>
      <c r="G854" s="223"/>
      <c r="H854" s="250"/>
      <c r="I854" s="250"/>
      <c r="J854" s="250"/>
      <c r="K854" s="251">
        <f>SUBTOTAL(9,K851:K853)</f>
        <v>-852.14</v>
      </c>
      <c r="L854" s="252"/>
      <c r="M854" s="253"/>
      <c r="N854" s="251">
        <f>SUBTOTAL(9,N851:N853)</f>
        <v>-11.709999999999999</v>
      </c>
      <c r="O854" s="251">
        <f>SUBTOTAL(9,O851:O853)</f>
        <v>-15.17</v>
      </c>
      <c r="P854" s="223"/>
      <c r="Q854" s="210"/>
      <c r="R854" s="263" t="s">
        <v>2096</v>
      </c>
    </row>
    <row r="855" spans="1:19" ht="30" outlineLevel="2">
      <c r="A855" s="3" t="s">
        <v>957</v>
      </c>
      <c r="B855" s="14" t="s">
        <v>17</v>
      </c>
      <c r="C855" s="15" t="s">
        <v>956</v>
      </c>
      <c r="D855" s="15" t="s">
        <v>957</v>
      </c>
      <c r="E855" s="14" t="s">
        <v>958</v>
      </c>
      <c r="F855" s="15" t="s">
        <v>40</v>
      </c>
      <c r="G855" s="14" t="s">
        <v>41</v>
      </c>
      <c r="H855" s="15" t="s">
        <v>23</v>
      </c>
      <c r="I855" s="15" t="s">
        <v>1526</v>
      </c>
      <c r="J855" s="15">
        <v>201409</v>
      </c>
      <c r="K855" s="16">
        <v>2817.01</v>
      </c>
      <c r="L855" s="171">
        <f>VLOOKUP(J855,$U$9:$V$23,2)</f>
        <v>9</v>
      </c>
      <c r="M855" s="17">
        <v>1.4833299999999999E-3</v>
      </c>
      <c r="N855" s="16">
        <f>ROUND(K855*L855*M855,2)</f>
        <v>37.61</v>
      </c>
      <c r="O855" s="16">
        <f>ROUND(K855*M855*12,2)</f>
        <v>50.14</v>
      </c>
      <c r="P855" s="14"/>
      <c r="Q855" s="210" t="str">
        <f>VLOOKUP(D855,'WO Descriptions'!$A$5:$D$345,4)</f>
        <v>Approved by: Kevin Driskell on 07/11/2014,  ISRS Relocate main for public improvement project. Pressure System C-006. Coordinate with Engineering prior to construction.</v>
      </c>
    </row>
    <row r="856" spans="1:19" ht="30" outlineLevel="2">
      <c r="A856" s="3" t="s">
        <v>957</v>
      </c>
      <c r="B856" s="14" t="s">
        <v>17</v>
      </c>
      <c r="C856" s="15" t="s">
        <v>956</v>
      </c>
      <c r="D856" s="15" t="s">
        <v>957</v>
      </c>
      <c r="E856" s="14" t="s">
        <v>958</v>
      </c>
      <c r="F856" s="15" t="s">
        <v>40</v>
      </c>
      <c r="G856" s="14" t="s">
        <v>41</v>
      </c>
      <c r="H856" s="15" t="s">
        <v>23</v>
      </c>
      <c r="I856" s="15" t="s">
        <v>1526</v>
      </c>
      <c r="J856" s="15">
        <v>201410</v>
      </c>
      <c r="K856" s="16">
        <v>977.06</v>
      </c>
      <c r="L856" s="171">
        <f>VLOOKUP(J856,$U$9:$V$23,2)</f>
        <v>8</v>
      </c>
      <c r="M856" s="17">
        <v>1.4833299999999999E-3</v>
      </c>
      <c r="N856" s="16">
        <f>ROUND(K856*L856*M856,2)</f>
        <v>11.59</v>
      </c>
      <c r="O856" s="16">
        <f>ROUND(K856*M856*12,2)</f>
        <v>17.39</v>
      </c>
      <c r="P856" s="14"/>
      <c r="Q856" s="210" t="str">
        <f>VLOOKUP(D856,'WO Descriptions'!$A$5:$D$345,4)</f>
        <v>Approved by: Kevin Driskell on 07/11/2014,  ISRS Relocate main for public improvement project. Pressure System C-006. Coordinate with Engineering prior to construction.</v>
      </c>
    </row>
    <row r="857" spans="1:19" ht="30" outlineLevel="2">
      <c r="A857" s="3" t="s">
        <v>957</v>
      </c>
      <c r="B857" s="14" t="s">
        <v>17</v>
      </c>
      <c r="C857" s="15" t="s">
        <v>956</v>
      </c>
      <c r="D857" s="15" t="s">
        <v>957</v>
      </c>
      <c r="E857" s="14" t="s">
        <v>958</v>
      </c>
      <c r="F857" s="15" t="s">
        <v>40</v>
      </c>
      <c r="G857" s="14" t="s">
        <v>41</v>
      </c>
      <c r="H857" s="15" t="s">
        <v>23</v>
      </c>
      <c r="I857" s="15" t="s">
        <v>1526</v>
      </c>
      <c r="J857" s="15">
        <v>201411</v>
      </c>
      <c r="K857" s="16">
        <v>-45.74</v>
      </c>
      <c r="L857" s="171">
        <f>VLOOKUP(J857,$U$9:$V$23,2)</f>
        <v>7</v>
      </c>
      <c r="M857" s="17">
        <v>1.4833299999999999E-3</v>
      </c>
      <c r="N857" s="16">
        <f>ROUND(K857*L857*M857,2)</f>
        <v>-0.47</v>
      </c>
      <c r="O857" s="16">
        <f>ROUND(K857*M857*12,2)</f>
        <v>-0.81</v>
      </c>
      <c r="P857" s="14"/>
      <c r="Q857" s="210" t="str">
        <f>VLOOKUP(D857,'WO Descriptions'!$A$5:$D$345,4)</f>
        <v>Approved by: Kevin Driskell on 07/11/2014,  ISRS Relocate main for public improvement project. Pressure System C-006. Coordinate with Engineering prior to construction.</v>
      </c>
    </row>
    <row r="858" spans="1:19" ht="30" outlineLevel="2">
      <c r="A858" s="3" t="s">
        <v>957</v>
      </c>
      <c r="B858" s="14" t="s">
        <v>17</v>
      </c>
      <c r="C858" s="15" t="s">
        <v>956</v>
      </c>
      <c r="D858" s="15" t="s">
        <v>957</v>
      </c>
      <c r="E858" s="14" t="s">
        <v>958</v>
      </c>
      <c r="F858" s="15" t="s">
        <v>40</v>
      </c>
      <c r="G858" s="14" t="s">
        <v>41</v>
      </c>
      <c r="H858" s="15" t="s">
        <v>23</v>
      </c>
      <c r="I858" s="15" t="s">
        <v>1526</v>
      </c>
      <c r="J858" s="15">
        <v>201412</v>
      </c>
      <c r="K858" s="16">
        <v>-75.260000000000005</v>
      </c>
      <c r="L858" s="171">
        <f>VLOOKUP(J858,$U$9:$V$23,2)</f>
        <v>6</v>
      </c>
      <c r="M858" s="17">
        <v>1.4833299999999999E-3</v>
      </c>
      <c r="N858" s="16">
        <f>ROUND(K858*L858*M858,2)</f>
        <v>-0.67</v>
      </c>
      <c r="O858" s="16">
        <f>ROUND(K858*M858*12,2)</f>
        <v>-1.34</v>
      </c>
      <c r="P858" s="14"/>
      <c r="Q858" s="210" t="str">
        <f>VLOOKUP(D858,'WO Descriptions'!$A$5:$D$345,4)</f>
        <v>Approved by: Kevin Driskell on 07/11/2014,  ISRS Relocate main for public improvement project. Pressure System C-006. Coordinate with Engineering prior to construction.</v>
      </c>
    </row>
    <row r="859" spans="1:19" outlineLevel="1">
      <c r="A859" s="3" t="s">
        <v>2059</v>
      </c>
      <c r="B859" s="223"/>
      <c r="C859" s="250"/>
      <c r="D859" s="254" t="s">
        <v>2059</v>
      </c>
      <c r="E859" s="223"/>
      <c r="F859" s="250"/>
      <c r="G859" s="223"/>
      <c r="H859" s="250"/>
      <c r="I859" s="250"/>
      <c r="J859" s="250"/>
      <c r="K859" s="251">
        <f>SUBTOTAL(9,K855:K858)</f>
        <v>3673.07</v>
      </c>
      <c r="L859" s="252"/>
      <c r="M859" s="253"/>
      <c r="N859" s="251">
        <f>SUBTOTAL(9,N855:N858)</f>
        <v>48.06</v>
      </c>
      <c r="O859" s="251">
        <f>SUBTOTAL(9,O855:O858)</f>
        <v>65.38</v>
      </c>
      <c r="P859" s="223"/>
      <c r="Q859" s="210"/>
      <c r="R859" s="263" t="s">
        <v>2096</v>
      </c>
    </row>
    <row r="860" spans="1:19" ht="60" outlineLevel="2">
      <c r="A860" s="3" t="s">
        <v>960</v>
      </c>
      <c r="B860" s="14" t="s">
        <v>17</v>
      </c>
      <c r="C860" s="15" t="s">
        <v>959</v>
      </c>
      <c r="D860" s="15" t="s">
        <v>960</v>
      </c>
      <c r="E860" s="14" t="s">
        <v>961</v>
      </c>
      <c r="F860" s="15" t="s">
        <v>40</v>
      </c>
      <c r="G860" s="14" t="s">
        <v>41</v>
      </c>
      <c r="H860" s="15" t="s">
        <v>23</v>
      </c>
      <c r="I860" s="15" t="s">
        <v>1526</v>
      </c>
      <c r="J860" s="15">
        <v>201409</v>
      </c>
      <c r="K860" s="16">
        <v>94.14</v>
      </c>
      <c r="L860" s="171">
        <f>VLOOKUP(J860,$U$9:$V$23,2)</f>
        <v>9</v>
      </c>
      <c r="M860" s="17">
        <v>1.4833299999999999E-3</v>
      </c>
      <c r="N860" s="16">
        <f>ROUND(K860*L860*M860,2)</f>
        <v>1.26</v>
      </c>
      <c r="O860" s="16">
        <f>ROUND(K860*M860*12,2)</f>
        <v>1.68</v>
      </c>
      <c r="P860" s="14"/>
      <c r="Q860" s="210" t="str">
        <f>VLOOKUP(D860,'WO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861" spans="1:19" ht="60" outlineLevel="2">
      <c r="A861" s="3" t="s">
        <v>960</v>
      </c>
      <c r="B861" s="14" t="s">
        <v>17</v>
      </c>
      <c r="C861" s="15" t="s">
        <v>959</v>
      </c>
      <c r="D861" s="15" t="s">
        <v>960</v>
      </c>
      <c r="E861" s="14" t="s">
        <v>961</v>
      </c>
      <c r="F861" s="15" t="s">
        <v>40</v>
      </c>
      <c r="G861" s="14" t="s">
        <v>41</v>
      </c>
      <c r="H861" s="15" t="s">
        <v>23</v>
      </c>
      <c r="I861" s="15" t="s">
        <v>1526</v>
      </c>
      <c r="J861" s="15">
        <v>201410</v>
      </c>
      <c r="K861" s="16">
        <v>-0.49</v>
      </c>
      <c r="L861" s="171">
        <f>VLOOKUP(J861,$U$9:$V$23,2)</f>
        <v>8</v>
      </c>
      <c r="M861" s="17">
        <v>1.4833299999999999E-3</v>
      </c>
      <c r="N861" s="16">
        <f>ROUND(K861*L861*M861,2)</f>
        <v>-0.01</v>
      </c>
      <c r="O861" s="16">
        <f>ROUND(K861*M861*12,2)</f>
        <v>-0.01</v>
      </c>
      <c r="P861" s="14"/>
      <c r="Q861" s="210" t="str">
        <f>VLOOKUP(D861,'WO Descriptions'!$A$5:$D$345,4)</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row>
    <row r="862" spans="1:19" outlineLevel="1">
      <c r="A862" s="3" t="s">
        <v>2060</v>
      </c>
      <c r="B862" s="223"/>
      <c r="C862" s="250"/>
      <c r="D862" s="254" t="s">
        <v>2060</v>
      </c>
      <c r="E862" s="223"/>
      <c r="F862" s="250"/>
      <c r="G862" s="223"/>
      <c r="H862" s="250"/>
      <c r="I862" s="250"/>
      <c r="J862" s="250"/>
      <c r="K862" s="251">
        <f>SUBTOTAL(9,K860:K861)</f>
        <v>93.65</v>
      </c>
      <c r="L862" s="252"/>
      <c r="M862" s="253"/>
      <c r="N862" s="251">
        <f>SUBTOTAL(9,N860:N861)</f>
        <v>1.25</v>
      </c>
      <c r="O862" s="251">
        <f>SUBTOTAL(9,O860:O861)</f>
        <v>1.67</v>
      </c>
      <c r="P862" s="223"/>
      <c r="Q862" s="210"/>
      <c r="R862" s="263" t="s">
        <v>2096</v>
      </c>
    </row>
    <row r="863" spans="1:19" ht="90" outlineLevel="2">
      <c r="A863" s="3" t="s">
        <v>963</v>
      </c>
      <c r="B863" s="14" t="s">
        <v>54</v>
      </c>
      <c r="C863" s="15" t="s">
        <v>962</v>
      </c>
      <c r="D863" s="15" t="s">
        <v>963</v>
      </c>
      <c r="E863" s="14" t="s">
        <v>964</v>
      </c>
      <c r="F863" s="15" t="s">
        <v>40</v>
      </c>
      <c r="G863" s="14" t="s">
        <v>41</v>
      </c>
      <c r="H863" s="15" t="s">
        <v>23</v>
      </c>
      <c r="I863" s="15" t="s">
        <v>1526</v>
      </c>
      <c r="J863" s="15">
        <v>201409</v>
      </c>
      <c r="K863" s="16">
        <v>77244.5</v>
      </c>
      <c r="L863" s="171">
        <f>VLOOKUP(J863,$U$9:$V$23,2)</f>
        <v>9</v>
      </c>
      <c r="M863" s="17">
        <v>1.4833299999999999E-3</v>
      </c>
      <c r="N863" s="16">
        <f>ROUND(K863*L863*M863,2)</f>
        <v>1031.21</v>
      </c>
      <c r="O863" s="16">
        <f>ROUND(K863*M863*12,2)</f>
        <v>1374.95</v>
      </c>
      <c r="P863" s="14"/>
      <c r="Q863" s="210" t="str">
        <f>VLOOKUP(D863,'WO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4" spans="1:19" ht="90" outlineLevel="2">
      <c r="A864" s="3" t="s">
        <v>963</v>
      </c>
      <c r="B864" s="14" t="s">
        <v>54</v>
      </c>
      <c r="C864" s="15" t="s">
        <v>962</v>
      </c>
      <c r="D864" s="15" t="s">
        <v>963</v>
      </c>
      <c r="E864" s="14" t="s">
        <v>964</v>
      </c>
      <c r="F864" s="15" t="s">
        <v>40</v>
      </c>
      <c r="G864" s="14" t="s">
        <v>41</v>
      </c>
      <c r="H864" s="15" t="s">
        <v>23</v>
      </c>
      <c r="I864" s="15" t="s">
        <v>1526</v>
      </c>
      <c r="J864" s="15">
        <v>201410</v>
      </c>
      <c r="K864" s="16">
        <v>190.86</v>
      </c>
      <c r="L864" s="171">
        <f>VLOOKUP(J864,$U$9:$V$23,2)</f>
        <v>8</v>
      </c>
      <c r="M864" s="17">
        <v>1.4833299999999999E-3</v>
      </c>
      <c r="N864" s="16">
        <f>ROUND(K864*L864*M864,2)</f>
        <v>2.2599999999999998</v>
      </c>
      <c r="O864" s="16">
        <f>ROUND(K864*M864*12,2)</f>
        <v>3.4</v>
      </c>
      <c r="P864" s="14"/>
      <c r="Q864" s="210" t="str">
        <f>VLOOKUP(D864,'WO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5" spans="1:19" ht="90" outlineLevel="2">
      <c r="A865" s="3" t="s">
        <v>963</v>
      </c>
      <c r="B865" s="14" t="s">
        <v>54</v>
      </c>
      <c r="C865" s="15" t="s">
        <v>962</v>
      </c>
      <c r="D865" s="15" t="s">
        <v>963</v>
      </c>
      <c r="E865" s="14" t="s">
        <v>964</v>
      </c>
      <c r="F865" s="15" t="s">
        <v>40</v>
      </c>
      <c r="G865" s="14" t="s">
        <v>41</v>
      </c>
      <c r="H865" s="15" t="s">
        <v>23</v>
      </c>
      <c r="I865" s="15" t="s">
        <v>1526</v>
      </c>
      <c r="J865" s="15">
        <v>201411</v>
      </c>
      <c r="K865" s="16">
        <v>1379.28</v>
      </c>
      <c r="L865" s="171">
        <f>VLOOKUP(J865,$U$9:$V$23,2)</f>
        <v>7</v>
      </c>
      <c r="M865" s="17">
        <v>1.4833299999999999E-3</v>
      </c>
      <c r="N865" s="16">
        <f>ROUND(K865*L865*M865,2)</f>
        <v>14.32</v>
      </c>
      <c r="O865" s="16">
        <f>ROUND(K865*M865*12,2)</f>
        <v>24.55</v>
      </c>
      <c r="P865" s="14"/>
      <c r="Q865" s="210" t="str">
        <f>VLOOKUP(D865,'WO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6" spans="1:19" ht="90" outlineLevel="2">
      <c r="A866" s="3" t="s">
        <v>963</v>
      </c>
      <c r="B866" s="14" t="s">
        <v>54</v>
      </c>
      <c r="C866" s="15" t="s">
        <v>962</v>
      </c>
      <c r="D866" s="15" t="s">
        <v>963</v>
      </c>
      <c r="E866" s="14" t="s">
        <v>964</v>
      </c>
      <c r="F866" s="15" t="s">
        <v>40</v>
      </c>
      <c r="G866" s="14" t="s">
        <v>41</v>
      </c>
      <c r="H866" s="15" t="s">
        <v>23</v>
      </c>
      <c r="I866" s="15" t="s">
        <v>1526</v>
      </c>
      <c r="J866" s="15">
        <v>201412</v>
      </c>
      <c r="K866" s="16">
        <v>-145.08000000000001</v>
      </c>
      <c r="L866" s="171">
        <f>VLOOKUP(J866,$U$9:$V$23,2)</f>
        <v>6</v>
      </c>
      <c r="M866" s="17">
        <v>1.4833299999999999E-3</v>
      </c>
      <c r="N866" s="16">
        <f>ROUND(K866*L866*M866,2)</f>
        <v>-1.29</v>
      </c>
      <c r="O866" s="16">
        <f>ROUND(K866*M866*12,2)</f>
        <v>-2.58</v>
      </c>
      <c r="P866" s="14"/>
      <c r="Q866" s="210" t="str">
        <f>VLOOKUP(D866,'WO Descriptions'!$A$5:$D$345,4)</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row>
    <row r="867" spans="1:19" outlineLevel="1">
      <c r="A867" s="3" t="s">
        <v>2061</v>
      </c>
      <c r="B867" s="223"/>
      <c r="C867" s="250"/>
      <c r="D867" s="254" t="s">
        <v>2061</v>
      </c>
      <c r="E867" s="223"/>
      <c r="F867" s="250"/>
      <c r="G867" s="223"/>
      <c r="H867" s="250"/>
      <c r="I867" s="250"/>
      <c r="J867" s="250"/>
      <c r="K867" s="251">
        <f>SUBTOTAL(9,K863:K866)</f>
        <v>78669.56</v>
      </c>
      <c r="L867" s="252"/>
      <c r="M867" s="253"/>
      <c r="N867" s="251">
        <f>SUBTOTAL(9,N863:N866)</f>
        <v>1046.5</v>
      </c>
      <c r="O867" s="251">
        <f>SUBTOTAL(9,O863:O866)</f>
        <v>1400.3200000000002</v>
      </c>
      <c r="P867" s="223"/>
      <c r="Q867" s="210"/>
      <c r="R867" s="263" t="s">
        <v>2096</v>
      </c>
    </row>
    <row r="868" spans="1:19" ht="105" outlineLevel="2">
      <c r="A868" s="3" t="s">
        <v>966</v>
      </c>
      <c r="B868" s="14" t="s">
        <v>54</v>
      </c>
      <c r="C868" s="15" t="s">
        <v>965</v>
      </c>
      <c r="D868" s="15" t="s">
        <v>966</v>
      </c>
      <c r="E868" s="14" t="s">
        <v>967</v>
      </c>
      <c r="F868" s="15" t="s">
        <v>53</v>
      </c>
      <c r="G868" s="14" t="s">
        <v>41</v>
      </c>
      <c r="H868" s="15" t="s">
        <v>23</v>
      </c>
      <c r="I868" s="15" t="s">
        <v>1526</v>
      </c>
      <c r="J868" s="15">
        <v>201409</v>
      </c>
      <c r="K868" s="16">
        <v>8672.4699999999993</v>
      </c>
      <c r="L868" s="171">
        <f>VLOOKUP(J868,$U$9:$V$23,2)</f>
        <v>9</v>
      </c>
      <c r="M868" s="17">
        <v>1.4833299999999999E-3</v>
      </c>
      <c r="N868" s="16">
        <f>ROUND(K868*L868*M868,2)</f>
        <v>115.78</v>
      </c>
      <c r="O868" s="16">
        <f>ROUND(K868*M868*12,2)</f>
        <v>154.37</v>
      </c>
      <c r="P868" s="14"/>
      <c r="Q868" s="210" t="str">
        <f>VLOOKUP(D868,'WO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69" spans="1:19" ht="105" outlineLevel="2">
      <c r="A869" s="3" t="s">
        <v>966</v>
      </c>
      <c r="B869" s="14" t="s">
        <v>54</v>
      </c>
      <c r="C869" s="15" t="s">
        <v>965</v>
      </c>
      <c r="D869" s="15" t="s">
        <v>966</v>
      </c>
      <c r="E869" s="14" t="s">
        <v>967</v>
      </c>
      <c r="F869" s="15" t="s">
        <v>53</v>
      </c>
      <c r="G869" s="14" t="s">
        <v>41</v>
      </c>
      <c r="H869" s="15" t="s">
        <v>23</v>
      </c>
      <c r="I869" s="15" t="s">
        <v>1526</v>
      </c>
      <c r="J869" s="15">
        <v>201410</v>
      </c>
      <c r="K869" s="16">
        <v>-9961.83</v>
      </c>
      <c r="L869" s="171">
        <f>VLOOKUP(J869,$U$9:$V$23,2)</f>
        <v>8</v>
      </c>
      <c r="M869" s="17">
        <v>1.4833299999999999E-3</v>
      </c>
      <c r="N869" s="16">
        <f>ROUND(K869*L869*M869,2)</f>
        <v>-118.21</v>
      </c>
      <c r="O869" s="16">
        <f>ROUND(K869*M869*12,2)</f>
        <v>-177.32</v>
      </c>
      <c r="P869" s="14"/>
      <c r="Q869" s="210" t="str">
        <f>VLOOKUP(D869,'WO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0" spans="1:19" ht="105" outlineLevel="2">
      <c r="A870" s="3" t="s">
        <v>966</v>
      </c>
      <c r="B870" s="14" t="s">
        <v>54</v>
      </c>
      <c r="C870" s="15" t="s">
        <v>965</v>
      </c>
      <c r="D870" s="15" t="s">
        <v>966</v>
      </c>
      <c r="E870" s="14" t="s">
        <v>967</v>
      </c>
      <c r="F870" s="15" t="s">
        <v>53</v>
      </c>
      <c r="G870" s="14" t="s">
        <v>41</v>
      </c>
      <c r="H870" s="15" t="s">
        <v>23</v>
      </c>
      <c r="I870" s="15" t="s">
        <v>1526</v>
      </c>
      <c r="J870" s="15">
        <v>201411</v>
      </c>
      <c r="K870" s="16">
        <v>-10648.99</v>
      </c>
      <c r="L870" s="171">
        <f>VLOOKUP(J870,$U$9:$V$23,2)</f>
        <v>7</v>
      </c>
      <c r="M870" s="17">
        <v>1.4833299999999999E-3</v>
      </c>
      <c r="N870" s="16">
        <f>ROUND(K870*L870*M870,2)</f>
        <v>-110.57</v>
      </c>
      <c r="O870" s="16">
        <f>ROUND(K870*M870*12,2)</f>
        <v>-189.55</v>
      </c>
      <c r="P870" s="14"/>
      <c r="Q870" s="210" t="str">
        <f>VLOOKUP(D870,'WO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1" spans="1:19" ht="105" outlineLevel="2">
      <c r="A871" s="3" t="s">
        <v>966</v>
      </c>
      <c r="B871" s="14" t="s">
        <v>54</v>
      </c>
      <c r="C871" s="15" t="s">
        <v>965</v>
      </c>
      <c r="D871" s="15" t="s">
        <v>966</v>
      </c>
      <c r="E871" s="14" t="s">
        <v>967</v>
      </c>
      <c r="F871" s="15" t="s">
        <v>53</v>
      </c>
      <c r="G871" s="14" t="s">
        <v>41</v>
      </c>
      <c r="H871" s="15" t="s">
        <v>23</v>
      </c>
      <c r="I871" s="15" t="s">
        <v>1526</v>
      </c>
      <c r="J871" s="15">
        <v>201412</v>
      </c>
      <c r="K871" s="16">
        <v>1538.04</v>
      </c>
      <c r="L871" s="171">
        <f>VLOOKUP(J871,$U$9:$V$23,2)</f>
        <v>6</v>
      </c>
      <c r="M871" s="17">
        <v>1.4833299999999999E-3</v>
      </c>
      <c r="N871" s="16">
        <f>ROUND(K871*L871*M871,2)</f>
        <v>13.69</v>
      </c>
      <c r="O871" s="16">
        <f>ROUND(K871*M871*12,2)</f>
        <v>27.38</v>
      </c>
      <c r="P871" s="14"/>
      <c r="Q871" s="210" t="str">
        <f>VLOOKUP(D871,'WO Descriptions'!$A$5:$D$345,4)</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row>
    <row r="872" spans="1:19" outlineLevel="1">
      <c r="A872" s="3" t="s">
        <v>2062</v>
      </c>
      <c r="B872" s="223"/>
      <c r="C872" s="250"/>
      <c r="D872" s="254" t="s">
        <v>2062</v>
      </c>
      <c r="E872" s="223"/>
      <c r="F872" s="250"/>
      <c r="G872" s="223"/>
      <c r="H872" s="250"/>
      <c r="I872" s="250"/>
      <c r="J872" s="250"/>
      <c r="K872" s="251">
        <f>SUBTOTAL(9,K868:K871)</f>
        <v>-10400.310000000001</v>
      </c>
      <c r="L872" s="252"/>
      <c r="M872" s="253"/>
      <c r="N872" s="251">
        <f>SUBTOTAL(9,N868:N871)</f>
        <v>-99.309999999999988</v>
      </c>
      <c r="O872" s="251">
        <f>SUBTOTAL(9,O868:O871)</f>
        <v>-185.12</v>
      </c>
      <c r="P872" s="223"/>
      <c r="Q872" s="210"/>
      <c r="R872" s="263" t="s">
        <v>2096</v>
      </c>
    </row>
    <row r="873" spans="1:19" ht="90" outlineLevel="2">
      <c r="A873" s="3" t="s">
        <v>969</v>
      </c>
      <c r="B873" s="14" t="s">
        <v>54</v>
      </c>
      <c r="C873" s="15" t="s">
        <v>968</v>
      </c>
      <c r="D873" s="15" t="s">
        <v>969</v>
      </c>
      <c r="E873" s="14" t="s">
        <v>970</v>
      </c>
      <c r="F873" s="15" t="s">
        <v>394</v>
      </c>
      <c r="G873" s="14" t="s">
        <v>137</v>
      </c>
      <c r="H873" s="15" t="s">
        <v>23</v>
      </c>
      <c r="I873" s="15" t="s">
        <v>1526</v>
      </c>
      <c r="J873" s="15">
        <v>201411</v>
      </c>
      <c r="K873" s="16">
        <v>46130.239999999998</v>
      </c>
      <c r="L873" s="171">
        <f>VLOOKUP(J873,$U$9:$V$23,2)</f>
        <v>7</v>
      </c>
      <c r="M873" s="17">
        <v>1.4833299999999999E-3</v>
      </c>
      <c r="N873" s="16">
        <f>ROUND(K873*L873*M873,2)</f>
        <v>478.98</v>
      </c>
      <c r="O873" s="16">
        <f>ROUND(K873*M873*12,2)</f>
        <v>821.12</v>
      </c>
      <c r="P873" s="14"/>
      <c r="Q873" s="210" t="str">
        <f>VLOOKUP(D873,'WO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row>
    <row r="874" spans="1:19" s="243" customFormat="1" ht="90" outlineLevel="2">
      <c r="A874" s="243" t="s">
        <v>969</v>
      </c>
      <c r="B874" s="14" t="s">
        <v>54</v>
      </c>
      <c r="C874" s="15" t="s">
        <v>968</v>
      </c>
      <c r="D874" s="15" t="s">
        <v>969</v>
      </c>
      <c r="E874" s="14" t="s">
        <v>970</v>
      </c>
      <c r="F874" s="15" t="s">
        <v>394</v>
      </c>
      <c r="G874" s="14" t="s">
        <v>137</v>
      </c>
      <c r="H874" s="15" t="s">
        <v>23</v>
      </c>
      <c r="I874" s="15" t="s">
        <v>1526</v>
      </c>
      <c r="J874" s="15">
        <v>201412</v>
      </c>
      <c r="K874" s="16">
        <v>-820.13</v>
      </c>
      <c r="L874" s="171">
        <f>VLOOKUP(J874,$U$9:$V$23,2)</f>
        <v>6</v>
      </c>
      <c r="M874" s="17">
        <v>1.4833299999999999E-3</v>
      </c>
      <c r="N874" s="16">
        <f>ROUND(K874*L874*M874,2)</f>
        <v>-7.3</v>
      </c>
      <c r="O874" s="16">
        <f>ROUND(K874*M874*12,2)</f>
        <v>-14.6</v>
      </c>
      <c r="P874" s="14"/>
      <c r="Q874" s="210" t="str">
        <f>VLOOKUP(D874,'WO Descriptions'!$A$5:$D$345,4)</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R874" s="3"/>
      <c r="S874" s="3"/>
    </row>
    <row r="875" spans="1:19" s="243" customFormat="1" outlineLevel="1">
      <c r="A875" s="243" t="s">
        <v>2063</v>
      </c>
      <c r="B875" s="223"/>
      <c r="C875" s="250"/>
      <c r="D875" s="254" t="s">
        <v>2063</v>
      </c>
      <c r="E875" s="223"/>
      <c r="F875" s="250"/>
      <c r="G875" s="223"/>
      <c r="H875" s="250"/>
      <c r="I875" s="250"/>
      <c r="J875" s="250"/>
      <c r="K875" s="251">
        <f>SUBTOTAL(9,K873:K874)</f>
        <v>45310.11</v>
      </c>
      <c r="L875" s="252"/>
      <c r="M875" s="253"/>
      <c r="N875" s="251">
        <f>SUBTOTAL(9,N873:N874)</f>
        <v>471.68</v>
      </c>
      <c r="O875" s="251">
        <f>SUBTOTAL(9,O873:O874)</f>
        <v>806.52</v>
      </c>
      <c r="P875" s="223"/>
      <c r="Q875" s="210"/>
      <c r="R875" s="263" t="s">
        <v>2096</v>
      </c>
      <c r="S875" s="3"/>
    </row>
    <row r="876" spans="1:19" ht="45" outlineLevel="2">
      <c r="A876" s="3" t="s">
        <v>972</v>
      </c>
      <c r="B876" s="14" t="s">
        <v>54</v>
      </c>
      <c r="C876" s="15" t="s">
        <v>971</v>
      </c>
      <c r="D876" s="15" t="s">
        <v>972</v>
      </c>
      <c r="E876" s="14" t="s">
        <v>973</v>
      </c>
      <c r="F876" s="15" t="s">
        <v>567</v>
      </c>
      <c r="G876" s="14" t="s">
        <v>137</v>
      </c>
      <c r="H876" s="15" t="s">
        <v>23</v>
      </c>
      <c r="I876" s="15" t="s">
        <v>1526</v>
      </c>
      <c r="J876" s="15">
        <v>201411</v>
      </c>
      <c r="K876" s="16">
        <v>35042.230000000003</v>
      </c>
      <c r="L876" s="171">
        <f>VLOOKUP(J876,$U$9:$V$23,2)</f>
        <v>7</v>
      </c>
      <c r="M876" s="17">
        <v>1.4833299999999999E-3</v>
      </c>
      <c r="N876" s="16">
        <f>ROUND(K876*L876*M876,2)</f>
        <v>363.85</v>
      </c>
      <c r="O876" s="16">
        <f>ROUND(K876*M876*12,2)</f>
        <v>623.75</v>
      </c>
      <c r="P876" s="14"/>
      <c r="Q876" s="210" t="str">
        <f>VLOOKUP(D876,'WO Descriptions'!$A$5:$D$345,4)</f>
        <v>Approved by: Gary Williams on 07/23/2014,  (ISRS)  Replace 100'-4in PBS with 4in thin film and 2" PCS with 275'-2in PE.  New 4in main needs to be 8' below existing grade due to new storm sewer.  Dead end 2" PE main at 2307 NE 44th Terr. Tie over 3 services.</v>
      </c>
    </row>
    <row r="877" spans="1:19" ht="45" outlineLevel="2">
      <c r="A877" s="3" t="s">
        <v>972</v>
      </c>
      <c r="B877" s="14" t="s">
        <v>54</v>
      </c>
      <c r="C877" s="15" t="s">
        <v>971</v>
      </c>
      <c r="D877" s="15" t="s">
        <v>972</v>
      </c>
      <c r="E877" s="14" t="s">
        <v>973</v>
      </c>
      <c r="F877" s="15" t="s">
        <v>567</v>
      </c>
      <c r="G877" s="14" t="s">
        <v>137</v>
      </c>
      <c r="H877" s="15" t="s">
        <v>23</v>
      </c>
      <c r="I877" s="15" t="s">
        <v>1526</v>
      </c>
      <c r="J877" s="15">
        <v>201412</v>
      </c>
      <c r="K877" s="16">
        <v>3488.6</v>
      </c>
      <c r="L877" s="171">
        <f>VLOOKUP(J877,$U$9:$V$23,2)</f>
        <v>6</v>
      </c>
      <c r="M877" s="17">
        <v>1.4833299999999999E-3</v>
      </c>
      <c r="N877" s="16">
        <f>ROUND(K877*L877*M877,2)</f>
        <v>31.05</v>
      </c>
      <c r="O877" s="16">
        <f>ROUND(K877*M877*12,2)</f>
        <v>62.1</v>
      </c>
      <c r="P877" s="14"/>
      <c r="Q877" s="210" t="str">
        <f>VLOOKUP(D877,'WO Descriptions'!$A$5:$D$345,4)</f>
        <v>Approved by: Gary Williams on 07/23/2014,  (ISRS)  Replace 100'-4in PBS with 4in thin film and 2" PCS with 275'-2in PE.  New 4in main needs to be 8' below existing grade due to new storm sewer.  Dead end 2" PE main at 2307 NE 44th Terr. Tie over 3 services.</v>
      </c>
    </row>
    <row r="878" spans="1:19" outlineLevel="1">
      <c r="A878" s="3" t="s">
        <v>2064</v>
      </c>
      <c r="B878" s="223"/>
      <c r="C878" s="250"/>
      <c r="D878" s="254" t="s">
        <v>2064</v>
      </c>
      <c r="E878" s="223"/>
      <c r="F878" s="250"/>
      <c r="G878" s="223"/>
      <c r="H878" s="250"/>
      <c r="I878" s="250"/>
      <c r="J878" s="250"/>
      <c r="K878" s="251">
        <f>SUBTOTAL(9,K876:K877)</f>
        <v>38530.83</v>
      </c>
      <c r="L878" s="252"/>
      <c r="M878" s="253"/>
      <c r="N878" s="251">
        <f>SUBTOTAL(9,N876:N877)</f>
        <v>394.90000000000003</v>
      </c>
      <c r="O878" s="251">
        <f>SUBTOTAL(9,O876:O877)</f>
        <v>685.85</v>
      </c>
      <c r="P878" s="223"/>
      <c r="Q878" s="210"/>
      <c r="R878" s="263" t="s">
        <v>2096</v>
      </c>
    </row>
    <row r="879" spans="1:19" ht="45" outlineLevel="2">
      <c r="A879" s="3" t="s">
        <v>975</v>
      </c>
      <c r="B879" s="14" t="s">
        <v>54</v>
      </c>
      <c r="C879" s="15" t="s">
        <v>974</v>
      </c>
      <c r="D879" s="15" t="s">
        <v>975</v>
      </c>
      <c r="E879" s="14" t="s">
        <v>976</v>
      </c>
      <c r="F879" s="15" t="s">
        <v>141</v>
      </c>
      <c r="G879" s="14" t="s">
        <v>142</v>
      </c>
      <c r="H879" s="15" t="s">
        <v>23</v>
      </c>
      <c r="I879" s="15" t="s">
        <v>1525</v>
      </c>
      <c r="J879" s="15">
        <v>201409</v>
      </c>
      <c r="K879" s="16">
        <v>1598.77</v>
      </c>
      <c r="L879" s="171">
        <f>VLOOKUP(J879,$U$9:$V$23,2)</f>
        <v>9</v>
      </c>
      <c r="M879" s="17">
        <v>1.4833299999999999E-3</v>
      </c>
      <c r="N879" s="16">
        <f>ROUND(K879*L879*M879,2)</f>
        <v>21.34</v>
      </c>
      <c r="O879" s="16">
        <f>ROUND(K879*M879*12,2)</f>
        <v>28.46</v>
      </c>
      <c r="P879" s="14"/>
      <c r="Q879" s="210" t="str">
        <f>VLOOKUP(D879,'WO Descriptions'!$A$5:$D$345,4)</f>
        <v>Approved by: Kevin Driskell on 07/23/2014,  AOR.  Replace 40' of 4in CI with 4in PE due to exposure of CI coupling.  AOR location: 46' SSCB of 8th Street.  Must be finished by 9-21-2014.  Tie over 3 services.  Replace one service.  COST PER FOOT $554.14</v>
      </c>
    </row>
    <row r="880" spans="1:19" ht="45" outlineLevel="2">
      <c r="A880" s="3" t="s">
        <v>975</v>
      </c>
      <c r="B880" s="14" t="s">
        <v>54</v>
      </c>
      <c r="C880" s="15" t="s">
        <v>974</v>
      </c>
      <c r="D880" s="15" t="s">
        <v>975</v>
      </c>
      <c r="E880" s="14" t="s">
        <v>976</v>
      </c>
      <c r="F880" s="15" t="s">
        <v>141</v>
      </c>
      <c r="G880" s="14" t="s">
        <v>142</v>
      </c>
      <c r="H880" s="15" t="s">
        <v>23</v>
      </c>
      <c r="I880" s="15" t="s">
        <v>1525</v>
      </c>
      <c r="J880" s="15">
        <v>201410</v>
      </c>
      <c r="K880" s="16">
        <v>4514.09</v>
      </c>
      <c r="L880" s="171">
        <f>VLOOKUP(J880,$U$9:$V$23,2)</f>
        <v>8</v>
      </c>
      <c r="M880" s="17">
        <v>1.4833299999999999E-3</v>
      </c>
      <c r="N880" s="16">
        <f>ROUND(K880*L880*M880,2)</f>
        <v>53.57</v>
      </c>
      <c r="O880" s="16">
        <f>ROUND(K880*M880*12,2)</f>
        <v>80.349999999999994</v>
      </c>
      <c r="P880" s="14"/>
      <c r="Q880" s="210" t="str">
        <f>VLOOKUP(D880,'WO Descriptions'!$A$5:$D$345,4)</f>
        <v>Approved by: Kevin Driskell on 07/23/2014,  AOR.  Replace 40' of 4in CI with 4in PE due to exposure of CI coupling.  AOR location: 46' SSCB of 8th Street.  Must be finished by 9-21-2014.  Tie over 3 services.  Replace one service.  COST PER FOOT $554.14</v>
      </c>
    </row>
    <row r="881" spans="1:19" ht="45" outlineLevel="2">
      <c r="A881" s="3" t="s">
        <v>975</v>
      </c>
      <c r="B881" s="14" t="s">
        <v>54</v>
      </c>
      <c r="C881" s="15" t="s">
        <v>974</v>
      </c>
      <c r="D881" s="15" t="s">
        <v>975</v>
      </c>
      <c r="E881" s="14" t="s">
        <v>976</v>
      </c>
      <c r="F881" s="15" t="s">
        <v>141</v>
      </c>
      <c r="G881" s="14" t="s">
        <v>142</v>
      </c>
      <c r="H881" s="15" t="s">
        <v>23</v>
      </c>
      <c r="I881" s="15" t="s">
        <v>1525</v>
      </c>
      <c r="J881" s="15">
        <v>201411</v>
      </c>
      <c r="K881" s="16">
        <v>-208.96</v>
      </c>
      <c r="L881" s="171">
        <f>VLOOKUP(J881,$U$9:$V$23,2)</f>
        <v>7</v>
      </c>
      <c r="M881" s="17">
        <v>1.4833299999999999E-3</v>
      </c>
      <c r="N881" s="16">
        <f>ROUND(K881*L881*M881,2)</f>
        <v>-2.17</v>
      </c>
      <c r="O881" s="16">
        <f>ROUND(K881*M881*12,2)</f>
        <v>-3.72</v>
      </c>
      <c r="P881" s="14"/>
      <c r="Q881" s="210" t="str">
        <f>VLOOKUP(D881,'WO Descriptions'!$A$5:$D$345,4)</f>
        <v>Approved by: Kevin Driskell on 07/23/2014,  AOR.  Replace 40' of 4in CI with 4in PE due to exposure of CI coupling.  AOR location: 46' SSCB of 8th Street.  Must be finished by 9-21-2014.  Tie over 3 services.  Replace one service.  COST PER FOOT $554.14</v>
      </c>
    </row>
    <row r="882" spans="1:19" ht="45" outlineLevel="2">
      <c r="A882" s="3" t="s">
        <v>975</v>
      </c>
      <c r="B882" s="14" t="s">
        <v>54</v>
      </c>
      <c r="C882" s="15" t="s">
        <v>974</v>
      </c>
      <c r="D882" s="15" t="s">
        <v>975</v>
      </c>
      <c r="E882" s="14" t="s">
        <v>976</v>
      </c>
      <c r="F882" s="15" t="s">
        <v>141</v>
      </c>
      <c r="G882" s="14" t="s">
        <v>142</v>
      </c>
      <c r="H882" s="15" t="s">
        <v>23</v>
      </c>
      <c r="I882" s="15" t="s">
        <v>1525</v>
      </c>
      <c r="J882" s="15">
        <v>201412</v>
      </c>
      <c r="K882" s="16">
        <v>-298.91000000000003</v>
      </c>
      <c r="L882" s="171">
        <f>VLOOKUP(J882,$U$9:$V$23,2)</f>
        <v>6</v>
      </c>
      <c r="M882" s="17">
        <v>1.4833299999999999E-3</v>
      </c>
      <c r="N882" s="16">
        <f>ROUND(K882*L882*M882,2)</f>
        <v>-2.66</v>
      </c>
      <c r="O882" s="16">
        <f>ROUND(K882*M882*12,2)</f>
        <v>-5.32</v>
      </c>
      <c r="P882" s="14"/>
      <c r="Q882" s="210" t="str">
        <f>VLOOKUP(D882,'WO Descriptions'!$A$5:$D$345,4)</f>
        <v>Approved by: Kevin Driskell on 07/23/2014,  AOR.  Replace 40' of 4in CI with 4in PE due to exposure of CI coupling.  AOR location: 46' SSCB of 8th Street.  Must be finished by 9-21-2014.  Tie over 3 services.  Replace one service.  COST PER FOOT $554.14</v>
      </c>
    </row>
    <row r="883" spans="1:19" outlineLevel="1">
      <c r="A883" s="3" t="s">
        <v>2065</v>
      </c>
      <c r="B883" s="223"/>
      <c r="C883" s="250"/>
      <c r="D883" s="254" t="s">
        <v>2065</v>
      </c>
      <c r="E883" s="223"/>
      <c r="F883" s="250"/>
      <c r="G883" s="223"/>
      <c r="H883" s="250"/>
      <c r="I883" s="250"/>
      <c r="J883" s="250"/>
      <c r="K883" s="251">
        <f>SUBTOTAL(9,K879:K882)</f>
        <v>5604.9900000000007</v>
      </c>
      <c r="L883" s="252"/>
      <c r="M883" s="253"/>
      <c r="N883" s="251">
        <f>SUBTOTAL(9,N879:N882)</f>
        <v>70.08</v>
      </c>
      <c r="O883" s="251">
        <f>SUBTOTAL(9,O879:O882)</f>
        <v>99.77000000000001</v>
      </c>
      <c r="P883" s="223"/>
      <c r="Q883" s="210"/>
      <c r="R883" s="263" t="s">
        <v>2097</v>
      </c>
      <c r="S883" s="263" t="s">
        <v>2100</v>
      </c>
    </row>
    <row r="884" spans="1:19" ht="30" outlineLevel="2">
      <c r="A884" s="3" t="s">
        <v>978</v>
      </c>
      <c r="B884" s="14" t="s">
        <v>54</v>
      </c>
      <c r="C884" s="15" t="s">
        <v>977</v>
      </c>
      <c r="D884" s="15" t="s">
        <v>978</v>
      </c>
      <c r="E884" s="14" t="s">
        <v>979</v>
      </c>
      <c r="F884" s="15" t="s">
        <v>980</v>
      </c>
      <c r="G884" s="14" t="s">
        <v>259</v>
      </c>
      <c r="H884" s="15" t="s">
        <v>23</v>
      </c>
      <c r="I884" s="15" t="s">
        <v>1525</v>
      </c>
      <c r="J884" s="15">
        <v>201409</v>
      </c>
      <c r="K884" s="16">
        <v>502.39</v>
      </c>
      <c r="L884" s="171">
        <f>VLOOKUP(J884,$U$9:$V$23,2)</f>
        <v>9</v>
      </c>
      <c r="M884" s="17">
        <v>1.4833299999999999E-3</v>
      </c>
      <c r="N884" s="16">
        <f>ROUND(K884*L884*M884,2)</f>
        <v>6.71</v>
      </c>
      <c r="O884" s="16">
        <f>ROUND(K884*M884*12,2)</f>
        <v>8.94</v>
      </c>
      <c r="P884" s="14"/>
      <c r="Q884" s="210" t="str">
        <f>VLOOKUP(D884,'WO Descriptions'!$A$5:$D$345,4)</f>
        <v>Approved by: Kevin Driskell on 07/25/2014,  Replace 3' of 2in BS and 4' of 2in PE due to third party damage.</v>
      </c>
    </row>
    <row r="885" spans="1:19" ht="30" outlineLevel="2">
      <c r="A885" s="3" t="s">
        <v>978</v>
      </c>
      <c r="B885" s="14" t="s">
        <v>54</v>
      </c>
      <c r="C885" s="15" t="s">
        <v>977</v>
      </c>
      <c r="D885" s="15" t="s">
        <v>978</v>
      </c>
      <c r="E885" s="14" t="s">
        <v>979</v>
      </c>
      <c r="F885" s="15" t="s">
        <v>980</v>
      </c>
      <c r="G885" s="14" t="s">
        <v>259</v>
      </c>
      <c r="H885" s="15" t="s">
        <v>23</v>
      </c>
      <c r="I885" s="15" t="s">
        <v>1525</v>
      </c>
      <c r="J885" s="15">
        <v>201410</v>
      </c>
      <c r="K885" s="16">
        <v>0.51</v>
      </c>
      <c r="L885" s="171">
        <f>VLOOKUP(J885,$U$9:$V$23,2)</f>
        <v>8</v>
      </c>
      <c r="M885" s="17">
        <v>1.4833299999999999E-3</v>
      </c>
      <c r="N885" s="16">
        <f>ROUND(K885*L885*M885,2)</f>
        <v>0.01</v>
      </c>
      <c r="O885" s="16">
        <f>ROUND(K885*M885*12,2)</f>
        <v>0.01</v>
      </c>
      <c r="P885" s="14"/>
      <c r="Q885" s="210" t="str">
        <f>VLOOKUP(D885,'WO Descriptions'!$A$5:$D$345,4)</f>
        <v>Approved by: Kevin Driskell on 07/25/2014,  Replace 3' of 2in BS and 4' of 2in PE due to third party damage.</v>
      </c>
    </row>
    <row r="886" spans="1:19" ht="30" outlineLevel="2">
      <c r="A886" s="3" t="s">
        <v>978</v>
      </c>
      <c r="B886" s="14" t="s">
        <v>54</v>
      </c>
      <c r="C886" s="15" t="s">
        <v>977</v>
      </c>
      <c r="D886" s="15" t="s">
        <v>978</v>
      </c>
      <c r="E886" s="14" t="s">
        <v>979</v>
      </c>
      <c r="F886" s="15" t="s">
        <v>980</v>
      </c>
      <c r="G886" s="14" t="s">
        <v>259</v>
      </c>
      <c r="H886" s="15" t="s">
        <v>23</v>
      </c>
      <c r="I886" s="15" t="s">
        <v>1525</v>
      </c>
      <c r="J886" s="15">
        <v>201412</v>
      </c>
      <c r="K886" s="16">
        <v>640.08000000000004</v>
      </c>
      <c r="L886" s="171">
        <f>VLOOKUP(J886,$U$9:$V$23,2)</f>
        <v>6</v>
      </c>
      <c r="M886" s="17">
        <v>1.4833299999999999E-3</v>
      </c>
      <c r="N886" s="16">
        <f>ROUND(K886*L886*M886,2)</f>
        <v>5.7</v>
      </c>
      <c r="O886" s="16">
        <f>ROUND(K886*M886*12,2)</f>
        <v>11.39</v>
      </c>
      <c r="P886" s="14"/>
      <c r="Q886" s="210" t="str">
        <f>VLOOKUP(D886,'WO Descriptions'!$A$5:$D$345,4)</f>
        <v>Approved by: Kevin Driskell on 07/25/2014,  Replace 3' of 2in BS and 4' of 2in PE due to third party damage.</v>
      </c>
    </row>
    <row r="887" spans="1:19" outlineLevel="1">
      <c r="A887" s="3" t="s">
        <v>2066</v>
      </c>
      <c r="B887" s="223"/>
      <c r="C887" s="250"/>
      <c r="D887" s="254" t="s">
        <v>2066</v>
      </c>
      <c r="E887" s="223"/>
      <c r="F887" s="250"/>
      <c r="G887" s="223"/>
      <c r="H887" s="250"/>
      <c r="I887" s="250"/>
      <c r="J887" s="250"/>
      <c r="K887" s="251">
        <f>SUBTOTAL(9,K884:K886)</f>
        <v>1142.98</v>
      </c>
      <c r="L887" s="252"/>
      <c r="M887" s="253"/>
      <c r="N887" s="251">
        <f>SUBTOTAL(9,N884:N886)</f>
        <v>12.42</v>
      </c>
      <c r="O887" s="251">
        <f>SUBTOTAL(9,O884:O886)</f>
        <v>20.34</v>
      </c>
      <c r="P887" s="223"/>
      <c r="Q887" s="210"/>
      <c r="R887" s="263" t="s">
        <v>2097</v>
      </c>
      <c r="S887" s="263" t="s">
        <v>2101</v>
      </c>
    </row>
    <row r="888" spans="1:19" ht="30" outlineLevel="2">
      <c r="A888" s="3" t="s">
        <v>982</v>
      </c>
      <c r="B888" s="14" t="s">
        <v>17</v>
      </c>
      <c r="C888" s="15" t="s">
        <v>981</v>
      </c>
      <c r="D888" s="15" t="s">
        <v>982</v>
      </c>
      <c r="E888" s="14" t="s">
        <v>983</v>
      </c>
      <c r="F888" s="15" t="s">
        <v>440</v>
      </c>
      <c r="G888" s="14" t="s">
        <v>28</v>
      </c>
      <c r="H888" s="15" t="s">
        <v>23</v>
      </c>
      <c r="I888" s="15" t="s">
        <v>1525</v>
      </c>
      <c r="J888" s="15">
        <v>201409</v>
      </c>
      <c r="K888" s="16">
        <v>53.69</v>
      </c>
      <c r="L888" s="171">
        <f>VLOOKUP(J888,$U$9:$V$23,2)</f>
        <v>9</v>
      </c>
      <c r="M888" s="17">
        <v>1.4833299999999999E-3</v>
      </c>
      <c r="N888" s="16">
        <f>ROUND(K888*L888*M888,2)</f>
        <v>0.72</v>
      </c>
      <c r="O888" s="16">
        <f>ROUND(K888*M888*12,2)</f>
        <v>0.96</v>
      </c>
      <c r="P888" s="14"/>
      <c r="Q888" s="210" t="str">
        <f>VLOOKUP(D888,'WO Descriptions'!$A$5:$D$345,4)</f>
        <v>Approved by: Kevin Driskell on 08/03/2014,  Replaced 5' of 2'' CS system C-046 due to 3rd party damage.</v>
      </c>
    </row>
    <row r="889" spans="1:19" outlineLevel="1">
      <c r="A889" s="3" t="s">
        <v>2067</v>
      </c>
      <c r="B889" s="223"/>
      <c r="C889" s="250"/>
      <c r="D889" s="254" t="s">
        <v>2067</v>
      </c>
      <c r="E889" s="223"/>
      <c r="F889" s="250"/>
      <c r="G889" s="223"/>
      <c r="H889" s="250"/>
      <c r="I889" s="250"/>
      <c r="J889" s="250"/>
      <c r="K889" s="251">
        <f>SUBTOTAL(9,K888:K888)</f>
        <v>53.69</v>
      </c>
      <c r="L889" s="252"/>
      <c r="M889" s="253"/>
      <c r="N889" s="251">
        <f>SUBTOTAL(9,N888:N888)</f>
        <v>0.72</v>
      </c>
      <c r="O889" s="251">
        <f>SUBTOTAL(9,O888:O888)</f>
        <v>0.96</v>
      </c>
      <c r="P889" s="223"/>
      <c r="Q889" s="210"/>
      <c r="R889" s="263" t="s">
        <v>2097</v>
      </c>
      <c r="S889" s="263" t="s">
        <v>2099</v>
      </c>
    </row>
    <row r="890" spans="1:19" ht="30" outlineLevel="2">
      <c r="A890" s="3" t="s">
        <v>985</v>
      </c>
      <c r="B890" s="14" t="s">
        <v>54</v>
      </c>
      <c r="C890" s="15" t="s">
        <v>984</v>
      </c>
      <c r="D890" s="15" t="s">
        <v>985</v>
      </c>
      <c r="E890" s="14" t="s">
        <v>986</v>
      </c>
      <c r="F890" s="15" t="s">
        <v>141</v>
      </c>
      <c r="G890" s="14" t="s">
        <v>142</v>
      </c>
      <c r="H890" s="15" t="s">
        <v>23</v>
      </c>
      <c r="I890" s="15" t="s">
        <v>1525</v>
      </c>
      <c r="J890" s="15">
        <v>201409</v>
      </c>
      <c r="K890" s="16">
        <v>76.45</v>
      </c>
      <c r="L890" s="171">
        <f>VLOOKUP(J890,$U$9:$V$23,2)</f>
        <v>9</v>
      </c>
      <c r="M890" s="17">
        <v>1.4833299999999999E-3</v>
      </c>
      <c r="N890" s="16">
        <f>ROUND(K890*L890*M890,2)</f>
        <v>1.02</v>
      </c>
      <c r="O890" s="16">
        <f>ROUND(K890*M890*12,2)</f>
        <v>1.36</v>
      </c>
      <c r="P890" s="14"/>
      <c r="Q890" s="210" t="str">
        <f>VLOOKUP(D890,'WO Descriptions'!$A$5:$D$345,4)</f>
        <v>Approved by: Kevin Driskell on 08/03/2014,  Replaced 6'' CI with 6'' PE due to Cast Iron Break. System C-1.</v>
      </c>
    </row>
    <row r="891" spans="1:19" ht="30" outlineLevel="2">
      <c r="A891" s="3" t="s">
        <v>985</v>
      </c>
      <c r="B891" s="14" t="s">
        <v>54</v>
      </c>
      <c r="C891" s="15" t="s">
        <v>984</v>
      </c>
      <c r="D891" s="15" t="s">
        <v>985</v>
      </c>
      <c r="E891" s="14" t="s">
        <v>986</v>
      </c>
      <c r="F891" s="15" t="s">
        <v>141</v>
      </c>
      <c r="G891" s="14" t="s">
        <v>142</v>
      </c>
      <c r="H891" s="15" t="s">
        <v>23</v>
      </c>
      <c r="I891" s="15" t="s">
        <v>1525</v>
      </c>
      <c r="J891" s="15">
        <v>201412</v>
      </c>
      <c r="K891" s="16">
        <v>1481.62</v>
      </c>
      <c r="L891" s="171">
        <f>VLOOKUP(J891,$U$9:$V$23,2)</f>
        <v>6</v>
      </c>
      <c r="M891" s="17">
        <v>1.4833299999999999E-3</v>
      </c>
      <c r="N891" s="16">
        <f>ROUND(K891*L891*M891,2)</f>
        <v>13.19</v>
      </c>
      <c r="O891" s="16">
        <f>ROUND(K891*M891*12,2)</f>
        <v>26.37</v>
      </c>
      <c r="P891" s="14"/>
      <c r="Q891" s="210" t="str">
        <f>VLOOKUP(D891,'WO Descriptions'!$A$5:$D$345,4)</f>
        <v>Approved by: Kevin Driskell on 08/03/2014,  Replaced 6'' CI with 6'' PE due to Cast Iron Break. System C-1.</v>
      </c>
    </row>
    <row r="892" spans="1:19" outlineLevel="1">
      <c r="A892" s="3" t="s">
        <v>2068</v>
      </c>
      <c r="B892" s="223"/>
      <c r="C892" s="250"/>
      <c r="D892" s="254" t="s">
        <v>2068</v>
      </c>
      <c r="E892" s="223"/>
      <c r="F892" s="250"/>
      <c r="G892" s="223"/>
      <c r="H892" s="250"/>
      <c r="I892" s="250"/>
      <c r="J892" s="250"/>
      <c r="K892" s="251">
        <f>SUBTOTAL(9,K890:K891)</f>
        <v>1558.07</v>
      </c>
      <c r="L892" s="252"/>
      <c r="M892" s="253"/>
      <c r="N892" s="251">
        <f>SUBTOTAL(9,N890:N891)</f>
        <v>14.209999999999999</v>
      </c>
      <c r="O892" s="251">
        <f>SUBTOTAL(9,O890:O891)</f>
        <v>27.73</v>
      </c>
      <c r="P892" s="223"/>
      <c r="Q892" s="210"/>
      <c r="R892" s="263" t="s">
        <v>2097</v>
      </c>
      <c r="S892" s="263" t="s">
        <v>2100</v>
      </c>
    </row>
    <row r="893" spans="1:19" ht="30" outlineLevel="2">
      <c r="A893" s="3" t="s">
        <v>988</v>
      </c>
      <c r="B893" s="14" t="s">
        <v>17</v>
      </c>
      <c r="C893" s="15" t="s">
        <v>987</v>
      </c>
      <c r="D893" s="15" t="s">
        <v>988</v>
      </c>
      <c r="E893" s="14" t="s">
        <v>989</v>
      </c>
      <c r="F893" s="15" t="s">
        <v>45</v>
      </c>
      <c r="G893" s="14" t="s">
        <v>22</v>
      </c>
      <c r="H893" s="15" t="s">
        <v>23</v>
      </c>
      <c r="I893" s="15" t="s">
        <v>1525</v>
      </c>
      <c r="J893" s="15">
        <v>201409</v>
      </c>
      <c r="K893" s="16">
        <v>92.14</v>
      </c>
      <c r="L893" s="171">
        <f>VLOOKUP(J893,$U$9:$V$23,2)</f>
        <v>9</v>
      </c>
      <c r="M893" s="17">
        <v>1.4833299999999999E-3</v>
      </c>
      <c r="N893" s="16">
        <f>ROUND(K893*L893*M893,2)</f>
        <v>1.23</v>
      </c>
      <c r="O893" s="16">
        <f>ROUND(K893*M893*12,2)</f>
        <v>1.64</v>
      </c>
      <c r="P893" s="14"/>
      <c r="Q893" s="210" t="str">
        <f>VLOOKUP(D893,'WO Descriptions'!$A$5:$D$345,4)</f>
        <v>Approved by: Kevin Driskell on 08/03/2014,  Relocated 2'' PBS because it was going through a curb inlet box. Pressure System C-26.</v>
      </c>
    </row>
    <row r="894" spans="1:19" ht="30" outlineLevel="2">
      <c r="A894" s="3" t="s">
        <v>988</v>
      </c>
      <c r="B894" s="14" t="s">
        <v>17</v>
      </c>
      <c r="C894" s="15" t="s">
        <v>987</v>
      </c>
      <c r="D894" s="15" t="s">
        <v>988</v>
      </c>
      <c r="E894" s="14" t="s">
        <v>989</v>
      </c>
      <c r="F894" s="15" t="s">
        <v>45</v>
      </c>
      <c r="G894" s="14" t="s">
        <v>22</v>
      </c>
      <c r="H894" s="15" t="s">
        <v>23</v>
      </c>
      <c r="I894" s="15" t="s">
        <v>1525</v>
      </c>
      <c r="J894" s="15">
        <v>201410</v>
      </c>
      <c r="K894" s="16">
        <v>0.63</v>
      </c>
      <c r="L894" s="171">
        <f>VLOOKUP(J894,$U$9:$V$23,2)</f>
        <v>8</v>
      </c>
      <c r="M894" s="17">
        <v>1.4833299999999999E-3</v>
      </c>
      <c r="N894" s="16">
        <f>ROUND(K894*L894*M894,2)</f>
        <v>0.01</v>
      </c>
      <c r="O894" s="16">
        <f>ROUND(K894*M894*12,2)</f>
        <v>0.01</v>
      </c>
      <c r="P894" s="14"/>
      <c r="Q894" s="210" t="str">
        <f>VLOOKUP(D894,'WO Descriptions'!$A$5:$D$345,4)</f>
        <v>Approved by: Kevin Driskell on 08/03/2014,  Relocated 2'' PBS because it was going through a curb inlet box. Pressure System C-26.</v>
      </c>
    </row>
    <row r="895" spans="1:19" ht="30" outlineLevel="2">
      <c r="A895" s="3" t="s">
        <v>988</v>
      </c>
      <c r="B895" s="14" t="s">
        <v>17</v>
      </c>
      <c r="C895" s="15" t="s">
        <v>987</v>
      </c>
      <c r="D895" s="15" t="s">
        <v>988</v>
      </c>
      <c r="E895" s="14" t="s">
        <v>989</v>
      </c>
      <c r="F895" s="15" t="s">
        <v>45</v>
      </c>
      <c r="G895" s="14" t="s">
        <v>22</v>
      </c>
      <c r="H895" s="15" t="s">
        <v>23</v>
      </c>
      <c r="I895" s="15" t="s">
        <v>1525</v>
      </c>
      <c r="J895" s="15">
        <v>201412</v>
      </c>
      <c r="K895" s="16">
        <v>445.28</v>
      </c>
      <c r="L895" s="171">
        <f>VLOOKUP(J895,$U$9:$V$23,2)</f>
        <v>6</v>
      </c>
      <c r="M895" s="17">
        <v>1.4833299999999999E-3</v>
      </c>
      <c r="N895" s="16">
        <f>ROUND(K895*L895*M895,2)</f>
        <v>3.96</v>
      </c>
      <c r="O895" s="16">
        <f>ROUND(K895*M895*12,2)</f>
        <v>7.93</v>
      </c>
      <c r="P895" s="14"/>
      <c r="Q895" s="210" t="str">
        <f>VLOOKUP(D895,'WO Descriptions'!$A$5:$D$345,4)</f>
        <v>Approved by: Kevin Driskell on 08/03/2014,  Relocated 2'' PBS because it was going through a curb inlet box. Pressure System C-26.</v>
      </c>
    </row>
    <row r="896" spans="1:19" outlineLevel="1">
      <c r="A896" s="3" t="s">
        <v>2069</v>
      </c>
      <c r="B896" s="223"/>
      <c r="C896" s="250"/>
      <c r="D896" s="254" t="s">
        <v>2069</v>
      </c>
      <c r="E896" s="223"/>
      <c r="F896" s="250"/>
      <c r="G896" s="223"/>
      <c r="H896" s="250"/>
      <c r="I896" s="250"/>
      <c r="J896" s="250"/>
      <c r="K896" s="251">
        <f>SUBTOTAL(9,K893:K895)</f>
        <v>538.04999999999995</v>
      </c>
      <c r="L896" s="252"/>
      <c r="M896" s="253"/>
      <c r="N896" s="251">
        <f>SUBTOTAL(9,N893:N895)</f>
        <v>5.2</v>
      </c>
      <c r="O896" s="251">
        <f>SUBTOTAL(9,O893:O895)</f>
        <v>9.58</v>
      </c>
      <c r="P896" s="223"/>
      <c r="Q896" s="210"/>
      <c r="R896" s="263" t="s">
        <v>2097</v>
      </c>
      <c r="S896" s="263" t="s">
        <v>2098</v>
      </c>
    </row>
    <row r="897" spans="1:19" ht="75" outlineLevel="2">
      <c r="A897" s="3" t="s">
        <v>991</v>
      </c>
      <c r="B897" s="14" t="s">
        <v>54</v>
      </c>
      <c r="C897" s="15" t="s">
        <v>990</v>
      </c>
      <c r="D897" s="15" t="s">
        <v>991</v>
      </c>
      <c r="E897" s="14" t="s">
        <v>992</v>
      </c>
      <c r="F897" s="15" t="s">
        <v>141</v>
      </c>
      <c r="G897" s="14" t="s">
        <v>142</v>
      </c>
      <c r="H897" s="15" t="s">
        <v>23</v>
      </c>
      <c r="I897" s="15" t="s">
        <v>1525</v>
      </c>
      <c r="J897" s="15">
        <v>201410</v>
      </c>
      <c r="K897" s="16">
        <v>123284.96</v>
      </c>
      <c r="L897" s="171">
        <f>VLOOKUP(J897,$U$9:$V$23,2)</f>
        <v>8</v>
      </c>
      <c r="M897" s="17">
        <v>1.4833299999999999E-3</v>
      </c>
      <c r="N897" s="16">
        <f>ROUND(K897*L897*M897,2)</f>
        <v>1462.98</v>
      </c>
      <c r="O897" s="16">
        <f>ROUND(K897*M897*12,2)</f>
        <v>2194.4699999999998</v>
      </c>
      <c r="P897" s="14"/>
      <c r="Q897" s="210" t="str">
        <f>VLOOKUP(D897,'WO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898" spans="1:19" ht="75" outlineLevel="2">
      <c r="A898" s="3" t="s">
        <v>991</v>
      </c>
      <c r="B898" s="14" t="s">
        <v>54</v>
      </c>
      <c r="C898" s="15" t="s">
        <v>990</v>
      </c>
      <c r="D898" s="15" t="s">
        <v>991</v>
      </c>
      <c r="E898" s="14" t="s">
        <v>992</v>
      </c>
      <c r="F898" s="15" t="s">
        <v>141</v>
      </c>
      <c r="G898" s="14" t="s">
        <v>142</v>
      </c>
      <c r="H898" s="15" t="s">
        <v>23</v>
      </c>
      <c r="I898" s="15" t="s">
        <v>1525</v>
      </c>
      <c r="J898" s="15">
        <v>201411</v>
      </c>
      <c r="K898" s="16">
        <v>-8191.63</v>
      </c>
      <c r="L898" s="171">
        <f>VLOOKUP(J898,$U$9:$V$23,2)</f>
        <v>7</v>
      </c>
      <c r="M898" s="17">
        <v>1.4833299999999999E-3</v>
      </c>
      <c r="N898" s="16">
        <f>ROUND(K898*L898*M898,2)</f>
        <v>-85.06</v>
      </c>
      <c r="O898" s="16">
        <f>ROUND(K898*M898*12,2)</f>
        <v>-145.81</v>
      </c>
      <c r="P898" s="14"/>
      <c r="Q898" s="210" t="str">
        <f>VLOOKUP(D898,'WO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899" spans="1:19" ht="75" outlineLevel="2">
      <c r="A899" s="3" t="s">
        <v>991</v>
      </c>
      <c r="B899" s="14" t="s">
        <v>54</v>
      </c>
      <c r="C899" s="15" t="s">
        <v>990</v>
      </c>
      <c r="D899" s="15" t="s">
        <v>991</v>
      </c>
      <c r="E899" s="14" t="s">
        <v>992</v>
      </c>
      <c r="F899" s="15" t="s">
        <v>141</v>
      </c>
      <c r="G899" s="14" t="s">
        <v>142</v>
      </c>
      <c r="H899" s="15" t="s">
        <v>23</v>
      </c>
      <c r="I899" s="15" t="s">
        <v>1525</v>
      </c>
      <c r="J899" s="15">
        <v>201412</v>
      </c>
      <c r="K899" s="16">
        <v>3203.04</v>
      </c>
      <c r="L899" s="171">
        <f>VLOOKUP(J899,$U$9:$V$23,2)</f>
        <v>6</v>
      </c>
      <c r="M899" s="17">
        <v>1.4833299999999999E-3</v>
      </c>
      <c r="N899" s="16">
        <f>ROUND(K899*L899*M899,2)</f>
        <v>28.51</v>
      </c>
      <c r="O899" s="16">
        <f>ROUND(K899*M899*12,2)</f>
        <v>57.01</v>
      </c>
      <c r="P899" s="14"/>
      <c r="Q899" s="210" t="str">
        <f>VLOOKUP(D899,'WO Descriptions'!$A$5:$D$345,4)</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row>
    <row r="900" spans="1:19" outlineLevel="1">
      <c r="A900" s="3" t="s">
        <v>2070</v>
      </c>
      <c r="B900" s="223"/>
      <c r="C900" s="250"/>
      <c r="D900" s="254" t="s">
        <v>2070</v>
      </c>
      <c r="E900" s="223"/>
      <c r="F900" s="250"/>
      <c r="G900" s="223"/>
      <c r="H900" s="250"/>
      <c r="I900" s="250"/>
      <c r="J900" s="250"/>
      <c r="K900" s="251">
        <f>SUBTOTAL(9,K897:K899)</f>
        <v>118296.37</v>
      </c>
      <c r="L900" s="252"/>
      <c r="M900" s="253"/>
      <c r="N900" s="251">
        <f>SUBTOTAL(9,N897:N899)</f>
        <v>1406.43</v>
      </c>
      <c r="O900" s="251">
        <f>SUBTOTAL(9,O897:O899)</f>
        <v>2105.67</v>
      </c>
      <c r="P900" s="223"/>
      <c r="Q900" s="210"/>
      <c r="R900" s="263" t="s">
        <v>2097</v>
      </c>
      <c r="S900" s="263" t="s">
        <v>2100</v>
      </c>
    </row>
    <row r="901" spans="1:19" ht="45" outlineLevel="2">
      <c r="A901" s="3" t="s">
        <v>994</v>
      </c>
      <c r="B901" s="14" t="s">
        <v>54</v>
      </c>
      <c r="C901" s="15" t="s">
        <v>993</v>
      </c>
      <c r="D901" s="15" t="s">
        <v>994</v>
      </c>
      <c r="E901" s="14" t="s">
        <v>995</v>
      </c>
      <c r="F901" s="15" t="s">
        <v>40</v>
      </c>
      <c r="G901" s="14" t="s">
        <v>41</v>
      </c>
      <c r="H901" s="15" t="s">
        <v>23</v>
      </c>
      <c r="I901" s="15" t="s">
        <v>1526</v>
      </c>
      <c r="J901" s="15">
        <v>201411</v>
      </c>
      <c r="K901" s="16">
        <v>19878.39</v>
      </c>
      <c r="L901" s="171">
        <f>VLOOKUP(J901,$U$9:$V$23,2)</f>
        <v>7</v>
      </c>
      <c r="M901" s="17">
        <v>1.4833299999999999E-3</v>
      </c>
      <c r="N901" s="16">
        <f>ROUND(K901*L901*M901,2)</f>
        <v>206.4</v>
      </c>
      <c r="O901" s="16">
        <f>ROUND(K901*M901*12,2)</f>
        <v>353.83</v>
      </c>
      <c r="P901" s="14"/>
      <c r="Q901" s="210" t="str">
        <f>VLOOKUP(D901,'WO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902" spans="1:19" ht="45" outlineLevel="2">
      <c r="A902" s="3" t="s">
        <v>994</v>
      </c>
      <c r="B902" s="14" t="s">
        <v>54</v>
      </c>
      <c r="C902" s="15" t="s">
        <v>993</v>
      </c>
      <c r="D902" s="15" t="s">
        <v>994</v>
      </c>
      <c r="E902" s="14" t="s">
        <v>995</v>
      </c>
      <c r="F902" s="15" t="s">
        <v>40</v>
      </c>
      <c r="G902" s="14" t="s">
        <v>41</v>
      </c>
      <c r="H902" s="15" t="s">
        <v>23</v>
      </c>
      <c r="I902" s="15" t="s">
        <v>1526</v>
      </c>
      <c r="J902" s="15">
        <v>201412</v>
      </c>
      <c r="K902" s="16">
        <v>829.19</v>
      </c>
      <c r="L902" s="171">
        <f>VLOOKUP(J902,$U$9:$V$23,2)</f>
        <v>6</v>
      </c>
      <c r="M902" s="17">
        <v>1.4833299999999999E-3</v>
      </c>
      <c r="N902" s="16">
        <f>ROUND(K902*L902*M902,2)</f>
        <v>7.38</v>
      </c>
      <c r="O902" s="16">
        <f>ROUND(K902*M902*12,2)</f>
        <v>14.76</v>
      </c>
      <c r="P902" s="14"/>
      <c r="Q902" s="210" t="str">
        <f>VLOOKUP(D902,'WO Descriptions'!$A$5:$D$345,4)</f>
        <v>Approved by: Gary Williams on 08/19/2014,  Cut and Cap 4'' PE running along bridge on Isley Blvd. Bore under creek along marietta to tie 4'' PE together. System C-009 20 psig MOP. MoDOT is doing work on the bridge along Isley Blvd. Construction is set to begin early 2015.</v>
      </c>
    </row>
    <row r="903" spans="1:19" outlineLevel="1">
      <c r="A903" s="3" t="s">
        <v>2071</v>
      </c>
      <c r="B903" s="223"/>
      <c r="C903" s="250"/>
      <c r="D903" s="254" t="s">
        <v>2071</v>
      </c>
      <c r="E903" s="223"/>
      <c r="F903" s="250"/>
      <c r="G903" s="223"/>
      <c r="H903" s="250"/>
      <c r="I903" s="250"/>
      <c r="J903" s="250"/>
      <c r="K903" s="251">
        <f>SUBTOTAL(9,K901:K902)</f>
        <v>20707.579999999998</v>
      </c>
      <c r="L903" s="252"/>
      <c r="M903" s="253"/>
      <c r="N903" s="251">
        <f>SUBTOTAL(9,N901:N902)</f>
        <v>213.78</v>
      </c>
      <c r="O903" s="251">
        <f>SUBTOTAL(9,O901:O902)</f>
        <v>368.59</v>
      </c>
      <c r="P903" s="223"/>
      <c r="Q903" s="210"/>
      <c r="R903" s="263" t="s">
        <v>2096</v>
      </c>
    </row>
    <row r="904" spans="1:19" s="243" customFormat="1" ht="75" outlineLevel="2">
      <c r="A904" s="243" t="s">
        <v>997</v>
      </c>
      <c r="B904" s="14" t="s">
        <v>54</v>
      </c>
      <c r="C904" s="15" t="s">
        <v>996</v>
      </c>
      <c r="D904" s="15" t="s">
        <v>997</v>
      </c>
      <c r="E904" s="14" t="s">
        <v>998</v>
      </c>
      <c r="F904" s="15" t="s">
        <v>27</v>
      </c>
      <c r="G904" s="14" t="s">
        <v>28</v>
      </c>
      <c r="H904" s="15" t="s">
        <v>23</v>
      </c>
      <c r="I904" s="15" t="s">
        <v>1525</v>
      </c>
      <c r="J904" s="15">
        <v>201411</v>
      </c>
      <c r="K904" s="16">
        <v>20478.060000000001</v>
      </c>
      <c r="L904" s="171">
        <f>VLOOKUP(J904,$U$9:$V$23,2)</f>
        <v>7</v>
      </c>
      <c r="M904" s="17">
        <v>1.4833299999999999E-3</v>
      </c>
      <c r="N904" s="16">
        <f>ROUND(K904*L904*M904,2)</f>
        <v>212.63</v>
      </c>
      <c r="O904" s="16">
        <f>ROUND(K904*M904*12,2)</f>
        <v>364.51</v>
      </c>
      <c r="P904" s="14"/>
      <c r="Q904" s="210" t="str">
        <f>VLOOKUP(D904,'WO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R904" s="3"/>
      <c r="S904" s="3"/>
    </row>
    <row r="905" spans="1:19" ht="75" outlineLevel="2">
      <c r="A905" s="3" t="s">
        <v>997</v>
      </c>
      <c r="B905" s="14" t="s">
        <v>54</v>
      </c>
      <c r="C905" s="15" t="s">
        <v>996</v>
      </c>
      <c r="D905" s="15" t="s">
        <v>997</v>
      </c>
      <c r="E905" s="14" t="s">
        <v>998</v>
      </c>
      <c r="F905" s="15" t="s">
        <v>27</v>
      </c>
      <c r="G905" s="14" t="s">
        <v>28</v>
      </c>
      <c r="H905" s="15" t="s">
        <v>23</v>
      </c>
      <c r="I905" s="15" t="s">
        <v>1525</v>
      </c>
      <c r="J905" s="15">
        <v>201412</v>
      </c>
      <c r="K905" s="16">
        <v>-628.98</v>
      </c>
      <c r="L905" s="171">
        <f>VLOOKUP(J905,$U$9:$V$23,2)</f>
        <v>6</v>
      </c>
      <c r="M905" s="17">
        <v>1.4833299999999999E-3</v>
      </c>
      <c r="N905" s="16">
        <f>ROUND(K905*L905*M905,2)</f>
        <v>-5.6</v>
      </c>
      <c r="O905" s="16">
        <f>ROUND(K905*M905*12,2)</f>
        <v>-11.2</v>
      </c>
      <c r="P905" s="14"/>
      <c r="Q905" s="210" t="str">
        <f>VLOOKUP(D905,'WO Descriptions'!$A$5:$D$345,4)</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row>
    <row r="906" spans="1:19" outlineLevel="1">
      <c r="A906" s="3" t="s">
        <v>2072</v>
      </c>
      <c r="B906" s="223"/>
      <c r="C906" s="250"/>
      <c r="D906" s="254" t="s">
        <v>2072</v>
      </c>
      <c r="E906" s="223"/>
      <c r="F906" s="250"/>
      <c r="G906" s="223"/>
      <c r="H906" s="250"/>
      <c r="I906" s="250"/>
      <c r="J906" s="250"/>
      <c r="K906" s="251">
        <f>SUBTOTAL(9,K904:K905)</f>
        <v>19849.080000000002</v>
      </c>
      <c r="L906" s="252"/>
      <c r="M906" s="253"/>
      <c r="N906" s="251">
        <f>SUBTOTAL(9,N904:N905)</f>
        <v>207.03</v>
      </c>
      <c r="O906" s="251">
        <f>SUBTOTAL(9,O904:O905)</f>
        <v>353.31</v>
      </c>
      <c r="P906" s="223"/>
      <c r="Q906" s="210"/>
      <c r="R906" s="263" t="s">
        <v>2097</v>
      </c>
      <c r="S906" s="263" t="s">
        <v>2099</v>
      </c>
    </row>
    <row r="907" spans="1:19" ht="105" outlineLevel="2">
      <c r="A907" s="3" t="s">
        <v>1064</v>
      </c>
      <c r="B907" s="14" t="s">
        <v>17</v>
      </c>
      <c r="C907" s="15" t="s">
        <v>1063</v>
      </c>
      <c r="D907" s="15" t="s">
        <v>1064</v>
      </c>
      <c r="E907" s="14" t="s">
        <v>1065</v>
      </c>
      <c r="F907" s="15" t="s">
        <v>125</v>
      </c>
      <c r="G907" s="14" t="s">
        <v>126</v>
      </c>
      <c r="H907" s="15" t="s">
        <v>23</v>
      </c>
      <c r="I907" s="15" t="s">
        <v>1525</v>
      </c>
      <c r="J907" s="15">
        <v>201412</v>
      </c>
      <c r="K907" s="16">
        <v>21760.85</v>
      </c>
      <c r="L907" s="171">
        <f>VLOOKUP(J907,$U$9:$V$23,2)</f>
        <v>6</v>
      </c>
      <c r="M907" s="17">
        <v>1.4833299999999999E-3</v>
      </c>
      <c r="N907" s="16">
        <f>ROUND(K907*L907*M907,2)</f>
        <v>193.67</v>
      </c>
      <c r="O907" s="16">
        <f>ROUND(K907*M907*12,2)</f>
        <v>387.34</v>
      </c>
      <c r="P907" s="14"/>
      <c r="Q907" s="210" t="str">
        <f>VLOOKUP(D907,'WO Descriptions'!$A$5:$D$345,4)</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row>
    <row r="908" spans="1:19" outlineLevel="1">
      <c r="A908" s="3" t="s">
        <v>2073</v>
      </c>
      <c r="B908" s="223"/>
      <c r="C908" s="250"/>
      <c r="D908" s="254" t="s">
        <v>2073</v>
      </c>
      <c r="E908" s="223"/>
      <c r="F908" s="250"/>
      <c r="G908" s="223"/>
      <c r="H908" s="250"/>
      <c r="I908" s="250"/>
      <c r="J908" s="250"/>
      <c r="K908" s="251">
        <f>SUBTOTAL(9,K907:K907)</f>
        <v>21760.85</v>
      </c>
      <c r="L908" s="252"/>
      <c r="M908" s="253"/>
      <c r="N908" s="251">
        <f>SUBTOTAL(9,N907:N907)</f>
        <v>193.67</v>
      </c>
      <c r="O908" s="251">
        <f>SUBTOTAL(9,O907:O907)</f>
        <v>387.34</v>
      </c>
      <c r="P908" s="223"/>
      <c r="Q908" s="210"/>
      <c r="R908" s="263" t="s">
        <v>2094</v>
      </c>
      <c r="S908" s="263" t="s">
        <v>2095</v>
      </c>
    </row>
    <row r="909" spans="1:19" ht="60" outlineLevel="2">
      <c r="A909" s="3" t="s">
        <v>1000</v>
      </c>
      <c r="B909" s="14" t="s">
        <v>17</v>
      </c>
      <c r="C909" s="15" t="s">
        <v>999</v>
      </c>
      <c r="D909" s="15" t="s">
        <v>1000</v>
      </c>
      <c r="E909" s="14" t="s">
        <v>1001</v>
      </c>
      <c r="F909" s="15" t="s">
        <v>176</v>
      </c>
      <c r="G909" s="14" t="s">
        <v>28</v>
      </c>
      <c r="H909" s="15" t="s">
        <v>23</v>
      </c>
      <c r="I909" s="15" t="s">
        <v>1525</v>
      </c>
      <c r="J909" s="15">
        <v>201409</v>
      </c>
      <c r="K909" s="16">
        <v>167.22</v>
      </c>
      <c r="L909" s="171">
        <f>VLOOKUP(J909,$U$9:$V$23,2)</f>
        <v>9</v>
      </c>
      <c r="M909" s="17">
        <v>1.4833299999999999E-3</v>
      </c>
      <c r="N909" s="16">
        <f>ROUND(K909*L909*M909,2)</f>
        <v>2.23</v>
      </c>
      <c r="O909" s="16">
        <f>ROUND(K909*M909*12,2)</f>
        <v>2.98</v>
      </c>
      <c r="P909" s="14"/>
      <c r="Q909" s="210" t="str">
        <f>VLOOKUP(D909,'WO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0" spans="1:19" ht="60" outlineLevel="2">
      <c r="A910" s="3" t="s">
        <v>1000</v>
      </c>
      <c r="B910" s="14" t="s">
        <v>17</v>
      </c>
      <c r="C910" s="15" t="s">
        <v>999</v>
      </c>
      <c r="D910" s="15" t="s">
        <v>1000</v>
      </c>
      <c r="E910" s="14" t="s">
        <v>1001</v>
      </c>
      <c r="F910" s="15" t="s">
        <v>176</v>
      </c>
      <c r="G910" s="14" t="s">
        <v>28</v>
      </c>
      <c r="H910" s="15" t="s">
        <v>23</v>
      </c>
      <c r="I910" s="15" t="s">
        <v>1525</v>
      </c>
      <c r="J910" s="15">
        <v>201410</v>
      </c>
      <c r="K910" s="16">
        <v>2626.89</v>
      </c>
      <c r="L910" s="171">
        <f>VLOOKUP(J910,$U$9:$V$23,2)</f>
        <v>8</v>
      </c>
      <c r="M910" s="17">
        <v>1.4833299999999999E-3</v>
      </c>
      <c r="N910" s="16">
        <f>ROUND(K910*L910*M910,2)</f>
        <v>31.17</v>
      </c>
      <c r="O910" s="16">
        <f>ROUND(K910*M910*12,2)</f>
        <v>46.76</v>
      </c>
      <c r="P910" s="14"/>
      <c r="Q910" s="210" t="str">
        <f>VLOOKUP(D910,'WO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1" spans="1:19" ht="60" outlineLevel="2">
      <c r="A911" s="3" t="s">
        <v>1000</v>
      </c>
      <c r="B911" s="14" t="s">
        <v>17</v>
      </c>
      <c r="C911" s="15" t="s">
        <v>999</v>
      </c>
      <c r="D911" s="15" t="s">
        <v>1000</v>
      </c>
      <c r="E911" s="14" t="s">
        <v>1001</v>
      </c>
      <c r="F911" s="15" t="s">
        <v>176</v>
      </c>
      <c r="G911" s="14" t="s">
        <v>28</v>
      </c>
      <c r="H911" s="15" t="s">
        <v>23</v>
      </c>
      <c r="I911" s="15" t="s">
        <v>1525</v>
      </c>
      <c r="J911" s="15">
        <v>201411</v>
      </c>
      <c r="K911" s="16">
        <v>-626</v>
      </c>
      <c r="L911" s="171">
        <f>VLOOKUP(J911,$U$9:$V$23,2)</f>
        <v>7</v>
      </c>
      <c r="M911" s="17">
        <v>1.4833299999999999E-3</v>
      </c>
      <c r="N911" s="16">
        <f>ROUND(K911*L911*M911,2)</f>
        <v>-6.5</v>
      </c>
      <c r="O911" s="16">
        <f>ROUND(K911*M911*12,2)</f>
        <v>-11.14</v>
      </c>
      <c r="P911" s="14"/>
      <c r="Q911" s="210" t="str">
        <f>VLOOKUP(D911,'WO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2" spans="1:19" ht="60" outlineLevel="2">
      <c r="A912" s="3" t="s">
        <v>1000</v>
      </c>
      <c r="B912" s="14" t="s">
        <v>17</v>
      </c>
      <c r="C912" s="15" t="s">
        <v>999</v>
      </c>
      <c r="D912" s="15" t="s">
        <v>1000</v>
      </c>
      <c r="E912" s="14" t="s">
        <v>1001</v>
      </c>
      <c r="F912" s="15" t="s">
        <v>176</v>
      </c>
      <c r="G912" s="14" t="s">
        <v>28</v>
      </c>
      <c r="H912" s="15" t="s">
        <v>23</v>
      </c>
      <c r="I912" s="15" t="s">
        <v>1525</v>
      </c>
      <c r="J912" s="15">
        <v>201412</v>
      </c>
      <c r="K912" s="16">
        <v>203.95</v>
      </c>
      <c r="L912" s="171">
        <f>VLOOKUP(J912,$U$9:$V$23,2)</f>
        <v>6</v>
      </c>
      <c r="M912" s="17">
        <v>1.4833299999999999E-3</v>
      </c>
      <c r="N912" s="16">
        <f>ROUND(K912*L912*M912,2)</f>
        <v>1.82</v>
      </c>
      <c r="O912" s="16">
        <f>ROUND(K912*M912*12,2)</f>
        <v>3.63</v>
      </c>
      <c r="P912" s="14"/>
      <c r="Q912" s="210" t="str">
        <f>VLOOKUP(D912,'WO Descriptions'!$A$5:$D$345,4)</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row>
    <row r="913" spans="1:19" outlineLevel="1">
      <c r="A913" s="3" t="s">
        <v>2074</v>
      </c>
      <c r="B913" s="223"/>
      <c r="C913" s="250"/>
      <c r="D913" s="254" t="s">
        <v>2074</v>
      </c>
      <c r="E913" s="223"/>
      <c r="F913" s="250"/>
      <c r="G913" s="223"/>
      <c r="H913" s="250"/>
      <c r="I913" s="250"/>
      <c r="J913" s="250"/>
      <c r="K913" s="251">
        <f>SUBTOTAL(9,K909:K912)</f>
        <v>2372.0599999999995</v>
      </c>
      <c r="L913" s="252"/>
      <c r="M913" s="253"/>
      <c r="N913" s="251">
        <f>SUBTOTAL(9,N909:N912)</f>
        <v>28.72</v>
      </c>
      <c r="O913" s="251">
        <f>SUBTOTAL(9,O909:O912)</f>
        <v>42.23</v>
      </c>
      <c r="P913" s="223"/>
      <c r="Q913" s="210"/>
      <c r="R913" s="263" t="s">
        <v>2097</v>
      </c>
      <c r="S913" s="263" t="s">
        <v>2099</v>
      </c>
    </row>
    <row r="914" spans="1:19" ht="75" outlineLevel="2">
      <c r="A914" s="3" t="s">
        <v>1003</v>
      </c>
      <c r="B914" s="14" t="s">
        <v>54</v>
      </c>
      <c r="C914" s="15" t="s">
        <v>1002</v>
      </c>
      <c r="D914" s="15" t="s">
        <v>1003</v>
      </c>
      <c r="E914" s="14" t="s">
        <v>1004</v>
      </c>
      <c r="F914" s="15" t="s">
        <v>216</v>
      </c>
      <c r="G914" s="14" t="s">
        <v>22</v>
      </c>
      <c r="H914" s="15" t="s">
        <v>23</v>
      </c>
      <c r="I914" s="15" t="s">
        <v>1525</v>
      </c>
      <c r="J914" s="15">
        <v>201411</v>
      </c>
      <c r="K914" s="16">
        <v>19239.02</v>
      </c>
      <c r="L914" s="171">
        <f>VLOOKUP(J914,$U$9:$V$23,2)</f>
        <v>7</v>
      </c>
      <c r="M914" s="17">
        <v>1.4833299999999999E-3</v>
      </c>
      <c r="N914" s="16">
        <f>ROUND(K914*L914*M914,2)</f>
        <v>199.76</v>
      </c>
      <c r="O914" s="16">
        <f>ROUND(K914*M914*12,2)</f>
        <v>342.45</v>
      </c>
      <c r="P914" s="14"/>
      <c r="Q914" s="210" t="str">
        <f>VLOOKUP(D914,'WO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915" spans="1:19" ht="75" outlineLevel="2">
      <c r="A915" s="3" t="s">
        <v>1003</v>
      </c>
      <c r="B915" s="14" t="s">
        <v>54</v>
      </c>
      <c r="C915" s="15" t="s">
        <v>1002</v>
      </c>
      <c r="D915" s="15" t="s">
        <v>1003</v>
      </c>
      <c r="E915" s="14" t="s">
        <v>1004</v>
      </c>
      <c r="F915" s="15" t="s">
        <v>216</v>
      </c>
      <c r="G915" s="14" t="s">
        <v>22</v>
      </c>
      <c r="H915" s="15" t="s">
        <v>23</v>
      </c>
      <c r="I915" s="15" t="s">
        <v>1525</v>
      </c>
      <c r="J915" s="15">
        <v>201412</v>
      </c>
      <c r="K915" s="16">
        <v>2460.33</v>
      </c>
      <c r="L915" s="171">
        <f>VLOOKUP(J915,$U$9:$V$23,2)</f>
        <v>6</v>
      </c>
      <c r="M915" s="17">
        <v>1.4833299999999999E-3</v>
      </c>
      <c r="N915" s="16">
        <f>ROUND(K915*L915*M915,2)</f>
        <v>21.9</v>
      </c>
      <c r="O915" s="16">
        <f>ROUND(K915*M915*12,2)</f>
        <v>43.79</v>
      </c>
      <c r="P915" s="14"/>
      <c r="Q915" s="210" t="str">
        <f>VLOOKUP(D915,'WO Descriptions'!$A$5:$D$345,4)</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row>
    <row r="916" spans="1:19" outlineLevel="1">
      <c r="A916" s="3" t="s">
        <v>2075</v>
      </c>
      <c r="B916" s="223"/>
      <c r="C916" s="250"/>
      <c r="D916" s="254" t="s">
        <v>2075</v>
      </c>
      <c r="E916" s="223"/>
      <c r="F916" s="250"/>
      <c r="G916" s="223"/>
      <c r="H916" s="250"/>
      <c r="I916" s="250"/>
      <c r="J916" s="250"/>
      <c r="K916" s="251">
        <f>SUBTOTAL(9,K914:K915)</f>
        <v>21699.35</v>
      </c>
      <c r="L916" s="252"/>
      <c r="M916" s="253"/>
      <c r="N916" s="251">
        <f>SUBTOTAL(9,N914:N915)</f>
        <v>221.66</v>
      </c>
      <c r="O916" s="251">
        <f>SUBTOTAL(9,O914:O915)</f>
        <v>386.24</v>
      </c>
      <c r="P916" s="223"/>
      <c r="Q916" s="210"/>
      <c r="R916" s="263" t="s">
        <v>2097</v>
      </c>
      <c r="S916" s="263" t="s">
        <v>2098</v>
      </c>
    </row>
    <row r="917" spans="1:19" ht="45" outlineLevel="2">
      <c r="A917" s="3" t="s">
        <v>1006</v>
      </c>
      <c r="B917" s="14" t="s">
        <v>54</v>
      </c>
      <c r="C917" s="15" t="s">
        <v>1005</v>
      </c>
      <c r="D917" s="15" t="s">
        <v>1006</v>
      </c>
      <c r="E917" s="14" t="s">
        <v>1007</v>
      </c>
      <c r="F917" s="15" t="s">
        <v>141</v>
      </c>
      <c r="G917" s="14" t="s">
        <v>142</v>
      </c>
      <c r="H917" s="15" t="s">
        <v>23</v>
      </c>
      <c r="I917" s="15" t="s">
        <v>1525</v>
      </c>
      <c r="J917" s="15">
        <v>201410</v>
      </c>
      <c r="K917" s="16">
        <v>28474.67</v>
      </c>
      <c r="L917" s="171">
        <f>VLOOKUP(J917,$U$9:$V$23,2)</f>
        <v>8</v>
      </c>
      <c r="M917" s="17">
        <v>1.4833299999999999E-3</v>
      </c>
      <c r="N917" s="16">
        <f>ROUND(K917*L917*M917,2)</f>
        <v>337.9</v>
      </c>
      <c r="O917" s="16">
        <f>ROUND(K917*M917*12,2)</f>
        <v>506.85</v>
      </c>
      <c r="P917" s="14"/>
      <c r="Q917" s="210" t="str">
        <f>VLOOKUP(D917,'WO Descriptions'!$A$5:$D$345,4)</f>
        <v>Approved by: Gary Williams on 09/08/2014,  AOR.  This job must be completed by Dec. 12, 2014.  Replace 65ft of 6in CI with 6in PE due to 29' of exposed pipe.  CI pipe was exposed from 6' NSCB TO 23' SSCB of 29th Street.  No services to tie over.</v>
      </c>
    </row>
    <row r="918" spans="1:19" ht="45" outlineLevel="2">
      <c r="A918" s="3" t="s">
        <v>1006</v>
      </c>
      <c r="B918" s="14" t="s">
        <v>54</v>
      </c>
      <c r="C918" s="15" t="s">
        <v>1005</v>
      </c>
      <c r="D918" s="15" t="s">
        <v>1006</v>
      </c>
      <c r="E918" s="14" t="s">
        <v>1007</v>
      </c>
      <c r="F918" s="15" t="s">
        <v>141</v>
      </c>
      <c r="G918" s="14" t="s">
        <v>142</v>
      </c>
      <c r="H918" s="15" t="s">
        <v>23</v>
      </c>
      <c r="I918" s="15" t="s">
        <v>1525</v>
      </c>
      <c r="J918" s="15">
        <v>201411</v>
      </c>
      <c r="K918" s="16">
        <v>8538.86</v>
      </c>
      <c r="L918" s="171">
        <f>VLOOKUP(J918,$U$9:$V$23,2)</f>
        <v>7</v>
      </c>
      <c r="M918" s="17">
        <v>1.4833299999999999E-3</v>
      </c>
      <c r="N918" s="16">
        <f>ROUND(K918*L918*M918,2)</f>
        <v>88.66</v>
      </c>
      <c r="O918" s="16">
        <f>ROUND(K918*M918*12,2)</f>
        <v>151.99</v>
      </c>
      <c r="P918" s="14"/>
      <c r="Q918" s="210" t="str">
        <f>VLOOKUP(D918,'WO Descriptions'!$A$5:$D$345,4)</f>
        <v>Approved by: Gary Williams on 09/08/2014,  AOR.  This job must be completed by Dec. 12, 2014.  Replace 65ft of 6in CI with 6in PE due to 29' of exposed pipe.  CI pipe was exposed from 6' NSCB TO 23' SSCB of 29th Street.  No services to tie over.</v>
      </c>
    </row>
    <row r="919" spans="1:19" ht="45" outlineLevel="2">
      <c r="A919" s="3" t="s">
        <v>1006</v>
      </c>
      <c r="B919" s="14" t="s">
        <v>54</v>
      </c>
      <c r="C919" s="15" t="s">
        <v>1005</v>
      </c>
      <c r="D919" s="15" t="s">
        <v>1006</v>
      </c>
      <c r="E919" s="14" t="s">
        <v>1007</v>
      </c>
      <c r="F919" s="15" t="s">
        <v>141</v>
      </c>
      <c r="G919" s="14" t="s">
        <v>142</v>
      </c>
      <c r="H919" s="15" t="s">
        <v>23</v>
      </c>
      <c r="I919" s="15" t="s">
        <v>1525</v>
      </c>
      <c r="J919" s="15">
        <v>201412</v>
      </c>
      <c r="K919" s="16">
        <v>-2188.61</v>
      </c>
      <c r="L919" s="171">
        <f>VLOOKUP(J919,$U$9:$V$23,2)</f>
        <v>6</v>
      </c>
      <c r="M919" s="17">
        <v>1.4833299999999999E-3</v>
      </c>
      <c r="N919" s="16">
        <f>ROUND(K919*L919*M919,2)</f>
        <v>-19.48</v>
      </c>
      <c r="O919" s="16">
        <f>ROUND(K919*M919*12,2)</f>
        <v>-38.96</v>
      </c>
      <c r="P919" s="14"/>
      <c r="Q919" s="210" t="str">
        <f>VLOOKUP(D919,'WO Descriptions'!$A$5:$D$345,4)</f>
        <v>Approved by: Gary Williams on 09/08/2014,  AOR.  This job must be completed by Dec. 12, 2014.  Replace 65ft of 6in CI with 6in PE due to 29' of exposed pipe.  CI pipe was exposed from 6' NSCB TO 23' SSCB of 29th Street.  No services to tie over.</v>
      </c>
    </row>
    <row r="920" spans="1:19" outlineLevel="1">
      <c r="A920" s="3" t="s">
        <v>2076</v>
      </c>
      <c r="B920" s="223"/>
      <c r="C920" s="250"/>
      <c r="D920" s="254" t="s">
        <v>2076</v>
      </c>
      <c r="E920" s="223"/>
      <c r="F920" s="250"/>
      <c r="G920" s="223"/>
      <c r="H920" s="250"/>
      <c r="I920" s="250"/>
      <c r="J920" s="250"/>
      <c r="K920" s="251">
        <f>SUBTOTAL(9,K917:K919)</f>
        <v>34824.92</v>
      </c>
      <c r="L920" s="252"/>
      <c r="M920" s="253"/>
      <c r="N920" s="251">
        <f>SUBTOTAL(9,N917:N919)</f>
        <v>407.07999999999993</v>
      </c>
      <c r="O920" s="251">
        <f>SUBTOTAL(9,O917:O919)</f>
        <v>619.88</v>
      </c>
      <c r="P920" s="223"/>
      <c r="Q920" s="210"/>
      <c r="R920" s="263" t="s">
        <v>2097</v>
      </c>
      <c r="S920" s="263" t="s">
        <v>2100</v>
      </c>
    </row>
    <row r="921" spans="1:19" ht="45" outlineLevel="2">
      <c r="A921" s="3" t="s">
        <v>1009</v>
      </c>
      <c r="B921" s="14" t="s">
        <v>54</v>
      </c>
      <c r="C921" s="15" t="s">
        <v>1008</v>
      </c>
      <c r="D921" s="15" t="s">
        <v>1009</v>
      </c>
      <c r="E921" s="14" t="s">
        <v>1010</v>
      </c>
      <c r="F921" s="15" t="s">
        <v>49</v>
      </c>
      <c r="G921" s="14" t="s">
        <v>22</v>
      </c>
      <c r="H921" s="15" t="s">
        <v>23</v>
      </c>
      <c r="I921" s="15" t="s">
        <v>1525</v>
      </c>
      <c r="J921" s="15">
        <v>201409</v>
      </c>
      <c r="K921" s="16">
        <v>428.36</v>
      </c>
      <c r="L921" s="171">
        <f>VLOOKUP(J921,$U$9:$V$23,2)</f>
        <v>9</v>
      </c>
      <c r="M921" s="17">
        <v>1.4833299999999999E-3</v>
      </c>
      <c r="N921" s="16">
        <f>ROUND(K921*L921*M921,2)</f>
        <v>5.72</v>
      </c>
      <c r="O921" s="16">
        <f>ROUND(K921*M921*12,2)</f>
        <v>7.62</v>
      </c>
      <c r="P921" s="14"/>
      <c r="Q921" s="210" t="str">
        <f>VLOOKUP(D921,'WO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2" spans="1:19" ht="45" outlineLevel="2">
      <c r="A922" s="3" t="s">
        <v>1009</v>
      </c>
      <c r="B922" s="14" t="s">
        <v>54</v>
      </c>
      <c r="C922" s="15" t="s">
        <v>1008</v>
      </c>
      <c r="D922" s="15" t="s">
        <v>1009</v>
      </c>
      <c r="E922" s="14" t="s">
        <v>1010</v>
      </c>
      <c r="F922" s="15" t="s">
        <v>49</v>
      </c>
      <c r="G922" s="14" t="s">
        <v>22</v>
      </c>
      <c r="H922" s="15" t="s">
        <v>23</v>
      </c>
      <c r="I922" s="15" t="s">
        <v>1525</v>
      </c>
      <c r="J922" s="15">
        <v>201410</v>
      </c>
      <c r="K922" s="16">
        <v>19575.849999999999</v>
      </c>
      <c r="L922" s="171">
        <f>VLOOKUP(J922,$U$9:$V$23,2)</f>
        <v>8</v>
      </c>
      <c r="M922" s="17">
        <v>1.4833299999999999E-3</v>
      </c>
      <c r="N922" s="16">
        <f>ROUND(K922*L922*M922,2)</f>
        <v>232.3</v>
      </c>
      <c r="O922" s="16">
        <f>ROUND(K922*M922*12,2)</f>
        <v>348.45</v>
      </c>
      <c r="P922" s="14"/>
      <c r="Q922" s="210" t="str">
        <f>VLOOKUP(D922,'WO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3" spans="1:19" ht="45" outlineLevel="2">
      <c r="A923" s="3" t="s">
        <v>1009</v>
      </c>
      <c r="B923" s="14" t="s">
        <v>54</v>
      </c>
      <c r="C923" s="15" t="s">
        <v>1008</v>
      </c>
      <c r="D923" s="15" t="s">
        <v>1009</v>
      </c>
      <c r="E923" s="14" t="s">
        <v>1010</v>
      </c>
      <c r="F923" s="15" t="s">
        <v>49</v>
      </c>
      <c r="G923" s="14" t="s">
        <v>22</v>
      </c>
      <c r="H923" s="15" t="s">
        <v>23</v>
      </c>
      <c r="I923" s="15" t="s">
        <v>1525</v>
      </c>
      <c r="J923" s="15">
        <v>201411</v>
      </c>
      <c r="K923" s="16">
        <v>-4489.25</v>
      </c>
      <c r="L923" s="171">
        <f>VLOOKUP(J923,$U$9:$V$23,2)</f>
        <v>7</v>
      </c>
      <c r="M923" s="17">
        <v>1.4833299999999999E-3</v>
      </c>
      <c r="N923" s="16">
        <f>ROUND(K923*L923*M923,2)</f>
        <v>-46.61</v>
      </c>
      <c r="O923" s="16">
        <f>ROUND(K923*M923*12,2)</f>
        <v>-79.91</v>
      </c>
      <c r="P923" s="14"/>
      <c r="Q923" s="210" t="str">
        <f>VLOOKUP(D923,'WO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4" spans="1:19" ht="45" outlineLevel="2">
      <c r="A924" s="3" t="s">
        <v>1009</v>
      </c>
      <c r="B924" s="14" t="s">
        <v>54</v>
      </c>
      <c r="C924" s="15" t="s">
        <v>1008</v>
      </c>
      <c r="D924" s="15" t="s">
        <v>1009</v>
      </c>
      <c r="E924" s="14" t="s">
        <v>1010</v>
      </c>
      <c r="F924" s="15" t="s">
        <v>49</v>
      </c>
      <c r="G924" s="14" t="s">
        <v>22</v>
      </c>
      <c r="H924" s="15" t="s">
        <v>23</v>
      </c>
      <c r="I924" s="15" t="s">
        <v>1525</v>
      </c>
      <c r="J924" s="15">
        <v>201412</v>
      </c>
      <c r="K924" s="16">
        <v>2556.02</v>
      </c>
      <c r="L924" s="171">
        <f>VLOOKUP(J924,$U$9:$V$23,2)</f>
        <v>6</v>
      </c>
      <c r="M924" s="17">
        <v>1.4833299999999999E-3</v>
      </c>
      <c r="N924" s="16">
        <f>ROUND(K924*L924*M924,2)</f>
        <v>22.75</v>
      </c>
      <c r="O924" s="16">
        <f>ROUND(K924*M924*12,2)</f>
        <v>45.5</v>
      </c>
      <c r="P924" s="14"/>
      <c r="Q924" s="210" t="str">
        <f>VLOOKUP(D924,'WO Descriptions'!$A$5:$D$345,4)</f>
        <v>Approved by: Galen Shoemaker on 09/08/2014,  Lay 295ft 2in Plastic Main to replace 269ft 2in Bare Steel from 48852 and 19ft of 2in Bare Steel from 45505 due to isolated bare steel had started having multiple leaks. MOP=42# MAOP=42# TEST=100# SYSTEM=C-1 ISRS</v>
      </c>
    </row>
    <row r="925" spans="1:19" outlineLevel="1">
      <c r="A925" s="3" t="s">
        <v>2077</v>
      </c>
      <c r="B925" s="223"/>
      <c r="C925" s="250"/>
      <c r="D925" s="254" t="s">
        <v>2077</v>
      </c>
      <c r="E925" s="223"/>
      <c r="F925" s="250"/>
      <c r="G925" s="223"/>
      <c r="H925" s="250"/>
      <c r="I925" s="250"/>
      <c r="J925" s="250"/>
      <c r="K925" s="251">
        <f>SUBTOTAL(9,K921:K924)</f>
        <v>18070.98</v>
      </c>
      <c r="L925" s="252"/>
      <c r="M925" s="253"/>
      <c r="N925" s="251">
        <f>SUBTOTAL(9,N921:N924)</f>
        <v>214.16000000000003</v>
      </c>
      <c r="O925" s="251">
        <f>SUBTOTAL(9,O921:O924)</f>
        <v>321.65999999999997</v>
      </c>
      <c r="P925" s="223"/>
      <c r="Q925" s="210"/>
      <c r="R925" s="263" t="s">
        <v>2097</v>
      </c>
      <c r="S925" s="263" t="s">
        <v>2098</v>
      </c>
    </row>
    <row r="926" spans="1:19" ht="30" outlineLevel="2">
      <c r="A926" s="3" t="s">
        <v>1012</v>
      </c>
      <c r="B926" s="14" t="s">
        <v>54</v>
      </c>
      <c r="C926" s="15" t="s">
        <v>1011</v>
      </c>
      <c r="D926" s="15" t="s">
        <v>1012</v>
      </c>
      <c r="E926" s="14" t="s">
        <v>1013</v>
      </c>
      <c r="F926" s="15" t="s">
        <v>21</v>
      </c>
      <c r="G926" s="14" t="s">
        <v>22</v>
      </c>
      <c r="H926" s="15" t="s">
        <v>23</v>
      </c>
      <c r="I926" s="15" t="s">
        <v>1525</v>
      </c>
      <c r="J926" s="15">
        <v>201409</v>
      </c>
      <c r="K926" s="16">
        <v>4250.08</v>
      </c>
      <c r="L926" s="171">
        <f>VLOOKUP(J926,$U$9:$V$23,2)</f>
        <v>9</v>
      </c>
      <c r="M926" s="17">
        <v>1.4833299999999999E-3</v>
      </c>
      <c r="N926" s="16">
        <f>ROUND(K926*L926*M926,2)</f>
        <v>56.74</v>
      </c>
      <c r="O926" s="16">
        <f>ROUND(K926*M926*12,2)</f>
        <v>75.650000000000006</v>
      </c>
      <c r="P926" s="14"/>
      <c r="Q926" s="210" t="str">
        <f>VLOOKUP(D926,'WO Descriptions'!$A$5:$D$345,4)</f>
        <v>Approved by: Gary Williams on 09/12/2014,  Replaced 2'' PBS with 2'' PE due to 3rd party damage. Pressure system C-045.</v>
      </c>
    </row>
    <row r="927" spans="1:19" outlineLevel="1">
      <c r="A927" s="3" t="s">
        <v>2078</v>
      </c>
      <c r="B927" s="223"/>
      <c r="C927" s="250"/>
      <c r="D927" s="254" t="s">
        <v>2078</v>
      </c>
      <c r="E927" s="223"/>
      <c r="F927" s="250"/>
      <c r="G927" s="223"/>
      <c r="H927" s="250"/>
      <c r="I927" s="250"/>
      <c r="J927" s="250"/>
      <c r="K927" s="251">
        <f>SUBTOTAL(9,K926:K926)</f>
        <v>4250.08</v>
      </c>
      <c r="L927" s="252"/>
      <c r="M927" s="253"/>
      <c r="N927" s="251">
        <f>SUBTOTAL(9,N926:N926)</f>
        <v>56.74</v>
      </c>
      <c r="O927" s="251">
        <f>SUBTOTAL(9,O926:O926)</f>
        <v>75.650000000000006</v>
      </c>
      <c r="P927" s="223"/>
      <c r="Q927" s="210"/>
      <c r="R927" s="263" t="s">
        <v>2097</v>
      </c>
      <c r="S927" s="263" t="s">
        <v>2098</v>
      </c>
    </row>
    <row r="928" spans="1:19" ht="45" outlineLevel="2">
      <c r="A928" s="3" t="s">
        <v>1067</v>
      </c>
      <c r="B928" s="14" t="s">
        <v>17</v>
      </c>
      <c r="C928" s="15" t="s">
        <v>1066</v>
      </c>
      <c r="D928" s="15" t="s">
        <v>1067</v>
      </c>
      <c r="E928" s="14" t="s">
        <v>1068</v>
      </c>
      <c r="F928" s="15" t="s">
        <v>567</v>
      </c>
      <c r="G928" s="14" t="s">
        <v>137</v>
      </c>
      <c r="H928" s="15" t="s">
        <v>23</v>
      </c>
      <c r="I928" s="15" t="s">
        <v>1526</v>
      </c>
      <c r="J928" s="15">
        <v>201412</v>
      </c>
      <c r="K928" s="16">
        <v>105895.42</v>
      </c>
      <c r="L928" s="171">
        <f>VLOOKUP(J928,$U$9:$V$23,2)</f>
        <v>6</v>
      </c>
      <c r="M928" s="17">
        <v>1.4833299999999999E-3</v>
      </c>
      <c r="N928" s="16">
        <f>ROUND(K928*L928*M928,2)</f>
        <v>942.47</v>
      </c>
      <c r="O928" s="16">
        <f>ROUND(K928*M928*12,2)</f>
        <v>1884.93</v>
      </c>
      <c r="P928" s="14"/>
      <c r="Q928" s="210" t="str">
        <f>VLOOKUP(D928,'WO Descriptions'!$A$5:$D$345,4)</f>
        <v>Approved by: Gary Williams on 09/15/2014,  ISRS Replace 220'-8in PBS with 8in thin film due to exposed pipe, existing retaining wall to be torn down and rebuilt.  Pipe will need to be bored due to existing retaining wall.  This is a high pressure main at MOP=90#.</v>
      </c>
    </row>
    <row r="929" spans="1:19" outlineLevel="1">
      <c r="A929" s="3" t="s">
        <v>2079</v>
      </c>
      <c r="B929" s="223"/>
      <c r="C929" s="250"/>
      <c r="D929" s="254" t="s">
        <v>2079</v>
      </c>
      <c r="E929" s="223"/>
      <c r="F929" s="250"/>
      <c r="G929" s="223"/>
      <c r="H929" s="250"/>
      <c r="I929" s="250"/>
      <c r="J929" s="250"/>
      <c r="K929" s="251">
        <f>SUBTOTAL(9,K928:K928)</f>
        <v>105895.42</v>
      </c>
      <c r="L929" s="252"/>
      <c r="M929" s="253"/>
      <c r="N929" s="251">
        <f>SUBTOTAL(9,N928:N928)</f>
        <v>942.47</v>
      </c>
      <c r="O929" s="251">
        <f>SUBTOTAL(9,O928:O928)</f>
        <v>1884.93</v>
      </c>
      <c r="P929" s="223"/>
      <c r="Q929" s="210"/>
      <c r="R929" s="263" t="s">
        <v>2096</v>
      </c>
    </row>
    <row r="930" spans="1:19" ht="45" outlineLevel="2">
      <c r="A930" s="3" t="s">
        <v>1015</v>
      </c>
      <c r="B930" s="14" t="s">
        <v>54</v>
      </c>
      <c r="C930" s="15" t="s">
        <v>1014</v>
      </c>
      <c r="D930" s="15" t="s">
        <v>1015</v>
      </c>
      <c r="E930" s="14" t="s">
        <v>1016</v>
      </c>
      <c r="F930" s="15" t="s">
        <v>296</v>
      </c>
      <c r="G930" s="14" t="s">
        <v>28</v>
      </c>
      <c r="H930" s="15" t="s">
        <v>23</v>
      </c>
      <c r="I930" s="15" t="s">
        <v>1525</v>
      </c>
      <c r="J930" s="15">
        <v>201410</v>
      </c>
      <c r="K930" s="16">
        <v>8804.85</v>
      </c>
      <c r="L930" s="171">
        <f>VLOOKUP(J930,$U$9:$V$23,2)</f>
        <v>8</v>
      </c>
      <c r="M930" s="17">
        <v>1.4833299999999999E-3</v>
      </c>
      <c r="N930" s="16">
        <f>ROUND(K930*L930*M930,2)</f>
        <v>104.48</v>
      </c>
      <c r="O930" s="16">
        <f>ROUND(K930*M930*12,2)</f>
        <v>156.72999999999999</v>
      </c>
      <c r="P930" s="14"/>
      <c r="Q930" s="210" t="str">
        <f>VLOOKUP(D930,'WO Descriptions'!$A$5:$D$345,4)</f>
        <v>Approved by: Galen Shoemaker on 09/15/2014,  Lower 167' - 2" PE main (WO#: 92-6050) due to construction over shallow main. Project Location: Doughboy Dr North of 32nd St; Pressure System: C-1; MOP: 58 psig; MAOP: 58 psig; Design: 58 psig; Test: 100 psig; $34.34/ft</v>
      </c>
    </row>
    <row r="931" spans="1:19" ht="45" outlineLevel="2">
      <c r="A931" s="3" t="s">
        <v>1015</v>
      </c>
      <c r="B931" s="14" t="s">
        <v>54</v>
      </c>
      <c r="C931" s="15" t="s">
        <v>1014</v>
      </c>
      <c r="D931" s="15" t="s">
        <v>1015</v>
      </c>
      <c r="E931" s="14" t="s">
        <v>1016</v>
      </c>
      <c r="F931" s="15" t="s">
        <v>296</v>
      </c>
      <c r="G931" s="14" t="s">
        <v>28</v>
      </c>
      <c r="H931" s="15" t="s">
        <v>23</v>
      </c>
      <c r="I931" s="15" t="s">
        <v>1525</v>
      </c>
      <c r="J931" s="15">
        <v>201411</v>
      </c>
      <c r="K931" s="16">
        <v>-4496.3500000000004</v>
      </c>
      <c r="L931" s="171">
        <f>VLOOKUP(J931,$U$9:$V$23,2)</f>
        <v>7</v>
      </c>
      <c r="M931" s="17">
        <v>1.4833299999999999E-3</v>
      </c>
      <c r="N931" s="16">
        <f>ROUND(K931*L931*M931,2)</f>
        <v>-46.69</v>
      </c>
      <c r="O931" s="16">
        <f>ROUND(K931*M931*12,2)</f>
        <v>-80.03</v>
      </c>
      <c r="P931" s="14"/>
      <c r="Q931" s="210" t="str">
        <f>VLOOKUP(D931,'WO Descriptions'!$A$5:$D$345,4)</f>
        <v>Approved by: Galen Shoemaker on 09/15/2014,  Lower 167' - 2" PE main (WO#: 92-6050) due to construction over shallow main. Project Location: Doughboy Dr North of 32nd St; Pressure System: C-1; MOP: 58 psig; MAOP: 58 psig; Design: 58 psig; Test: 100 psig; $34.34/ft</v>
      </c>
    </row>
    <row r="932" spans="1:19" ht="45" outlineLevel="2">
      <c r="A932" s="3" t="s">
        <v>1015</v>
      </c>
      <c r="B932" s="14" t="s">
        <v>54</v>
      </c>
      <c r="C932" s="15" t="s">
        <v>1014</v>
      </c>
      <c r="D932" s="15" t="s">
        <v>1015</v>
      </c>
      <c r="E932" s="14" t="s">
        <v>1016</v>
      </c>
      <c r="F932" s="15" t="s">
        <v>296</v>
      </c>
      <c r="G932" s="14" t="s">
        <v>28</v>
      </c>
      <c r="H932" s="15" t="s">
        <v>23</v>
      </c>
      <c r="I932" s="15" t="s">
        <v>1525</v>
      </c>
      <c r="J932" s="15">
        <v>201412</v>
      </c>
      <c r="K932" s="16">
        <v>133.1</v>
      </c>
      <c r="L932" s="171">
        <f>VLOOKUP(J932,$U$9:$V$23,2)</f>
        <v>6</v>
      </c>
      <c r="M932" s="17">
        <v>1.4833299999999999E-3</v>
      </c>
      <c r="N932" s="16">
        <f>ROUND(K932*L932*M932,2)</f>
        <v>1.18</v>
      </c>
      <c r="O932" s="16">
        <f>ROUND(K932*M932*12,2)</f>
        <v>2.37</v>
      </c>
      <c r="P932" s="14"/>
      <c r="Q932" s="210" t="str">
        <f>VLOOKUP(D932,'WO Descriptions'!$A$5:$D$345,4)</f>
        <v>Approved by: Galen Shoemaker on 09/15/2014,  Lower 167' - 2" PE main (WO#: 92-6050) due to construction over shallow main. Project Location: Doughboy Dr North of 32nd St; Pressure System: C-1; MOP: 58 psig; MAOP: 58 psig; Design: 58 psig; Test: 100 psig; $34.34/ft</v>
      </c>
    </row>
    <row r="933" spans="1:19" outlineLevel="1">
      <c r="A933" s="3" t="s">
        <v>2080</v>
      </c>
      <c r="B933" s="223"/>
      <c r="C933" s="250"/>
      <c r="D933" s="254" t="s">
        <v>2080</v>
      </c>
      <c r="E933" s="223"/>
      <c r="F933" s="250"/>
      <c r="G933" s="223"/>
      <c r="H933" s="250"/>
      <c r="I933" s="250"/>
      <c r="J933" s="250"/>
      <c r="K933" s="251">
        <f>SUBTOTAL(9,K930:K932)</f>
        <v>4441.6000000000004</v>
      </c>
      <c r="L933" s="252"/>
      <c r="M933" s="253"/>
      <c r="N933" s="251">
        <f>SUBTOTAL(9,N930:N932)</f>
        <v>58.970000000000006</v>
      </c>
      <c r="O933" s="251">
        <f>SUBTOTAL(9,O930:O932)</f>
        <v>79.069999999999993</v>
      </c>
      <c r="P933" s="223"/>
      <c r="Q933" s="210"/>
      <c r="R933" s="263" t="s">
        <v>2097</v>
      </c>
      <c r="S933" s="263" t="s">
        <v>2099</v>
      </c>
    </row>
    <row r="934" spans="1:19" ht="45" outlineLevel="2">
      <c r="A934" s="3" t="s">
        <v>1018</v>
      </c>
      <c r="B934" s="14" t="s">
        <v>54</v>
      </c>
      <c r="C934" s="15" t="s">
        <v>1017</v>
      </c>
      <c r="D934" s="15" t="s">
        <v>1018</v>
      </c>
      <c r="E934" s="14" t="s">
        <v>1019</v>
      </c>
      <c r="F934" s="15" t="s">
        <v>1020</v>
      </c>
      <c r="G934" s="14" t="s">
        <v>22</v>
      </c>
      <c r="H934" s="15" t="s">
        <v>23</v>
      </c>
      <c r="I934" s="15" t="s">
        <v>1525</v>
      </c>
      <c r="J934" s="15">
        <v>201410</v>
      </c>
      <c r="K934" s="16">
        <v>6323.2</v>
      </c>
      <c r="L934" s="171">
        <f>VLOOKUP(J934,$U$9:$V$23,2)</f>
        <v>8</v>
      </c>
      <c r="M934" s="17">
        <v>1.4833299999999999E-3</v>
      </c>
      <c r="N934" s="16">
        <f>ROUND(K934*L934*M934,2)</f>
        <v>75.040000000000006</v>
      </c>
      <c r="O934" s="16">
        <f>ROUND(K934*M934*12,2)</f>
        <v>112.55</v>
      </c>
      <c r="P934" s="14"/>
      <c r="Q934" s="210" t="str">
        <f>VLOOKUP(D934,'WO Descriptions'!$A$5:$D$345,4)</f>
        <v>Approved by: Galen Shoemaker on 09/18/2014,  Lay 479ft of 2in Plastic Main to replace 391ft of 2in PBS from WO JO10B and 86ft of 2in CS from WO 66-7352 and 2'-2" PE from 82-0762. MOP=20# MAOP=20# TEST=100# SYSTEM=S-1</v>
      </c>
    </row>
    <row r="935" spans="1:19" ht="45" outlineLevel="2">
      <c r="A935" s="3" t="s">
        <v>1018</v>
      </c>
      <c r="B935" s="14" t="s">
        <v>54</v>
      </c>
      <c r="C935" s="15" t="s">
        <v>1017</v>
      </c>
      <c r="D935" s="15" t="s">
        <v>1018</v>
      </c>
      <c r="E935" s="14" t="s">
        <v>1019</v>
      </c>
      <c r="F935" s="15" t="s">
        <v>1020</v>
      </c>
      <c r="G935" s="14" t="s">
        <v>22</v>
      </c>
      <c r="H935" s="15" t="s">
        <v>23</v>
      </c>
      <c r="I935" s="15" t="s">
        <v>1525</v>
      </c>
      <c r="J935" s="15">
        <v>201411</v>
      </c>
      <c r="K935" s="16">
        <v>5145.3999999999996</v>
      </c>
      <c r="L935" s="171">
        <f>VLOOKUP(J935,$U$9:$V$23,2)</f>
        <v>7</v>
      </c>
      <c r="M935" s="17">
        <v>1.4833299999999999E-3</v>
      </c>
      <c r="N935" s="16">
        <f>ROUND(K935*L935*M935,2)</f>
        <v>53.43</v>
      </c>
      <c r="O935" s="16">
        <f>ROUND(K935*M935*12,2)</f>
        <v>91.59</v>
      </c>
      <c r="P935" s="14"/>
      <c r="Q935" s="210" t="str">
        <f>VLOOKUP(D935,'WO Descriptions'!$A$5:$D$345,4)</f>
        <v>Approved by: Galen Shoemaker on 09/18/2014,  Lay 479ft of 2in Plastic Main to replace 391ft of 2in PBS from WO JO10B and 86ft of 2in CS from WO 66-7352 and 2'-2" PE from 82-0762. MOP=20# MAOP=20# TEST=100# SYSTEM=S-1</v>
      </c>
    </row>
    <row r="936" spans="1:19" ht="45" outlineLevel="2">
      <c r="A936" s="3" t="s">
        <v>1018</v>
      </c>
      <c r="B936" s="14" t="s">
        <v>54</v>
      </c>
      <c r="C936" s="15" t="s">
        <v>1017</v>
      </c>
      <c r="D936" s="15" t="s">
        <v>1018</v>
      </c>
      <c r="E936" s="14" t="s">
        <v>1019</v>
      </c>
      <c r="F936" s="15" t="s">
        <v>1020</v>
      </c>
      <c r="G936" s="14" t="s">
        <v>22</v>
      </c>
      <c r="H936" s="15" t="s">
        <v>23</v>
      </c>
      <c r="I936" s="15" t="s">
        <v>1525</v>
      </c>
      <c r="J936" s="15">
        <v>201412</v>
      </c>
      <c r="K936" s="16">
        <v>2679.48</v>
      </c>
      <c r="L936" s="171">
        <f>VLOOKUP(J936,$U$9:$V$23,2)</f>
        <v>6</v>
      </c>
      <c r="M936" s="17">
        <v>1.4833299999999999E-3</v>
      </c>
      <c r="N936" s="16">
        <f>ROUND(K936*L936*M936,2)</f>
        <v>23.85</v>
      </c>
      <c r="O936" s="16">
        <f>ROUND(K936*M936*12,2)</f>
        <v>47.69</v>
      </c>
      <c r="P936" s="14"/>
      <c r="Q936" s="210" t="str">
        <f>VLOOKUP(D936,'WO Descriptions'!$A$5:$D$345,4)</f>
        <v>Approved by: Galen Shoemaker on 09/18/2014,  Lay 479ft of 2in Plastic Main to replace 391ft of 2in PBS from WO JO10B and 86ft of 2in CS from WO 66-7352 and 2'-2" PE from 82-0762. MOP=20# MAOP=20# TEST=100# SYSTEM=S-1</v>
      </c>
    </row>
    <row r="937" spans="1:19" outlineLevel="1">
      <c r="A937" s="3" t="s">
        <v>2081</v>
      </c>
      <c r="B937" s="223"/>
      <c r="C937" s="250"/>
      <c r="D937" s="254" t="s">
        <v>2081</v>
      </c>
      <c r="E937" s="223"/>
      <c r="F937" s="250"/>
      <c r="G937" s="223"/>
      <c r="H937" s="250"/>
      <c r="I937" s="250"/>
      <c r="J937" s="250"/>
      <c r="K937" s="251">
        <f>SUBTOTAL(9,K934:K936)</f>
        <v>14148.079999999998</v>
      </c>
      <c r="L937" s="252"/>
      <c r="M937" s="253"/>
      <c r="N937" s="251">
        <f>SUBTOTAL(9,N934:N936)</f>
        <v>152.32</v>
      </c>
      <c r="O937" s="251">
        <f>SUBTOTAL(9,O934:O936)</f>
        <v>251.82999999999998</v>
      </c>
      <c r="P937" s="223"/>
      <c r="Q937" s="210"/>
      <c r="R937" s="263" t="s">
        <v>2097</v>
      </c>
      <c r="S937" s="263" t="s">
        <v>2098</v>
      </c>
    </row>
    <row r="938" spans="1:19" ht="75" outlineLevel="2">
      <c r="A938" s="3" t="s">
        <v>1070</v>
      </c>
      <c r="B938" s="14" t="s">
        <v>54</v>
      </c>
      <c r="C938" s="15" t="s">
        <v>1069</v>
      </c>
      <c r="D938" s="15" t="s">
        <v>1070</v>
      </c>
      <c r="E938" s="14" t="s">
        <v>1071</v>
      </c>
      <c r="F938" s="15" t="s">
        <v>296</v>
      </c>
      <c r="G938" s="14" t="s">
        <v>28</v>
      </c>
      <c r="H938" s="15" t="s">
        <v>23</v>
      </c>
      <c r="I938" s="15" t="s">
        <v>1525</v>
      </c>
      <c r="J938" s="15">
        <v>201412</v>
      </c>
      <c r="K938" s="16">
        <v>-310.58999999999997</v>
      </c>
      <c r="L938" s="171">
        <f>VLOOKUP(J938,$U$9:$V$23,2)</f>
        <v>6</v>
      </c>
      <c r="M938" s="17">
        <v>1.4833299999999999E-3</v>
      </c>
      <c r="N938" s="16">
        <f>ROUND(K938*L938*M938,2)</f>
        <v>-2.76</v>
      </c>
      <c r="O938" s="16">
        <f>ROUND(K938*M938*12,2)</f>
        <v>-5.53</v>
      </c>
      <c r="P938" s="14"/>
      <c r="Q938" s="210" t="str">
        <f>VLOOKUP(D938,'WO Descriptions'!$A$5:$D$345,4)</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row>
    <row r="939" spans="1:19" outlineLevel="1">
      <c r="A939" s="3" t="s">
        <v>2082</v>
      </c>
      <c r="B939" s="223"/>
      <c r="C939" s="250"/>
      <c r="D939" s="254" t="s">
        <v>2082</v>
      </c>
      <c r="E939" s="223"/>
      <c r="F939" s="250"/>
      <c r="G939" s="223"/>
      <c r="H939" s="250"/>
      <c r="I939" s="250"/>
      <c r="J939" s="250"/>
      <c r="K939" s="251">
        <f>SUBTOTAL(9,K938:K938)</f>
        <v>-310.58999999999997</v>
      </c>
      <c r="L939" s="252"/>
      <c r="M939" s="253"/>
      <c r="N939" s="251">
        <f>SUBTOTAL(9,N938:N938)</f>
        <v>-2.76</v>
      </c>
      <c r="O939" s="251">
        <f>SUBTOTAL(9,O938:O938)</f>
        <v>-5.53</v>
      </c>
      <c r="P939" s="223"/>
      <c r="Q939" s="210"/>
      <c r="R939" s="263" t="s">
        <v>2097</v>
      </c>
      <c r="S939" s="263" t="s">
        <v>2099</v>
      </c>
    </row>
    <row r="940" spans="1:19" ht="180" outlineLevel="2">
      <c r="A940" s="3" t="s">
        <v>1073</v>
      </c>
      <c r="B940" s="14" t="s">
        <v>54</v>
      </c>
      <c r="C940" s="15" t="s">
        <v>1072</v>
      </c>
      <c r="D940" s="15" t="s">
        <v>1073</v>
      </c>
      <c r="E940" s="14" t="s">
        <v>1074</v>
      </c>
      <c r="F940" s="15" t="s">
        <v>296</v>
      </c>
      <c r="G940" s="14" t="s">
        <v>28</v>
      </c>
      <c r="H940" s="15" t="s">
        <v>23</v>
      </c>
      <c r="I940" s="15" t="s">
        <v>1525</v>
      </c>
      <c r="J940" s="15">
        <v>201412</v>
      </c>
      <c r="K940" s="16">
        <v>24647.69</v>
      </c>
      <c r="L940" s="171">
        <f>VLOOKUP(J940,$U$9:$V$23,2)</f>
        <v>6</v>
      </c>
      <c r="M940" s="17">
        <v>1.4833299999999999E-3</v>
      </c>
      <c r="N940" s="16">
        <f>ROUND(K940*L940*M940,2)</f>
        <v>219.36</v>
      </c>
      <c r="O940" s="16">
        <f>ROUND(K940*M940*12,2)</f>
        <v>438.73</v>
      </c>
      <c r="P940" s="14"/>
      <c r="Q940" s="210" t="str">
        <f>VLOOKUP(D940,'WO Descriptions'!$A$5:$D$345,4)</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row>
    <row r="941" spans="1:19" outlineLevel="1">
      <c r="A941" s="3" t="s">
        <v>2083</v>
      </c>
      <c r="B941" s="223"/>
      <c r="C941" s="250"/>
      <c r="D941" s="254" t="s">
        <v>2083</v>
      </c>
      <c r="E941" s="223"/>
      <c r="F941" s="250"/>
      <c r="G941" s="223"/>
      <c r="H941" s="250"/>
      <c r="I941" s="250"/>
      <c r="J941" s="250"/>
      <c r="K941" s="251">
        <f>SUBTOTAL(9,K940:K940)</f>
        <v>24647.69</v>
      </c>
      <c r="L941" s="252"/>
      <c r="M941" s="253"/>
      <c r="N941" s="251">
        <f>SUBTOTAL(9,N940:N940)</f>
        <v>219.36</v>
      </c>
      <c r="O941" s="251">
        <f>SUBTOTAL(9,O940:O940)</f>
        <v>438.73</v>
      </c>
      <c r="P941" s="223"/>
      <c r="Q941" s="210"/>
      <c r="R941" s="263" t="s">
        <v>2097</v>
      </c>
      <c r="S941" s="263" t="s">
        <v>2099</v>
      </c>
    </row>
    <row r="942" spans="1:19" ht="45" outlineLevel="2">
      <c r="A942" s="3" t="s">
        <v>1076</v>
      </c>
      <c r="B942" s="14" t="s">
        <v>54</v>
      </c>
      <c r="C942" s="15" t="s">
        <v>1075</v>
      </c>
      <c r="D942" s="15" t="s">
        <v>1076</v>
      </c>
      <c r="E942" s="14" t="s">
        <v>1077</v>
      </c>
      <c r="F942" s="15" t="s">
        <v>62</v>
      </c>
      <c r="G942" s="14" t="s">
        <v>22</v>
      </c>
      <c r="H942" s="15" t="s">
        <v>23</v>
      </c>
      <c r="I942" s="15" t="s">
        <v>1525</v>
      </c>
      <c r="J942" s="15">
        <v>201412</v>
      </c>
      <c r="K942" s="16">
        <v>25101.279999999999</v>
      </c>
      <c r="L942" s="171">
        <f>VLOOKUP(J942,$U$9:$V$23,2)</f>
        <v>6</v>
      </c>
      <c r="M942" s="17">
        <v>1.4833299999999999E-3</v>
      </c>
      <c r="N942" s="16">
        <f>ROUND(K942*L942*M942,2)</f>
        <v>223.4</v>
      </c>
      <c r="O942" s="16">
        <f>ROUND(K942*M942*12,2)</f>
        <v>446.8</v>
      </c>
      <c r="P942" s="14"/>
      <c r="Q942" s="210" t="str">
        <f>VLOOKUP(D942,'WO Descriptions'!$A$5:$D$345,4)</f>
        <v>Approved by: Ralph Janes on 09/23/2014,  Replace and Abandon 164'- 4"PCS (692513), 62' - 4"PBS (28302), 527' - 4" PBS (Unknown) 31' - 4" PCS (691388) and 58' - 4"PCS (732376). Main currently runs in an easement between 5th and 6th St. and W of Miller St. (ISRS)</v>
      </c>
    </row>
    <row r="943" spans="1:19" outlineLevel="1">
      <c r="A943" s="3" t="s">
        <v>2084</v>
      </c>
      <c r="B943" s="223"/>
      <c r="C943" s="250"/>
      <c r="D943" s="254" t="s">
        <v>2084</v>
      </c>
      <c r="E943" s="223"/>
      <c r="F943" s="250"/>
      <c r="G943" s="223"/>
      <c r="H943" s="250"/>
      <c r="I943" s="250"/>
      <c r="J943" s="250"/>
      <c r="K943" s="251">
        <f>SUBTOTAL(9,K942:K942)</f>
        <v>25101.279999999999</v>
      </c>
      <c r="L943" s="252"/>
      <c r="M943" s="253"/>
      <c r="N943" s="251">
        <f>SUBTOTAL(9,N942:N942)</f>
        <v>223.4</v>
      </c>
      <c r="O943" s="251">
        <f>SUBTOTAL(9,O942:O942)</f>
        <v>446.8</v>
      </c>
      <c r="P943" s="223"/>
      <c r="Q943" s="210"/>
      <c r="R943" s="263" t="s">
        <v>2097</v>
      </c>
      <c r="S943" s="263" t="s">
        <v>2098</v>
      </c>
    </row>
    <row r="944" spans="1:19" ht="45" outlineLevel="2">
      <c r="A944" s="3" t="s">
        <v>1022</v>
      </c>
      <c r="B944" s="14" t="s">
        <v>54</v>
      </c>
      <c r="C944" s="15" t="s">
        <v>1021</v>
      </c>
      <c r="D944" s="15" t="s">
        <v>1022</v>
      </c>
      <c r="E944" s="14" t="s">
        <v>1023</v>
      </c>
      <c r="F944" s="15" t="s">
        <v>108</v>
      </c>
      <c r="G944" s="14" t="s">
        <v>28</v>
      </c>
      <c r="H944" s="15" t="s">
        <v>23</v>
      </c>
      <c r="I944" s="15" t="s">
        <v>1525</v>
      </c>
      <c r="J944" s="15">
        <v>201409</v>
      </c>
      <c r="K944" s="16">
        <v>906.93</v>
      </c>
      <c r="L944" s="171">
        <f>VLOOKUP(J944,$U$9:$V$23,2)</f>
        <v>9</v>
      </c>
      <c r="M944" s="17">
        <v>1.4833299999999999E-3</v>
      </c>
      <c r="N944" s="16">
        <f>ROUND(K944*L944*M944,2)</f>
        <v>12.11</v>
      </c>
      <c r="O944" s="16">
        <f>ROUND(K944*M944*12,2)</f>
        <v>16.14</v>
      </c>
      <c r="P944" s="14"/>
      <c r="Q944" s="210" t="str">
        <f>VLOOKUP(D944,'WO Descriptions'!$A$5:$D$345,4)</f>
        <v>Approved by: Kevin Driskell on 09/24/2014,  Abandoned 3' of 2'' PE. Installed 8' of 2'' PE due to third party damage. When work was done pressure system was C-002 (1psig). As of 9/16/2014 pressure system C-002 (33psig).</v>
      </c>
    </row>
    <row r="945" spans="1:19" ht="45" outlineLevel="2">
      <c r="A945" s="3" t="s">
        <v>1022</v>
      </c>
      <c r="B945" s="14" t="s">
        <v>54</v>
      </c>
      <c r="C945" s="15" t="s">
        <v>1021</v>
      </c>
      <c r="D945" s="15" t="s">
        <v>1022</v>
      </c>
      <c r="E945" s="14" t="s">
        <v>1023</v>
      </c>
      <c r="F945" s="15" t="s">
        <v>108</v>
      </c>
      <c r="G945" s="14" t="s">
        <v>28</v>
      </c>
      <c r="H945" s="15" t="s">
        <v>23</v>
      </c>
      <c r="I945" s="15" t="s">
        <v>1525</v>
      </c>
      <c r="J945" s="15">
        <v>201410</v>
      </c>
      <c r="K945" s="16">
        <v>293.01</v>
      </c>
      <c r="L945" s="171">
        <f>VLOOKUP(J945,$U$9:$V$23,2)</f>
        <v>8</v>
      </c>
      <c r="M945" s="17">
        <v>1.4833299999999999E-3</v>
      </c>
      <c r="N945" s="16">
        <f>ROUND(K945*L945*M945,2)</f>
        <v>3.48</v>
      </c>
      <c r="O945" s="16">
        <f>ROUND(K945*M945*12,2)</f>
        <v>5.22</v>
      </c>
      <c r="P945" s="14"/>
      <c r="Q945" s="210" t="str">
        <f>VLOOKUP(D945,'WO Descriptions'!$A$5:$D$345,4)</f>
        <v>Approved by: Kevin Driskell on 09/24/2014,  Abandoned 3' of 2'' PE. Installed 8' of 2'' PE due to third party damage. When work was done pressure system was C-002 (1psig). As of 9/16/2014 pressure system C-002 (33psig).</v>
      </c>
    </row>
    <row r="946" spans="1:19" s="243" customFormat="1" ht="45" outlineLevel="2">
      <c r="A946" s="243" t="s">
        <v>1022</v>
      </c>
      <c r="B946" s="14" t="s">
        <v>54</v>
      </c>
      <c r="C946" s="15" t="s">
        <v>1021</v>
      </c>
      <c r="D946" s="15" t="s">
        <v>1022</v>
      </c>
      <c r="E946" s="14" t="s">
        <v>1023</v>
      </c>
      <c r="F946" s="15" t="s">
        <v>108</v>
      </c>
      <c r="G946" s="14" t="s">
        <v>28</v>
      </c>
      <c r="H946" s="15" t="s">
        <v>23</v>
      </c>
      <c r="I946" s="15" t="s">
        <v>1525</v>
      </c>
      <c r="J946" s="15">
        <v>201411</v>
      </c>
      <c r="K946" s="16">
        <v>-13.74</v>
      </c>
      <c r="L946" s="171">
        <f>VLOOKUP(J946,$U$9:$V$23,2)</f>
        <v>7</v>
      </c>
      <c r="M946" s="17">
        <v>1.4833299999999999E-3</v>
      </c>
      <c r="N946" s="16">
        <f>ROUND(K946*L946*M946,2)</f>
        <v>-0.14000000000000001</v>
      </c>
      <c r="O946" s="16">
        <f>ROUND(K946*M946*12,2)</f>
        <v>-0.24</v>
      </c>
      <c r="P946" s="14"/>
      <c r="Q946" s="210" t="str">
        <f>VLOOKUP(D946,'WO Descriptions'!$A$5:$D$345,4)</f>
        <v>Approved by: Kevin Driskell on 09/24/2014,  Abandoned 3' of 2'' PE. Installed 8' of 2'' PE due to third party damage. When work was done pressure system was C-002 (1psig). As of 9/16/2014 pressure system C-002 (33psig).</v>
      </c>
      <c r="R946" s="3"/>
      <c r="S946" s="3"/>
    </row>
    <row r="947" spans="1:19" s="243" customFormat="1" ht="45" outlineLevel="2">
      <c r="A947" s="243" t="s">
        <v>1022</v>
      </c>
      <c r="B947" s="14" t="s">
        <v>54</v>
      </c>
      <c r="C947" s="15" t="s">
        <v>1021</v>
      </c>
      <c r="D947" s="15" t="s">
        <v>1022</v>
      </c>
      <c r="E947" s="14" t="s">
        <v>1023</v>
      </c>
      <c r="F947" s="15" t="s">
        <v>108</v>
      </c>
      <c r="G947" s="14" t="s">
        <v>28</v>
      </c>
      <c r="H947" s="15" t="s">
        <v>23</v>
      </c>
      <c r="I947" s="15" t="s">
        <v>1525</v>
      </c>
      <c r="J947" s="15">
        <v>201412</v>
      </c>
      <c r="K947" s="16">
        <v>-22.55</v>
      </c>
      <c r="L947" s="171">
        <f>VLOOKUP(J947,$U$9:$V$23,2)</f>
        <v>6</v>
      </c>
      <c r="M947" s="17">
        <v>1.4833299999999999E-3</v>
      </c>
      <c r="N947" s="16">
        <f>ROUND(K947*L947*M947,2)</f>
        <v>-0.2</v>
      </c>
      <c r="O947" s="16">
        <f>ROUND(K947*M947*12,2)</f>
        <v>-0.4</v>
      </c>
      <c r="P947" s="14"/>
      <c r="Q947" s="210" t="str">
        <f>VLOOKUP(D947,'WO Descriptions'!$A$5:$D$345,4)</f>
        <v>Approved by: Kevin Driskell on 09/24/2014,  Abandoned 3' of 2'' PE. Installed 8' of 2'' PE due to third party damage. When work was done pressure system was C-002 (1psig). As of 9/16/2014 pressure system C-002 (33psig).</v>
      </c>
      <c r="R947" s="3"/>
      <c r="S947" s="3"/>
    </row>
    <row r="948" spans="1:19" s="243" customFormat="1" outlineLevel="1">
      <c r="A948" s="243" t="s">
        <v>2085</v>
      </c>
      <c r="B948" s="223"/>
      <c r="C948" s="250"/>
      <c r="D948" s="254" t="s">
        <v>2085</v>
      </c>
      <c r="E948" s="223"/>
      <c r="F948" s="250"/>
      <c r="G948" s="223"/>
      <c r="H948" s="250"/>
      <c r="I948" s="250"/>
      <c r="J948" s="250"/>
      <c r="K948" s="251">
        <f>SUBTOTAL(9,K944:K947)</f>
        <v>1163.6500000000001</v>
      </c>
      <c r="L948" s="252"/>
      <c r="M948" s="253"/>
      <c r="N948" s="251">
        <f>SUBTOTAL(9,N944:N947)</f>
        <v>15.25</v>
      </c>
      <c r="O948" s="251">
        <f>SUBTOTAL(9,O944:O947)</f>
        <v>20.720000000000002</v>
      </c>
      <c r="P948" s="223"/>
      <c r="Q948" s="210"/>
      <c r="R948" s="263" t="s">
        <v>2097</v>
      </c>
      <c r="S948" s="263" t="s">
        <v>2099</v>
      </c>
    </row>
    <row r="949" spans="1:19" ht="45" outlineLevel="2">
      <c r="A949" s="3" t="s">
        <v>1079</v>
      </c>
      <c r="B949" s="14" t="s">
        <v>54</v>
      </c>
      <c r="C949" s="15" t="s">
        <v>1078</v>
      </c>
      <c r="D949" s="15" t="s">
        <v>1079</v>
      </c>
      <c r="E949" s="14" t="s">
        <v>1080</v>
      </c>
      <c r="F949" s="15" t="s">
        <v>62</v>
      </c>
      <c r="G949" s="14" t="s">
        <v>22</v>
      </c>
      <c r="H949" s="15" t="s">
        <v>23</v>
      </c>
      <c r="I949" s="15" t="s">
        <v>1525</v>
      </c>
      <c r="J949" s="15">
        <v>201412</v>
      </c>
      <c r="K949" s="16">
        <v>5227.7</v>
      </c>
      <c r="L949" s="171">
        <f>VLOOKUP(J949,$U$9:$V$23,2)</f>
        <v>6</v>
      </c>
      <c r="M949" s="17">
        <v>1.4833299999999999E-3</v>
      </c>
      <c r="N949" s="16">
        <f>ROUND(K949*L949*M949,2)</f>
        <v>46.53</v>
      </c>
      <c r="O949" s="16">
        <f>ROUND(K949*M949*12,2)</f>
        <v>93.05</v>
      </c>
      <c r="P949" s="14"/>
      <c r="Q949" s="210" t="str">
        <f>VLOOKUP(D949,'WO Descriptions'!$A$5:$D$345,4)</f>
        <v>Approved by: Ray Wilson on 10/01/2014,  Replace 95' - 6" PBS (WO# JO4528) with 111' of 6" PE main due to leakage. 120' of 6" checked out with 9' junked. Job worked by Holman crew 9/22-24. (ISRS)</v>
      </c>
    </row>
    <row r="950" spans="1:19" outlineLevel="1">
      <c r="A950" s="3" t="s">
        <v>2086</v>
      </c>
      <c r="B950" s="223"/>
      <c r="C950" s="250"/>
      <c r="D950" s="254" t="s">
        <v>2086</v>
      </c>
      <c r="E950" s="223"/>
      <c r="F950" s="250"/>
      <c r="G950" s="223"/>
      <c r="H950" s="250"/>
      <c r="I950" s="250"/>
      <c r="J950" s="250"/>
      <c r="K950" s="251">
        <f>SUBTOTAL(9,K949:K949)</f>
        <v>5227.7</v>
      </c>
      <c r="L950" s="252"/>
      <c r="M950" s="253"/>
      <c r="N950" s="251">
        <f>SUBTOTAL(9,N949:N949)</f>
        <v>46.53</v>
      </c>
      <c r="O950" s="251">
        <f>SUBTOTAL(9,O949:O949)</f>
        <v>93.05</v>
      </c>
      <c r="P950" s="223"/>
      <c r="Q950" s="210"/>
      <c r="R950" s="263" t="s">
        <v>2097</v>
      </c>
      <c r="S950" s="263" t="s">
        <v>2098</v>
      </c>
    </row>
    <row r="951" spans="1:19" ht="45" outlineLevel="2">
      <c r="A951" s="3" t="s">
        <v>1082</v>
      </c>
      <c r="B951" s="14" t="s">
        <v>54</v>
      </c>
      <c r="C951" s="15" t="s">
        <v>1081</v>
      </c>
      <c r="D951" s="15" t="s">
        <v>1082</v>
      </c>
      <c r="E951" s="14" t="s">
        <v>1083</v>
      </c>
      <c r="F951" s="15" t="s">
        <v>141</v>
      </c>
      <c r="G951" s="14" t="s">
        <v>142</v>
      </c>
      <c r="H951" s="15" t="s">
        <v>23</v>
      </c>
      <c r="I951" s="15" t="s">
        <v>1525</v>
      </c>
      <c r="J951" s="15">
        <v>201412</v>
      </c>
      <c r="K951" s="16">
        <v>75631.14</v>
      </c>
      <c r="L951" s="171">
        <f>VLOOKUP(J951,$U$9:$V$23,2)</f>
        <v>6</v>
      </c>
      <c r="M951" s="17">
        <v>1.4833299999999999E-3</v>
      </c>
      <c r="N951" s="16">
        <f>ROUND(K951*L951*M951,2)</f>
        <v>673.12</v>
      </c>
      <c r="O951" s="16">
        <f>ROUND(K951*M951*12,2)</f>
        <v>1346.23</v>
      </c>
      <c r="P951" s="14"/>
      <c r="Q951" s="210" t="str">
        <f>VLOOKUP(D951,'WO Descriptions'!$A$5:$D$345,4)</f>
        <v>Approved by: Steve Holcomb on 09/29/2014,  ISRS Replace 6in CI with 2,430 ft of 4in PE due to cast iron breaks.  This job must be completed by Jan. 13, 2015.  Tie-over 18 services. Replace 5 services.</v>
      </c>
    </row>
    <row r="952" spans="1:19" outlineLevel="1">
      <c r="A952" s="3" t="s">
        <v>2087</v>
      </c>
      <c r="B952" s="223"/>
      <c r="C952" s="250"/>
      <c r="D952" s="254" t="s">
        <v>2087</v>
      </c>
      <c r="E952" s="223"/>
      <c r="F952" s="250"/>
      <c r="G952" s="223"/>
      <c r="H952" s="250"/>
      <c r="I952" s="250"/>
      <c r="J952" s="250"/>
      <c r="K952" s="251">
        <f>SUBTOTAL(9,K951:K951)</f>
        <v>75631.14</v>
      </c>
      <c r="L952" s="252"/>
      <c r="M952" s="253"/>
      <c r="N952" s="251">
        <f>SUBTOTAL(9,N951:N951)</f>
        <v>673.12</v>
      </c>
      <c r="O952" s="251">
        <f>SUBTOTAL(9,O951:O951)</f>
        <v>1346.23</v>
      </c>
      <c r="P952" s="223"/>
      <c r="Q952" s="210"/>
      <c r="R952" s="263" t="s">
        <v>2097</v>
      </c>
      <c r="S952" s="263" t="s">
        <v>2100</v>
      </c>
    </row>
    <row r="953" spans="1:19" ht="60" outlineLevel="2">
      <c r="A953" s="3" t="s">
        <v>1085</v>
      </c>
      <c r="B953" s="14" t="s">
        <v>54</v>
      </c>
      <c r="C953" s="15" t="s">
        <v>1084</v>
      </c>
      <c r="D953" s="15" t="s">
        <v>1085</v>
      </c>
      <c r="E953" s="14" t="s">
        <v>1086</v>
      </c>
      <c r="F953" s="15" t="s">
        <v>21</v>
      </c>
      <c r="G953" s="14" t="s">
        <v>22</v>
      </c>
      <c r="H953" s="15" t="s">
        <v>23</v>
      </c>
      <c r="I953" s="15" t="s">
        <v>1525</v>
      </c>
      <c r="J953" s="15">
        <v>201412</v>
      </c>
      <c r="K953" s="16">
        <v>36271.120000000003</v>
      </c>
      <c r="L953" s="171">
        <f>VLOOKUP(J953,$U$9:$V$23,2)</f>
        <v>6</v>
      </c>
      <c r="M953" s="17">
        <v>1.4833299999999999E-3</v>
      </c>
      <c r="N953" s="16">
        <f>ROUND(K953*L953*M953,2)</f>
        <v>322.81</v>
      </c>
      <c r="O953" s="16">
        <f>ROUND(K953*M953*12,2)</f>
        <v>645.62</v>
      </c>
      <c r="P953" s="14"/>
      <c r="Q953" s="210" t="str">
        <f>VLOOKUP(D953,'WO Descriptions'!$A$5:$D$345,4)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954" spans="1:19" outlineLevel="1">
      <c r="A954" s="3" t="s">
        <v>2088</v>
      </c>
      <c r="B954" s="223"/>
      <c r="C954" s="250"/>
      <c r="D954" s="254" t="s">
        <v>2088</v>
      </c>
      <c r="E954" s="223"/>
      <c r="F954" s="250"/>
      <c r="G954" s="223"/>
      <c r="H954" s="250"/>
      <c r="I954" s="250"/>
      <c r="J954" s="250"/>
      <c r="K954" s="251">
        <f>SUBTOTAL(9,K953:K953)</f>
        <v>36271.120000000003</v>
      </c>
      <c r="L954" s="252"/>
      <c r="M954" s="253"/>
      <c r="N954" s="251">
        <f>SUBTOTAL(9,N953:N953)</f>
        <v>322.81</v>
      </c>
      <c r="O954" s="251">
        <f>SUBTOTAL(9,O953:O953)</f>
        <v>645.62</v>
      </c>
      <c r="P954" s="223"/>
      <c r="Q954" s="210"/>
      <c r="R954" s="263" t="s">
        <v>2097</v>
      </c>
      <c r="S954" s="263" t="s">
        <v>2098</v>
      </c>
    </row>
    <row r="955" spans="1:19" ht="30" outlineLevel="2">
      <c r="A955" s="3" t="s">
        <v>1088</v>
      </c>
      <c r="B955" s="14" t="s">
        <v>54</v>
      </c>
      <c r="C955" s="15" t="s">
        <v>1087</v>
      </c>
      <c r="D955" s="15" t="s">
        <v>1088</v>
      </c>
      <c r="E955" s="14" t="s">
        <v>1089</v>
      </c>
      <c r="F955" s="15" t="s">
        <v>1020</v>
      </c>
      <c r="G955" s="14" t="s">
        <v>22</v>
      </c>
      <c r="H955" s="15" t="s">
        <v>23</v>
      </c>
      <c r="I955" s="15" t="s">
        <v>1525</v>
      </c>
      <c r="J955" s="15">
        <v>201412</v>
      </c>
      <c r="K955" s="16">
        <v>6257.37</v>
      </c>
      <c r="L955" s="171">
        <f>VLOOKUP(J955,$U$9:$V$23,2)</f>
        <v>6</v>
      </c>
      <c r="M955" s="17">
        <v>1.4833299999999999E-3</v>
      </c>
      <c r="N955" s="16">
        <f>ROUND(K955*L955*M955,2)</f>
        <v>55.69</v>
      </c>
      <c r="O955" s="16">
        <f>ROUND(K955*M955*12,2)</f>
        <v>111.38</v>
      </c>
      <c r="P955" s="14"/>
      <c r="Q955" s="210" t="str">
        <f>VLOOKUP(D955,'WO Descriptions'!$A$5:$D$345,4)</f>
        <v>Approved by: Galen Shoemaker on 10/09/2014,  Lay 180ft 2in Plastic Main to replace 177ft of 2in Protected Bare Steel from WO 21411. MOP=40# MAOP=44# TEST=100# SYSTEM=C-1</v>
      </c>
    </row>
    <row r="956" spans="1:19" outlineLevel="1">
      <c r="A956" s="3" t="s">
        <v>2089</v>
      </c>
      <c r="B956" s="223"/>
      <c r="C956" s="250"/>
      <c r="D956" s="254" t="s">
        <v>2089</v>
      </c>
      <c r="E956" s="223"/>
      <c r="F956" s="250"/>
      <c r="G956" s="223"/>
      <c r="H956" s="250"/>
      <c r="I956" s="250"/>
      <c r="J956" s="250"/>
      <c r="K956" s="251">
        <f>SUBTOTAL(9,K955:K955)</f>
        <v>6257.37</v>
      </c>
      <c r="L956" s="252"/>
      <c r="M956" s="253"/>
      <c r="N956" s="251">
        <f>SUBTOTAL(9,N955:N955)</f>
        <v>55.69</v>
      </c>
      <c r="O956" s="251">
        <f>SUBTOTAL(9,O955:O955)</f>
        <v>111.38</v>
      </c>
      <c r="P956" s="223"/>
      <c r="Q956" s="210"/>
      <c r="R956" s="263" t="s">
        <v>2097</v>
      </c>
      <c r="S956" s="263" t="s">
        <v>2098</v>
      </c>
    </row>
    <row r="957" spans="1:19" ht="60" outlineLevel="2">
      <c r="A957" s="3" t="s">
        <v>1091</v>
      </c>
      <c r="B957" s="14" t="s">
        <v>54</v>
      </c>
      <c r="C957" s="15" t="s">
        <v>1090</v>
      </c>
      <c r="D957" s="15" t="s">
        <v>1091</v>
      </c>
      <c r="E957" s="14" t="s">
        <v>1092</v>
      </c>
      <c r="F957" s="15" t="s">
        <v>216</v>
      </c>
      <c r="G957" s="14" t="s">
        <v>22</v>
      </c>
      <c r="H957" s="15" t="s">
        <v>23</v>
      </c>
      <c r="I957" s="15" t="s">
        <v>1525</v>
      </c>
      <c r="J957" s="15">
        <v>201412</v>
      </c>
      <c r="K957" s="16">
        <v>11632.66</v>
      </c>
      <c r="L957" s="171">
        <f>VLOOKUP(J957,$U$9:$V$23,2)</f>
        <v>6</v>
      </c>
      <c r="M957" s="17">
        <v>1.4833299999999999E-3</v>
      </c>
      <c r="N957" s="16">
        <f>ROUND(K957*L957*M957,2)</f>
        <v>103.53</v>
      </c>
      <c r="O957" s="16">
        <f>ROUND(K957*M957*12,2)</f>
        <v>207.06</v>
      </c>
      <c r="P957" s="14"/>
      <c r="Q957" s="210" t="str">
        <f>VLOOKUP(D957,'WO Descriptions'!$A$5:$D$345,4)</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row>
    <row r="958" spans="1:19" outlineLevel="1">
      <c r="A958" s="3" t="s">
        <v>2090</v>
      </c>
      <c r="B958" s="223"/>
      <c r="C958" s="250"/>
      <c r="D958" s="254" t="s">
        <v>2090</v>
      </c>
      <c r="E958" s="223"/>
      <c r="F958" s="250"/>
      <c r="G958" s="223"/>
      <c r="H958" s="250"/>
      <c r="I958" s="250"/>
      <c r="J958" s="250"/>
      <c r="K958" s="251">
        <f>SUBTOTAL(9,K957:K957)</f>
        <v>11632.66</v>
      </c>
      <c r="L958" s="252"/>
      <c r="M958" s="253"/>
      <c r="N958" s="251">
        <f>SUBTOTAL(9,N957:N957)</f>
        <v>103.53</v>
      </c>
      <c r="O958" s="251">
        <f>SUBTOTAL(9,O957:O957)</f>
        <v>207.06</v>
      </c>
      <c r="P958" s="223"/>
      <c r="Q958" s="210"/>
      <c r="R958" s="263" t="s">
        <v>2097</v>
      </c>
      <c r="S958" s="263" t="s">
        <v>2098</v>
      </c>
    </row>
    <row r="959" spans="1:19" ht="45" outlineLevel="2">
      <c r="A959" s="3" t="s">
        <v>1106</v>
      </c>
      <c r="B959" s="14" t="s">
        <v>66</v>
      </c>
      <c r="C959" s="15" t="s">
        <v>1105</v>
      </c>
      <c r="D959" s="15" t="s">
        <v>1106</v>
      </c>
      <c r="E959" s="14" t="s">
        <v>1107</v>
      </c>
      <c r="F959" s="15" t="s">
        <v>466</v>
      </c>
      <c r="G959" s="14" t="s">
        <v>467</v>
      </c>
      <c r="H959" s="15" t="s">
        <v>23</v>
      </c>
      <c r="I959" s="15" t="s">
        <v>1527</v>
      </c>
      <c r="J959" s="15">
        <v>201410</v>
      </c>
      <c r="K959" s="16">
        <v>1314.76</v>
      </c>
      <c r="L959" s="171">
        <f>VLOOKUP(J959,$U$9:$V$23,2)</f>
        <v>8</v>
      </c>
      <c r="M959" s="17">
        <v>2.23333E-3</v>
      </c>
      <c r="N959" s="16">
        <f>ROUND(K959*L959*M959,2)</f>
        <v>23.49</v>
      </c>
      <c r="O959" s="16">
        <f>ROUND(K959*M959*12,2)</f>
        <v>35.24</v>
      </c>
      <c r="P959" s="14"/>
      <c r="Q959" s="210" t="str">
        <f>VLOOKUP(D959,'WO Descriptions'!$A$5:$D$345,4)</f>
        <v>Approved by: Gary Williams on 10/20/2014,  REPLACE 1 1/4 PE SERVICE WITH 2 IN PE DUE TO CUSOTMER ADDING A BOILER LOAD 6,050 CFH). ECONOMIC EVALUATION WILL COVER COST OF PROJECT.</v>
      </c>
    </row>
    <row r="960" spans="1:19" ht="45" outlineLevel="2">
      <c r="A960" s="3" t="s">
        <v>1106</v>
      </c>
      <c r="B960" s="14" t="s">
        <v>66</v>
      </c>
      <c r="C960" s="15" t="s">
        <v>1105</v>
      </c>
      <c r="D960" s="15" t="s">
        <v>1106</v>
      </c>
      <c r="E960" s="14" t="s">
        <v>1107</v>
      </c>
      <c r="F960" s="15" t="s">
        <v>466</v>
      </c>
      <c r="G960" s="14" t="s">
        <v>467</v>
      </c>
      <c r="H960" s="15" t="s">
        <v>23</v>
      </c>
      <c r="I960" s="15" t="s">
        <v>1527</v>
      </c>
      <c r="J960" s="15">
        <v>201411</v>
      </c>
      <c r="K960" s="16">
        <v>-35.93</v>
      </c>
      <c r="L960" s="171">
        <f>VLOOKUP(J960,$U$9:$V$23,2)</f>
        <v>7</v>
      </c>
      <c r="M960" s="17">
        <v>2.23333E-3</v>
      </c>
      <c r="N960" s="16">
        <f>ROUND(K960*L960*M960,2)</f>
        <v>-0.56000000000000005</v>
      </c>
      <c r="O960" s="16">
        <f>ROUND(K960*M960*12,2)</f>
        <v>-0.96</v>
      </c>
      <c r="P960" s="14"/>
      <c r="Q960" s="210" t="str">
        <f>VLOOKUP(D960,'WO Descriptions'!$A$5:$D$345,4)</f>
        <v>Approved by: Gary Williams on 10/20/2014,  REPLACE 1 1/4 PE SERVICE WITH 2 IN PE DUE TO CUSOTMER ADDING A BOILER LOAD 6,050 CFH). ECONOMIC EVALUATION WILL COVER COST OF PROJECT.</v>
      </c>
    </row>
    <row r="961" spans="1:19" ht="45" outlineLevel="2">
      <c r="A961" s="3" t="s">
        <v>1106</v>
      </c>
      <c r="B961" s="14" t="s">
        <v>66</v>
      </c>
      <c r="C961" s="15" t="s">
        <v>1105</v>
      </c>
      <c r="D961" s="15" t="s">
        <v>1106</v>
      </c>
      <c r="E961" s="14" t="s">
        <v>1107</v>
      </c>
      <c r="F961" s="15" t="s">
        <v>466</v>
      </c>
      <c r="G961" s="14" t="s">
        <v>467</v>
      </c>
      <c r="H961" s="15" t="s">
        <v>23</v>
      </c>
      <c r="I961" s="15" t="s">
        <v>1527</v>
      </c>
      <c r="J961" s="15">
        <v>201412</v>
      </c>
      <c r="K961" s="16">
        <v>1948.51</v>
      </c>
      <c r="L961" s="171">
        <f>VLOOKUP(J961,$U$9:$V$23,2)</f>
        <v>6</v>
      </c>
      <c r="M961" s="17">
        <v>2.23333E-3</v>
      </c>
      <c r="N961" s="16">
        <f>ROUND(K961*L961*M961,2)</f>
        <v>26.11</v>
      </c>
      <c r="O961" s="16">
        <f>ROUND(K961*M961*12,2)</f>
        <v>52.22</v>
      </c>
      <c r="P961" s="14"/>
      <c r="Q961" s="210" t="str">
        <f>VLOOKUP(D961,'WO Descriptions'!$A$5:$D$345,4)</f>
        <v>Approved by: Gary Williams on 10/20/2014,  REPLACE 1 1/4 PE SERVICE WITH 2 IN PE DUE TO CUSOTMER ADDING A BOILER LOAD 6,050 CFH). ECONOMIC EVALUATION WILL COVER COST OF PROJECT.</v>
      </c>
    </row>
    <row r="962" spans="1:19" outlineLevel="1">
      <c r="A962" s="3" t="s">
        <v>2091</v>
      </c>
      <c r="B962" s="223"/>
      <c r="C962" s="250"/>
      <c r="D962" s="254" t="s">
        <v>2091</v>
      </c>
      <c r="E962" s="223"/>
      <c r="F962" s="250"/>
      <c r="G962" s="223"/>
      <c r="H962" s="250"/>
      <c r="I962" s="250"/>
      <c r="J962" s="250"/>
      <c r="K962" s="251">
        <f>SUBTOTAL(9,K959:K961)</f>
        <v>3227.34</v>
      </c>
      <c r="L962" s="252"/>
      <c r="M962" s="253"/>
      <c r="N962" s="251">
        <f>SUBTOTAL(9,N959:N961)</f>
        <v>49.04</v>
      </c>
      <c r="O962" s="251">
        <f>SUBTOTAL(9,O959:O961)</f>
        <v>86.5</v>
      </c>
      <c r="P962" s="223"/>
      <c r="Q962" s="210"/>
      <c r="R962" s="263" t="s">
        <v>2097</v>
      </c>
      <c r="S962" s="263" t="s">
        <v>2104</v>
      </c>
    </row>
    <row r="963" spans="1:19" ht="30" outlineLevel="2">
      <c r="A963" s="3" t="s">
        <v>1094</v>
      </c>
      <c r="B963" s="14" t="s">
        <v>54</v>
      </c>
      <c r="C963" s="15" t="s">
        <v>1093</v>
      </c>
      <c r="D963" s="15" t="s">
        <v>1094</v>
      </c>
      <c r="E963" s="14" t="s">
        <v>1095</v>
      </c>
      <c r="F963" s="15" t="s">
        <v>27</v>
      </c>
      <c r="G963" s="14" t="s">
        <v>28</v>
      </c>
      <c r="H963" s="15" t="s">
        <v>23</v>
      </c>
      <c r="I963" s="15" t="s">
        <v>1525</v>
      </c>
      <c r="J963" s="15">
        <v>201412</v>
      </c>
      <c r="K963" s="16">
        <v>134.33000000000001</v>
      </c>
      <c r="L963" s="171">
        <f>VLOOKUP(J963,$U$9:$V$23,2)</f>
        <v>6</v>
      </c>
      <c r="M963" s="17">
        <v>1.4833299999999999E-3</v>
      </c>
      <c r="N963" s="16">
        <f>ROUND(K963*L963*M963,2)</f>
        <v>1.2</v>
      </c>
      <c r="O963" s="16">
        <f>ROUND(K963*M963*12,2)</f>
        <v>2.39</v>
      </c>
      <c r="P963" s="14"/>
      <c r="Q963" s="210" t="str">
        <f>VLOOKUP(D963,'WO Descriptions'!$A$5:$D$345,4)</f>
        <v>Approved by: Gary Williams on 11/03/2014,  Replace 60' of 2"plastic main due to third party damage.Installed 60' of 2"PE.</v>
      </c>
    </row>
    <row r="964" spans="1:19" outlineLevel="1">
      <c r="A964" s="3" t="s">
        <v>2092</v>
      </c>
      <c r="B964" s="223"/>
      <c r="C964" s="250"/>
      <c r="D964" s="254" t="s">
        <v>2092</v>
      </c>
      <c r="E964" s="223"/>
      <c r="F964" s="250"/>
      <c r="G964" s="223"/>
      <c r="H964" s="250"/>
      <c r="I964" s="250"/>
      <c r="J964" s="250"/>
      <c r="K964" s="251">
        <f>SUBTOTAL(9,K963:K963)</f>
        <v>134.33000000000001</v>
      </c>
      <c r="L964" s="252"/>
      <c r="M964" s="253"/>
      <c r="N964" s="251">
        <f>SUBTOTAL(9,N963:N963)</f>
        <v>1.2</v>
      </c>
      <c r="O964" s="251">
        <f>SUBTOTAL(9,O963:O963)</f>
        <v>2.39</v>
      </c>
      <c r="P964" s="223"/>
      <c r="Q964" s="210"/>
      <c r="R964" s="263" t="s">
        <v>2097</v>
      </c>
      <c r="S964" s="263" t="s">
        <v>2099</v>
      </c>
    </row>
    <row r="965" spans="1:19" ht="30" outlineLevel="2">
      <c r="A965" s="3" t="s">
        <v>1097</v>
      </c>
      <c r="B965" s="14" t="s">
        <v>54</v>
      </c>
      <c r="C965" s="15" t="s">
        <v>1096</v>
      </c>
      <c r="D965" s="15" t="s">
        <v>1097</v>
      </c>
      <c r="E965" s="14" t="s">
        <v>1098</v>
      </c>
      <c r="F965" s="15" t="s">
        <v>462</v>
      </c>
      <c r="G965" s="14" t="s">
        <v>142</v>
      </c>
      <c r="H965" s="15" t="s">
        <v>23</v>
      </c>
      <c r="I965" s="15" t="s">
        <v>1525</v>
      </c>
      <c r="J965" s="15">
        <v>201412</v>
      </c>
      <c r="K965" s="16">
        <v>16814.27</v>
      </c>
      <c r="L965" s="171">
        <f>VLOOKUP(J965,$U$9:$V$23,2)</f>
        <v>6</v>
      </c>
      <c r="M965" s="17">
        <v>1.4833299999999999E-3</v>
      </c>
      <c r="N965" s="16">
        <f>ROUND(K965*L965*M965,2)</f>
        <v>149.65</v>
      </c>
      <c r="O965" s="16">
        <f>ROUND(K965*M965*12,2)</f>
        <v>299.29000000000002</v>
      </c>
      <c r="P965" s="14"/>
      <c r="Q965" s="210" t="str">
        <f>VLOOKUP(D965,'WO Descriptions'!$A$5:$D$345,4)</f>
        <v>Service/Yard Line Replacement (SLRP): Contract Crew.  Rebuild meter/regulator setting (exclude regulator) (Joplin - South Region).</v>
      </c>
    </row>
    <row r="966" spans="1:19" outlineLevel="1">
      <c r="A966" s="3" t="s">
        <v>2093</v>
      </c>
      <c r="B966" s="223"/>
      <c r="C966" s="250"/>
      <c r="D966" s="254" t="s">
        <v>2093</v>
      </c>
      <c r="E966" s="223"/>
      <c r="F966" s="250"/>
      <c r="G966" s="223"/>
      <c r="H966" s="250"/>
      <c r="I966" s="250"/>
      <c r="J966" s="250"/>
      <c r="K966" s="251">
        <f>SUBTOTAL(9,K965:K965)</f>
        <v>16814.27</v>
      </c>
      <c r="L966" s="252"/>
      <c r="M966" s="253"/>
      <c r="N966" s="251">
        <f>SUBTOTAL(9,N965:N965)</f>
        <v>149.65</v>
      </c>
      <c r="O966" s="251">
        <f>SUBTOTAL(9,O965:O965)</f>
        <v>299.29000000000002</v>
      </c>
      <c r="P966" s="223"/>
      <c r="Q966" s="210"/>
      <c r="R966" s="263" t="s">
        <v>2097</v>
      </c>
      <c r="S966" s="263" t="s">
        <v>2100</v>
      </c>
    </row>
    <row r="967" spans="1:19" outlineLevel="1">
      <c r="B967" s="211"/>
      <c r="C967" s="211" t="s">
        <v>1749</v>
      </c>
      <c r="D967" s="212"/>
      <c r="E967" s="211"/>
      <c r="F967" s="212"/>
      <c r="G967" s="211" t="s">
        <v>1749</v>
      </c>
      <c r="H967" s="212"/>
      <c r="I967" s="212" t="s">
        <v>1530</v>
      </c>
      <c r="J967" s="212">
        <v>201501</v>
      </c>
      <c r="K967" s="213">
        <f>+'BWO Estimate'!H72</f>
        <v>50557.710000000006</v>
      </c>
      <c r="L967" s="171">
        <f t="shared" ref="L967:L975" si="0">VLOOKUP(J967,$U$9:$V$23,2)</f>
        <v>5</v>
      </c>
      <c r="M967" s="214">
        <v>2.0333299999999999E-3</v>
      </c>
      <c r="N967" s="213">
        <f t="shared" ref="N967:N974" si="1">ROUND(K967*L967*M967,2)</f>
        <v>514</v>
      </c>
      <c r="O967" s="213">
        <f t="shared" ref="O967:O974" si="2">ROUND(K967*M967*12,2)</f>
        <v>1233.6099999999999</v>
      </c>
      <c r="P967" s="14"/>
      <c r="Q967" s="210"/>
    </row>
    <row r="968" spans="1:19" outlineLevel="1">
      <c r="B968" s="211"/>
      <c r="C968" s="211" t="s">
        <v>1749</v>
      </c>
      <c r="D968" s="212"/>
      <c r="E968" s="211"/>
      <c r="F968" s="212"/>
      <c r="G968" s="211" t="s">
        <v>1749</v>
      </c>
      <c r="H968" s="212"/>
      <c r="I968" s="212" t="s">
        <v>1530</v>
      </c>
      <c r="J968" s="212">
        <v>201501</v>
      </c>
      <c r="K968" s="213">
        <f>+'BWO Estimate'!H110</f>
        <v>570437.79333333333</v>
      </c>
      <c r="L968" s="171">
        <f t="shared" si="0"/>
        <v>5</v>
      </c>
      <c r="M968" s="214">
        <v>2.23333E-3</v>
      </c>
      <c r="N968" s="213">
        <f t="shared" si="1"/>
        <v>6369.88</v>
      </c>
      <c r="O968" s="213">
        <f t="shared" si="2"/>
        <v>15287.71</v>
      </c>
      <c r="P968" s="14"/>
      <c r="Q968" s="210"/>
    </row>
    <row r="969" spans="1:19" outlineLevel="1">
      <c r="B969" s="14"/>
      <c r="C969" s="14" t="s">
        <v>1749</v>
      </c>
      <c r="D969" s="15"/>
      <c r="E969" s="14"/>
      <c r="F969" s="15"/>
      <c r="G969" s="14" t="s">
        <v>1749</v>
      </c>
      <c r="H969" s="15"/>
      <c r="I969" s="15" t="s">
        <v>1524</v>
      </c>
      <c r="J969" s="15">
        <v>201501</v>
      </c>
      <c r="K969" s="16">
        <f>+'BWO Estimate'!H51</f>
        <v>144000</v>
      </c>
      <c r="L969" s="171">
        <f t="shared" si="0"/>
        <v>5</v>
      </c>
      <c r="M969" s="17">
        <v>1.4833299999999999E-3</v>
      </c>
      <c r="N969" s="16">
        <f t="shared" si="1"/>
        <v>1068</v>
      </c>
      <c r="O969" s="16">
        <f t="shared" si="2"/>
        <v>2563.19</v>
      </c>
      <c r="P969" s="14"/>
      <c r="Q969" s="210"/>
    </row>
    <row r="970" spans="1:19" outlineLevel="1">
      <c r="B970" s="14"/>
      <c r="C970" s="14" t="s">
        <v>1749</v>
      </c>
      <c r="D970" s="15"/>
      <c r="E970" s="14"/>
      <c r="F970" s="15"/>
      <c r="G970" s="14" t="s">
        <v>1749</v>
      </c>
      <c r="H970" s="15"/>
      <c r="I970" s="15" t="s">
        <v>1525</v>
      </c>
      <c r="J970" s="15">
        <v>201501</v>
      </c>
      <c r="K970" s="16">
        <f>+'Open WO Estimate'!I11+'Open WO Estimate'!I29+'Open WO Estimate'!I31</f>
        <v>1376125.4399999997</v>
      </c>
      <c r="L970" s="171">
        <f t="shared" si="0"/>
        <v>5</v>
      </c>
      <c r="M970" s="17">
        <v>1.4833299999999999E-3</v>
      </c>
      <c r="N970" s="16">
        <f t="shared" si="1"/>
        <v>10206.24</v>
      </c>
      <c r="O970" s="16">
        <f t="shared" si="2"/>
        <v>24494.98</v>
      </c>
      <c r="P970" s="14"/>
      <c r="Q970" s="210"/>
    </row>
    <row r="971" spans="1:19" outlineLevel="1">
      <c r="B971" s="211"/>
      <c r="C971" s="211" t="s">
        <v>1748</v>
      </c>
      <c r="D971" s="212"/>
      <c r="E971" s="211" t="s">
        <v>1748</v>
      </c>
      <c r="F971" s="212"/>
      <c r="G971" s="211" t="s">
        <v>41</v>
      </c>
      <c r="H971" s="212"/>
      <c r="I971" s="212" t="s">
        <v>1526</v>
      </c>
      <c r="J971" s="212">
        <v>201501</v>
      </c>
      <c r="K971" s="213">
        <v>133547.87</v>
      </c>
      <c r="L971" s="171">
        <f t="shared" si="0"/>
        <v>5</v>
      </c>
      <c r="M971" s="214">
        <v>1.4833299999999999E-3</v>
      </c>
      <c r="N971" s="213">
        <f t="shared" si="1"/>
        <v>990.48</v>
      </c>
      <c r="O971" s="213">
        <f t="shared" si="2"/>
        <v>2377.15</v>
      </c>
      <c r="P971" s="211"/>
      <c r="Q971" s="242"/>
      <c r="R971" s="243"/>
      <c r="S971" s="243"/>
    </row>
    <row r="972" spans="1:19" outlineLevel="1">
      <c r="B972" s="211"/>
      <c r="C972" s="211" t="s">
        <v>1750</v>
      </c>
      <c r="D972" s="212"/>
      <c r="E972" s="211"/>
      <c r="F972" s="212"/>
      <c r="G972" s="211" t="s">
        <v>1750</v>
      </c>
      <c r="H972" s="212"/>
      <c r="I972" s="212" t="s">
        <v>1530</v>
      </c>
      <c r="J972" s="212">
        <v>201502</v>
      </c>
      <c r="K972" s="213">
        <f>+'BWO Estimate'!I72</f>
        <v>37749.75680000001</v>
      </c>
      <c r="L972" s="171">
        <f t="shared" si="0"/>
        <v>4</v>
      </c>
      <c r="M972" s="214">
        <v>2.0333299999999999E-3</v>
      </c>
      <c r="N972" s="213">
        <f t="shared" si="1"/>
        <v>307.02999999999997</v>
      </c>
      <c r="O972" s="213">
        <f t="shared" si="2"/>
        <v>921.09</v>
      </c>
      <c r="P972" s="14"/>
      <c r="Q972" s="210"/>
    </row>
    <row r="973" spans="1:19" outlineLevel="1">
      <c r="B973" s="211"/>
      <c r="C973" s="211" t="s">
        <v>1750</v>
      </c>
      <c r="D973" s="212"/>
      <c r="E973" s="211"/>
      <c r="F973" s="212"/>
      <c r="G973" s="211" t="s">
        <v>1750</v>
      </c>
      <c r="H973" s="212"/>
      <c r="I973" s="212" t="s">
        <v>1530</v>
      </c>
      <c r="J973" s="212">
        <v>201502</v>
      </c>
      <c r="K973" s="213">
        <f>+'BWO Estimate'!I110</f>
        <v>425926.8856888889</v>
      </c>
      <c r="L973" s="171">
        <f t="shared" si="0"/>
        <v>4</v>
      </c>
      <c r="M973" s="214">
        <v>2.23333E-3</v>
      </c>
      <c r="N973" s="213">
        <f t="shared" si="1"/>
        <v>3804.94</v>
      </c>
      <c r="O973" s="213">
        <f t="shared" si="2"/>
        <v>11414.82</v>
      </c>
      <c r="P973" s="14"/>
      <c r="Q973" s="210"/>
    </row>
    <row r="974" spans="1:19" outlineLevel="1">
      <c r="B974" s="14"/>
      <c r="C974" s="14" t="s">
        <v>1750</v>
      </c>
      <c r="D974" s="15"/>
      <c r="E974" s="14"/>
      <c r="F974" s="15"/>
      <c r="G974" s="14" t="s">
        <v>1750</v>
      </c>
      <c r="H974" s="15"/>
      <c r="I974" s="15" t="s">
        <v>1524</v>
      </c>
      <c r="J974" s="15">
        <v>201502</v>
      </c>
      <c r="K974" s="16">
        <f>+'BWO Estimate'!I51</f>
        <v>120960</v>
      </c>
      <c r="L974" s="171">
        <f t="shared" si="0"/>
        <v>4</v>
      </c>
      <c r="M974" s="17">
        <v>1.4833299999999999E-3</v>
      </c>
      <c r="N974" s="16">
        <f t="shared" si="1"/>
        <v>717.69</v>
      </c>
      <c r="O974" s="16">
        <f t="shared" si="2"/>
        <v>2153.08</v>
      </c>
      <c r="P974" s="14"/>
      <c r="Q974" s="210"/>
    </row>
    <row r="975" spans="1:19" outlineLevel="1">
      <c r="B975" s="14"/>
      <c r="C975" s="14" t="s">
        <v>1750</v>
      </c>
      <c r="D975" s="15"/>
      <c r="E975" s="14"/>
      <c r="F975" s="15"/>
      <c r="G975" s="14" t="s">
        <v>1750</v>
      </c>
      <c r="H975" s="15"/>
      <c r="I975" s="15" t="s">
        <v>1525</v>
      </c>
      <c r="J975" s="15">
        <v>201502</v>
      </c>
      <c r="K975" s="16">
        <f>+'Open WO Estimate'!I18</f>
        <v>1107862.73</v>
      </c>
      <c r="L975" s="171">
        <f t="shared" si="0"/>
        <v>4</v>
      </c>
      <c r="M975" s="17">
        <v>1.4833299999999999E-3</v>
      </c>
      <c r="N975" s="16">
        <f t="shared" ref="N975" si="3">ROUND(K975*L975*M975,2)</f>
        <v>6573.3</v>
      </c>
      <c r="O975" s="16">
        <f t="shared" ref="O975" si="4">ROUND(K975*M975*12,2)</f>
        <v>19719.91</v>
      </c>
      <c r="P975" s="14"/>
      <c r="Q975" s="210"/>
    </row>
    <row r="976" spans="1:19" outlineLevel="1">
      <c r="B976" s="14"/>
      <c r="C976" s="15"/>
      <c r="D976" s="15"/>
      <c r="E976" s="14"/>
      <c r="F976" s="15"/>
      <c r="G976" s="14"/>
      <c r="H976" s="15"/>
      <c r="I976" s="15"/>
      <c r="J976" s="3"/>
      <c r="K976" s="238"/>
      <c r="L976" s="248"/>
      <c r="M976" s="248"/>
      <c r="N976" s="238"/>
      <c r="O976" s="249"/>
      <c r="P976" s="14"/>
    </row>
    <row r="977" spans="1:21" outlineLevel="1">
      <c r="A977" s="3" t="s">
        <v>1450</v>
      </c>
      <c r="C977" s="15"/>
      <c r="D977" s="69" t="s">
        <v>1450</v>
      </c>
      <c r="E977" s="14"/>
      <c r="F977" s="15"/>
      <c r="G977" s="14"/>
      <c r="H977" s="15"/>
      <c r="I977" s="15"/>
      <c r="J977" s="15"/>
      <c r="K977" s="267">
        <f>SUBTOTAL(9,K5:K975)</f>
        <v>21434415.215822246</v>
      </c>
      <c r="L977" s="216"/>
      <c r="M977" s="216"/>
      <c r="N977" s="267">
        <f>SUBTOTAL(9,N5:N975)</f>
        <v>232384.63999999996</v>
      </c>
      <c r="O977" s="267">
        <f>SUBTOTAL(9,O5:O975)</f>
        <v>420909.25999999978</v>
      </c>
      <c r="P977" s="20"/>
      <c r="Q977" s="210"/>
    </row>
    <row r="978" spans="1:21" outlineLevel="1">
      <c r="B978" s="14"/>
      <c r="C978" s="15"/>
      <c r="D978" s="15"/>
      <c r="E978" s="14"/>
      <c r="F978" s="15"/>
      <c r="G978" s="14"/>
      <c r="H978" s="15"/>
      <c r="I978" s="15"/>
      <c r="J978" s="15"/>
      <c r="K978" s="16"/>
      <c r="L978" s="14"/>
      <c r="M978" s="17"/>
      <c r="N978" s="16"/>
      <c r="O978" s="16"/>
      <c r="P978" s="14"/>
    </row>
    <row r="979" spans="1:21" outlineLevel="1">
      <c r="B979" s="245"/>
      <c r="C979" s="246"/>
      <c r="D979" s="246"/>
      <c r="E979" s="245"/>
      <c r="F979" s="246"/>
      <c r="G979" s="245"/>
      <c r="H979" s="246"/>
      <c r="I979" s="246"/>
      <c r="J979" s="246"/>
      <c r="K979" s="247"/>
      <c r="L979" s="245"/>
      <c r="M979" s="245"/>
      <c r="N979" s="245"/>
      <c r="O979" s="245"/>
      <c r="P979" s="245"/>
    </row>
    <row r="980" spans="1:21" outlineLevel="1">
      <c r="C980" s="3"/>
      <c r="D980" s="3"/>
      <c r="F980" s="3"/>
      <c r="H980" s="3"/>
      <c r="I980" s="3"/>
      <c r="J980" s="3"/>
      <c r="K980" s="240"/>
    </row>
    <row r="981" spans="1:21" outlineLevel="1">
      <c r="K981" s="262"/>
    </row>
    <row r="982" spans="1:21" outlineLevel="1"/>
    <row r="983" spans="1:21" outlineLevel="1">
      <c r="J983" s="215"/>
      <c r="K983" s="215"/>
      <c r="L983" s="216"/>
      <c r="M983" s="216"/>
      <c r="N983" s="215"/>
      <c r="O983" s="217"/>
    </row>
    <row r="984" spans="1:21" outlineLevel="1">
      <c r="C984" s="3"/>
      <c r="D984" s="3"/>
      <c r="F984" s="3"/>
      <c r="H984" s="3"/>
      <c r="I984" s="3"/>
      <c r="K984" s="238" t="s">
        <v>1664</v>
      </c>
    </row>
    <row r="985" spans="1:21">
      <c r="K985" s="216" t="s">
        <v>1665</v>
      </c>
      <c r="Q985" s="215" t="s">
        <v>1666</v>
      </c>
      <c r="R985" s="349" t="s">
        <v>1667</v>
      </c>
      <c r="S985" s="349"/>
      <c r="T985" s="265"/>
      <c r="U985" s="265"/>
    </row>
    <row r="986" spans="1:21" ht="30" customHeight="1">
      <c r="K986" s="216" t="s">
        <v>1668</v>
      </c>
      <c r="Q986" s="215" t="s">
        <v>1669</v>
      </c>
      <c r="R986" s="349" t="s">
        <v>1670</v>
      </c>
      <c r="S986" s="349"/>
      <c r="T986" s="265"/>
      <c r="U986" s="265"/>
    </row>
    <row r="987" spans="1:21">
      <c r="K987" s="216" t="s">
        <v>1671</v>
      </c>
      <c r="Q987" s="215" t="s">
        <v>1672</v>
      </c>
      <c r="R987" s="349" t="s">
        <v>1673</v>
      </c>
      <c r="S987" s="349"/>
      <c r="T987" s="265"/>
      <c r="U987" s="265"/>
    </row>
    <row r="988" spans="1:21">
      <c r="K988" s="216" t="s">
        <v>1674</v>
      </c>
      <c r="Q988" s="215" t="s">
        <v>1675</v>
      </c>
      <c r="R988" s="349" t="s">
        <v>1676</v>
      </c>
      <c r="S988" s="349"/>
      <c r="T988" s="265"/>
      <c r="U988" s="265"/>
    </row>
    <row r="989" spans="1:21">
      <c r="K989" s="216" t="s">
        <v>1677</v>
      </c>
      <c r="Q989" s="215" t="s">
        <v>1678</v>
      </c>
      <c r="R989" s="349" t="s">
        <v>1679</v>
      </c>
      <c r="S989" s="349"/>
      <c r="T989" s="265"/>
      <c r="U989" s="265"/>
    </row>
    <row r="990" spans="1:21">
      <c r="K990" s="216" t="s">
        <v>1680</v>
      </c>
      <c r="Q990" s="215" t="s">
        <v>1681</v>
      </c>
      <c r="R990" s="349" t="s">
        <v>1682</v>
      </c>
      <c r="S990" s="349"/>
      <c r="T990" s="265"/>
      <c r="U990" s="265"/>
    </row>
    <row r="991" spans="1:21">
      <c r="K991" s="216" t="s">
        <v>1683</v>
      </c>
      <c r="Q991" s="215" t="s">
        <v>1684</v>
      </c>
      <c r="R991" s="349" t="s">
        <v>1685</v>
      </c>
      <c r="S991" s="349"/>
      <c r="T991" s="265"/>
      <c r="U991" s="265"/>
    </row>
    <row r="992" spans="1:21">
      <c r="K992" s="216" t="s">
        <v>1686</v>
      </c>
      <c r="Q992" s="215" t="s">
        <v>1687</v>
      </c>
      <c r="R992" s="349" t="s">
        <v>1688</v>
      </c>
      <c r="S992" s="349"/>
      <c r="T992" s="265"/>
      <c r="U992" s="265"/>
    </row>
    <row r="993" spans="10:21" ht="44.25" customHeight="1">
      <c r="K993" s="216" t="s">
        <v>1689</v>
      </c>
      <c r="Q993" s="215" t="s">
        <v>1690</v>
      </c>
      <c r="R993" s="349" t="s">
        <v>1691</v>
      </c>
      <c r="S993" s="349"/>
      <c r="T993" s="266"/>
      <c r="U993" s="266"/>
    </row>
    <row r="994" spans="10:21">
      <c r="J994" s="215"/>
      <c r="K994" s="215"/>
      <c r="L994" s="216"/>
      <c r="M994" s="216"/>
      <c r="N994" s="215"/>
      <c r="O994" s="217"/>
    </row>
    <row r="995" spans="10:21" ht="48" customHeight="1">
      <c r="L995" s="264"/>
      <c r="M995" s="264"/>
      <c r="N995" s="264"/>
      <c r="O995" s="264"/>
      <c r="P995" s="264"/>
      <c r="Q995" s="264" t="s">
        <v>1692</v>
      </c>
    </row>
    <row r="996" spans="10:21">
      <c r="J996" s="244"/>
      <c r="K996" s="244"/>
      <c r="L996" s="244"/>
      <c r="M996" s="244"/>
      <c r="N996" s="215"/>
      <c r="O996" s="217"/>
    </row>
  </sheetData>
  <autoFilter ref="B4:P976">
    <sortState ref="B5:P596">
      <sortCondition ref="I5:I596"/>
      <sortCondition ref="J5:J596"/>
      <sortCondition ref="B5:B596"/>
      <sortCondition ref="D5:D596"/>
    </sortState>
  </autoFilter>
  <mergeCells count="9">
    <mergeCell ref="R991:S991"/>
    <mergeCell ref="R992:S992"/>
    <mergeCell ref="R993:S993"/>
    <mergeCell ref="R985:S985"/>
    <mergeCell ref="R986:S986"/>
    <mergeCell ref="R987:S987"/>
    <mergeCell ref="R988:S988"/>
    <mergeCell ref="R989:S989"/>
    <mergeCell ref="R990:S990"/>
  </mergeCells>
  <pageMargins left="0.7" right="0.7" top="1" bottom="0.75" header="0.8" footer="0.3"/>
  <pageSetup scale="41" fitToHeight="0" orientation="landscape" r:id="rId1"/>
  <headerFooter>
    <oddHeader>&amp;RAppendix C
Page &amp;P of &amp;N</oddHeader>
  </headerFooter>
</worksheet>
</file>

<file path=xl/worksheets/sheet5.xml><?xml version="1.0" encoding="utf-8"?>
<worksheet xmlns="http://schemas.openxmlformats.org/spreadsheetml/2006/main" xmlns:r="http://schemas.openxmlformats.org/officeDocument/2006/relationships">
  <sheetPr>
    <tabColor rgb="FF00B050"/>
    <pageSetUpPr fitToPage="1"/>
  </sheetPr>
  <dimension ref="A1:U1323"/>
  <sheetViews>
    <sheetView topLeftCell="E1" zoomScale="85" zoomScaleNormal="85" workbookViewId="0">
      <pane ySplit="4" topLeftCell="A1291" activePane="bottomLeft" state="frozen"/>
      <selection pane="bottomLeft" activeCell="O1311" sqref="O1311"/>
    </sheetView>
  </sheetViews>
  <sheetFormatPr defaultRowHeight="15" outlineLevelRow="2"/>
  <cols>
    <col min="1" max="1" width="25.5703125" style="3" customWidth="1"/>
    <col min="2" max="2" width="16.42578125" style="2" customWidth="1"/>
    <col min="3" max="3" width="13.140625" style="2" customWidth="1"/>
    <col min="4" max="4" width="40.85546875" style="3" customWidth="1"/>
    <col min="5" max="5" width="9.42578125" style="2" customWidth="1"/>
    <col min="6" max="6" width="36.7109375" style="3" customWidth="1"/>
    <col min="7" max="7" width="12.42578125" style="2" customWidth="1"/>
    <col min="8" max="8" width="14.5703125" style="2" customWidth="1"/>
    <col min="9" max="9" width="9.28515625" style="2" customWidth="1"/>
    <col min="10" max="10" width="14.7109375" style="6" customWidth="1"/>
    <col min="11" max="11" width="10.140625" style="3" customWidth="1"/>
    <col min="12" max="12" width="14.7109375" style="3" customWidth="1"/>
    <col min="13" max="13" width="15.5703125" style="3" customWidth="1"/>
    <col min="14" max="14" width="16" style="3" customWidth="1"/>
    <col min="15" max="15" width="24.5703125" style="3" customWidth="1"/>
    <col min="16" max="16" width="87.42578125" style="3" customWidth="1"/>
    <col min="17" max="17" width="18.28515625" style="3" customWidth="1"/>
    <col min="18" max="18" width="29" style="3" bestFit="1" customWidth="1"/>
    <col min="19" max="16384" width="9.140625" style="3"/>
  </cols>
  <sheetData>
    <row r="1" spans="1:21">
      <c r="A1" s="1" t="s">
        <v>0</v>
      </c>
      <c r="L1" s="7"/>
    </row>
    <row r="2" spans="1:21">
      <c r="A2" s="1" t="s">
        <v>2</v>
      </c>
    </row>
    <row r="4" spans="1:21" s="13" customFormat="1" ht="35.25" customHeight="1">
      <c r="A4" s="8" t="s">
        <v>3</v>
      </c>
      <c r="B4" s="9" t="s">
        <v>4</v>
      </c>
      <c r="C4" s="9" t="s">
        <v>5</v>
      </c>
      <c r="D4" s="8" t="s">
        <v>6</v>
      </c>
      <c r="E4" s="9" t="s">
        <v>7</v>
      </c>
      <c r="F4" s="8" t="s">
        <v>8</v>
      </c>
      <c r="G4" s="10" t="s">
        <v>9</v>
      </c>
      <c r="H4" s="10" t="s">
        <v>1529</v>
      </c>
      <c r="I4" s="9" t="s">
        <v>10</v>
      </c>
      <c r="J4" s="11" t="s">
        <v>11</v>
      </c>
      <c r="K4" s="12" t="s">
        <v>12</v>
      </c>
      <c r="L4" s="12" t="s">
        <v>13</v>
      </c>
      <c r="M4" s="12" t="s">
        <v>14</v>
      </c>
      <c r="N4" s="12" t="s">
        <v>15</v>
      </c>
      <c r="O4" s="12" t="s">
        <v>16</v>
      </c>
      <c r="P4" s="12" t="s">
        <v>1663</v>
      </c>
      <c r="Q4" s="12" t="s">
        <v>1693</v>
      </c>
      <c r="R4" s="12" t="s">
        <v>1694</v>
      </c>
    </row>
    <row r="5" spans="1:21" ht="45" outlineLevel="2">
      <c r="A5" s="14" t="s">
        <v>17</v>
      </c>
      <c r="B5" s="15" t="s">
        <v>18</v>
      </c>
      <c r="C5" s="15" t="s">
        <v>19</v>
      </c>
      <c r="D5" s="14" t="s">
        <v>20</v>
      </c>
      <c r="E5" s="15" t="s">
        <v>21</v>
      </c>
      <c r="F5" s="14" t="s">
        <v>22</v>
      </c>
      <c r="G5" s="15" t="s">
        <v>23</v>
      </c>
      <c r="H5" s="15" t="s">
        <v>1525</v>
      </c>
      <c r="I5" s="15">
        <v>201409</v>
      </c>
      <c r="J5" s="16">
        <v>-607.88</v>
      </c>
      <c r="K5" s="171">
        <f>VLOOKUP(I5,$T$9:$U$23,2)</f>
        <v>9</v>
      </c>
      <c r="L5" s="17">
        <v>1.4833299999999999E-3</v>
      </c>
      <c r="M5" s="16">
        <f>ROUND(J5*K5*L5,2)</f>
        <v>-8.1199999999999992</v>
      </c>
      <c r="N5" s="16">
        <f>ROUND(J5*L5*12,2)</f>
        <v>-10.82</v>
      </c>
      <c r="O5" s="14"/>
      <c r="P5" s="210" t="str">
        <f>VLOOKUP(C5,'WO Descriptions'!$A$5:$D$384,4,FALSE)</f>
        <v>Approved by: Kevin Driskell on 12/31/2013,  ISRS To replace 24ft of 1.5" CU main at Cypress and E 43rd St. Main is on the C-009 pressure system with a MOP=15psig and a MAOP=16psig. See attached sheet for the work order numbers, length, size and type of main to be abandoned.</v>
      </c>
      <c r="Q5" s="210"/>
      <c r="R5" s="210"/>
    </row>
    <row r="6" spans="1:21" outlineLevel="1">
      <c r="A6" s="223"/>
      <c r="B6" s="250"/>
      <c r="C6" s="254" t="s">
        <v>1753</v>
      </c>
      <c r="D6" s="223"/>
      <c r="E6" s="250"/>
      <c r="F6" s="223"/>
      <c r="G6" s="250"/>
      <c r="H6" s="250"/>
      <c r="I6" s="250"/>
      <c r="J6" s="251">
        <f>SUBTOTAL(9,J5:J5)</f>
        <v>-607.88</v>
      </c>
      <c r="K6" s="252"/>
      <c r="L6" s="253"/>
      <c r="M6" s="251">
        <f>SUBTOTAL(9,M5:M5)</f>
        <v>-8.1199999999999992</v>
      </c>
      <c r="N6" s="251">
        <f>SUBTOTAL(9,N5:N5)</f>
        <v>-10.82</v>
      </c>
      <c r="O6" s="223"/>
      <c r="P6" s="210"/>
      <c r="Q6" s="210" t="str">
        <f>VLOOKUP(C6,'Descriptions Sorted by WO '!$A$5:$S$977,18,FALSE)</f>
        <v>393.1009 (5) (a) (b)</v>
      </c>
      <c r="R6" s="210" t="str">
        <f>VLOOKUP(C6,'Descriptions Sorted by WO '!$A$5:$S$977,19,FALSE)</f>
        <v>A,B,C</v>
      </c>
    </row>
    <row r="7" spans="1:21" ht="30" outlineLevel="2">
      <c r="A7" s="14" t="s">
        <v>17</v>
      </c>
      <c r="B7" s="15" t="s">
        <v>24</v>
      </c>
      <c r="C7" s="15" t="s">
        <v>25</v>
      </c>
      <c r="D7" s="14" t="s">
        <v>26</v>
      </c>
      <c r="E7" s="15" t="s">
        <v>27</v>
      </c>
      <c r="F7" s="14" t="s">
        <v>28</v>
      </c>
      <c r="G7" s="15" t="s">
        <v>23</v>
      </c>
      <c r="H7" s="15" t="s">
        <v>1525</v>
      </c>
      <c r="I7" s="15">
        <v>201409</v>
      </c>
      <c r="J7" s="16">
        <v>2.6</v>
      </c>
      <c r="K7" s="171">
        <f>VLOOKUP(I7,$T$9:$U$23,2)</f>
        <v>9</v>
      </c>
      <c r="L7" s="17">
        <v>1.4833299999999999E-3</v>
      </c>
      <c r="M7" s="16">
        <f>ROUND(J7*K7*L7,2)</f>
        <v>0.03</v>
      </c>
      <c r="N7" s="16">
        <f>ROUND(J7*L7*12,2)</f>
        <v>0.05</v>
      </c>
      <c r="O7" s="14"/>
      <c r="P7" s="210" t="str">
        <f>VLOOKUP(C7,'WO Descriptions'!$A$5:$D$384,4,FALSE)</f>
        <v>Approved by: Ralph Janes on 11/07/2013,  Replace and abandon 10' - 2in pcs main (WO 642656) that was damaged by third party drilling in a power pole.</v>
      </c>
      <c r="Q7" s="210"/>
      <c r="R7" s="210"/>
      <c r="T7" s="171" t="s">
        <v>1542</v>
      </c>
      <c r="U7" s="171" t="s">
        <v>12</v>
      </c>
    </row>
    <row r="8" spans="1:21" outlineLevel="1">
      <c r="A8" s="223"/>
      <c r="B8" s="250"/>
      <c r="C8" s="254" t="s">
        <v>1754</v>
      </c>
      <c r="D8" s="223"/>
      <c r="E8" s="250"/>
      <c r="F8" s="223"/>
      <c r="G8" s="250"/>
      <c r="H8" s="250"/>
      <c r="I8" s="250"/>
      <c r="J8" s="251">
        <f>SUBTOTAL(9,J7:J7)</f>
        <v>2.6</v>
      </c>
      <c r="K8" s="252"/>
      <c r="L8" s="253"/>
      <c r="M8" s="251">
        <f>SUBTOTAL(9,M7:M7)</f>
        <v>0.03</v>
      </c>
      <c r="N8" s="251">
        <f>SUBTOTAL(9,N7:N7)</f>
        <v>0.05</v>
      </c>
      <c r="O8" s="223"/>
      <c r="P8" s="210"/>
      <c r="Q8" s="210" t="str">
        <f>VLOOKUP(C8,'Descriptions Sorted by WO '!$A$5:$S$977,18,FALSE)</f>
        <v>393.1009 (5) (a) (b)</v>
      </c>
      <c r="R8" s="210" t="str">
        <f>VLOOKUP(C8,'Descriptions Sorted by WO '!$A$5:$S$977,19,FALSE)</f>
        <v>A,B</v>
      </c>
      <c r="T8" s="252"/>
      <c r="U8" s="252"/>
    </row>
    <row r="9" spans="1:21" ht="45" outlineLevel="2">
      <c r="A9" s="14" t="s">
        <v>17</v>
      </c>
      <c r="B9" s="15" t="s">
        <v>29</v>
      </c>
      <c r="C9" s="15" t="s">
        <v>30</v>
      </c>
      <c r="D9" s="14" t="s">
        <v>31</v>
      </c>
      <c r="E9" s="15" t="s">
        <v>32</v>
      </c>
      <c r="F9" s="14" t="s">
        <v>22</v>
      </c>
      <c r="G9" s="15" t="s">
        <v>23</v>
      </c>
      <c r="H9" s="15" t="s">
        <v>1525</v>
      </c>
      <c r="I9" s="15">
        <v>201409</v>
      </c>
      <c r="J9" s="16">
        <v>-49.61</v>
      </c>
      <c r="K9" s="171">
        <f>VLOOKUP(I9,$T$9:$U$23,2)</f>
        <v>9</v>
      </c>
      <c r="L9" s="17">
        <v>1.4833299999999999E-3</v>
      </c>
      <c r="M9" s="16">
        <f>ROUND(J9*K9*L9,2)</f>
        <v>-0.66</v>
      </c>
      <c r="N9" s="16">
        <f>ROUND(J9*L9*12,2)</f>
        <v>-0.88</v>
      </c>
      <c r="O9" s="14"/>
      <c r="P9" s="210" t="str">
        <f>VLOOKUP(C9,'WO Descriptions'!$A$5:$D$384,4,FALSE)</f>
        <v>Approved by: Galen Shoemaker on 09/23/2013,  To replace 20ft of 4in BS (JO9B) and 5ft of 2in CS (JO9B) and 5ft of 2in CS (65-4958) with 2in CS due to leakage and poor condition of main. MOP=30# MAOP=31# SYSTEM=S-6 TEST=100#</v>
      </c>
      <c r="Q9" s="210"/>
      <c r="R9" s="210"/>
      <c r="T9" s="172">
        <v>201409</v>
      </c>
      <c r="U9" s="171">
        <v>9</v>
      </c>
    </row>
    <row r="10" spans="1:21" outlineLevel="1">
      <c r="A10" s="223"/>
      <c r="B10" s="250"/>
      <c r="C10" s="254" t="s">
        <v>1755</v>
      </c>
      <c r="D10" s="223"/>
      <c r="E10" s="250"/>
      <c r="F10" s="223"/>
      <c r="G10" s="250"/>
      <c r="H10" s="250"/>
      <c r="I10" s="250"/>
      <c r="J10" s="251">
        <f>SUBTOTAL(9,J9:J9)</f>
        <v>-49.61</v>
      </c>
      <c r="K10" s="252"/>
      <c r="L10" s="253"/>
      <c r="M10" s="251">
        <f>SUBTOTAL(9,M9:M9)</f>
        <v>-0.66</v>
      </c>
      <c r="N10" s="251">
        <f>SUBTOTAL(9,N9:N9)</f>
        <v>-0.88</v>
      </c>
      <c r="O10" s="223"/>
      <c r="P10" s="210"/>
      <c r="Q10" s="210" t="str">
        <f>VLOOKUP(C10,'Descriptions Sorted by WO '!$A$5:$S$977,18,FALSE)</f>
        <v>393.1009 (5) (a) (b)</v>
      </c>
      <c r="R10" s="210" t="str">
        <f>VLOOKUP(C10,'Descriptions Sorted by WO '!$A$5:$S$977,19,FALSE)</f>
        <v>A,B,C</v>
      </c>
      <c r="T10" s="255"/>
      <c r="U10" s="252"/>
    </row>
    <row r="11" spans="1:21" ht="45" outlineLevel="2">
      <c r="A11" s="14" t="s">
        <v>17</v>
      </c>
      <c r="B11" s="15" t="s">
        <v>33</v>
      </c>
      <c r="C11" s="15" t="s">
        <v>34</v>
      </c>
      <c r="D11" s="14" t="s">
        <v>35</v>
      </c>
      <c r="E11" s="15" t="s">
        <v>36</v>
      </c>
      <c r="F11" s="14" t="s">
        <v>22</v>
      </c>
      <c r="G11" s="15" t="s">
        <v>23</v>
      </c>
      <c r="H11" s="15" t="s">
        <v>1525</v>
      </c>
      <c r="I11" s="15">
        <v>201409</v>
      </c>
      <c r="J11" s="16">
        <v>-133.36000000000001</v>
      </c>
      <c r="K11" s="171">
        <f>VLOOKUP(I11,$T$9:$U$23,2)</f>
        <v>9</v>
      </c>
      <c r="L11" s="17">
        <v>1.4833299999999999E-3</v>
      </c>
      <c r="M11" s="16">
        <f>ROUND(J11*K11*L11,2)</f>
        <v>-1.78</v>
      </c>
      <c r="N11" s="16">
        <f>ROUND(J11*L11*12,2)</f>
        <v>-2.37</v>
      </c>
      <c r="O11" s="14"/>
      <c r="P11" s="210" t="str">
        <f>VLOOKUP(C11,'WO Descriptions'!$A$5:$D$384,4,FALSE)</f>
        <v>Approved by: Gary Williams on 07/22/2013,  This work order is necessary to replace 600ft-4in bs main (WO#6580) with 4in pe main (WO#13-2796) due to low reads. Pressure System C-01 Pressure .88.</v>
      </c>
      <c r="Q11" s="210"/>
      <c r="R11" s="210"/>
      <c r="T11" s="172">
        <v>201410</v>
      </c>
      <c r="U11" s="171">
        <v>8</v>
      </c>
    </row>
    <row r="12" spans="1:21" outlineLevel="1">
      <c r="A12" s="223"/>
      <c r="B12" s="250"/>
      <c r="C12" s="254" t="s">
        <v>1756</v>
      </c>
      <c r="D12" s="223"/>
      <c r="E12" s="250"/>
      <c r="F12" s="223"/>
      <c r="G12" s="250"/>
      <c r="H12" s="250"/>
      <c r="I12" s="250"/>
      <c r="J12" s="251">
        <f>SUBTOTAL(9,J11:J11)</f>
        <v>-133.36000000000001</v>
      </c>
      <c r="K12" s="252"/>
      <c r="L12" s="253"/>
      <c r="M12" s="251">
        <f>SUBTOTAL(9,M11:M11)</f>
        <v>-1.78</v>
      </c>
      <c r="N12" s="251">
        <f>SUBTOTAL(9,N11:N11)</f>
        <v>-2.37</v>
      </c>
      <c r="O12" s="223"/>
      <c r="P12" s="210"/>
      <c r="Q12" s="210" t="str">
        <f>VLOOKUP(C12,'Descriptions Sorted by WO '!$A$5:$S$977,18,FALSE)</f>
        <v>393.1009 (5) (a) (b)</v>
      </c>
      <c r="R12" s="210" t="str">
        <f>VLOOKUP(C12,'Descriptions Sorted by WO '!$A$5:$S$977,19,FALSE)</f>
        <v>A,B,C</v>
      </c>
      <c r="T12" s="255"/>
      <c r="U12" s="252"/>
    </row>
    <row r="13" spans="1:21" ht="30" outlineLevel="2">
      <c r="A13" s="14" t="s">
        <v>17</v>
      </c>
      <c r="B13" s="15" t="s">
        <v>37</v>
      </c>
      <c r="C13" s="15" t="s">
        <v>38</v>
      </c>
      <c r="D13" s="14" t="s">
        <v>39</v>
      </c>
      <c r="E13" s="15" t="s">
        <v>40</v>
      </c>
      <c r="F13" s="14" t="s">
        <v>41</v>
      </c>
      <c r="G13" s="15" t="s">
        <v>23</v>
      </c>
      <c r="H13" s="15" t="s">
        <v>1526</v>
      </c>
      <c r="I13" s="15">
        <v>201409</v>
      </c>
      <c r="J13" s="16">
        <v>10.42</v>
      </c>
      <c r="K13" s="171">
        <f>VLOOKUP(I13,$T$9:$U$23,2)</f>
        <v>9</v>
      </c>
      <c r="L13" s="17">
        <v>1.4833299999999999E-3</v>
      </c>
      <c r="M13" s="16">
        <f>ROUND(J13*K13*L13,2)</f>
        <v>0.14000000000000001</v>
      </c>
      <c r="N13" s="16">
        <f>ROUND(J13*L13*12,2)</f>
        <v>0.19</v>
      </c>
      <c r="O13" s="14"/>
      <c r="P13" s="210" t="str">
        <f>VLOOKUP(C13,'WO Descriptions'!$A$5:$D$384,4,FALSE)</f>
        <v>Approved by: Kevin Driskell on 09/23/2013,  Relocate 9' of 4'' PE main around storm structure (original WO 13-2516). S-056 pressure system.</v>
      </c>
      <c r="Q13" s="210"/>
      <c r="R13" s="210"/>
      <c r="T13" s="172">
        <v>201411</v>
      </c>
      <c r="U13" s="171">
        <v>7</v>
      </c>
    </row>
    <row r="14" spans="1:21" outlineLevel="1">
      <c r="A14" s="223"/>
      <c r="B14" s="250"/>
      <c r="C14" s="254" t="s">
        <v>1757</v>
      </c>
      <c r="D14" s="223"/>
      <c r="E14" s="250"/>
      <c r="F14" s="223"/>
      <c r="G14" s="250"/>
      <c r="H14" s="250"/>
      <c r="I14" s="250"/>
      <c r="J14" s="251">
        <f>SUBTOTAL(9,J13:J13)</f>
        <v>10.42</v>
      </c>
      <c r="K14" s="252"/>
      <c r="L14" s="253"/>
      <c r="M14" s="251">
        <f>SUBTOTAL(9,M13:M13)</f>
        <v>0.14000000000000001</v>
      </c>
      <c r="N14" s="251">
        <f>SUBTOTAL(9,N13:N13)</f>
        <v>0.19</v>
      </c>
      <c r="O14" s="223"/>
      <c r="P14" s="210"/>
      <c r="Q14" s="210" t="str">
        <f>VLOOKUP(C14,'Descriptions Sorted by WO '!$A$5:$S$977,18,FALSE)</f>
        <v>393.1009 (5) (C)</v>
      </c>
      <c r="R14" s="210"/>
      <c r="T14" s="255"/>
      <c r="U14" s="252"/>
    </row>
    <row r="15" spans="1:21" ht="30" outlineLevel="2">
      <c r="A15" s="14" t="s">
        <v>17</v>
      </c>
      <c r="B15" s="15" t="s">
        <v>42</v>
      </c>
      <c r="C15" s="15" t="s">
        <v>43</v>
      </c>
      <c r="D15" s="14" t="s">
        <v>44</v>
      </c>
      <c r="E15" s="15" t="s">
        <v>45</v>
      </c>
      <c r="F15" s="14" t="s">
        <v>22</v>
      </c>
      <c r="G15" s="15" t="s">
        <v>23</v>
      </c>
      <c r="H15" s="15" t="s">
        <v>1525</v>
      </c>
      <c r="I15" s="15">
        <v>201409</v>
      </c>
      <c r="J15" s="16">
        <v>7.45</v>
      </c>
      <c r="K15" s="171">
        <f>VLOOKUP(I15,$T$9:$U$23,2)</f>
        <v>9</v>
      </c>
      <c r="L15" s="17">
        <v>1.4833299999999999E-3</v>
      </c>
      <c r="M15" s="16">
        <f>ROUND(J15*K15*L15,2)</f>
        <v>0.1</v>
      </c>
      <c r="N15" s="16">
        <f>ROUND(J15*L15*12,2)</f>
        <v>0.13</v>
      </c>
      <c r="O15" s="14"/>
      <c r="P15" s="210" t="str">
        <f>VLOOKUP(C15,'WO Descriptions'!$A$5:$D$384,4,FALSE)</f>
        <v>Approved by: Kevin Driskell on 09/23/2013,  Replace 2" PBS with 12' of 2" thin film steel due to leak.  Abandon 8' of 2" PBS (WO I333).  Work done by MGE crew.  MOP=15#, MAOP=15#</v>
      </c>
      <c r="Q15" s="210"/>
      <c r="R15" s="210"/>
      <c r="T15" s="172">
        <v>201412</v>
      </c>
      <c r="U15" s="171">
        <v>6</v>
      </c>
    </row>
    <row r="16" spans="1:21" outlineLevel="1">
      <c r="A16" s="223"/>
      <c r="B16" s="250"/>
      <c r="C16" s="254" t="s">
        <v>1758</v>
      </c>
      <c r="D16" s="223"/>
      <c r="E16" s="250"/>
      <c r="F16" s="223"/>
      <c r="G16" s="250"/>
      <c r="H16" s="250"/>
      <c r="I16" s="250"/>
      <c r="J16" s="251">
        <f>SUBTOTAL(9,J15:J15)</f>
        <v>7.45</v>
      </c>
      <c r="K16" s="252"/>
      <c r="L16" s="253"/>
      <c r="M16" s="251">
        <f>SUBTOTAL(9,M15:M15)</f>
        <v>0.1</v>
      </c>
      <c r="N16" s="251">
        <f>SUBTOTAL(9,N15:N15)</f>
        <v>0.13</v>
      </c>
      <c r="O16" s="223"/>
      <c r="P16" s="210"/>
      <c r="Q16" s="210" t="str">
        <f>VLOOKUP(C16,'Descriptions Sorted by WO '!$A$5:$S$977,18,FALSE)</f>
        <v>393.1009 (5) (a) (b)</v>
      </c>
      <c r="R16" s="210" t="str">
        <f>VLOOKUP(C16,'Descriptions Sorted by WO '!$A$5:$S$977,19,FALSE)</f>
        <v>A,B,C</v>
      </c>
      <c r="T16" s="255"/>
      <c r="U16" s="252"/>
    </row>
    <row r="17" spans="1:21" ht="60" outlineLevel="2">
      <c r="A17" s="14" t="s">
        <v>17</v>
      </c>
      <c r="B17" s="15" t="s">
        <v>46</v>
      </c>
      <c r="C17" s="15" t="s">
        <v>47</v>
      </c>
      <c r="D17" s="14" t="s">
        <v>48</v>
      </c>
      <c r="E17" s="15" t="s">
        <v>49</v>
      </c>
      <c r="F17" s="14" t="s">
        <v>22</v>
      </c>
      <c r="G17" s="15" t="s">
        <v>23</v>
      </c>
      <c r="H17" s="15" t="s">
        <v>1525</v>
      </c>
      <c r="I17" s="15">
        <v>201409</v>
      </c>
      <c r="J17" s="16">
        <v>20.05</v>
      </c>
      <c r="K17" s="171">
        <f>VLOOKUP(I17,$T$9:$U$23,2)</f>
        <v>9</v>
      </c>
      <c r="L17" s="17">
        <v>1.4833299999999999E-3</v>
      </c>
      <c r="M17" s="16">
        <f>ROUND(J17*K17*L17,2)</f>
        <v>0.27</v>
      </c>
      <c r="N17" s="16">
        <f>ROUND(J17*L17*12,2)</f>
        <v>0.36</v>
      </c>
      <c r="O17" s="14"/>
      <c r="P17" s="210" t="str">
        <f>VLOOKUP(C17,'WO Descriptions'!$A$5:$D$384,4,FALSE)</f>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
      <c r="Q17" s="210"/>
      <c r="R17" s="210"/>
      <c r="T17" s="172">
        <v>201501</v>
      </c>
      <c r="U17" s="171">
        <v>5</v>
      </c>
    </row>
    <row r="18" spans="1:21" outlineLevel="1">
      <c r="A18" s="223"/>
      <c r="B18" s="250"/>
      <c r="C18" s="254" t="s">
        <v>1759</v>
      </c>
      <c r="D18" s="223"/>
      <c r="E18" s="250"/>
      <c r="F18" s="223"/>
      <c r="G18" s="250"/>
      <c r="H18" s="250"/>
      <c r="I18" s="250"/>
      <c r="J18" s="251">
        <f>SUBTOTAL(9,J17:J17)</f>
        <v>20.05</v>
      </c>
      <c r="K18" s="252"/>
      <c r="L18" s="253"/>
      <c r="M18" s="251">
        <f>SUBTOTAL(9,M17:M17)</f>
        <v>0.27</v>
      </c>
      <c r="N18" s="251">
        <f>SUBTOTAL(9,N17:N17)</f>
        <v>0.36</v>
      </c>
      <c r="O18" s="223"/>
      <c r="P18" s="210"/>
      <c r="Q18" s="210" t="str">
        <f>VLOOKUP(C18,'Descriptions Sorted by WO '!$A$5:$S$977,18,FALSE)</f>
        <v>393.1009 (5) (a) (b)</v>
      </c>
      <c r="R18" s="210" t="str">
        <f>VLOOKUP(C18,'Descriptions Sorted by WO '!$A$5:$S$977,19,FALSE)</f>
        <v>A,B,C</v>
      </c>
      <c r="T18" s="255"/>
      <c r="U18" s="252"/>
    </row>
    <row r="19" spans="1:21" ht="90" outlineLevel="2">
      <c r="A19" s="14" t="s">
        <v>17</v>
      </c>
      <c r="B19" s="15" t="s">
        <v>50</v>
      </c>
      <c r="C19" s="15" t="s">
        <v>51</v>
      </c>
      <c r="D19" s="14" t="s">
        <v>52</v>
      </c>
      <c r="E19" s="15" t="s">
        <v>53</v>
      </c>
      <c r="F19" s="14" t="s">
        <v>41</v>
      </c>
      <c r="G19" s="15" t="s">
        <v>23</v>
      </c>
      <c r="H19" s="15" t="s">
        <v>1526</v>
      </c>
      <c r="I19" s="15">
        <v>201409</v>
      </c>
      <c r="J19" s="16">
        <v>24425.73</v>
      </c>
      <c r="K19" s="171">
        <f>VLOOKUP(I19,$T$9:$U$23,2)</f>
        <v>9</v>
      </c>
      <c r="L19" s="17">
        <v>1.4833299999999999E-3</v>
      </c>
      <c r="M19" s="16">
        <f>ROUND(J19*K19*L19,2)</f>
        <v>326.08</v>
      </c>
      <c r="N19" s="16">
        <f>ROUND(J19*L19*12,2)</f>
        <v>434.78</v>
      </c>
      <c r="O19" s="14"/>
      <c r="P19" s="210" t="str">
        <f>VLOOKUP(C19,'WO Descriptions'!$A$5:$D$384,4,FALSE)</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Q19" s="210"/>
      <c r="R19" s="210"/>
      <c r="T19" s="172">
        <v>201502</v>
      </c>
      <c r="U19" s="171">
        <v>4</v>
      </c>
    </row>
    <row r="20" spans="1:21" ht="90" outlineLevel="2">
      <c r="A20" s="14" t="s">
        <v>17</v>
      </c>
      <c r="B20" s="15" t="s">
        <v>50</v>
      </c>
      <c r="C20" s="15" t="s">
        <v>51</v>
      </c>
      <c r="D20" s="14" t="s">
        <v>52</v>
      </c>
      <c r="E20" s="15" t="s">
        <v>53</v>
      </c>
      <c r="F20" s="14" t="s">
        <v>41</v>
      </c>
      <c r="G20" s="15" t="s">
        <v>23</v>
      </c>
      <c r="H20" s="15" t="s">
        <v>1526</v>
      </c>
      <c r="I20" s="15">
        <v>201410</v>
      </c>
      <c r="J20" s="16">
        <v>-17.78</v>
      </c>
      <c r="K20" s="171">
        <f>VLOOKUP(I20,$T$9:$U$23,2)</f>
        <v>8</v>
      </c>
      <c r="L20" s="17">
        <v>1.4833299999999999E-3</v>
      </c>
      <c r="M20" s="16">
        <f>ROUND(J20*K20*L20,2)</f>
        <v>-0.21</v>
      </c>
      <c r="N20" s="16">
        <f>ROUND(J20*L20*12,2)</f>
        <v>-0.32</v>
      </c>
      <c r="O20" s="14"/>
      <c r="P20" s="210" t="str">
        <f>VLOOKUP(C20,'WO Descriptions'!$A$5:$D$384,4,FALSE)</f>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
      <c r="Q20" s="210"/>
      <c r="R20" s="210"/>
      <c r="T20" s="172">
        <v>201503</v>
      </c>
      <c r="U20" s="171">
        <v>3</v>
      </c>
    </row>
    <row r="21" spans="1:21" outlineLevel="1">
      <c r="A21" s="223"/>
      <c r="B21" s="250"/>
      <c r="C21" s="254" t="s">
        <v>1760</v>
      </c>
      <c r="D21" s="223"/>
      <c r="E21" s="250"/>
      <c r="F21" s="223"/>
      <c r="G21" s="250"/>
      <c r="H21" s="250"/>
      <c r="I21" s="250"/>
      <c r="J21" s="251">
        <f>SUBTOTAL(9,J19:J20)</f>
        <v>24407.95</v>
      </c>
      <c r="K21" s="252"/>
      <c r="L21" s="253"/>
      <c r="M21" s="251">
        <f>SUBTOTAL(9,M19:M20)</f>
        <v>325.87</v>
      </c>
      <c r="N21" s="251">
        <f>SUBTOTAL(9,N19:N20)</f>
        <v>434.46</v>
      </c>
      <c r="O21" s="223"/>
      <c r="P21" s="210"/>
      <c r="Q21" s="210" t="str">
        <f>VLOOKUP(C21,'Descriptions Sorted by WO '!$A$5:$S$977,18,FALSE)</f>
        <v>393.1009 (5) (C)</v>
      </c>
      <c r="R21" s="210"/>
      <c r="T21" s="255"/>
      <c r="U21" s="252"/>
    </row>
    <row r="22" spans="1:21" ht="120" outlineLevel="2">
      <c r="A22" s="14" t="s">
        <v>54</v>
      </c>
      <c r="B22" s="15" t="s">
        <v>55</v>
      </c>
      <c r="C22" s="15" t="s">
        <v>56</v>
      </c>
      <c r="D22" s="14" t="s">
        <v>57</v>
      </c>
      <c r="E22" s="15" t="s">
        <v>58</v>
      </c>
      <c r="F22" s="14" t="s">
        <v>22</v>
      </c>
      <c r="G22" s="15" t="s">
        <v>23</v>
      </c>
      <c r="H22" s="15" t="s">
        <v>1525</v>
      </c>
      <c r="I22" s="15">
        <v>201411</v>
      </c>
      <c r="J22" s="16">
        <v>180848.77</v>
      </c>
      <c r="K22" s="171">
        <f>VLOOKUP(I22,$T$9:$U$23,2)</f>
        <v>7</v>
      </c>
      <c r="L22" s="17">
        <v>1.4833299999999999E-3</v>
      </c>
      <c r="M22" s="16">
        <f>ROUND(J22*K22*L22,2)</f>
        <v>1877.81</v>
      </c>
      <c r="N22" s="16">
        <f>ROUND(J22*L22*12,2)</f>
        <v>3219.1</v>
      </c>
      <c r="O22" s="14"/>
      <c r="P22" s="210" t="str">
        <f>VLOOKUP(C22,'WO Descriptions'!$A$5:$D$384,4,FALSE)</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Q22" s="210"/>
      <c r="R22" s="210"/>
      <c r="T22" s="172">
        <v>201504</v>
      </c>
      <c r="U22" s="171">
        <v>2</v>
      </c>
    </row>
    <row r="23" spans="1:21" ht="120" outlineLevel="2">
      <c r="A23" s="14" t="s">
        <v>54</v>
      </c>
      <c r="B23" s="15" t="s">
        <v>55</v>
      </c>
      <c r="C23" s="15" t="s">
        <v>56</v>
      </c>
      <c r="D23" s="14" t="s">
        <v>57</v>
      </c>
      <c r="E23" s="15" t="s">
        <v>58</v>
      </c>
      <c r="F23" s="14" t="s">
        <v>22</v>
      </c>
      <c r="G23" s="15" t="s">
        <v>23</v>
      </c>
      <c r="H23" s="15" t="s">
        <v>1525</v>
      </c>
      <c r="I23" s="15">
        <v>201412</v>
      </c>
      <c r="J23" s="16">
        <v>395.39</v>
      </c>
      <c r="K23" s="171">
        <f>VLOOKUP(I23,$T$9:$U$23,2)</f>
        <v>6</v>
      </c>
      <c r="L23" s="17">
        <v>1.4833299999999999E-3</v>
      </c>
      <c r="M23" s="16">
        <f>ROUND(J23*K23*L23,2)</f>
        <v>3.52</v>
      </c>
      <c r="N23" s="16">
        <f>ROUND(J23*L23*12,2)</f>
        <v>7.04</v>
      </c>
      <c r="O23" s="14"/>
      <c r="P23" s="210" t="str">
        <f>VLOOKUP(C23,'WO Descriptions'!$A$5:$D$384,4,FALSE)</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Q23" s="210"/>
      <c r="R23" s="210"/>
      <c r="T23" s="172">
        <v>201505</v>
      </c>
      <c r="U23" s="171">
        <v>1</v>
      </c>
    </row>
    <row r="24" spans="1:21" ht="120" outlineLevel="2">
      <c r="A24" s="14" t="s">
        <v>54</v>
      </c>
      <c r="B24" s="15" t="s">
        <v>55</v>
      </c>
      <c r="C24" s="15" t="s">
        <v>56</v>
      </c>
      <c r="D24" s="14" t="s">
        <v>57</v>
      </c>
      <c r="E24" s="15" t="s">
        <v>58</v>
      </c>
      <c r="F24" s="14" t="s">
        <v>22</v>
      </c>
      <c r="G24" s="15" t="s">
        <v>23</v>
      </c>
      <c r="H24" s="15" t="s">
        <v>1525</v>
      </c>
      <c r="I24" s="15">
        <v>201501</v>
      </c>
      <c r="J24" s="16">
        <v>-87.81</v>
      </c>
      <c r="K24" s="171">
        <f>VLOOKUP(I24,$T$9:$U$23,2)</f>
        <v>5</v>
      </c>
      <c r="L24" s="17">
        <v>1.4833299999999999E-3</v>
      </c>
      <c r="M24" s="16">
        <f>ROUND(J24*K24*L24,2)</f>
        <v>-0.65</v>
      </c>
      <c r="N24" s="16">
        <f>ROUND(J24*L24*12,2)</f>
        <v>-1.56</v>
      </c>
      <c r="O24" s="14"/>
      <c r="P24" s="210" t="str">
        <f>VLOOKUP(C24,'WO Descriptions'!$A$5:$D$384,4,FALSE)</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Q24" s="210"/>
      <c r="R24" s="210"/>
      <c r="T24" s="172"/>
      <c r="U24" s="171"/>
    </row>
    <row r="25" spans="1:21" ht="120" outlineLevel="2">
      <c r="A25" s="14" t="s">
        <v>54</v>
      </c>
      <c r="B25" s="15" t="s">
        <v>55</v>
      </c>
      <c r="C25" s="15" t="s">
        <v>56</v>
      </c>
      <c r="D25" s="14" t="s">
        <v>57</v>
      </c>
      <c r="E25" s="15" t="s">
        <v>58</v>
      </c>
      <c r="F25" s="14" t="s">
        <v>22</v>
      </c>
      <c r="G25" s="15" t="s">
        <v>23</v>
      </c>
      <c r="H25" s="15" t="s">
        <v>1525</v>
      </c>
      <c r="I25" s="15">
        <v>201502</v>
      </c>
      <c r="J25" s="16">
        <v>-145.28</v>
      </c>
      <c r="K25" s="171">
        <f>VLOOKUP(I25,$T$9:$U$23,2)</f>
        <v>4</v>
      </c>
      <c r="L25" s="17">
        <v>1.4833299999999999E-3</v>
      </c>
      <c r="M25" s="16">
        <f>ROUND(J25*K25*L25,2)</f>
        <v>-0.86</v>
      </c>
      <c r="N25" s="16">
        <f>ROUND(J25*L25*12,2)</f>
        <v>-2.59</v>
      </c>
      <c r="O25" s="14"/>
      <c r="P25" s="210" t="str">
        <f>VLOOKUP(C25,'WO Descriptions'!$A$5:$D$384,4,FALSE)</f>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
      <c r="Q25" s="210"/>
      <c r="R25" s="210"/>
    </row>
    <row r="26" spans="1:21" outlineLevel="1">
      <c r="A26" s="223"/>
      <c r="B26" s="250"/>
      <c r="C26" s="254" t="s">
        <v>1761</v>
      </c>
      <c r="D26" s="223"/>
      <c r="E26" s="250"/>
      <c r="F26" s="223"/>
      <c r="G26" s="250"/>
      <c r="H26" s="250"/>
      <c r="I26" s="250"/>
      <c r="J26" s="251">
        <f>SUBTOTAL(9,J22:J25)</f>
        <v>181011.07</v>
      </c>
      <c r="K26" s="252"/>
      <c r="L26" s="253"/>
      <c r="M26" s="251">
        <f>SUBTOTAL(9,M22:M25)</f>
        <v>1879.82</v>
      </c>
      <c r="N26" s="251">
        <f>SUBTOTAL(9,N22:N25)</f>
        <v>3221.99</v>
      </c>
      <c r="O26" s="223"/>
      <c r="P26" s="210"/>
      <c r="Q26" s="210" t="str">
        <f>VLOOKUP(C26,'Descriptions Sorted by WO '!$A$5:$S$977,18,FALSE)</f>
        <v>393.1009 (5) (a) (b)</v>
      </c>
      <c r="R26" s="210" t="str">
        <f>VLOOKUP(C26,'Descriptions Sorted by WO '!$A$5:$S$977,19,FALSE)</f>
        <v>A,B,C</v>
      </c>
    </row>
    <row r="27" spans="1:21" ht="150" outlineLevel="2">
      <c r="A27" s="14" t="s">
        <v>54</v>
      </c>
      <c r="B27" s="15" t="s">
        <v>59</v>
      </c>
      <c r="C27" s="15" t="s">
        <v>60</v>
      </c>
      <c r="D27" s="14" t="s">
        <v>61</v>
      </c>
      <c r="E27" s="15" t="s">
        <v>62</v>
      </c>
      <c r="F27" s="14" t="s">
        <v>22</v>
      </c>
      <c r="G27" s="15" t="s">
        <v>23</v>
      </c>
      <c r="H27" s="15" t="s">
        <v>1525</v>
      </c>
      <c r="I27" s="15">
        <v>201409</v>
      </c>
      <c r="J27" s="16">
        <v>9975.01</v>
      </c>
      <c r="K27" s="171">
        <f>VLOOKUP(I27,$T$9:$U$23,2)</f>
        <v>9</v>
      </c>
      <c r="L27" s="17">
        <v>1.4833299999999999E-3</v>
      </c>
      <c r="M27" s="16">
        <f>ROUND(J27*K27*L27,2)</f>
        <v>133.16999999999999</v>
      </c>
      <c r="N27" s="16">
        <f>ROUND(J27*L27*12,2)</f>
        <v>177.55</v>
      </c>
      <c r="O27" s="14"/>
      <c r="P27" s="210" t="str">
        <f>VLOOKUP(C27,'WO Descriptions'!$A$5:$D$384,4,FALSE)</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c r="Q27" s="210"/>
      <c r="R27" s="210"/>
    </row>
    <row r="28" spans="1:21" ht="150" outlineLevel="2">
      <c r="A28" s="14" t="s">
        <v>54</v>
      </c>
      <c r="B28" s="15" t="s">
        <v>59</v>
      </c>
      <c r="C28" s="15" t="s">
        <v>60</v>
      </c>
      <c r="D28" s="14" t="s">
        <v>61</v>
      </c>
      <c r="E28" s="15" t="s">
        <v>62</v>
      </c>
      <c r="F28" s="14" t="s">
        <v>22</v>
      </c>
      <c r="G28" s="15" t="s">
        <v>23</v>
      </c>
      <c r="H28" s="15" t="s">
        <v>1525</v>
      </c>
      <c r="I28" s="15">
        <v>201410</v>
      </c>
      <c r="J28" s="16">
        <v>0</v>
      </c>
      <c r="K28" s="171">
        <f>VLOOKUP(I28,$T$9:$U$23,2)</f>
        <v>8</v>
      </c>
      <c r="L28" s="17">
        <v>1.4833299999999999E-3</v>
      </c>
      <c r="M28" s="16">
        <f>ROUND(J28*K28*L28,2)</f>
        <v>0</v>
      </c>
      <c r="N28" s="16">
        <f>ROUND(J28*L28*12,2)</f>
        <v>0</v>
      </c>
      <c r="O28" s="14"/>
      <c r="P28" s="210" t="str">
        <f>VLOOKUP(C28,'WO Descriptions'!$A$5:$D$384,4,FALSE)</f>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
      <c r="Q28" s="210"/>
      <c r="R28" s="210"/>
    </row>
    <row r="29" spans="1:21" outlineLevel="1">
      <c r="A29" s="223"/>
      <c r="B29" s="250"/>
      <c r="C29" s="254" t="s">
        <v>1762</v>
      </c>
      <c r="D29" s="223"/>
      <c r="E29" s="250"/>
      <c r="F29" s="223"/>
      <c r="G29" s="250"/>
      <c r="H29" s="250"/>
      <c r="I29" s="250"/>
      <c r="J29" s="251">
        <f>SUBTOTAL(9,J27:J28)</f>
        <v>9975.01</v>
      </c>
      <c r="K29" s="252"/>
      <c r="L29" s="253"/>
      <c r="M29" s="251">
        <f>SUBTOTAL(9,M27:M28)</f>
        <v>133.16999999999999</v>
      </c>
      <c r="N29" s="251">
        <f>SUBTOTAL(9,N27:N28)</f>
        <v>177.55</v>
      </c>
      <c r="O29" s="223"/>
      <c r="P29" s="210"/>
      <c r="Q29" s="210" t="str">
        <f>VLOOKUP(C29,'Descriptions Sorted by WO '!$A$5:$S$977,18,FALSE)</f>
        <v>393.1009 (5) (a) (b)</v>
      </c>
      <c r="R29" s="210" t="str">
        <f>VLOOKUP(C29,'Descriptions Sorted by WO '!$A$5:$S$977,19,FALSE)</f>
        <v>A,B,C</v>
      </c>
    </row>
    <row r="30" spans="1:21" ht="60" outlineLevel="2">
      <c r="A30" s="14" t="s">
        <v>17</v>
      </c>
      <c r="B30" s="15" t="s">
        <v>63</v>
      </c>
      <c r="C30" s="15" t="s">
        <v>64</v>
      </c>
      <c r="D30" s="14" t="s">
        <v>65</v>
      </c>
      <c r="E30" s="15" t="s">
        <v>32</v>
      </c>
      <c r="F30" s="14" t="s">
        <v>22</v>
      </c>
      <c r="G30" s="15" t="s">
        <v>23</v>
      </c>
      <c r="H30" s="15" t="s">
        <v>1525</v>
      </c>
      <c r="I30" s="15">
        <v>201409</v>
      </c>
      <c r="J30" s="16">
        <v>3.2</v>
      </c>
      <c r="K30" s="171">
        <f>VLOOKUP(I30,$T$9:$U$23,2)</f>
        <v>9</v>
      </c>
      <c r="L30" s="17">
        <v>1.4833299999999999E-3</v>
      </c>
      <c r="M30" s="16">
        <f>ROUND(J30*K30*L30,2)</f>
        <v>0.04</v>
      </c>
      <c r="N30" s="16">
        <f>ROUND(J30*L30*12,2)</f>
        <v>0.06</v>
      </c>
      <c r="O30" s="14"/>
      <c r="P30" s="210" t="str">
        <f>VLOOKUP(C30,'WO Descriptions'!$A$5:$D$384,4,FALSE)</f>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
      <c r="Q30" s="210"/>
      <c r="R30" s="210"/>
    </row>
    <row r="31" spans="1:21" outlineLevel="1">
      <c r="A31" s="223"/>
      <c r="B31" s="250"/>
      <c r="C31" s="254" t="s">
        <v>1763</v>
      </c>
      <c r="D31" s="223"/>
      <c r="E31" s="250"/>
      <c r="F31" s="223"/>
      <c r="G31" s="250"/>
      <c r="H31" s="250"/>
      <c r="I31" s="250"/>
      <c r="J31" s="251">
        <f>SUBTOTAL(9,J30:J30)</f>
        <v>3.2</v>
      </c>
      <c r="K31" s="252"/>
      <c r="L31" s="253"/>
      <c r="M31" s="251">
        <f>SUBTOTAL(9,M30:M30)</f>
        <v>0.04</v>
      </c>
      <c r="N31" s="251">
        <f>SUBTOTAL(9,N30:N30)</f>
        <v>0.06</v>
      </c>
      <c r="O31" s="223"/>
      <c r="P31" s="210"/>
      <c r="Q31" s="210" t="str">
        <f>VLOOKUP(C31,'Descriptions Sorted by WO '!$A$5:$S$977,18,FALSE)</f>
        <v>393.1009 (5) (a) (b)</v>
      </c>
      <c r="R31" s="210" t="str">
        <f>VLOOKUP(C31,'Descriptions Sorted by WO '!$A$5:$S$977,19,FALSE)</f>
        <v>A,B,C</v>
      </c>
    </row>
    <row r="32" spans="1:21" ht="30" outlineLevel="2">
      <c r="A32" s="14" t="s">
        <v>66</v>
      </c>
      <c r="B32" s="15" t="s">
        <v>67</v>
      </c>
      <c r="C32" s="15" t="s">
        <v>68</v>
      </c>
      <c r="D32" s="14" t="s">
        <v>69</v>
      </c>
      <c r="E32" s="15" t="s">
        <v>70</v>
      </c>
      <c r="F32" s="14" t="s">
        <v>71</v>
      </c>
      <c r="G32" s="15" t="s">
        <v>23</v>
      </c>
      <c r="H32" s="15" t="s">
        <v>1530</v>
      </c>
      <c r="I32" s="15">
        <v>201409</v>
      </c>
      <c r="J32" s="16">
        <v>33.67</v>
      </c>
      <c r="K32" s="171">
        <f>VLOOKUP(I32,$T$9:$U$23,2)</f>
        <v>9</v>
      </c>
      <c r="L32" s="17">
        <v>2.23333E-3</v>
      </c>
      <c r="M32" s="16">
        <f>ROUND(J32*K32*L32,2)</f>
        <v>0.68</v>
      </c>
      <c r="N32" s="16">
        <f>ROUND(J32*L32*12,2)</f>
        <v>0.9</v>
      </c>
      <c r="O32" s="14"/>
      <c r="P32" s="210" t="str">
        <f>VLOOKUP(C32,'WO Descriptions'!$A$5:$D$384,4,FALSE)</f>
        <v>Service/Yard Line Replacement (SLRP): Company Crew.  Immediate response - replacement single unprotected steel or copper  (Independence - East Region)</v>
      </c>
      <c r="Q32" s="210"/>
      <c r="R32" s="210"/>
    </row>
    <row r="33" spans="1:18" ht="30" outlineLevel="2">
      <c r="A33" s="211" t="s">
        <v>66</v>
      </c>
      <c r="B33" s="212" t="s">
        <v>67</v>
      </c>
      <c r="C33" s="212" t="s">
        <v>68</v>
      </c>
      <c r="D33" s="211" t="s">
        <v>69</v>
      </c>
      <c r="E33" s="212" t="s">
        <v>70</v>
      </c>
      <c r="F33" s="211" t="s">
        <v>71</v>
      </c>
      <c r="G33" s="212" t="s">
        <v>23</v>
      </c>
      <c r="H33" s="212" t="s">
        <v>1530</v>
      </c>
      <c r="I33" s="212">
        <v>201410</v>
      </c>
      <c r="J33" s="213">
        <v>0</v>
      </c>
      <c r="K33" s="171">
        <f>VLOOKUP(I33,$T$9:$U$23,2)</f>
        <v>8</v>
      </c>
      <c r="L33" s="214">
        <v>2.23333E-3</v>
      </c>
      <c r="M33" s="213">
        <f>ROUND(J33*K33*L33,2)</f>
        <v>0</v>
      </c>
      <c r="N33" s="213">
        <f>ROUND(J33*L33*12,2)</f>
        <v>0</v>
      </c>
      <c r="O33" s="14"/>
      <c r="P33" s="210" t="str">
        <f>VLOOKUP(C33,'WO Descriptions'!$A$5:$D$384,4,FALSE)</f>
        <v>Service/Yard Line Replacement (SLRP): Company Crew.  Immediate response - replacement single unprotected steel or copper  (Independence - East Region)</v>
      </c>
      <c r="Q33" s="210"/>
      <c r="R33" s="210"/>
    </row>
    <row r="34" spans="1:18" outlineLevel="1">
      <c r="A34" s="256"/>
      <c r="B34" s="257"/>
      <c r="C34" s="260" t="s">
        <v>1764</v>
      </c>
      <c r="D34" s="256"/>
      <c r="E34" s="257"/>
      <c r="F34" s="256"/>
      <c r="G34" s="257"/>
      <c r="H34" s="257"/>
      <c r="I34" s="257"/>
      <c r="J34" s="258">
        <f>SUBTOTAL(9,J32:J33)</f>
        <v>33.67</v>
      </c>
      <c r="K34" s="252"/>
      <c r="L34" s="259"/>
      <c r="M34" s="258">
        <f>SUBTOTAL(9,M32:M33)</f>
        <v>0.68</v>
      </c>
      <c r="N34" s="258">
        <f>SUBTOTAL(9,N32:N33)</f>
        <v>0.9</v>
      </c>
      <c r="O34" s="223"/>
      <c r="P34" s="210"/>
      <c r="Q34" s="210" t="str">
        <f>VLOOKUP(C34,'Descriptions Sorted by WO '!$A$5:$S$977,18,FALSE)</f>
        <v>393.1009 (5) (a) (b)</v>
      </c>
      <c r="R34" s="210" t="str">
        <f>VLOOKUP(C34,'Descriptions Sorted by WO '!$A$5:$S$977,19,FALSE)</f>
        <v>A,B,C,I</v>
      </c>
    </row>
    <row r="35" spans="1:18" ht="30" outlineLevel="2">
      <c r="A35" s="14" t="s">
        <v>66</v>
      </c>
      <c r="B35" s="15" t="s">
        <v>72</v>
      </c>
      <c r="C35" s="15" t="s">
        <v>73</v>
      </c>
      <c r="D35" s="14" t="s">
        <v>74</v>
      </c>
      <c r="E35" s="15" t="s">
        <v>75</v>
      </c>
      <c r="F35" s="14" t="s">
        <v>71</v>
      </c>
      <c r="G35" s="15" t="s">
        <v>23</v>
      </c>
      <c r="H35" s="15" t="s">
        <v>1530</v>
      </c>
      <c r="I35" s="15">
        <v>201409</v>
      </c>
      <c r="J35" s="16">
        <v>29889.97</v>
      </c>
      <c r="K35" s="171">
        <f t="shared" ref="K35:K40" si="0">VLOOKUP(I35,$T$9:$U$23,2)</f>
        <v>9</v>
      </c>
      <c r="L35" s="17">
        <v>2.23333E-3</v>
      </c>
      <c r="M35" s="16">
        <f t="shared" ref="M35:M40" si="1">ROUND(J35*K35*L35,2)</f>
        <v>600.79</v>
      </c>
      <c r="N35" s="16">
        <f t="shared" ref="N35:N40" si="2">ROUND(J35*L35*12,2)</f>
        <v>801.05</v>
      </c>
      <c r="O35" s="14"/>
      <c r="P35" s="210" t="str">
        <f>VLOOKUP(C35,'WO Descriptions'!$A$5:$D$384,4,FALSE)</f>
        <v>Service/Yard Line Replacement (SLRP): Company Crew.  Immediate response - replacement single unprotected steel or copper  (Kansas City - Central Region)</v>
      </c>
      <c r="Q35" s="210"/>
      <c r="R35" s="210"/>
    </row>
    <row r="36" spans="1:18" ht="30" outlineLevel="2">
      <c r="A36" s="211" t="s">
        <v>66</v>
      </c>
      <c r="B36" s="212" t="s">
        <v>72</v>
      </c>
      <c r="C36" s="212" t="s">
        <v>73</v>
      </c>
      <c r="D36" s="211" t="s">
        <v>74</v>
      </c>
      <c r="E36" s="212" t="s">
        <v>75</v>
      </c>
      <c r="F36" s="211" t="s">
        <v>71</v>
      </c>
      <c r="G36" s="212" t="s">
        <v>23</v>
      </c>
      <c r="H36" s="212" t="s">
        <v>1530</v>
      </c>
      <c r="I36" s="212">
        <v>201410</v>
      </c>
      <c r="J36" s="213">
        <v>170646.25</v>
      </c>
      <c r="K36" s="171">
        <f t="shared" si="0"/>
        <v>8</v>
      </c>
      <c r="L36" s="214">
        <v>2.23333E-3</v>
      </c>
      <c r="M36" s="213">
        <f t="shared" si="1"/>
        <v>3048.88</v>
      </c>
      <c r="N36" s="213">
        <f t="shared" si="2"/>
        <v>4573.3100000000004</v>
      </c>
      <c r="O36" s="14"/>
      <c r="P36" s="210" t="str">
        <f>VLOOKUP(C36,'WO Descriptions'!$A$5:$D$384,4,FALSE)</f>
        <v>Service/Yard Line Replacement (SLRP): Company Crew.  Immediate response - replacement single unprotected steel or copper  (Kansas City - Central Region)</v>
      </c>
      <c r="Q36" s="210"/>
      <c r="R36" s="210"/>
    </row>
    <row r="37" spans="1:18" ht="30" outlineLevel="2">
      <c r="A37" s="211" t="s">
        <v>66</v>
      </c>
      <c r="B37" s="212" t="s">
        <v>72</v>
      </c>
      <c r="C37" s="212" t="s">
        <v>73</v>
      </c>
      <c r="D37" s="211" t="s">
        <v>74</v>
      </c>
      <c r="E37" s="212" t="s">
        <v>75</v>
      </c>
      <c r="F37" s="211" t="s">
        <v>71</v>
      </c>
      <c r="G37" s="212" t="s">
        <v>23</v>
      </c>
      <c r="H37" s="212" t="s">
        <v>1530</v>
      </c>
      <c r="I37" s="212">
        <v>201411</v>
      </c>
      <c r="J37" s="213">
        <v>75040.75</v>
      </c>
      <c r="K37" s="171">
        <f t="shared" si="0"/>
        <v>7</v>
      </c>
      <c r="L37" s="214">
        <v>2.23333E-3</v>
      </c>
      <c r="M37" s="213">
        <f t="shared" si="1"/>
        <v>1173.1400000000001</v>
      </c>
      <c r="N37" s="213">
        <f t="shared" si="2"/>
        <v>2011.09</v>
      </c>
      <c r="O37" s="14"/>
      <c r="P37" s="210" t="str">
        <f>VLOOKUP(C37,'WO Descriptions'!$A$5:$D$384,4,FALSE)</f>
        <v>Service/Yard Line Replacement (SLRP): Company Crew.  Immediate response - replacement single unprotected steel or copper  (Kansas City - Central Region)</v>
      </c>
      <c r="Q37" s="210"/>
      <c r="R37" s="210"/>
    </row>
    <row r="38" spans="1:18" ht="30" outlineLevel="2">
      <c r="A38" s="211" t="s">
        <v>66</v>
      </c>
      <c r="B38" s="212" t="s">
        <v>72</v>
      </c>
      <c r="C38" s="212" t="s">
        <v>73</v>
      </c>
      <c r="D38" s="211" t="s">
        <v>74</v>
      </c>
      <c r="E38" s="212" t="s">
        <v>75</v>
      </c>
      <c r="F38" s="211" t="s">
        <v>71</v>
      </c>
      <c r="G38" s="212" t="s">
        <v>23</v>
      </c>
      <c r="H38" s="212" t="s">
        <v>1530</v>
      </c>
      <c r="I38" s="212">
        <v>201412</v>
      </c>
      <c r="J38" s="213">
        <v>137868.63</v>
      </c>
      <c r="K38" s="171">
        <f t="shared" si="0"/>
        <v>6</v>
      </c>
      <c r="L38" s="214">
        <v>2.23333E-3</v>
      </c>
      <c r="M38" s="213">
        <f t="shared" si="1"/>
        <v>1847.44</v>
      </c>
      <c r="N38" s="213">
        <f t="shared" si="2"/>
        <v>3694.87</v>
      </c>
      <c r="O38" s="14"/>
      <c r="P38" s="210" t="str">
        <f>VLOOKUP(C38,'WO Descriptions'!$A$5:$D$384,4,FALSE)</f>
        <v>Service/Yard Line Replacement (SLRP): Company Crew.  Immediate response - replacement single unprotected steel or copper  (Kansas City - Central Region)</v>
      </c>
      <c r="Q38" s="210"/>
      <c r="R38" s="210"/>
    </row>
    <row r="39" spans="1:18" ht="30" outlineLevel="2">
      <c r="A39" s="14" t="s">
        <v>66</v>
      </c>
      <c r="B39" s="15" t="s">
        <v>72</v>
      </c>
      <c r="C39" s="15" t="s">
        <v>73</v>
      </c>
      <c r="D39" s="14" t="s">
        <v>74</v>
      </c>
      <c r="E39" s="15" t="s">
        <v>75</v>
      </c>
      <c r="F39" s="14" t="s">
        <v>71</v>
      </c>
      <c r="G39" s="15" t="s">
        <v>23</v>
      </c>
      <c r="H39" s="15" t="s">
        <v>1530</v>
      </c>
      <c r="I39" s="15">
        <v>201501</v>
      </c>
      <c r="J39" s="16">
        <v>102428.46</v>
      </c>
      <c r="K39" s="171">
        <f t="shared" si="0"/>
        <v>5</v>
      </c>
      <c r="L39" s="17">
        <v>2.23333E-3</v>
      </c>
      <c r="M39" s="16">
        <f t="shared" si="1"/>
        <v>1143.78</v>
      </c>
      <c r="N39" s="16">
        <f t="shared" si="2"/>
        <v>2745.08</v>
      </c>
      <c r="O39" s="14"/>
      <c r="P39" s="210" t="str">
        <f>VLOOKUP(C39,'WO Descriptions'!$A$5:$D$384,4,FALSE)</f>
        <v>Service/Yard Line Replacement (SLRP): Company Crew.  Immediate response - replacement single unprotected steel or copper  (Kansas City - Central Region)</v>
      </c>
      <c r="Q39" s="210"/>
      <c r="R39" s="210"/>
    </row>
    <row r="40" spans="1:18" ht="30" outlineLevel="2">
      <c r="A40" s="14" t="s">
        <v>66</v>
      </c>
      <c r="B40" s="15" t="s">
        <v>72</v>
      </c>
      <c r="C40" s="15" t="s">
        <v>73</v>
      </c>
      <c r="D40" s="14" t="s">
        <v>74</v>
      </c>
      <c r="E40" s="15" t="s">
        <v>75</v>
      </c>
      <c r="F40" s="14" t="s">
        <v>71</v>
      </c>
      <c r="G40" s="15" t="s">
        <v>23</v>
      </c>
      <c r="H40" s="15" t="s">
        <v>1530</v>
      </c>
      <c r="I40" s="15">
        <v>201502</v>
      </c>
      <c r="J40" s="16">
        <v>77105.95</v>
      </c>
      <c r="K40" s="171">
        <f t="shared" si="0"/>
        <v>4</v>
      </c>
      <c r="L40" s="17">
        <v>2.23333E-3</v>
      </c>
      <c r="M40" s="16">
        <f t="shared" si="1"/>
        <v>688.81</v>
      </c>
      <c r="N40" s="16">
        <f t="shared" si="2"/>
        <v>2066.44</v>
      </c>
      <c r="O40" s="14"/>
      <c r="P40" s="210" t="str">
        <f>VLOOKUP(C40,'WO Descriptions'!$A$5:$D$384,4,FALSE)</f>
        <v>Service/Yard Line Replacement (SLRP): Company Crew.  Immediate response - replacement single unprotected steel or copper  (Kansas City - Central Region)</v>
      </c>
      <c r="Q40" s="210"/>
      <c r="R40" s="210"/>
    </row>
    <row r="41" spans="1:18" outlineLevel="1">
      <c r="A41" s="223"/>
      <c r="B41" s="250"/>
      <c r="C41" s="254" t="s">
        <v>1765</v>
      </c>
      <c r="D41" s="223"/>
      <c r="E41" s="250"/>
      <c r="F41" s="223"/>
      <c r="G41" s="250"/>
      <c r="H41" s="250"/>
      <c r="I41" s="250"/>
      <c r="J41" s="251">
        <f>SUBTOTAL(9,J35:J40)</f>
        <v>592980.01</v>
      </c>
      <c r="K41" s="252"/>
      <c r="L41" s="253"/>
      <c r="M41" s="251">
        <f>SUBTOTAL(9,M35:M40)</f>
        <v>8502.84</v>
      </c>
      <c r="N41" s="251">
        <f>SUBTOTAL(9,N35:N40)</f>
        <v>15891.84</v>
      </c>
      <c r="O41" s="223"/>
      <c r="P41" s="210"/>
      <c r="Q41" s="210" t="str">
        <f>VLOOKUP(C41,'Descriptions Sorted by WO '!$A$5:$S$977,18,FALSE)</f>
        <v>393.1009 (5) (a) (b)</v>
      </c>
      <c r="R41" s="210" t="str">
        <f>VLOOKUP(C41,'Descriptions Sorted by WO '!$A$5:$S$977,19,FALSE)</f>
        <v>A,B,C,I</v>
      </c>
    </row>
    <row r="42" spans="1:18" ht="30" outlineLevel="2">
      <c r="A42" s="14" t="s">
        <v>66</v>
      </c>
      <c r="B42" s="15" t="s">
        <v>76</v>
      </c>
      <c r="C42" s="15" t="s">
        <v>77</v>
      </c>
      <c r="D42" s="14" t="s">
        <v>78</v>
      </c>
      <c r="E42" s="15" t="s">
        <v>79</v>
      </c>
      <c r="F42" s="14" t="s">
        <v>80</v>
      </c>
      <c r="G42" s="15" t="s">
        <v>23</v>
      </c>
      <c r="H42" s="15" t="s">
        <v>1531</v>
      </c>
      <c r="I42" s="15">
        <v>201409</v>
      </c>
      <c r="J42" s="16">
        <v>5719.2</v>
      </c>
      <c r="K42" s="171">
        <f>VLOOKUP(I42,$T$9:$U$23,2)</f>
        <v>9</v>
      </c>
      <c r="L42" s="17">
        <v>2.23333E-3</v>
      </c>
      <c r="M42" s="16">
        <f>ROUND(J42*K42*L42,2)</f>
        <v>114.96</v>
      </c>
      <c r="N42" s="16">
        <f>ROUND(J42*L42*12,2)</f>
        <v>153.27000000000001</v>
      </c>
      <c r="O42" s="14"/>
      <c r="P42" s="210" t="str">
        <f>VLOOKUP(C42,'WO Descriptions'!$A$5:$D$384,4,FALSE)</f>
        <v>Service/Yard Line Replacement (SLRP): Contract Crew.  Modified Block by Block - Planned replacement of unprotected steel or copper  (Lee's Summit - East Region)</v>
      </c>
      <c r="Q42" s="210"/>
      <c r="R42" s="210"/>
    </row>
    <row r="43" spans="1:18" outlineLevel="1">
      <c r="A43" s="223"/>
      <c r="B43" s="250"/>
      <c r="C43" s="254" t="s">
        <v>1766</v>
      </c>
      <c r="D43" s="223"/>
      <c r="E43" s="250"/>
      <c r="F43" s="223"/>
      <c r="G43" s="250"/>
      <c r="H43" s="250"/>
      <c r="I43" s="250"/>
      <c r="J43" s="251">
        <f>SUBTOTAL(9,J42:J42)</f>
        <v>5719.2</v>
      </c>
      <c r="K43" s="252"/>
      <c r="L43" s="253"/>
      <c r="M43" s="251">
        <f>SUBTOTAL(9,M42:M42)</f>
        <v>114.96</v>
      </c>
      <c r="N43" s="251">
        <f>SUBTOTAL(9,N42:N42)</f>
        <v>153.27000000000001</v>
      </c>
      <c r="O43" s="223"/>
      <c r="P43" s="210"/>
      <c r="Q43" s="210" t="str">
        <f>VLOOKUP(C43,'Descriptions Sorted by WO '!$A$5:$S$977,18,FALSE)</f>
        <v>393.1009 (5) (a) (b)</v>
      </c>
      <c r="R43" s="210" t="str">
        <f>VLOOKUP(C43,'Descriptions Sorted by WO '!$A$5:$S$977,19,FALSE)</f>
        <v>A,B,C,I</v>
      </c>
    </row>
    <row r="44" spans="1:18" ht="30" outlineLevel="2">
      <c r="A44" s="14" t="s">
        <v>66</v>
      </c>
      <c r="B44" s="15" t="s">
        <v>81</v>
      </c>
      <c r="C44" s="15" t="s">
        <v>82</v>
      </c>
      <c r="D44" s="14" t="s">
        <v>83</v>
      </c>
      <c r="E44" s="15" t="s">
        <v>84</v>
      </c>
      <c r="F44" s="14" t="s">
        <v>85</v>
      </c>
      <c r="G44" s="15" t="s">
        <v>23</v>
      </c>
      <c r="H44" s="15" t="s">
        <v>1530</v>
      </c>
      <c r="I44" s="15">
        <v>201409</v>
      </c>
      <c r="J44" s="16">
        <v>152025.89000000001</v>
      </c>
      <c r="K44" s="171">
        <f t="shared" ref="K44:K49" si="3">VLOOKUP(I44,$T$9:$U$23,2)</f>
        <v>9</v>
      </c>
      <c r="L44" s="17">
        <v>2.23333E-3</v>
      </c>
      <c r="M44" s="16">
        <f t="shared" ref="M44:M49" si="4">ROUND(J44*K44*L44,2)</f>
        <v>3055.72</v>
      </c>
      <c r="N44" s="16">
        <f t="shared" ref="N44:N49" si="5">ROUND(J44*L44*12,2)</f>
        <v>4074.29</v>
      </c>
      <c r="O44" s="14"/>
      <c r="P44" s="210" t="str">
        <f>VLOOKUP(C44,'WO Descriptions'!$A$5:$D$384,4,FALSE)</f>
        <v>Service/Yard Line Replacement (SLRP): Contract Crew.  Block by Block - Planned replacement of all unprotected steel or copper in a single block.  (Kansas City - Central Region)</v>
      </c>
      <c r="Q44" s="210"/>
      <c r="R44" s="210"/>
    </row>
    <row r="45" spans="1:18" ht="30" outlineLevel="2">
      <c r="A45" s="211" t="s">
        <v>66</v>
      </c>
      <c r="B45" s="212" t="s">
        <v>81</v>
      </c>
      <c r="C45" s="212" t="s">
        <v>82</v>
      </c>
      <c r="D45" s="211" t="s">
        <v>83</v>
      </c>
      <c r="E45" s="212" t="s">
        <v>84</v>
      </c>
      <c r="F45" s="211" t="s">
        <v>85</v>
      </c>
      <c r="G45" s="212" t="s">
        <v>23</v>
      </c>
      <c r="H45" s="212" t="s">
        <v>1530</v>
      </c>
      <c r="I45" s="212">
        <v>201410</v>
      </c>
      <c r="J45" s="213">
        <v>28628.69</v>
      </c>
      <c r="K45" s="171">
        <f t="shared" si="3"/>
        <v>8</v>
      </c>
      <c r="L45" s="214">
        <v>2.23333E-3</v>
      </c>
      <c r="M45" s="213">
        <f t="shared" si="4"/>
        <v>511.5</v>
      </c>
      <c r="N45" s="213">
        <f t="shared" si="5"/>
        <v>767.25</v>
      </c>
      <c r="O45" s="14"/>
      <c r="P45" s="210" t="str">
        <f>VLOOKUP(C45,'WO Descriptions'!$A$5:$D$384,4,FALSE)</f>
        <v>Service/Yard Line Replacement (SLRP): Contract Crew.  Block by Block - Planned replacement of all unprotected steel or copper in a single block.  (Kansas City - Central Region)</v>
      </c>
      <c r="Q45" s="210"/>
      <c r="R45" s="210"/>
    </row>
    <row r="46" spans="1:18" ht="30" outlineLevel="2">
      <c r="A46" s="211" t="s">
        <v>66</v>
      </c>
      <c r="B46" s="212" t="s">
        <v>81</v>
      </c>
      <c r="C46" s="212" t="s">
        <v>82</v>
      </c>
      <c r="D46" s="211" t="s">
        <v>83</v>
      </c>
      <c r="E46" s="212" t="s">
        <v>84</v>
      </c>
      <c r="F46" s="211" t="s">
        <v>85</v>
      </c>
      <c r="G46" s="212" t="s">
        <v>23</v>
      </c>
      <c r="H46" s="212" t="s">
        <v>1530</v>
      </c>
      <c r="I46" s="212">
        <v>201411</v>
      </c>
      <c r="J46" s="213">
        <v>18288.689999999999</v>
      </c>
      <c r="K46" s="171">
        <f t="shared" si="3"/>
        <v>7</v>
      </c>
      <c r="L46" s="214">
        <v>2.23333E-3</v>
      </c>
      <c r="M46" s="213">
        <f t="shared" si="4"/>
        <v>285.91000000000003</v>
      </c>
      <c r="N46" s="213">
        <f t="shared" si="5"/>
        <v>490.14</v>
      </c>
      <c r="O46" s="14"/>
      <c r="P46" s="210" t="str">
        <f>VLOOKUP(C46,'WO Descriptions'!$A$5:$D$384,4,FALSE)</f>
        <v>Service/Yard Line Replacement (SLRP): Contract Crew.  Block by Block - Planned replacement of all unprotected steel or copper in a single block.  (Kansas City - Central Region)</v>
      </c>
      <c r="Q46" s="210"/>
      <c r="R46" s="210"/>
    </row>
    <row r="47" spans="1:18" ht="30" outlineLevel="2">
      <c r="A47" s="211" t="s">
        <v>66</v>
      </c>
      <c r="B47" s="212" t="s">
        <v>81</v>
      </c>
      <c r="C47" s="212" t="s">
        <v>82</v>
      </c>
      <c r="D47" s="211" t="s">
        <v>83</v>
      </c>
      <c r="E47" s="212" t="s">
        <v>84</v>
      </c>
      <c r="F47" s="211" t="s">
        <v>85</v>
      </c>
      <c r="G47" s="212" t="s">
        <v>23</v>
      </c>
      <c r="H47" s="212" t="s">
        <v>1530</v>
      </c>
      <c r="I47" s="212">
        <v>201412</v>
      </c>
      <c r="J47" s="213">
        <v>21637.919999999998</v>
      </c>
      <c r="K47" s="171">
        <f t="shared" si="3"/>
        <v>6</v>
      </c>
      <c r="L47" s="214">
        <v>2.23333E-3</v>
      </c>
      <c r="M47" s="213">
        <f t="shared" si="4"/>
        <v>289.95</v>
      </c>
      <c r="N47" s="213">
        <f t="shared" si="5"/>
        <v>579.9</v>
      </c>
      <c r="O47" s="14"/>
      <c r="P47" s="210" t="str">
        <f>VLOOKUP(C47,'WO Descriptions'!$A$5:$D$384,4,FALSE)</f>
        <v>Service/Yard Line Replacement (SLRP): Contract Crew.  Block by Block - Planned replacement of all unprotected steel or copper in a single block.  (Kansas City - Central Region)</v>
      </c>
      <c r="Q47" s="210"/>
      <c r="R47" s="210"/>
    </row>
    <row r="48" spans="1:18" ht="30" outlineLevel="2">
      <c r="A48" s="14" t="s">
        <v>66</v>
      </c>
      <c r="B48" s="15" t="s">
        <v>81</v>
      </c>
      <c r="C48" s="15" t="s">
        <v>82</v>
      </c>
      <c r="D48" s="14" t="s">
        <v>83</v>
      </c>
      <c r="E48" s="15" t="s">
        <v>84</v>
      </c>
      <c r="F48" s="14" t="s">
        <v>85</v>
      </c>
      <c r="G48" s="15" t="s">
        <v>23</v>
      </c>
      <c r="H48" s="15" t="s">
        <v>1530</v>
      </c>
      <c r="I48" s="15">
        <v>201501</v>
      </c>
      <c r="J48" s="16">
        <v>7579.37</v>
      </c>
      <c r="K48" s="171">
        <f t="shared" si="3"/>
        <v>5</v>
      </c>
      <c r="L48" s="17">
        <v>2.23333E-3</v>
      </c>
      <c r="M48" s="16">
        <f t="shared" si="4"/>
        <v>84.64</v>
      </c>
      <c r="N48" s="16">
        <f t="shared" si="5"/>
        <v>203.13</v>
      </c>
      <c r="O48" s="14"/>
      <c r="P48" s="210" t="str">
        <f>VLOOKUP(C48,'WO Descriptions'!$A$5:$D$384,4,FALSE)</f>
        <v>Service/Yard Line Replacement (SLRP): Contract Crew.  Block by Block - Planned replacement of all unprotected steel or copper in a single block.  (Kansas City - Central Region)</v>
      </c>
      <c r="Q48" s="210"/>
      <c r="R48" s="210"/>
    </row>
    <row r="49" spans="1:18" ht="30" outlineLevel="2">
      <c r="A49" s="14" t="s">
        <v>66</v>
      </c>
      <c r="B49" s="15" t="s">
        <v>81</v>
      </c>
      <c r="C49" s="15" t="s">
        <v>82</v>
      </c>
      <c r="D49" s="14" t="s">
        <v>83</v>
      </c>
      <c r="E49" s="15" t="s">
        <v>84</v>
      </c>
      <c r="F49" s="14" t="s">
        <v>85</v>
      </c>
      <c r="G49" s="15" t="s">
        <v>23</v>
      </c>
      <c r="H49" s="15" t="s">
        <v>1530</v>
      </c>
      <c r="I49" s="15">
        <v>201502</v>
      </c>
      <c r="J49" s="16">
        <v>21115.64</v>
      </c>
      <c r="K49" s="171">
        <f t="shared" si="3"/>
        <v>4</v>
      </c>
      <c r="L49" s="17">
        <v>2.23333E-3</v>
      </c>
      <c r="M49" s="16">
        <f t="shared" si="4"/>
        <v>188.63</v>
      </c>
      <c r="N49" s="16">
        <f t="shared" si="5"/>
        <v>565.9</v>
      </c>
      <c r="O49" s="14"/>
      <c r="P49" s="210" t="str">
        <f>VLOOKUP(C49,'WO Descriptions'!$A$5:$D$384,4,FALSE)</f>
        <v>Service/Yard Line Replacement (SLRP): Contract Crew.  Block by Block - Planned replacement of all unprotected steel or copper in a single block.  (Kansas City - Central Region)</v>
      </c>
      <c r="Q49" s="210"/>
      <c r="R49" s="210"/>
    </row>
    <row r="50" spans="1:18" outlineLevel="1">
      <c r="A50" s="223"/>
      <c r="B50" s="250"/>
      <c r="C50" s="254" t="s">
        <v>1767</v>
      </c>
      <c r="D50" s="223"/>
      <c r="E50" s="250"/>
      <c r="F50" s="223"/>
      <c r="G50" s="250"/>
      <c r="H50" s="250"/>
      <c r="I50" s="250"/>
      <c r="J50" s="251">
        <f>SUBTOTAL(9,J44:J49)</f>
        <v>249276.2</v>
      </c>
      <c r="K50" s="252"/>
      <c r="L50" s="253"/>
      <c r="M50" s="251">
        <f>SUBTOTAL(9,M44:M49)</f>
        <v>4416.3500000000004</v>
      </c>
      <c r="N50" s="251">
        <f>SUBTOTAL(9,N44:N49)</f>
        <v>6680.61</v>
      </c>
      <c r="O50" s="223"/>
      <c r="P50" s="210"/>
      <c r="Q50" s="210" t="str">
        <f>VLOOKUP(C50,'Descriptions Sorted by WO '!$A$5:$S$977,18,FALSE)</f>
        <v>393.1009 (5) (a) (b)</v>
      </c>
      <c r="R50" s="210" t="str">
        <f>VLOOKUP(C50,'Descriptions Sorted by WO '!$A$5:$S$977,19,FALSE)</f>
        <v>A,B,C,I</v>
      </c>
    </row>
    <row r="51" spans="1:18" ht="30" outlineLevel="2">
      <c r="A51" s="14" t="s">
        <v>66</v>
      </c>
      <c r="B51" s="15" t="s">
        <v>86</v>
      </c>
      <c r="C51" s="15" t="s">
        <v>87</v>
      </c>
      <c r="D51" s="14" t="s">
        <v>88</v>
      </c>
      <c r="E51" s="15" t="s">
        <v>89</v>
      </c>
      <c r="F51" s="14" t="s">
        <v>85</v>
      </c>
      <c r="G51" s="15" t="s">
        <v>23</v>
      </c>
      <c r="H51" s="15" t="s">
        <v>1530</v>
      </c>
      <c r="I51" s="15">
        <v>201409</v>
      </c>
      <c r="J51" s="16">
        <v>5005.29</v>
      </c>
      <c r="K51" s="171">
        <f>VLOOKUP(I51,$T$9:$U$23,2)</f>
        <v>9</v>
      </c>
      <c r="L51" s="17">
        <v>2.23333E-3</v>
      </c>
      <c r="M51" s="16">
        <f>ROUND(J51*K51*L51,2)</f>
        <v>100.61</v>
      </c>
      <c r="N51" s="16">
        <f>ROUND(J51*L51*12,2)</f>
        <v>134.13999999999999</v>
      </c>
      <c r="O51" s="14"/>
      <c r="P51" s="210" t="str">
        <f>VLOOKUP(C51,'WO Descriptions'!$A$5:$D$384,4,FALSE)</f>
        <v>Service/Yard Line Replacement (SLRP): Contract Crew.  Block by Block - Planned replacement of all unprotected steel or copper in a single block.  (Monett - South Region)</v>
      </c>
      <c r="Q51" s="210"/>
      <c r="R51" s="210"/>
    </row>
    <row r="52" spans="1:18" outlineLevel="1">
      <c r="A52" s="223"/>
      <c r="B52" s="250"/>
      <c r="C52" s="254" t="s">
        <v>1768</v>
      </c>
      <c r="D52" s="223"/>
      <c r="E52" s="250"/>
      <c r="F52" s="223"/>
      <c r="G52" s="250"/>
      <c r="H52" s="250"/>
      <c r="I52" s="250"/>
      <c r="J52" s="251">
        <f>SUBTOTAL(9,J51:J51)</f>
        <v>5005.29</v>
      </c>
      <c r="K52" s="252"/>
      <c r="L52" s="253"/>
      <c r="M52" s="251">
        <f>SUBTOTAL(9,M51:M51)</f>
        <v>100.61</v>
      </c>
      <c r="N52" s="251">
        <f>SUBTOTAL(9,N51:N51)</f>
        <v>134.13999999999999</v>
      </c>
      <c r="O52" s="223"/>
      <c r="P52" s="210"/>
      <c r="Q52" s="210" t="str">
        <f>VLOOKUP(C52,'Descriptions Sorted by WO '!$A$5:$S$977,18,FALSE)</f>
        <v>393.1009 (5) (a) (b)</v>
      </c>
      <c r="R52" s="210" t="str">
        <f>VLOOKUP(C52,'Descriptions Sorted by WO '!$A$5:$S$977,19,FALSE)</f>
        <v>A,B,C,I</v>
      </c>
    </row>
    <row r="53" spans="1:18" ht="30" outlineLevel="2">
      <c r="A53" s="14" t="s">
        <v>66</v>
      </c>
      <c r="B53" s="15" t="s">
        <v>90</v>
      </c>
      <c r="C53" s="15" t="s">
        <v>91</v>
      </c>
      <c r="D53" s="14" t="s">
        <v>78</v>
      </c>
      <c r="E53" s="15" t="s">
        <v>92</v>
      </c>
      <c r="F53" s="14" t="s">
        <v>80</v>
      </c>
      <c r="G53" s="15" t="s">
        <v>23</v>
      </c>
      <c r="H53" s="15" t="s">
        <v>1530</v>
      </c>
      <c r="I53" s="15">
        <v>201409</v>
      </c>
      <c r="J53" s="16">
        <v>26370.98</v>
      </c>
      <c r="K53" s="171">
        <f t="shared" ref="K53:K58" si="6">VLOOKUP(I53,$T$9:$U$23,2)</f>
        <v>9</v>
      </c>
      <c r="L53" s="17">
        <v>2.23333E-3</v>
      </c>
      <c r="M53" s="16">
        <f t="shared" ref="M53:M58" si="7">ROUND(J53*K53*L53,2)</f>
        <v>530.05999999999995</v>
      </c>
      <c r="N53" s="16">
        <f t="shared" ref="N53:N58" si="8">ROUND(J53*L53*12,2)</f>
        <v>706.74</v>
      </c>
      <c r="O53" s="14"/>
      <c r="P53" s="210" t="str">
        <f>VLOOKUP(C53,'WO Descriptions'!$A$5:$D$384,4,FALSE)</f>
        <v>Service/Yard Line Replacement (SLRP): Company Crew.  Modified Block by Block - Planned replacement of all unprotected steel or copper in a single block.  (Monett - South Region)</v>
      </c>
      <c r="Q53" s="210"/>
      <c r="R53" s="210"/>
    </row>
    <row r="54" spans="1:18" ht="30" outlineLevel="2">
      <c r="A54" s="211" t="s">
        <v>66</v>
      </c>
      <c r="B54" s="212" t="s">
        <v>90</v>
      </c>
      <c r="C54" s="212" t="s">
        <v>91</v>
      </c>
      <c r="D54" s="211" t="s">
        <v>78</v>
      </c>
      <c r="E54" s="212" t="s">
        <v>92</v>
      </c>
      <c r="F54" s="211" t="s">
        <v>80</v>
      </c>
      <c r="G54" s="212" t="s">
        <v>23</v>
      </c>
      <c r="H54" s="212" t="s">
        <v>1530</v>
      </c>
      <c r="I54" s="212">
        <v>201410</v>
      </c>
      <c r="J54" s="213">
        <v>7587.08</v>
      </c>
      <c r="K54" s="171">
        <f t="shared" si="6"/>
        <v>8</v>
      </c>
      <c r="L54" s="214">
        <v>2.23333E-3</v>
      </c>
      <c r="M54" s="213">
        <f t="shared" si="7"/>
        <v>135.56</v>
      </c>
      <c r="N54" s="213">
        <f t="shared" si="8"/>
        <v>203.33</v>
      </c>
      <c r="O54" s="14"/>
      <c r="P54" s="210" t="str">
        <f>VLOOKUP(C54,'WO Descriptions'!$A$5:$D$384,4,FALSE)</f>
        <v>Service/Yard Line Replacement (SLRP): Company Crew.  Modified Block by Block - Planned replacement of all unprotected steel or copper in a single block.  (Monett - South Region)</v>
      </c>
      <c r="Q54" s="210"/>
      <c r="R54" s="210"/>
    </row>
    <row r="55" spans="1:18" ht="30" outlineLevel="2">
      <c r="A55" s="211" t="s">
        <v>66</v>
      </c>
      <c r="B55" s="212" t="s">
        <v>90</v>
      </c>
      <c r="C55" s="212" t="s">
        <v>91</v>
      </c>
      <c r="D55" s="211" t="s">
        <v>78</v>
      </c>
      <c r="E55" s="212" t="s">
        <v>92</v>
      </c>
      <c r="F55" s="211" t="s">
        <v>80</v>
      </c>
      <c r="G55" s="212" t="s">
        <v>23</v>
      </c>
      <c r="H55" s="212" t="s">
        <v>1530</v>
      </c>
      <c r="I55" s="212">
        <v>201411</v>
      </c>
      <c r="J55" s="213">
        <v>25805.41</v>
      </c>
      <c r="K55" s="171">
        <f t="shared" si="6"/>
        <v>7</v>
      </c>
      <c r="L55" s="214">
        <v>2.23333E-3</v>
      </c>
      <c r="M55" s="213">
        <f t="shared" si="7"/>
        <v>403.42</v>
      </c>
      <c r="N55" s="213">
        <f t="shared" si="8"/>
        <v>691.58</v>
      </c>
      <c r="O55" s="14"/>
      <c r="P55" s="210" t="str">
        <f>VLOOKUP(C55,'WO Descriptions'!$A$5:$D$384,4,FALSE)</f>
        <v>Service/Yard Line Replacement (SLRP): Company Crew.  Modified Block by Block - Planned replacement of all unprotected steel or copper in a single block.  (Monett - South Region)</v>
      </c>
      <c r="Q55" s="210"/>
      <c r="R55" s="210"/>
    </row>
    <row r="56" spans="1:18" ht="30" outlineLevel="2">
      <c r="A56" s="211" t="s">
        <v>66</v>
      </c>
      <c r="B56" s="212" t="s">
        <v>90</v>
      </c>
      <c r="C56" s="212" t="s">
        <v>91</v>
      </c>
      <c r="D56" s="211" t="s">
        <v>78</v>
      </c>
      <c r="E56" s="212" t="s">
        <v>92</v>
      </c>
      <c r="F56" s="211" t="s">
        <v>80</v>
      </c>
      <c r="G56" s="212" t="s">
        <v>23</v>
      </c>
      <c r="H56" s="212" t="s">
        <v>1530</v>
      </c>
      <c r="I56" s="212">
        <v>201412</v>
      </c>
      <c r="J56" s="213">
        <v>11747.82</v>
      </c>
      <c r="K56" s="171">
        <f t="shared" si="6"/>
        <v>6</v>
      </c>
      <c r="L56" s="214">
        <v>2.23333E-3</v>
      </c>
      <c r="M56" s="213">
        <f t="shared" si="7"/>
        <v>157.41999999999999</v>
      </c>
      <c r="N56" s="213">
        <f t="shared" si="8"/>
        <v>314.83999999999997</v>
      </c>
      <c r="O56" s="14"/>
      <c r="P56" s="210" t="str">
        <f>VLOOKUP(C56,'WO Descriptions'!$A$5:$D$384,4,FALSE)</f>
        <v>Service/Yard Line Replacement (SLRP): Company Crew.  Modified Block by Block - Planned replacement of all unprotected steel or copper in a single block.  (Monett - South Region)</v>
      </c>
      <c r="Q56" s="210"/>
      <c r="R56" s="210"/>
    </row>
    <row r="57" spans="1:18" ht="30" outlineLevel="2">
      <c r="A57" s="14" t="s">
        <v>66</v>
      </c>
      <c r="B57" s="15" t="s">
        <v>90</v>
      </c>
      <c r="C57" s="15" t="s">
        <v>91</v>
      </c>
      <c r="D57" s="14" t="s">
        <v>78</v>
      </c>
      <c r="E57" s="15" t="s">
        <v>92</v>
      </c>
      <c r="F57" s="14" t="s">
        <v>80</v>
      </c>
      <c r="G57" s="15" t="s">
        <v>23</v>
      </c>
      <c r="H57" s="15" t="s">
        <v>1530</v>
      </c>
      <c r="I57" s="15">
        <v>201501</v>
      </c>
      <c r="J57" s="16">
        <v>-1588.73</v>
      </c>
      <c r="K57" s="171">
        <f t="shared" si="6"/>
        <v>5</v>
      </c>
      <c r="L57" s="17">
        <v>2.23333E-3</v>
      </c>
      <c r="M57" s="16">
        <f t="shared" si="7"/>
        <v>-17.739999999999998</v>
      </c>
      <c r="N57" s="16">
        <f t="shared" si="8"/>
        <v>-42.58</v>
      </c>
      <c r="O57" s="14"/>
      <c r="P57" s="210" t="str">
        <f>VLOOKUP(C57,'WO Descriptions'!$A$5:$D$384,4,FALSE)</f>
        <v>Service/Yard Line Replacement (SLRP): Company Crew.  Modified Block by Block - Planned replacement of all unprotected steel or copper in a single block.  (Monett - South Region)</v>
      </c>
      <c r="Q57" s="210"/>
      <c r="R57" s="210"/>
    </row>
    <row r="58" spans="1:18" ht="30" outlineLevel="2">
      <c r="A58" s="14" t="s">
        <v>66</v>
      </c>
      <c r="B58" s="15" t="s">
        <v>90</v>
      </c>
      <c r="C58" s="15" t="s">
        <v>91</v>
      </c>
      <c r="D58" s="14" t="s">
        <v>78</v>
      </c>
      <c r="E58" s="15" t="s">
        <v>92</v>
      </c>
      <c r="F58" s="14" t="s">
        <v>80</v>
      </c>
      <c r="G58" s="15" t="s">
        <v>23</v>
      </c>
      <c r="H58" s="15" t="s">
        <v>1530</v>
      </c>
      <c r="I58" s="15">
        <v>201502</v>
      </c>
      <c r="J58" s="16">
        <v>16080.97</v>
      </c>
      <c r="K58" s="171">
        <f t="shared" si="6"/>
        <v>4</v>
      </c>
      <c r="L58" s="17">
        <v>2.23333E-3</v>
      </c>
      <c r="M58" s="16">
        <f t="shared" si="7"/>
        <v>143.66</v>
      </c>
      <c r="N58" s="16">
        <f t="shared" si="8"/>
        <v>430.97</v>
      </c>
      <c r="O58" s="14"/>
      <c r="P58" s="210" t="str">
        <f>VLOOKUP(C58,'WO Descriptions'!$A$5:$D$384,4,FALSE)</f>
        <v>Service/Yard Line Replacement (SLRP): Company Crew.  Modified Block by Block - Planned replacement of all unprotected steel or copper in a single block.  (Monett - South Region)</v>
      </c>
      <c r="Q58" s="210"/>
      <c r="R58" s="210"/>
    </row>
    <row r="59" spans="1:18" outlineLevel="1">
      <c r="A59" s="223"/>
      <c r="B59" s="250"/>
      <c r="C59" s="254" t="s">
        <v>1769</v>
      </c>
      <c r="D59" s="223"/>
      <c r="E59" s="250"/>
      <c r="F59" s="223"/>
      <c r="G59" s="250"/>
      <c r="H59" s="250"/>
      <c r="I59" s="250"/>
      <c r="J59" s="251">
        <f>SUBTOTAL(9,J53:J58)</f>
        <v>86003.530000000013</v>
      </c>
      <c r="K59" s="252"/>
      <c r="L59" s="253"/>
      <c r="M59" s="251">
        <f>SUBTOTAL(9,M53:M58)</f>
        <v>1352.38</v>
      </c>
      <c r="N59" s="251">
        <f>SUBTOTAL(9,N53:N58)</f>
        <v>2304.88</v>
      </c>
      <c r="O59" s="223"/>
      <c r="P59" s="210"/>
      <c r="Q59" s="210" t="str">
        <f>VLOOKUP(C59,'Descriptions Sorted by WO '!$A$5:$S$977,18,FALSE)</f>
        <v>393.1009 (5) (a) (b)</v>
      </c>
      <c r="R59" s="210" t="str">
        <f>VLOOKUP(C59,'Descriptions Sorted by WO '!$A$5:$S$977,19,FALSE)</f>
        <v>A,B,C,I</v>
      </c>
    </row>
    <row r="60" spans="1:18" ht="30" outlineLevel="2">
      <c r="A60" s="211" t="s">
        <v>1584</v>
      </c>
      <c r="B60" s="212" t="s">
        <v>1586</v>
      </c>
      <c r="C60" s="212" t="s">
        <v>1587</v>
      </c>
      <c r="D60" s="211" t="s">
        <v>1588</v>
      </c>
      <c r="E60" s="212" t="s">
        <v>1589</v>
      </c>
      <c r="F60" s="211" t="s">
        <v>1590</v>
      </c>
      <c r="G60" s="212" t="s">
        <v>23</v>
      </c>
      <c r="H60" s="212" t="s">
        <v>1530</v>
      </c>
      <c r="I60" s="212">
        <v>201409</v>
      </c>
      <c r="J60" s="213">
        <v>3649.84</v>
      </c>
      <c r="K60" s="171">
        <f>VLOOKUP(I60,$T$9:$U$23,2)</f>
        <v>9</v>
      </c>
      <c r="L60" s="214">
        <v>2.0333333000000001E-3</v>
      </c>
      <c r="M60" s="213">
        <f>ROUND(J60*K60*L60,2)</f>
        <v>66.790000000000006</v>
      </c>
      <c r="N60" s="213">
        <f>ROUND(J60*L60*12,2)</f>
        <v>89.06</v>
      </c>
      <c r="O60" s="14"/>
      <c r="P60" s="210" t="str">
        <f>VLOOKUP(C60,'WO Descriptions'!$A$5:$D$384,4,FALSE)</f>
        <v>Service/Yard Line Replacement (SLRP): Company Crew.  Rebuild meter/regulator setting (exclude regulator) (Lee's Summit - East Region).</v>
      </c>
      <c r="Q60" s="210"/>
      <c r="R60" s="210"/>
    </row>
    <row r="61" spans="1:18" ht="30" outlineLevel="2">
      <c r="A61" s="211" t="s">
        <v>1584</v>
      </c>
      <c r="B61" s="212" t="s">
        <v>1586</v>
      </c>
      <c r="C61" s="212" t="s">
        <v>1587</v>
      </c>
      <c r="D61" s="211" t="s">
        <v>1588</v>
      </c>
      <c r="E61" s="212" t="s">
        <v>1589</v>
      </c>
      <c r="F61" s="211" t="s">
        <v>1590</v>
      </c>
      <c r="G61" s="212" t="s">
        <v>23</v>
      </c>
      <c r="H61" s="212" t="s">
        <v>1530</v>
      </c>
      <c r="I61" s="212">
        <v>201410</v>
      </c>
      <c r="J61" s="213">
        <v>10750.98</v>
      </c>
      <c r="K61" s="171">
        <f>VLOOKUP(I61,$T$9:$U$23,2)</f>
        <v>8</v>
      </c>
      <c r="L61" s="214">
        <v>2.0333333000000001E-3</v>
      </c>
      <c r="M61" s="213">
        <f>ROUND(J61*K61*L61,2)</f>
        <v>174.88</v>
      </c>
      <c r="N61" s="213">
        <f>ROUND(J61*L61*12,2)</f>
        <v>262.32</v>
      </c>
      <c r="O61" s="14"/>
      <c r="P61" s="210" t="str">
        <f>VLOOKUP(C61,'WO Descriptions'!$A$5:$D$384,4,FALSE)</f>
        <v>Service/Yard Line Replacement (SLRP): Company Crew.  Rebuild meter/regulator setting (exclude regulator) (Lee's Summit - East Region).</v>
      </c>
      <c r="Q61" s="210"/>
      <c r="R61" s="210"/>
    </row>
    <row r="62" spans="1:18" ht="30" outlineLevel="2">
      <c r="A62" s="211" t="s">
        <v>1584</v>
      </c>
      <c r="B62" s="212" t="s">
        <v>1586</v>
      </c>
      <c r="C62" s="212" t="s">
        <v>1587</v>
      </c>
      <c r="D62" s="211" t="s">
        <v>1588</v>
      </c>
      <c r="E62" s="212" t="s">
        <v>1589</v>
      </c>
      <c r="F62" s="211" t="s">
        <v>1590</v>
      </c>
      <c r="G62" s="212" t="s">
        <v>23</v>
      </c>
      <c r="H62" s="212" t="s">
        <v>1530</v>
      </c>
      <c r="I62" s="212">
        <v>201411</v>
      </c>
      <c r="J62" s="213">
        <v>3556.67</v>
      </c>
      <c r="K62" s="171">
        <f>VLOOKUP(I62,$T$9:$U$23,2)</f>
        <v>7</v>
      </c>
      <c r="L62" s="214">
        <v>2.0333333000000001E-3</v>
      </c>
      <c r="M62" s="213">
        <f>ROUND(J62*K62*L62,2)</f>
        <v>50.62</v>
      </c>
      <c r="N62" s="213">
        <f>ROUND(J62*L62*12,2)</f>
        <v>86.78</v>
      </c>
      <c r="O62" s="14"/>
      <c r="P62" s="210" t="str">
        <f>VLOOKUP(C62,'WO Descriptions'!$A$5:$D$384,4,FALSE)</f>
        <v>Service/Yard Line Replacement (SLRP): Company Crew.  Rebuild meter/regulator setting (exclude regulator) (Lee's Summit - East Region).</v>
      </c>
      <c r="Q62" s="210"/>
      <c r="R62" s="210"/>
    </row>
    <row r="63" spans="1:18" ht="30" outlineLevel="2">
      <c r="A63" s="211" t="s">
        <v>1584</v>
      </c>
      <c r="B63" s="212" t="s">
        <v>1586</v>
      </c>
      <c r="C63" s="212" t="s">
        <v>1587</v>
      </c>
      <c r="D63" s="211" t="s">
        <v>1588</v>
      </c>
      <c r="E63" s="212" t="s">
        <v>1589</v>
      </c>
      <c r="F63" s="211" t="s">
        <v>1590</v>
      </c>
      <c r="G63" s="212" t="s">
        <v>23</v>
      </c>
      <c r="H63" s="212" t="s">
        <v>1530</v>
      </c>
      <c r="I63" s="212">
        <v>201412</v>
      </c>
      <c r="J63" s="213">
        <v>2193.1</v>
      </c>
      <c r="K63" s="171">
        <f>VLOOKUP(I63,$T$9:$U$23,2)</f>
        <v>6</v>
      </c>
      <c r="L63" s="214">
        <v>2.0333333000000001E-3</v>
      </c>
      <c r="M63" s="213">
        <f>ROUND(J63*K63*L63,2)</f>
        <v>26.76</v>
      </c>
      <c r="N63" s="213">
        <f>ROUND(J63*L63*12,2)</f>
        <v>53.51</v>
      </c>
      <c r="O63" s="14"/>
      <c r="P63" s="210" t="str">
        <f>VLOOKUP(C63,'WO Descriptions'!$A$5:$D$384,4,FALSE)</f>
        <v>Service/Yard Line Replacement (SLRP): Company Crew.  Rebuild meter/regulator setting (exclude regulator) (Lee's Summit - East Region).</v>
      </c>
      <c r="Q63" s="210"/>
      <c r="R63" s="210"/>
    </row>
    <row r="64" spans="1:18" ht="30" outlineLevel="2">
      <c r="A64" s="14" t="s">
        <v>1584</v>
      </c>
      <c r="B64" s="15" t="s">
        <v>1586</v>
      </c>
      <c r="C64" s="15" t="s">
        <v>1587</v>
      </c>
      <c r="D64" s="14" t="s">
        <v>1588</v>
      </c>
      <c r="E64" s="15" t="s">
        <v>1589</v>
      </c>
      <c r="F64" s="14" t="s">
        <v>1590</v>
      </c>
      <c r="G64" s="15" t="s">
        <v>23</v>
      </c>
      <c r="H64" s="15" t="s">
        <v>1530</v>
      </c>
      <c r="I64" s="15">
        <v>201501</v>
      </c>
      <c r="J64" s="16">
        <v>2733.2</v>
      </c>
      <c r="K64" s="171">
        <f>VLOOKUP(I64,$T$9:$U$23,2)</f>
        <v>5</v>
      </c>
      <c r="L64" s="17">
        <v>2.0333333000000001E-3</v>
      </c>
      <c r="M64" s="16">
        <f>ROUND(J64*K64*L64,2)</f>
        <v>27.79</v>
      </c>
      <c r="N64" s="16">
        <f>ROUND(J64*L64*12,2)</f>
        <v>66.69</v>
      </c>
      <c r="O64" s="14"/>
      <c r="P64" s="210" t="str">
        <f>VLOOKUP(C64,'WO Descriptions'!$A$5:$D$384,4,FALSE)</f>
        <v>Service/Yard Line Replacement (SLRP): Company Crew.  Rebuild meter/regulator setting (exclude regulator) (Lee's Summit - East Region).</v>
      </c>
      <c r="Q64" s="210"/>
      <c r="R64" s="210"/>
    </row>
    <row r="65" spans="1:18" outlineLevel="1">
      <c r="A65" s="223"/>
      <c r="B65" s="250"/>
      <c r="C65" s="254" t="s">
        <v>1770</v>
      </c>
      <c r="D65" s="223"/>
      <c r="E65" s="250"/>
      <c r="F65" s="223"/>
      <c r="G65" s="250"/>
      <c r="H65" s="250"/>
      <c r="I65" s="250"/>
      <c r="J65" s="251">
        <f>SUBTOTAL(9,J60:J64)</f>
        <v>22883.789999999997</v>
      </c>
      <c r="K65" s="252"/>
      <c r="L65" s="253"/>
      <c r="M65" s="251">
        <f>SUBTOTAL(9,M60:M64)</f>
        <v>346.84000000000003</v>
      </c>
      <c r="N65" s="251">
        <f>SUBTOTAL(9,N60:N64)</f>
        <v>558.3599999999999</v>
      </c>
      <c r="O65" s="223"/>
      <c r="P65" s="210"/>
      <c r="Q65" s="210" t="str">
        <f>VLOOKUP(C65,'Descriptions Sorted by WO '!$A$5:$S$977,18,FALSE)</f>
        <v>393.1009 (5) (a) (b)</v>
      </c>
      <c r="R65" s="210" t="str">
        <f>VLOOKUP(C65,'Descriptions Sorted by WO '!$A$5:$S$977,19,FALSE)</f>
        <v>A,B,C,I</v>
      </c>
    </row>
    <row r="66" spans="1:18" ht="30" outlineLevel="2">
      <c r="A66" s="211" t="s">
        <v>66</v>
      </c>
      <c r="B66" s="212" t="s">
        <v>93</v>
      </c>
      <c r="C66" s="212" t="s">
        <v>94</v>
      </c>
      <c r="D66" s="211" t="s">
        <v>95</v>
      </c>
      <c r="E66" s="212" t="s">
        <v>96</v>
      </c>
      <c r="F66" s="211" t="s">
        <v>97</v>
      </c>
      <c r="G66" s="212" t="s">
        <v>23</v>
      </c>
      <c r="H66" s="212" t="s">
        <v>1530</v>
      </c>
      <c r="I66" s="212">
        <v>201409</v>
      </c>
      <c r="J66" s="213">
        <v>-596.15</v>
      </c>
      <c r="K66" s="171">
        <f>VLOOKUP(I66,$T$9:$U$23,2)</f>
        <v>9</v>
      </c>
      <c r="L66" s="214">
        <v>2.23333E-3</v>
      </c>
      <c r="M66" s="213">
        <f>ROUND(J66*K66*L66,2)</f>
        <v>-11.98</v>
      </c>
      <c r="N66" s="213">
        <f>ROUND(J66*L66*12,2)</f>
        <v>-15.98</v>
      </c>
      <c r="O66" s="14"/>
      <c r="P66" s="210" t="str">
        <f>VLOOKUP(C66,'WO Descriptions'!$A$5:$D$384,4,FALSE)</f>
        <v>Service/Yard Line Replacement (SLRP): Company Crew.  Service/yard line replacement - Material Charges Only  (Kansas City - Central Region)</v>
      </c>
      <c r="Q66" s="210"/>
      <c r="R66" s="210"/>
    </row>
    <row r="67" spans="1:18" outlineLevel="1">
      <c r="A67" s="256"/>
      <c r="B67" s="257"/>
      <c r="C67" s="260" t="s">
        <v>1771</v>
      </c>
      <c r="D67" s="256"/>
      <c r="E67" s="257"/>
      <c r="F67" s="256"/>
      <c r="G67" s="257"/>
      <c r="H67" s="257"/>
      <c r="I67" s="257"/>
      <c r="J67" s="258">
        <f>SUBTOTAL(9,J66:J66)</f>
        <v>-596.15</v>
      </c>
      <c r="K67" s="252"/>
      <c r="L67" s="259"/>
      <c r="M67" s="258">
        <f>SUBTOTAL(9,M66:M66)</f>
        <v>-11.98</v>
      </c>
      <c r="N67" s="258">
        <f>SUBTOTAL(9,N66:N66)</f>
        <v>-15.98</v>
      </c>
      <c r="O67" s="223"/>
      <c r="P67" s="210"/>
      <c r="Q67" s="210" t="str">
        <f>VLOOKUP(C67,'Descriptions Sorted by WO '!$A$5:$S$977,18,FALSE)</f>
        <v>393.1009 (5) (a) (b)</v>
      </c>
      <c r="R67" s="210" t="str">
        <f>VLOOKUP(C67,'Descriptions Sorted by WO '!$A$5:$S$977,19,FALSE)</f>
        <v>A,B,C,I</v>
      </c>
    </row>
    <row r="68" spans="1:18" ht="45" outlineLevel="2">
      <c r="A68" s="14" t="s">
        <v>17</v>
      </c>
      <c r="B68" s="15" t="s">
        <v>98</v>
      </c>
      <c r="C68" s="15" t="s">
        <v>99</v>
      </c>
      <c r="D68" s="14" t="s">
        <v>100</v>
      </c>
      <c r="E68" s="15" t="s">
        <v>62</v>
      </c>
      <c r="F68" s="14" t="s">
        <v>22</v>
      </c>
      <c r="G68" s="15" t="s">
        <v>23</v>
      </c>
      <c r="H68" s="15" t="s">
        <v>1525</v>
      </c>
      <c r="I68" s="15">
        <v>201409</v>
      </c>
      <c r="J68" s="16">
        <v>0.32</v>
      </c>
      <c r="K68" s="171">
        <f>VLOOKUP(I68,$T$9:$U$23,2)</f>
        <v>9</v>
      </c>
      <c r="L68" s="17">
        <v>1.4833299999999999E-3</v>
      </c>
      <c r="M68" s="16">
        <f>ROUND(J68*K68*L68,2)</f>
        <v>0</v>
      </c>
      <c r="N68" s="16">
        <f>ROUND(J68*L68*12,2)</f>
        <v>0.01</v>
      </c>
      <c r="O68" s="14"/>
      <c r="P68" s="210" t="str">
        <f>VLOOKUP(C68,'WO Descriptions'!$A$5:$D$384,4,FALSE)</f>
        <v>Approved by: Ralph Janes on 05/01/2013,  Replace and abandon 337' of 2&amp;quot; PBS main (none WO) with 340' of 2&amp;quot; PE. The existing main was isolated and cut off the rectifier by the installation of PE main on WO# 13-2654. (ISRS).</v>
      </c>
      <c r="Q68" s="210"/>
      <c r="R68" s="210"/>
    </row>
    <row r="69" spans="1:18" outlineLevel="1">
      <c r="A69" s="223"/>
      <c r="B69" s="250"/>
      <c r="C69" s="254" t="s">
        <v>1772</v>
      </c>
      <c r="D69" s="223"/>
      <c r="E69" s="250"/>
      <c r="F69" s="223"/>
      <c r="G69" s="250"/>
      <c r="H69" s="250"/>
      <c r="I69" s="250"/>
      <c r="J69" s="251">
        <f>SUBTOTAL(9,J68:J68)</f>
        <v>0.32</v>
      </c>
      <c r="K69" s="252"/>
      <c r="L69" s="253"/>
      <c r="M69" s="251">
        <f>SUBTOTAL(9,M68:M68)</f>
        <v>0</v>
      </c>
      <c r="N69" s="251">
        <f>SUBTOTAL(9,N68:N68)</f>
        <v>0.01</v>
      </c>
      <c r="O69" s="223"/>
      <c r="P69" s="210"/>
      <c r="Q69" s="210" t="str">
        <f>VLOOKUP(C69,'Descriptions Sorted by WO '!$A$5:$S$977,18,FALSE)</f>
        <v>393.1009 (5) (a) (b)</v>
      </c>
      <c r="R69" s="210" t="str">
        <f>VLOOKUP(C69,'Descriptions Sorted by WO '!$A$5:$S$977,19,FALSE)</f>
        <v>A,B,C</v>
      </c>
    </row>
    <row r="70" spans="1:18" ht="75" outlineLevel="2">
      <c r="A70" s="14" t="s">
        <v>17</v>
      </c>
      <c r="B70" s="15" t="s">
        <v>101</v>
      </c>
      <c r="C70" s="15" t="s">
        <v>102</v>
      </c>
      <c r="D70" s="14" t="s">
        <v>103</v>
      </c>
      <c r="E70" s="15" t="s">
        <v>104</v>
      </c>
      <c r="F70" s="14" t="s">
        <v>41</v>
      </c>
      <c r="G70" s="15" t="s">
        <v>23</v>
      </c>
      <c r="H70" s="15" t="s">
        <v>1526</v>
      </c>
      <c r="I70" s="15">
        <v>201409</v>
      </c>
      <c r="J70" s="16">
        <v>-39.9</v>
      </c>
      <c r="K70" s="171">
        <f>VLOOKUP(I70,$T$9:$U$23,2)</f>
        <v>9</v>
      </c>
      <c r="L70" s="17">
        <v>1.4833299999999999E-3</v>
      </c>
      <c r="M70" s="16">
        <f>ROUND(J70*K70*L70,2)</f>
        <v>-0.53</v>
      </c>
      <c r="N70" s="16">
        <f>ROUND(J70*L70*12,2)</f>
        <v>-0.71</v>
      </c>
      <c r="O70" s="14"/>
      <c r="P70" s="210" t="str">
        <f>VLOOKUP(C70,'WO Descriptions'!$A$5:$D$384,4,FALSE)</f>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
      <c r="Q70" s="210"/>
      <c r="R70" s="210"/>
    </row>
    <row r="71" spans="1:18" outlineLevel="1">
      <c r="A71" s="223"/>
      <c r="B71" s="250"/>
      <c r="C71" s="254" t="s">
        <v>1773</v>
      </c>
      <c r="D71" s="223"/>
      <c r="E71" s="250"/>
      <c r="F71" s="223"/>
      <c r="G71" s="250"/>
      <c r="H71" s="250"/>
      <c r="I71" s="250"/>
      <c r="J71" s="251">
        <f>SUBTOTAL(9,J70:J70)</f>
        <v>-39.9</v>
      </c>
      <c r="K71" s="252"/>
      <c r="L71" s="253"/>
      <c r="M71" s="251">
        <f>SUBTOTAL(9,M70:M70)</f>
        <v>-0.53</v>
      </c>
      <c r="N71" s="251">
        <f>SUBTOTAL(9,N70:N70)</f>
        <v>-0.71</v>
      </c>
      <c r="O71" s="223"/>
      <c r="P71" s="210"/>
      <c r="Q71" s="210" t="str">
        <f>VLOOKUP(C71,'Descriptions Sorted by WO '!$A$5:$S$977,18,FALSE)</f>
        <v>393.1009 (5) (C)</v>
      </c>
      <c r="R71" s="210"/>
    </row>
    <row r="72" spans="1:18" ht="75" outlineLevel="2">
      <c r="A72" s="14" t="s">
        <v>17</v>
      </c>
      <c r="B72" s="15" t="s">
        <v>105</v>
      </c>
      <c r="C72" s="15" t="s">
        <v>106</v>
      </c>
      <c r="D72" s="14" t="s">
        <v>107</v>
      </c>
      <c r="E72" s="15" t="s">
        <v>108</v>
      </c>
      <c r="F72" s="14" t="s">
        <v>28</v>
      </c>
      <c r="G72" s="15" t="s">
        <v>23</v>
      </c>
      <c r="H72" s="15" t="s">
        <v>1525</v>
      </c>
      <c r="I72" s="15">
        <v>201409</v>
      </c>
      <c r="J72" s="16">
        <v>-10120.82</v>
      </c>
      <c r="K72" s="171">
        <f>VLOOKUP(I72,$T$9:$U$23,2)</f>
        <v>9</v>
      </c>
      <c r="L72" s="17">
        <v>1.4833299999999999E-3</v>
      </c>
      <c r="M72" s="16">
        <f>ROUND(J72*K72*L72,2)</f>
        <v>-135.11000000000001</v>
      </c>
      <c r="N72" s="16">
        <f>ROUND(J72*L72*12,2)</f>
        <v>-180.15</v>
      </c>
      <c r="O72" s="14"/>
      <c r="P72" s="210" t="str">
        <f>VLOOKUP(C72,'WO Descriptions'!$A$5:$D$384,4,FALSE)</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c r="Q72" s="210"/>
      <c r="R72" s="210"/>
    </row>
    <row r="73" spans="1:18" ht="75" outlineLevel="2">
      <c r="A73" s="14" t="s">
        <v>17</v>
      </c>
      <c r="B73" s="15" t="s">
        <v>105</v>
      </c>
      <c r="C73" s="15" t="s">
        <v>106</v>
      </c>
      <c r="D73" s="14" t="s">
        <v>107</v>
      </c>
      <c r="E73" s="15" t="s">
        <v>108</v>
      </c>
      <c r="F73" s="14" t="s">
        <v>28</v>
      </c>
      <c r="G73" s="15" t="s">
        <v>23</v>
      </c>
      <c r="H73" s="15" t="s">
        <v>1525</v>
      </c>
      <c r="I73" s="15">
        <v>201410</v>
      </c>
      <c r="J73" s="16">
        <v>-961.99</v>
      </c>
      <c r="K73" s="171">
        <f>VLOOKUP(I73,$T$9:$U$23,2)</f>
        <v>8</v>
      </c>
      <c r="L73" s="17">
        <v>1.4833299999999999E-3</v>
      </c>
      <c r="M73" s="16">
        <f>ROUND(J73*K73*L73,2)</f>
        <v>-11.42</v>
      </c>
      <c r="N73" s="16">
        <f>ROUND(J73*L73*12,2)</f>
        <v>-17.12</v>
      </c>
      <c r="O73" s="14"/>
      <c r="P73" s="210" t="str">
        <f>VLOOKUP(C73,'WO Descriptions'!$A$5:$D$384,4,FALSE)</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c r="Q73" s="210"/>
      <c r="R73" s="210"/>
    </row>
    <row r="74" spans="1:18" ht="75" outlineLevel="2">
      <c r="A74" s="14" t="s">
        <v>17</v>
      </c>
      <c r="B74" s="15" t="s">
        <v>105</v>
      </c>
      <c r="C74" s="15" t="s">
        <v>106</v>
      </c>
      <c r="D74" s="14" t="s">
        <v>107</v>
      </c>
      <c r="E74" s="15" t="s">
        <v>108</v>
      </c>
      <c r="F74" s="14" t="s">
        <v>28</v>
      </c>
      <c r="G74" s="15" t="s">
        <v>23</v>
      </c>
      <c r="H74" s="15" t="s">
        <v>1525</v>
      </c>
      <c r="I74" s="15">
        <v>201411</v>
      </c>
      <c r="J74" s="16">
        <v>132.91</v>
      </c>
      <c r="K74" s="171">
        <f>VLOOKUP(I74,$T$9:$U$23,2)</f>
        <v>7</v>
      </c>
      <c r="L74" s="17">
        <v>1.4833299999999999E-3</v>
      </c>
      <c r="M74" s="16">
        <f>ROUND(J74*K74*L74,2)</f>
        <v>1.38</v>
      </c>
      <c r="N74" s="16">
        <f>ROUND(J74*L74*12,2)</f>
        <v>2.37</v>
      </c>
      <c r="O74" s="14"/>
      <c r="P74" s="210" t="str">
        <f>VLOOKUP(C74,'WO Descriptions'!$A$5:$D$384,4,FALSE)</f>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
      <c r="Q74" s="210"/>
      <c r="R74" s="210"/>
    </row>
    <row r="75" spans="1:18" outlineLevel="1">
      <c r="A75" s="223"/>
      <c r="B75" s="250"/>
      <c r="C75" s="254" t="s">
        <v>1774</v>
      </c>
      <c r="D75" s="223"/>
      <c r="E75" s="250"/>
      <c r="F75" s="223"/>
      <c r="G75" s="250"/>
      <c r="H75" s="250"/>
      <c r="I75" s="250"/>
      <c r="J75" s="251">
        <f>SUBTOTAL(9,J72:J74)</f>
        <v>-10949.9</v>
      </c>
      <c r="K75" s="252"/>
      <c r="L75" s="253"/>
      <c r="M75" s="251">
        <f>SUBTOTAL(9,M72:M74)</f>
        <v>-145.15</v>
      </c>
      <c r="N75" s="251">
        <f>SUBTOTAL(9,N72:N74)</f>
        <v>-194.9</v>
      </c>
      <c r="O75" s="223"/>
      <c r="P75" s="210"/>
      <c r="Q75" s="210" t="str">
        <f>VLOOKUP(C75,'Descriptions Sorted by WO '!$A$5:$S$977,18,FALSE)</f>
        <v>393.1009 (5) (a) (b)</v>
      </c>
      <c r="R75" s="210" t="str">
        <f>VLOOKUP(C75,'Descriptions Sorted by WO '!$A$5:$S$977,19,FALSE)</f>
        <v>A,B</v>
      </c>
    </row>
    <row r="76" spans="1:18" ht="60" outlineLevel="2">
      <c r="A76" s="14" t="s">
        <v>17</v>
      </c>
      <c r="B76" s="15" t="s">
        <v>109</v>
      </c>
      <c r="C76" s="15" t="s">
        <v>110</v>
      </c>
      <c r="D76" s="14" t="s">
        <v>111</v>
      </c>
      <c r="E76" s="15" t="s">
        <v>112</v>
      </c>
      <c r="F76" s="14" t="s">
        <v>22</v>
      </c>
      <c r="G76" s="15" t="s">
        <v>23</v>
      </c>
      <c r="H76" s="15" t="s">
        <v>1525</v>
      </c>
      <c r="I76" s="15">
        <v>201409</v>
      </c>
      <c r="J76" s="16">
        <v>-30.63</v>
      </c>
      <c r="K76" s="171">
        <f>VLOOKUP(I76,$T$9:$U$23,2)</f>
        <v>9</v>
      </c>
      <c r="L76" s="17">
        <v>1.4833299999999999E-3</v>
      </c>
      <c r="M76" s="16">
        <f>ROUND(J76*K76*L76,2)</f>
        <v>-0.41</v>
      </c>
      <c r="N76" s="16">
        <f>ROUND(J76*L76*12,2)</f>
        <v>-0.55000000000000004</v>
      </c>
      <c r="O76" s="14"/>
      <c r="P76" s="210" t="str">
        <f>VLOOKUP(C76,'WO Descriptions'!$A$5:$D$384,4,FALSE)</f>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
      <c r="Q76" s="210"/>
      <c r="R76" s="210"/>
    </row>
    <row r="77" spans="1:18" outlineLevel="1">
      <c r="A77" s="223"/>
      <c r="B77" s="250"/>
      <c r="C77" s="254" t="s">
        <v>1775</v>
      </c>
      <c r="D77" s="223"/>
      <c r="E77" s="250"/>
      <c r="F77" s="223"/>
      <c r="G77" s="250"/>
      <c r="H77" s="250"/>
      <c r="I77" s="250"/>
      <c r="J77" s="251">
        <f>SUBTOTAL(9,J76:J76)</f>
        <v>-30.63</v>
      </c>
      <c r="K77" s="252"/>
      <c r="L77" s="253"/>
      <c r="M77" s="251">
        <f>SUBTOTAL(9,M76:M76)</f>
        <v>-0.41</v>
      </c>
      <c r="N77" s="251">
        <f>SUBTOTAL(9,N76:N76)</f>
        <v>-0.55000000000000004</v>
      </c>
      <c r="O77" s="223"/>
      <c r="P77" s="210"/>
      <c r="Q77" s="210" t="str">
        <f>VLOOKUP(C77,'Descriptions Sorted by WO '!$A$5:$S$977,18,FALSE)</f>
        <v>393.1009 (5) (a) (b)</v>
      </c>
      <c r="R77" s="210" t="str">
        <f>VLOOKUP(C77,'Descriptions Sorted by WO '!$A$5:$S$977,19,FALSE)</f>
        <v>A,B,C</v>
      </c>
    </row>
    <row r="78" spans="1:18" ht="105" outlineLevel="2">
      <c r="A78" s="14" t="s">
        <v>17</v>
      </c>
      <c r="B78" s="15" t="s">
        <v>113</v>
      </c>
      <c r="C78" s="15" t="s">
        <v>114</v>
      </c>
      <c r="D78" s="14" t="s">
        <v>115</v>
      </c>
      <c r="E78" s="15" t="s">
        <v>58</v>
      </c>
      <c r="F78" s="14" t="s">
        <v>22</v>
      </c>
      <c r="G78" s="15" t="s">
        <v>23</v>
      </c>
      <c r="H78" s="15" t="s">
        <v>1525</v>
      </c>
      <c r="I78" s="15">
        <v>201409</v>
      </c>
      <c r="J78" s="16">
        <v>-170.7</v>
      </c>
      <c r="K78" s="171">
        <f>VLOOKUP(I78,$T$9:$U$23,2)</f>
        <v>9</v>
      </c>
      <c r="L78" s="17">
        <v>1.4833299999999999E-3</v>
      </c>
      <c r="M78" s="16">
        <f>ROUND(J78*K78*L78,2)</f>
        <v>-2.2799999999999998</v>
      </c>
      <c r="N78" s="16">
        <f>ROUND(J78*L78*12,2)</f>
        <v>-3.04</v>
      </c>
      <c r="O78" s="14"/>
      <c r="P78" s="210" t="str">
        <f>VLOOKUP(C78,'WO Descriptions'!$A$5:$D$384,4,FALSE)</f>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
      <c r="Q78" s="210"/>
      <c r="R78" s="210"/>
    </row>
    <row r="79" spans="1:18" outlineLevel="1">
      <c r="A79" s="223"/>
      <c r="B79" s="250"/>
      <c r="C79" s="254" t="s">
        <v>1776</v>
      </c>
      <c r="D79" s="223"/>
      <c r="E79" s="250"/>
      <c r="F79" s="223"/>
      <c r="G79" s="250"/>
      <c r="H79" s="250"/>
      <c r="I79" s="250"/>
      <c r="J79" s="251">
        <f>SUBTOTAL(9,J78:J78)</f>
        <v>-170.7</v>
      </c>
      <c r="K79" s="252"/>
      <c r="L79" s="253"/>
      <c r="M79" s="251">
        <f>SUBTOTAL(9,M78:M78)</f>
        <v>-2.2799999999999998</v>
      </c>
      <c r="N79" s="251">
        <f>SUBTOTAL(9,N78:N78)</f>
        <v>-3.04</v>
      </c>
      <c r="O79" s="223"/>
      <c r="P79" s="210"/>
      <c r="Q79" s="210" t="str">
        <f>VLOOKUP(C79,'Descriptions Sorted by WO '!$A$5:$S$977,18,FALSE)</f>
        <v>393.1009 (5) (a) (b)</v>
      </c>
      <c r="R79" s="210" t="str">
        <f>VLOOKUP(C79,'Descriptions Sorted by WO '!$A$5:$S$977,19,FALSE)</f>
        <v>A,B,C</v>
      </c>
    </row>
    <row r="80" spans="1:18" ht="120" outlineLevel="2">
      <c r="A80" s="14" t="s">
        <v>17</v>
      </c>
      <c r="B80" s="15" t="s">
        <v>116</v>
      </c>
      <c r="C80" s="15" t="s">
        <v>117</v>
      </c>
      <c r="D80" s="14" t="s">
        <v>118</v>
      </c>
      <c r="E80" s="15" t="s">
        <v>27</v>
      </c>
      <c r="F80" s="14" t="s">
        <v>28</v>
      </c>
      <c r="G80" s="15" t="s">
        <v>23</v>
      </c>
      <c r="H80" s="15" t="s">
        <v>1525</v>
      </c>
      <c r="I80" s="15">
        <v>201409</v>
      </c>
      <c r="J80" s="16">
        <v>-586.59</v>
      </c>
      <c r="K80" s="171">
        <f>VLOOKUP(I80,$T$9:$U$23,2)</f>
        <v>9</v>
      </c>
      <c r="L80" s="17">
        <v>1.4833299999999999E-3</v>
      </c>
      <c r="M80" s="16">
        <f>ROUND(J80*K80*L80,2)</f>
        <v>-7.83</v>
      </c>
      <c r="N80" s="16">
        <f>ROUND(J80*L80*12,2)</f>
        <v>-10.44</v>
      </c>
      <c r="O80" s="14"/>
      <c r="P80" s="210" t="str">
        <f>VLOOKUP(C80,'WO Descriptions'!$A$5:$D$384,4,FALSE)</f>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
      <c r="Q80" s="210"/>
      <c r="R80" s="210"/>
    </row>
    <row r="81" spans="1:18" outlineLevel="1">
      <c r="A81" s="223"/>
      <c r="B81" s="250"/>
      <c r="C81" s="254" t="s">
        <v>1777</v>
      </c>
      <c r="D81" s="223"/>
      <c r="E81" s="250"/>
      <c r="F81" s="223"/>
      <c r="G81" s="250"/>
      <c r="H81" s="250"/>
      <c r="I81" s="250"/>
      <c r="J81" s="251">
        <f>SUBTOTAL(9,J80:J80)</f>
        <v>-586.59</v>
      </c>
      <c r="K81" s="252"/>
      <c r="L81" s="253"/>
      <c r="M81" s="251">
        <f>SUBTOTAL(9,M80:M80)</f>
        <v>-7.83</v>
      </c>
      <c r="N81" s="251">
        <f>SUBTOTAL(9,N80:N80)</f>
        <v>-10.44</v>
      </c>
      <c r="O81" s="223"/>
      <c r="P81" s="210"/>
      <c r="Q81" s="210" t="str">
        <f>VLOOKUP(C81,'Descriptions Sorted by WO '!$A$5:$S$977,18,FALSE)</f>
        <v>393.1009 (5) (a) (b)</v>
      </c>
      <c r="R81" s="210" t="str">
        <f>VLOOKUP(C81,'Descriptions Sorted by WO '!$A$5:$S$977,19,FALSE)</f>
        <v>A,B</v>
      </c>
    </row>
    <row r="82" spans="1:18" ht="90" outlineLevel="2">
      <c r="A82" s="14" t="s">
        <v>17</v>
      </c>
      <c r="B82" s="15" t="s">
        <v>119</v>
      </c>
      <c r="C82" s="15" t="s">
        <v>120</v>
      </c>
      <c r="D82" s="14" t="s">
        <v>121</v>
      </c>
      <c r="E82" s="15" t="s">
        <v>32</v>
      </c>
      <c r="F82" s="14" t="s">
        <v>22</v>
      </c>
      <c r="G82" s="15" t="s">
        <v>23</v>
      </c>
      <c r="H82" s="15" t="s">
        <v>1525</v>
      </c>
      <c r="I82" s="15">
        <v>201409</v>
      </c>
      <c r="J82" s="16">
        <v>-269.26</v>
      </c>
      <c r="K82" s="171">
        <f>VLOOKUP(I82,$T$9:$U$23,2)</f>
        <v>9</v>
      </c>
      <c r="L82" s="17">
        <v>1.4833299999999999E-3</v>
      </c>
      <c r="M82" s="16">
        <f>ROUND(J82*K82*L82,2)</f>
        <v>-3.59</v>
      </c>
      <c r="N82" s="16">
        <f>ROUND(J82*L82*12,2)</f>
        <v>-4.79</v>
      </c>
      <c r="O82" s="14"/>
      <c r="P82" s="210" t="str">
        <f>VLOOKUP(C82,'WO Descriptions'!$A$5:$D$384,4,FALSE)</f>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
      <c r="Q82" s="210"/>
      <c r="R82" s="210"/>
    </row>
    <row r="83" spans="1:18" outlineLevel="1">
      <c r="A83" s="223"/>
      <c r="B83" s="250"/>
      <c r="C83" s="254" t="s">
        <v>1778</v>
      </c>
      <c r="D83" s="223"/>
      <c r="E83" s="250"/>
      <c r="F83" s="223"/>
      <c r="G83" s="250"/>
      <c r="H83" s="250"/>
      <c r="I83" s="250"/>
      <c r="J83" s="251">
        <f>SUBTOTAL(9,J82:J82)</f>
        <v>-269.26</v>
      </c>
      <c r="K83" s="252"/>
      <c r="L83" s="253"/>
      <c r="M83" s="251">
        <f>SUBTOTAL(9,M82:M82)</f>
        <v>-3.59</v>
      </c>
      <c r="N83" s="251">
        <f>SUBTOTAL(9,N82:N82)</f>
        <v>-4.79</v>
      </c>
      <c r="O83" s="223"/>
      <c r="P83" s="210"/>
      <c r="Q83" s="210" t="str">
        <f>VLOOKUP(C83,'Descriptions Sorted by WO '!$A$5:$S$977,18,FALSE)</f>
        <v>393.1009 (5) (a) (b)</v>
      </c>
      <c r="R83" s="210" t="str">
        <f>VLOOKUP(C83,'Descriptions Sorted by WO '!$A$5:$S$977,19,FALSE)</f>
        <v>A,B,C</v>
      </c>
    </row>
    <row r="84" spans="1:18" ht="120" outlineLevel="2">
      <c r="A84" s="14" t="s">
        <v>17</v>
      </c>
      <c r="B84" s="15" t="s">
        <v>122</v>
      </c>
      <c r="C84" s="15" t="s">
        <v>123</v>
      </c>
      <c r="D84" s="14" t="s">
        <v>124</v>
      </c>
      <c r="E84" s="15" t="s">
        <v>125</v>
      </c>
      <c r="F84" s="14" t="s">
        <v>126</v>
      </c>
      <c r="G84" s="15" t="s">
        <v>23</v>
      </c>
      <c r="H84" s="15" t="s">
        <v>1525</v>
      </c>
      <c r="I84" s="15">
        <v>201409</v>
      </c>
      <c r="J84" s="16">
        <v>-131.71</v>
      </c>
      <c r="K84" s="171">
        <f>VLOOKUP(I84,$T$9:$U$23,2)</f>
        <v>9</v>
      </c>
      <c r="L84" s="17">
        <v>1.4833299999999999E-3</v>
      </c>
      <c r="M84" s="16">
        <f>ROUND(J84*K84*L84,2)</f>
        <v>-1.76</v>
      </c>
      <c r="N84" s="16">
        <f>ROUND(J84*L84*12,2)</f>
        <v>-2.34</v>
      </c>
      <c r="O84" s="14"/>
      <c r="P84" s="210" t="str">
        <f>VLOOKUP(C84,'WO Descriptions'!$A$5:$D$384,4,FALSE)</f>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
      <c r="Q84" s="210"/>
      <c r="R84" s="210"/>
    </row>
    <row r="85" spans="1:18" outlineLevel="1">
      <c r="A85" s="223"/>
      <c r="B85" s="250"/>
      <c r="C85" s="254" t="s">
        <v>1779</v>
      </c>
      <c r="D85" s="223"/>
      <c r="E85" s="250"/>
      <c r="F85" s="223"/>
      <c r="G85" s="250"/>
      <c r="H85" s="250"/>
      <c r="I85" s="250"/>
      <c r="J85" s="251">
        <f>SUBTOTAL(9,J84:J84)</f>
        <v>-131.71</v>
      </c>
      <c r="K85" s="252"/>
      <c r="L85" s="253"/>
      <c r="M85" s="251">
        <f>SUBTOTAL(9,M84:M84)</f>
        <v>-1.76</v>
      </c>
      <c r="N85" s="251">
        <f>SUBTOTAL(9,N84:N84)</f>
        <v>-2.34</v>
      </c>
      <c r="O85" s="223"/>
      <c r="P85" s="210"/>
      <c r="Q85" s="210" t="str">
        <f>VLOOKUP(C85,'Descriptions Sorted by WO '!$A$5:$S$977,18,FALSE)</f>
        <v>393.1009 (5) (a), (b)</v>
      </c>
      <c r="R85" s="210" t="str">
        <f>VLOOKUP(C85,'Descriptions Sorted by WO '!$A$5:$S$977,19,FALSE)</f>
        <v>A, B, E</v>
      </c>
    </row>
    <row r="86" spans="1:18" ht="165" outlineLevel="2">
      <c r="A86" s="14" t="s">
        <v>17</v>
      </c>
      <c r="B86" s="15" t="s">
        <v>127</v>
      </c>
      <c r="C86" s="15" t="s">
        <v>128</v>
      </c>
      <c r="D86" s="14" t="s">
        <v>129</v>
      </c>
      <c r="E86" s="15" t="s">
        <v>62</v>
      </c>
      <c r="F86" s="14" t="s">
        <v>22</v>
      </c>
      <c r="G86" s="15" t="s">
        <v>23</v>
      </c>
      <c r="H86" s="15" t="s">
        <v>1525</v>
      </c>
      <c r="I86" s="15">
        <v>201409</v>
      </c>
      <c r="J86" s="16">
        <v>-1334.18</v>
      </c>
      <c r="K86" s="171">
        <f>VLOOKUP(I86,$T$9:$U$23,2)</f>
        <v>9</v>
      </c>
      <c r="L86" s="17">
        <v>1.4833299999999999E-3</v>
      </c>
      <c r="M86" s="16">
        <f>ROUND(J86*K86*L86,2)</f>
        <v>-17.809999999999999</v>
      </c>
      <c r="N86" s="16">
        <f>ROUND(J86*L86*12,2)</f>
        <v>-23.75</v>
      </c>
      <c r="O86" s="14"/>
      <c r="P86" s="210" t="str">
        <f>VLOOKUP(C86,'WO Descriptions'!$A$5:$D$384,4,FALSE)</f>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
      <c r="Q86" s="210"/>
      <c r="R86" s="210"/>
    </row>
    <row r="87" spans="1:18" outlineLevel="1">
      <c r="A87" s="223"/>
      <c r="B87" s="250"/>
      <c r="C87" s="254" t="s">
        <v>1780</v>
      </c>
      <c r="D87" s="223"/>
      <c r="E87" s="250"/>
      <c r="F87" s="223"/>
      <c r="G87" s="250"/>
      <c r="H87" s="250"/>
      <c r="I87" s="250"/>
      <c r="J87" s="251">
        <f>SUBTOTAL(9,J86:J86)</f>
        <v>-1334.18</v>
      </c>
      <c r="K87" s="252"/>
      <c r="L87" s="253"/>
      <c r="M87" s="251">
        <f>SUBTOTAL(9,M86:M86)</f>
        <v>-17.809999999999999</v>
      </c>
      <c r="N87" s="251">
        <f>SUBTOTAL(9,N86:N86)</f>
        <v>-23.75</v>
      </c>
      <c r="O87" s="223"/>
      <c r="P87" s="210"/>
      <c r="Q87" s="210" t="str">
        <f>VLOOKUP(C87,'Descriptions Sorted by WO '!$A$5:$S$977,18,FALSE)</f>
        <v>393.1009 (5) (a) (b)</v>
      </c>
      <c r="R87" s="210" t="str">
        <f>VLOOKUP(C87,'Descriptions Sorted by WO '!$A$5:$S$977,19,FALSE)</f>
        <v>A,B,C</v>
      </c>
    </row>
    <row r="88" spans="1:18" ht="30" outlineLevel="2">
      <c r="A88" s="14" t="s">
        <v>17</v>
      </c>
      <c r="B88" s="15" t="s">
        <v>130</v>
      </c>
      <c r="C88" s="15" t="s">
        <v>131</v>
      </c>
      <c r="D88" s="14" t="s">
        <v>132</v>
      </c>
      <c r="E88" s="15" t="s">
        <v>36</v>
      </c>
      <c r="F88" s="14" t="s">
        <v>22</v>
      </c>
      <c r="G88" s="15" t="s">
        <v>23</v>
      </c>
      <c r="H88" s="15" t="s">
        <v>1525</v>
      </c>
      <c r="I88" s="15">
        <v>201409</v>
      </c>
      <c r="J88" s="16">
        <v>-317.52</v>
      </c>
      <c r="K88" s="171">
        <f>VLOOKUP(I88,$T$9:$U$23,2)</f>
        <v>9</v>
      </c>
      <c r="L88" s="17">
        <v>1.4833299999999999E-3</v>
      </c>
      <c r="M88" s="16">
        <f>ROUND(J88*K88*L88,2)</f>
        <v>-4.24</v>
      </c>
      <c r="N88" s="16">
        <f>ROUND(J88*L88*12,2)</f>
        <v>-5.65</v>
      </c>
      <c r="O88" s="14"/>
      <c r="P88" s="210" t="str">
        <f>VLOOKUP(C88,'WO Descriptions'!$A$5:$D$384,4,FALSE)</f>
        <v>Approved by: Gary Williams on 11/15/2013,  REPLACING 377'-4in BARE STEEL MAIN (WO#512) WITH 377'-4in PE (WO#13-2830).PRESSURE SYSTEM C-01.</v>
      </c>
      <c r="Q88" s="210"/>
      <c r="R88" s="210"/>
    </row>
    <row r="89" spans="1:18" outlineLevel="1">
      <c r="A89" s="223"/>
      <c r="B89" s="250"/>
      <c r="C89" s="254" t="s">
        <v>1781</v>
      </c>
      <c r="D89" s="223"/>
      <c r="E89" s="250"/>
      <c r="F89" s="223"/>
      <c r="G89" s="250"/>
      <c r="H89" s="250"/>
      <c r="I89" s="250"/>
      <c r="J89" s="251">
        <f>SUBTOTAL(9,J88:J88)</f>
        <v>-317.52</v>
      </c>
      <c r="K89" s="252"/>
      <c r="L89" s="253"/>
      <c r="M89" s="251">
        <f>SUBTOTAL(9,M88:M88)</f>
        <v>-4.24</v>
      </c>
      <c r="N89" s="251">
        <f>SUBTOTAL(9,N88:N88)</f>
        <v>-5.65</v>
      </c>
      <c r="O89" s="223"/>
      <c r="P89" s="210"/>
      <c r="Q89" s="210" t="str">
        <f>VLOOKUP(C89,'Descriptions Sorted by WO '!$A$5:$S$977,18,FALSE)</f>
        <v>393.1009 (5) (a) (b)</v>
      </c>
      <c r="R89" s="210" t="str">
        <f>VLOOKUP(C89,'Descriptions Sorted by WO '!$A$5:$S$977,19,FALSE)</f>
        <v>A,B,C</v>
      </c>
    </row>
    <row r="90" spans="1:18" ht="105" outlineLevel="2">
      <c r="A90" s="14" t="s">
        <v>17</v>
      </c>
      <c r="B90" s="15" t="s">
        <v>133</v>
      </c>
      <c r="C90" s="15" t="s">
        <v>134</v>
      </c>
      <c r="D90" s="14" t="s">
        <v>135</v>
      </c>
      <c r="E90" s="15" t="s">
        <v>136</v>
      </c>
      <c r="F90" s="14" t="s">
        <v>137</v>
      </c>
      <c r="G90" s="15" t="s">
        <v>23</v>
      </c>
      <c r="H90" s="15" t="s">
        <v>1526</v>
      </c>
      <c r="I90" s="15">
        <v>201409</v>
      </c>
      <c r="J90" s="16">
        <v>-3718.06</v>
      </c>
      <c r="K90" s="171">
        <f>VLOOKUP(I90,$T$9:$U$23,2)</f>
        <v>9</v>
      </c>
      <c r="L90" s="17">
        <v>1.4833299999999999E-3</v>
      </c>
      <c r="M90" s="16">
        <f>ROUND(J90*K90*L90,2)</f>
        <v>-49.64</v>
      </c>
      <c r="N90" s="16">
        <f>ROUND(J90*L90*12,2)</f>
        <v>-66.180000000000007</v>
      </c>
      <c r="O90" s="14"/>
      <c r="P90" s="210" t="str">
        <f>VLOOKUP(C90,'WO Descriptions'!$A$5:$D$384,4,FALSE)</f>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
      <c r="Q90" s="210"/>
      <c r="R90" s="210"/>
    </row>
    <row r="91" spans="1:18" outlineLevel="1">
      <c r="A91" s="223"/>
      <c r="B91" s="250"/>
      <c r="C91" s="254" t="s">
        <v>1782</v>
      </c>
      <c r="D91" s="223"/>
      <c r="E91" s="250"/>
      <c r="F91" s="223"/>
      <c r="G91" s="250"/>
      <c r="H91" s="250"/>
      <c r="I91" s="250"/>
      <c r="J91" s="251">
        <f>SUBTOTAL(9,J90:J90)</f>
        <v>-3718.06</v>
      </c>
      <c r="K91" s="252"/>
      <c r="L91" s="253"/>
      <c r="M91" s="251">
        <f>SUBTOTAL(9,M90:M90)</f>
        <v>-49.64</v>
      </c>
      <c r="N91" s="251">
        <f>SUBTOTAL(9,N90:N90)</f>
        <v>-66.180000000000007</v>
      </c>
      <c r="O91" s="223"/>
      <c r="P91" s="210"/>
      <c r="Q91" s="210" t="str">
        <f>VLOOKUP(C91,'Descriptions Sorted by WO '!$A$5:$S$977,18,FALSE)</f>
        <v>393.1009 (5) (C)</v>
      </c>
      <c r="R91" s="210"/>
    </row>
    <row r="92" spans="1:18" ht="60" outlineLevel="2">
      <c r="A92" s="14" t="s">
        <v>54</v>
      </c>
      <c r="B92" s="15" t="s">
        <v>138</v>
      </c>
      <c r="C92" s="15" t="s">
        <v>139</v>
      </c>
      <c r="D92" s="14" t="s">
        <v>140</v>
      </c>
      <c r="E92" s="15" t="s">
        <v>141</v>
      </c>
      <c r="F92" s="14" t="s">
        <v>142</v>
      </c>
      <c r="G92" s="15" t="s">
        <v>23</v>
      </c>
      <c r="H92" s="15" t="s">
        <v>1525</v>
      </c>
      <c r="I92" s="15">
        <v>201409</v>
      </c>
      <c r="J92" s="16">
        <v>-2154.0500000000002</v>
      </c>
      <c r="K92" s="171">
        <f>VLOOKUP(I92,$T$9:$U$23,2)</f>
        <v>9</v>
      </c>
      <c r="L92" s="17">
        <v>1.4833299999999999E-3</v>
      </c>
      <c r="M92" s="16">
        <f>ROUND(J92*K92*L92,2)</f>
        <v>-28.76</v>
      </c>
      <c r="N92" s="16">
        <f>ROUND(J92*L92*12,2)</f>
        <v>-38.340000000000003</v>
      </c>
      <c r="O92" s="14"/>
      <c r="P92" s="210" t="str">
        <f>VLOOKUP(C92,'WO Descriptions'!$A$5:$D$384,4,FALSE)</f>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
      <c r="Q92" s="210"/>
      <c r="R92" s="210"/>
    </row>
    <row r="93" spans="1:18" outlineLevel="1">
      <c r="A93" s="223"/>
      <c r="B93" s="250"/>
      <c r="C93" s="254" t="s">
        <v>1783</v>
      </c>
      <c r="D93" s="223"/>
      <c r="E93" s="250"/>
      <c r="F93" s="223"/>
      <c r="G93" s="250"/>
      <c r="H93" s="250"/>
      <c r="I93" s="250"/>
      <c r="J93" s="251">
        <f>SUBTOTAL(9,J92:J92)</f>
        <v>-2154.0500000000002</v>
      </c>
      <c r="K93" s="252"/>
      <c r="L93" s="253"/>
      <c r="M93" s="251">
        <f>SUBTOTAL(9,M92:M92)</f>
        <v>-28.76</v>
      </c>
      <c r="N93" s="251">
        <f>SUBTOTAL(9,N92:N92)</f>
        <v>-38.340000000000003</v>
      </c>
      <c r="O93" s="223"/>
      <c r="P93" s="210"/>
      <c r="Q93" s="210" t="str">
        <f>VLOOKUP(C93,'Descriptions Sorted by WO '!$A$5:$S$977,18,FALSE)</f>
        <v>393.1009 (5) (a) (b)</v>
      </c>
      <c r="R93" s="210" t="str">
        <f>VLOOKUP(C93,'Descriptions Sorted by WO '!$A$5:$S$977,19,FALSE)</f>
        <v>A,B,C,D,I</v>
      </c>
    </row>
    <row r="94" spans="1:18" ht="45" outlineLevel="2">
      <c r="A94" s="14" t="s">
        <v>17</v>
      </c>
      <c r="B94" s="15" t="s">
        <v>143</v>
      </c>
      <c r="C94" s="15" t="s">
        <v>144</v>
      </c>
      <c r="D94" s="14" t="s">
        <v>145</v>
      </c>
      <c r="E94" s="15" t="s">
        <v>62</v>
      </c>
      <c r="F94" s="14" t="s">
        <v>22</v>
      </c>
      <c r="G94" s="15" t="s">
        <v>23</v>
      </c>
      <c r="H94" s="15" t="s">
        <v>1525</v>
      </c>
      <c r="I94" s="15">
        <v>201409</v>
      </c>
      <c r="J94" s="16">
        <v>-515.72</v>
      </c>
      <c r="K94" s="171">
        <f>VLOOKUP(I94,$T$9:$U$23,2)</f>
        <v>9</v>
      </c>
      <c r="L94" s="17">
        <v>1.4833299999999999E-3</v>
      </c>
      <c r="M94" s="16">
        <f>ROUND(J94*K94*L94,2)</f>
        <v>-6.88</v>
      </c>
      <c r="N94" s="16">
        <f>ROUND(J94*L94*12,2)</f>
        <v>-9.18</v>
      </c>
      <c r="O94" s="14"/>
      <c r="P94" s="210" t="str">
        <f>VLOOKUP(C94,'WO Descriptions'!$A$5:$D$384,4,FALSE)</f>
        <v>Approved by: Ralph Janes on 09/03/2013,  Main to Abandon: 620' of 4in PBS, year 1926,work order 149. Replace with 640' of 4in PE on wo# 13-2920. This section of bare steel main has a history of leakage with several leak clamps installed.  ISRS</v>
      </c>
      <c r="Q94" s="210"/>
      <c r="R94" s="210"/>
    </row>
    <row r="95" spans="1:18" outlineLevel="1">
      <c r="A95" s="223"/>
      <c r="B95" s="250"/>
      <c r="C95" s="254" t="s">
        <v>1784</v>
      </c>
      <c r="D95" s="223"/>
      <c r="E95" s="250"/>
      <c r="F95" s="223"/>
      <c r="G95" s="250"/>
      <c r="H95" s="250"/>
      <c r="I95" s="250"/>
      <c r="J95" s="251">
        <f>SUBTOTAL(9,J94:J94)</f>
        <v>-515.72</v>
      </c>
      <c r="K95" s="252"/>
      <c r="L95" s="253"/>
      <c r="M95" s="251">
        <f>SUBTOTAL(9,M94:M94)</f>
        <v>-6.88</v>
      </c>
      <c r="N95" s="251">
        <f>SUBTOTAL(9,N94:N94)</f>
        <v>-9.18</v>
      </c>
      <c r="O95" s="223"/>
      <c r="P95" s="210"/>
      <c r="Q95" s="210" t="str">
        <f>VLOOKUP(C95,'Descriptions Sorted by WO '!$A$5:$S$977,18,FALSE)</f>
        <v>393.1009 (5) (a) (b)</v>
      </c>
      <c r="R95" s="210" t="str">
        <f>VLOOKUP(C95,'Descriptions Sorted by WO '!$A$5:$S$977,19,FALSE)</f>
        <v>A,B,C</v>
      </c>
    </row>
    <row r="96" spans="1:18" ht="105" outlineLevel="2">
      <c r="A96" s="14" t="s">
        <v>54</v>
      </c>
      <c r="B96" s="15" t="s">
        <v>146</v>
      </c>
      <c r="C96" s="15" t="s">
        <v>147</v>
      </c>
      <c r="D96" s="14" t="s">
        <v>148</v>
      </c>
      <c r="E96" s="15" t="s">
        <v>62</v>
      </c>
      <c r="F96" s="14" t="s">
        <v>22</v>
      </c>
      <c r="G96" s="15" t="s">
        <v>23</v>
      </c>
      <c r="H96" s="15" t="s">
        <v>1525</v>
      </c>
      <c r="I96" s="15">
        <v>201411</v>
      </c>
      <c r="J96" s="16">
        <v>800090.36</v>
      </c>
      <c r="K96" s="171">
        <f>VLOOKUP(I96,$T$9:$U$23,2)</f>
        <v>7</v>
      </c>
      <c r="L96" s="17">
        <v>1.4833299999999999E-3</v>
      </c>
      <c r="M96" s="16">
        <f>ROUND(J96*K96*L96,2)</f>
        <v>8307.59</v>
      </c>
      <c r="N96" s="16">
        <f>ROUND(J96*L96*12,2)</f>
        <v>14241.58</v>
      </c>
      <c r="O96" s="14"/>
      <c r="P96" s="210" t="str">
        <f>VLOOKUP(C96,'WO Descriptions'!$A$5:$D$384,4,FALSE)</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c r="Q96" s="210"/>
      <c r="R96" s="210"/>
    </row>
    <row r="97" spans="1:18" ht="105" outlineLevel="2">
      <c r="A97" s="14" t="s">
        <v>54</v>
      </c>
      <c r="B97" s="15" t="s">
        <v>146</v>
      </c>
      <c r="C97" s="15" t="s">
        <v>147</v>
      </c>
      <c r="D97" s="14" t="s">
        <v>148</v>
      </c>
      <c r="E97" s="15" t="s">
        <v>62</v>
      </c>
      <c r="F97" s="14" t="s">
        <v>22</v>
      </c>
      <c r="G97" s="15" t="s">
        <v>23</v>
      </c>
      <c r="H97" s="15" t="s">
        <v>1525</v>
      </c>
      <c r="I97" s="15">
        <v>201412</v>
      </c>
      <c r="J97" s="16">
        <v>4971.3500000000004</v>
      </c>
      <c r="K97" s="171">
        <f>VLOOKUP(I97,$T$9:$U$23,2)</f>
        <v>6</v>
      </c>
      <c r="L97" s="17">
        <v>1.4833299999999999E-3</v>
      </c>
      <c r="M97" s="16">
        <f>ROUND(J97*K97*L97,2)</f>
        <v>44.24</v>
      </c>
      <c r="N97" s="16">
        <f>ROUND(J97*L97*12,2)</f>
        <v>88.49</v>
      </c>
      <c r="O97" s="14"/>
      <c r="P97" s="210" t="str">
        <f>VLOOKUP(C97,'WO Descriptions'!$A$5:$D$384,4,FALSE)</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c r="Q97" s="210"/>
      <c r="R97" s="210"/>
    </row>
    <row r="98" spans="1:18" ht="105" outlineLevel="2">
      <c r="A98" s="14" t="s">
        <v>54</v>
      </c>
      <c r="B98" s="15" t="s">
        <v>146</v>
      </c>
      <c r="C98" s="15" t="s">
        <v>147</v>
      </c>
      <c r="D98" s="14" t="s">
        <v>148</v>
      </c>
      <c r="E98" s="15" t="s">
        <v>62</v>
      </c>
      <c r="F98" s="14" t="s">
        <v>22</v>
      </c>
      <c r="G98" s="15" t="s">
        <v>23</v>
      </c>
      <c r="H98" s="15" t="s">
        <v>1525</v>
      </c>
      <c r="I98" s="15">
        <v>201501</v>
      </c>
      <c r="J98" s="16">
        <v>1145.8699999999999</v>
      </c>
      <c r="K98" s="171">
        <f>VLOOKUP(I98,$T$9:$U$23,2)</f>
        <v>5</v>
      </c>
      <c r="L98" s="17">
        <v>1.4833299999999999E-3</v>
      </c>
      <c r="M98" s="16">
        <f>ROUND(J98*K98*L98,2)</f>
        <v>8.5</v>
      </c>
      <c r="N98" s="16">
        <f>ROUND(J98*L98*12,2)</f>
        <v>20.399999999999999</v>
      </c>
      <c r="O98" s="14"/>
      <c r="P98" s="210" t="str">
        <f>VLOOKUP(C98,'WO Descriptions'!$A$5:$D$384,4,FALSE)</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c r="Q98" s="210"/>
      <c r="R98" s="210"/>
    </row>
    <row r="99" spans="1:18" ht="105" outlineLevel="2">
      <c r="A99" s="14" t="s">
        <v>54</v>
      </c>
      <c r="B99" s="15" t="s">
        <v>146</v>
      </c>
      <c r="C99" s="15" t="s">
        <v>147</v>
      </c>
      <c r="D99" s="14" t="s">
        <v>148</v>
      </c>
      <c r="E99" s="15" t="s">
        <v>62</v>
      </c>
      <c r="F99" s="14" t="s">
        <v>22</v>
      </c>
      <c r="G99" s="15" t="s">
        <v>23</v>
      </c>
      <c r="H99" s="15" t="s">
        <v>1525</v>
      </c>
      <c r="I99" s="15">
        <v>201502</v>
      </c>
      <c r="J99" s="16">
        <v>6528.61</v>
      </c>
      <c r="K99" s="171">
        <f>VLOOKUP(I99,$T$9:$U$23,2)</f>
        <v>4</v>
      </c>
      <c r="L99" s="17">
        <v>1.4833299999999999E-3</v>
      </c>
      <c r="M99" s="16">
        <f>ROUND(J99*K99*L99,2)</f>
        <v>38.74</v>
      </c>
      <c r="N99" s="16">
        <f>ROUND(J99*L99*12,2)</f>
        <v>116.21</v>
      </c>
      <c r="O99" s="14"/>
      <c r="P99" s="210" t="str">
        <f>VLOOKUP(C99,'WO Descriptions'!$A$5:$D$384,4,FALSE)</f>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
      <c r="Q99" s="210"/>
      <c r="R99" s="210"/>
    </row>
    <row r="100" spans="1:18" outlineLevel="1">
      <c r="A100" s="223"/>
      <c r="B100" s="250"/>
      <c r="C100" s="254" t="s">
        <v>1785</v>
      </c>
      <c r="D100" s="223"/>
      <c r="E100" s="250"/>
      <c r="F100" s="223"/>
      <c r="G100" s="250"/>
      <c r="H100" s="250"/>
      <c r="I100" s="250"/>
      <c r="J100" s="251">
        <f>SUBTOTAL(9,J96:J99)</f>
        <v>812736.19</v>
      </c>
      <c r="K100" s="252"/>
      <c r="L100" s="253"/>
      <c r="M100" s="251">
        <f>SUBTOTAL(9,M96:M99)</f>
        <v>8399.07</v>
      </c>
      <c r="N100" s="251">
        <f>SUBTOTAL(9,N96:N99)</f>
        <v>14466.679999999998</v>
      </c>
      <c r="O100" s="223"/>
      <c r="P100" s="210"/>
      <c r="Q100" s="210" t="str">
        <f>VLOOKUP(C100,'Descriptions Sorted by WO '!$A$5:$S$977,18,FALSE)</f>
        <v>393.1009 (5) (a) (b)</v>
      </c>
      <c r="R100" s="210" t="str">
        <f>VLOOKUP(C100,'Descriptions Sorted by WO '!$A$5:$S$977,19,FALSE)</f>
        <v>A,B,C</v>
      </c>
    </row>
    <row r="101" spans="1:18" ht="60" outlineLevel="2">
      <c r="A101" s="14" t="s">
        <v>17</v>
      </c>
      <c r="B101" s="15" t="s">
        <v>149</v>
      </c>
      <c r="C101" s="15" t="s">
        <v>150</v>
      </c>
      <c r="D101" s="14" t="s">
        <v>151</v>
      </c>
      <c r="E101" s="15" t="s">
        <v>40</v>
      </c>
      <c r="F101" s="14" t="s">
        <v>41</v>
      </c>
      <c r="G101" s="15" t="s">
        <v>23</v>
      </c>
      <c r="H101" s="15" t="s">
        <v>1526</v>
      </c>
      <c r="I101" s="15">
        <v>201409</v>
      </c>
      <c r="J101" s="16">
        <v>-860.78</v>
      </c>
      <c r="K101" s="171">
        <f>VLOOKUP(I101,$T$9:$U$23,2)</f>
        <v>9</v>
      </c>
      <c r="L101" s="17">
        <v>1.4833299999999999E-3</v>
      </c>
      <c r="M101" s="16">
        <f>ROUND(J101*K101*L101,2)</f>
        <v>-11.49</v>
      </c>
      <c r="N101" s="16">
        <f>ROUND(J101*L101*12,2)</f>
        <v>-15.32</v>
      </c>
      <c r="O101" s="14"/>
      <c r="P101" s="210" t="str">
        <f>VLOOKUP(C101,'WO Descriptions'!$A$5:$D$384,4,FALSE)</f>
        <v>Approved by: Gary Williams on 10/15/2013,  To relocate 625'-3in gas main due to drainage improvements by the city of Gladstone. 682'-4in PE (WO 13-2678) will be used to replace the 3in PCS. (Original work orders - 80' 66-2514 / 200' 66-4278 / 120' 66-0042 / 115' 68-6171 / 110' 66-3670).</v>
      </c>
      <c r="Q101" s="210"/>
      <c r="R101" s="210"/>
    </row>
    <row r="102" spans="1:18" ht="60" outlineLevel="2">
      <c r="A102" s="14" t="s">
        <v>17</v>
      </c>
      <c r="B102" s="15" t="s">
        <v>149</v>
      </c>
      <c r="C102" s="15" t="s">
        <v>150</v>
      </c>
      <c r="D102" s="14" t="s">
        <v>151</v>
      </c>
      <c r="E102" s="15" t="s">
        <v>40</v>
      </c>
      <c r="F102" s="14" t="s">
        <v>41</v>
      </c>
      <c r="G102" s="15" t="s">
        <v>23</v>
      </c>
      <c r="H102" s="15" t="s">
        <v>1526</v>
      </c>
      <c r="I102" s="15">
        <v>201412</v>
      </c>
      <c r="J102" s="16">
        <v>19553.21</v>
      </c>
      <c r="K102" s="171">
        <f>VLOOKUP(I102,$T$9:$U$23,2)</f>
        <v>6</v>
      </c>
      <c r="L102" s="17">
        <v>1.4833299999999999E-3</v>
      </c>
      <c r="M102" s="16">
        <f>ROUND(J102*K102*L102,2)</f>
        <v>174.02</v>
      </c>
      <c r="N102" s="16">
        <f>ROUND(J102*L102*12,2)</f>
        <v>348.05</v>
      </c>
      <c r="O102" s="14"/>
      <c r="P102" s="210" t="str">
        <f>VLOOKUP(C102,'WO Descriptions'!$A$5:$D$384,4,FALSE)</f>
        <v>Approved by: Gary Williams on 10/15/2013,  To relocate 625'-3in gas main due to drainage improvements by the city of Gladstone. 682'-4in PE (WO 13-2678) will be used to replace the 3in PCS. (Original work orders - 80' 66-2514 / 200' 66-4278 / 120' 66-0042 / 115' 68-6171 / 110' 66-3670).</v>
      </c>
      <c r="Q102" s="210"/>
      <c r="R102" s="210"/>
    </row>
    <row r="103" spans="1:18" ht="60" outlineLevel="2">
      <c r="A103" s="14" t="s">
        <v>17</v>
      </c>
      <c r="B103" s="15" t="s">
        <v>149</v>
      </c>
      <c r="C103" s="15" t="s">
        <v>150</v>
      </c>
      <c r="D103" s="14" t="s">
        <v>151</v>
      </c>
      <c r="E103" s="15" t="s">
        <v>40</v>
      </c>
      <c r="F103" s="14" t="s">
        <v>41</v>
      </c>
      <c r="G103" s="15" t="s">
        <v>23</v>
      </c>
      <c r="H103" s="15" t="s">
        <v>1526</v>
      </c>
      <c r="I103" s="15">
        <v>201501</v>
      </c>
      <c r="J103" s="16">
        <v>-64.599999999999994</v>
      </c>
      <c r="K103" s="171">
        <f>VLOOKUP(I103,$T$9:$U$23,2)</f>
        <v>5</v>
      </c>
      <c r="L103" s="17">
        <v>1.4833299999999999E-3</v>
      </c>
      <c r="M103" s="16">
        <f>ROUND(J103*K103*L103,2)</f>
        <v>-0.48</v>
      </c>
      <c r="N103" s="16">
        <f>ROUND(J103*L103*12,2)</f>
        <v>-1.1499999999999999</v>
      </c>
      <c r="O103" s="14"/>
      <c r="P103" s="210" t="str">
        <f>VLOOKUP(C103,'WO Descriptions'!$A$5:$D$384,4,FALSE)</f>
        <v>Approved by: Gary Williams on 10/15/2013,  To relocate 625'-3in gas main due to drainage improvements by the city of Gladstone. 682'-4in PE (WO 13-2678) will be used to replace the 3in PCS. (Original work orders - 80' 66-2514 / 200' 66-4278 / 120' 66-0042 / 115' 68-6171 / 110' 66-3670).</v>
      </c>
      <c r="Q103" s="210"/>
      <c r="R103" s="210"/>
    </row>
    <row r="104" spans="1:18" ht="60" outlineLevel="2">
      <c r="A104" s="14" t="s">
        <v>17</v>
      </c>
      <c r="B104" s="15" t="s">
        <v>149</v>
      </c>
      <c r="C104" s="15" t="s">
        <v>150</v>
      </c>
      <c r="D104" s="14" t="s">
        <v>151</v>
      </c>
      <c r="E104" s="15" t="s">
        <v>40</v>
      </c>
      <c r="F104" s="14" t="s">
        <v>41</v>
      </c>
      <c r="G104" s="15" t="s">
        <v>23</v>
      </c>
      <c r="H104" s="15" t="s">
        <v>1526</v>
      </c>
      <c r="I104" s="15">
        <v>201502</v>
      </c>
      <c r="J104" s="16">
        <v>-179.96</v>
      </c>
      <c r="K104" s="171">
        <f>VLOOKUP(I104,$T$9:$U$23,2)</f>
        <v>4</v>
      </c>
      <c r="L104" s="17">
        <v>1.4833299999999999E-3</v>
      </c>
      <c r="M104" s="16">
        <f>ROUND(J104*K104*L104,2)</f>
        <v>-1.07</v>
      </c>
      <c r="N104" s="16">
        <f>ROUND(J104*L104*12,2)</f>
        <v>-3.2</v>
      </c>
      <c r="O104" s="14"/>
      <c r="P104" s="210" t="str">
        <f>VLOOKUP(C104,'WO Descriptions'!$A$5:$D$384,4,FALSE)</f>
        <v>Approved by: Gary Williams on 10/15/2013,  To relocate 625'-3in gas main due to drainage improvements by the city of Gladstone. 682'-4in PE (WO 13-2678) will be used to replace the 3in PCS. (Original work orders - 80' 66-2514 / 200' 66-4278 / 120' 66-0042 / 115' 68-6171 / 110' 66-3670).</v>
      </c>
      <c r="Q104" s="210"/>
      <c r="R104" s="210"/>
    </row>
    <row r="105" spans="1:18" outlineLevel="1">
      <c r="A105" s="223"/>
      <c r="B105" s="250"/>
      <c r="C105" s="254" t="s">
        <v>1786</v>
      </c>
      <c r="D105" s="223"/>
      <c r="E105" s="250"/>
      <c r="F105" s="223"/>
      <c r="G105" s="250"/>
      <c r="H105" s="250"/>
      <c r="I105" s="250"/>
      <c r="J105" s="251">
        <f>SUBTOTAL(9,J101:J104)</f>
        <v>18447.870000000003</v>
      </c>
      <c r="K105" s="252"/>
      <c r="L105" s="253"/>
      <c r="M105" s="251">
        <f>SUBTOTAL(9,M101:M104)</f>
        <v>160.98000000000002</v>
      </c>
      <c r="N105" s="251">
        <f>SUBTOTAL(9,N101:N104)</f>
        <v>328.38000000000005</v>
      </c>
      <c r="O105" s="223"/>
      <c r="P105" s="210"/>
      <c r="Q105" s="210" t="str">
        <f>VLOOKUP(C105,'Descriptions Sorted by WO '!$A$5:$S$977,18,FALSE)</f>
        <v>393.1009 (5) (C)</v>
      </c>
      <c r="R105" s="210"/>
    </row>
    <row r="106" spans="1:18" ht="60" outlineLevel="2">
      <c r="A106" s="18" t="s">
        <v>17</v>
      </c>
      <c r="B106" s="15" t="s">
        <v>152</v>
      </c>
      <c r="C106" s="15" t="s">
        <v>153</v>
      </c>
      <c r="D106" s="14" t="s">
        <v>154</v>
      </c>
      <c r="E106" s="15" t="s">
        <v>53</v>
      </c>
      <c r="F106" s="14" t="s">
        <v>41</v>
      </c>
      <c r="G106" s="15" t="s">
        <v>23</v>
      </c>
      <c r="H106" s="15" t="s">
        <v>1526</v>
      </c>
      <c r="I106" s="15">
        <v>201409</v>
      </c>
      <c r="J106" s="16">
        <v>-31.85</v>
      </c>
      <c r="K106" s="171">
        <f>VLOOKUP(I106,$T$9:$U$23,2)</f>
        <v>9</v>
      </c>
      <c r="L106" s="17">
        <v>1.4833299999999999E-3</v>
      </c>
      <c r="M106" s="16">
        <f>ROUND(J106*K106*L106,2)</f>
        <v>-0.43</v>
      </c>
      <c r="N106" s="16">
        <f>ROUND(J106*L106*12,2)</f>
        <v>-0.56999999999999995</v>
      </c>
      <c r="O106" s="14"/>
      <c r="P106" s="210" t="str">
        <f>VLOOKUP(C106,'WO Descriptions'!$A$5:$D$384,4,FALSE)</f>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
      <c r="Q106" s="210"/>
      <c r="R106" s="210"/>
    </row>
    <row r="107" spans="1:18" outlineLevel="1">
      <c r="A107" s="225"/>
      <c r="B107" s="250"/>
      <c r="C107" s="254" t="s">
        <v>1787</v>
      </c>
      <c r="D107" s="223"/>
      <c r="E107" s="250"/>
      <c r="F107" s="223"/>
      <c r="G107" s="250"/>
      <c r="H107" s="250"/>
      <c r="I107" s="250"/>
      <c r="J107" s="251">
        <f>SUBTOTAL(9,J106:J106)</f>
        <v>-31.85</v>
      </c>
      <c r="K107" s="252"/>
      <c r="L107" s="253"/>
      <c r="M107" s="251">
        <f>SUBTOTAL(9,M106:M106)</f>
        <v>-0.43</v>
      </c>
      <c r="N107" s="251">
        <f>SUBTOTAL(9,N106:N106)</f>
        <v>-0.56999999999999995</v>
      </c>
      <c r="O107" s="223"/>
      <c r="P107" s="210"/>
      <c r="Q107" s="210" t="str">
        <f>VLOOKUP(C107,'Descriptions Sorted by WO '!$A$5:$S$977,18,FALSE)</f>
        <v>393.1009 (5) (C)</v>
      </c>
      <c r="R107" s="210"/>
    </row>
    <row r="108" spans="1:18" ht="45" outlineLevel="2">
      <c r="A108" s="18" t="s">
        <v>17</v>
      </c>
      <c r="B108" s="15" t="s">
        <v>155</v>
      </c>
      <c r="C108" s="15" t="s">
        <v>156</v>
      </c>
      <c r="D108" s="14" t="s">
        <v>157</v>
      </c>
      <c r="E108" s="15" t="s">
        <v>32</v>
      </c>
      <c r="F108" s="14" t="s">
        <v>22</v>
      </c>
      <c r="G108" s="15" t="s">
        <v>23</v>
      </c>
      <c r="H108" s="15" t="s">
        <v>1525</v>
      </c>
      <c r="I108" s="15">
        <v>201409</v>
      </c>
      <c r="J108" s="16">
        <v>-469.08</v>
      </c>
      <c r="K108" s="171">
        <f>VLOOKUP(I108,$T$9:$U$23,2)</f>
        <v>9</v>
      </c>
      <c r="L108" s="17">
        <v>1.4833299999999999E-3</v>
      </c>
      <c r="M108" s="16">
        <f>ROUND(J108*K108*L108,2)</f>
        <v>-6.26</v>
      </c>
      <c r="N108" s="16">
        <f>ROUND(J108*L108*12,2)</f>
        <v>-8.35</v>
      </c>
      <c r="O108" s="14"/>
      <c r="P108" s="210" t="str">
        <f>VLOOKUP(C108,'WO Descriptions'!$A$5:$D$384,4,FALSE)</f>
        <v>Approved by: Ken Thomas on 11/15/2013,  Abandon 890' - 2' PBS (WO#: A8605) and replace with 890' - 2" PE due to history of leakage. Project Location: McHenry and Main; Pressure System: S-1; MOP: 20 psig; MAOP: 20 psig; Design: 58 psig; Test: 100 psig; ISRS $24.58/ft</v>
      </c>
      <c r="Q108" s="210"/>
      <c r="R108" s="210"/>
    </row>
    <row r="109" spans="1:18" outlineLevel="1">
      <c r="A109" s="225"/>
      <c r="B109" s="250"/>
      <c r="C109" s="254" t="s">
        <v>1788</v>
      </c>
      <c r="D109" s="223"/>
      <c r="E109" s="250"/>
      <c r="F109" s="223"/>
      <c r="G109" s="250"/>
      <c r="H109" s="250"/>
      <c r="I109" s="250"/>
      <c r="J109" s="251">
        <f>SUBTOTAL(9,J108:J108)</f>
        <v>-469.08</v>
      </c>
      <c r="K109" s="252"/>
      <c r="L109" s="253"/>
      <c r="M109" s="251">
        <f>SUBTOTAL(9,M108:M108)</f>
        <v>-6.26</v>
      </c>
      <c r="N109" s="251">
        <f>SUBTOTAL(9,N108:N108)</f>
        <v>-8.35</v>
      </c>
      <c r="O109" s="223"/>
      <c r="P109" s="210"/>
      <c r="Q109" s="210" t="str">
        <f>VLOOKUP(C109,'Descriptions Sorted by WO '!$A$5:$S$977,18,FALSE)</f>
        <v>393.1009 (5) (a) (b)</v>
      </c>
      <c r="R109" s="210" t="str">
        <f>VLOOKUP(C109,'Descriptions Sorted by WO '!$A$5:$S$977,19,FALSE)</f>
        <v>A,B,C</v>
      </c>
    </row>
    <row r="110" spans="1:18" outlineLevel="2">
      <c r="A110" s="14" t="s">
        <v>17</v>
      </c>
      <c r="B110" s="15" t="s">
        <v>158</v>
      </c>
      <c r="C110" s="15" t="s">
        <v>159</v>
      </c>
      <c r="D110" s="14" t="s">
        <v>160</v>
      </c>
      <c r="E110" s="15" t="s">
        <v>108</v>
      </c>
      <c r="F110" s="14" t="s">
        <v>28</v>
      </c>
      <c r="G110" s="15" t="s">
        <v>23</v>
      </c>
      <c r="H110" s="15" t="s">
        <v>1525</v>
      </c>
      <c r="I110" s="15">
        <v>201409</v>
      </c>
      <c r="J110" s="16">
        <v>-217.66</v>
      </c>
      <c r="K110" s="171">
        <f>VLOOKUP(I110,$T$9:$U$23,2)</f>
        <v>9</v>
      </c>
      <c r="L110" s="17">
        <v>1.4833299999999999E-3</v>
      </c>
      <c r="M110" s="16">
        <f>ROUND(J110*K110*L110,2)</f>
        <v>-2.91</v>
      </c>
      <c r="N110" s="16">
        <f>ROUND(J110*L110*12,2)</f>
        <v>-3.87</v>
      </c>
      <c r="O110" s="14"/>
      <c r="P110" s="210" t="str">
        <f>VLOOKUP(C110,'WO Descriptions'!$A$5:$D$384,4,FALSE)</f>
        <v>Approved by: Kevin Driskell on 01/23/2014,  Lay 40'-4in thin film for DRS #758 (WO 14-3282).</v>
      </c>
      <c r="Q110" s="210"/>
      <c r="R110" s="210"/>
    </row>
    <row r="111" spans="1:18" outlineLevel="1">
      <c r="A111" s="223"/>
      <c r="B111" s="250"/>
      <c r="C111" s="254" t="s">
        <v>1789</v>
      </c>
      <c r="D111" s="223"/>
      <c r="E111" s="250"/>
      <c r="F111" s="223"/>
      <c r="G111" s="250"/>
      <c r="H111" s="250"/>
      <c r="I111" s="250"/>
      <c r="J111" s="251">
        <f>SUBTOTAL(9,J110:J110)</f>
        <v>-217.66</v>
      </c>
      <c r="K111" s="252"/>
      <c r="L111" s="253"/>
      <c r="M111" s="251">
        <f>SUBTOTAL(9,M110:M110)</f>
        <v>-2.91</v>
      </c>
      <c r="N111" s="251">
        <f>SUBTOTAL(9,N110:N110)</f>
        <v>-3.87</v>
      </c>
      <c r="O111" s="223"/>
      <c r="P111" s="210"/>
      <c r="Q111" s="210" t="str">
        <f>VLOOKUP(C111,'Descriptions Sorted by WO '!$A$5:$S$977,18,FALSE)</f>
        <v>393.1009 (5) (a) (b)</v>
      </c>
      <c r="R111" s="210" t="str">
        <f>VLOOKUP(C111,'Descriptions Sorted by WO '!$A$5:$S$977,19,FALSE)</f>
        <v>A,B</v>
      </c>
    </row>
    <row r="112" spans="1:18" ht="60" outlineLevel="2">
      <c r="A112" s="18" t="s">
        <v>17</v>
      </c>
      <c r="B112" s="15" t="s">
        <v>161</v>
      </c>
      <c r="C112" s="15" t="s">
        <v>162</v>
      </c>
      <c r="D112" s="14" t="s">
        <v>163</v>
      </c>
      <c r="E112" s="15" t="s">
        <v>62</v>
      </c>
      <c r="F112" s="14" t="s">
        <v>22</v>
      </c>
      <c r="G112" s="15" t="s">
        <v>23</v>
      </c>
      <c r="H112" s="15" t="s">
        <v>1525</v>
      </c>
      <c r="I112" s="15">
        <v>201409</v>
      </c>
      <c r="J112" s="16">
        <v>-286.58999999999997</v>
      </c>
      <c r="K112" s="171">
        <f>VLOOKUP(I112,$T$9:$U$23,2)</f>
        <v>9</v>
      </c>
      <c r="L112" s="17">
        <v>1.4833299999999999E-3</v>
      </c>
      <c r="M112" s="16">
        <f>ROUND(J112*K112*L112,2)</f>
        <v>-3.83</v>
      </c>
      <c r="N112" s="16">
        <f>ROUND(J112*L112*12,2)</f>
        <v>-5.0999999999999996</v>
      </c>
      <c r="O112" s="14"/>
      <c r="P112" s="210" t="str">
        <f>VLOOKUP(C112,'WO Descriptions'!$A$5:$D$384,4,FALSE)</f>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
      <c r="Q112" s="210"/>
      <c r="R112" s="210"/>
    </row>
    <row r="113" spans="1:18" outlineLevel="1">
      <c r="A113" s="225"/>
      <c r="B113" s="250"/>
      <c r="C113" s="254" t="s">
        <v>1790</v>
      </c>
      <c r="D113" s="223"/>
      <c r="E113" s="250"/>
      <c r="F113" s="223"/>
      <c r="G113" s="250"/>
      <c r="H113" s="250"/>
      <c r="I113" s="250"/>
      <c r="J113" s="251">
        <f>SUBTOTAL(9,J112:J112)</f>
        <v>-286.58999999999997</v>
      </c>
      <c r="K113" s="252"/>
      <c r="L113" s="253"/>
      <c r="M113" s="251">
        <f>SUBTOTAL(9,M112:M112)</f>
        <v>-3.83</v>
      </c>
      <c r="N113" s="251">
        <f>SUBTOTAL(9,N112:N112)</f>
        <v>-5.0999999999999996</v>
      </c>
      <c r="O113" s="223"/>
      <c r="P113" s="210"/>
      <c r="Q113" s="210" t="str">
        <f>VLOOKUP(C113,'Descriptions Sorted by WO '!$A$5:$S$977,18,FALSE)</f>
        <v>393.1009 (5) (a) (b)</v>
      </c>
      <c r="R113" s="210" t="str">
        <f>VLOOKUP(C113,'Descriptions Sorted by WO '!$A$5:$S$977,19,FALSE)</f>
        <v>A,B,C</v>
      </c>
    </row>
    <row r="114" spans="1:18" ht="120" outlineLevel="2">
      <c r="A114" s="18" t="s">
        <v>164</v>
      </c>
      <c r="B114" s="15" t="s">
        <v>165</v>
      </c>
      <c r="C114" s="15" t="s">
        <v>166</v>
      </c>
      <c r="D114" s="14" t="s">
        <v>167</v>
      </c>
      <c r="E114" s="15" t="s">
        <v>168</v>
      </c>
      <c r="F114" s="14" t="s">
        <v>169</v>
      </c>
      <c r="G114" s="15" t="s">
        <v>23</v>
      </c>
      <c r="H114" s="15" t="s">
        <v>1528</v>
      </c>
      <c r="I114" s="15">
        <v>201409</v>
      </c>
      <c r="J114" s="16">
        <v>-54</v>
      </c>
      <c r="K114" s="171">
        <f>VLOOKUP(I114,$T$9:$U$23,2)</f>
        <v>9</v>
      </c>
      <c r="L114" s="17">
        <v>2.1916700000000002E-3</v>
      </c>
      <c r="M114" s="16">
        <f>ROUND(J114*K114*L114,2)</f>
        <v>-1.07</v>
      </c>
      <c r="N114" s="16">
        <f>ROUND(J114*L114*12,2)</f>
        <v>-1.42</v>
      </c>
      <c r="O114" s="14"/>
      <c r="P114" s="210" t="str">
        <f>VLOOKUP(C114,'WO Descriptions'!$A$5:$D$384,4,FALSE)</f>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
      <c r="Q114" s="210"/>
      <c r="R114" s="210"/>
    </row>
    <row r="115" spans="1:18" outlineLevel="1">
      <c r="A115" s="225"/>
      <c r="B115" s="250"/>
      <c r="C115" s="254" t="s">
        <v>1791</v>
      </c>
      <c r="D115" s="223"/>
      <c r="E115" s="250"/>
      <c r="F115" s="223"/>
      <c r="G115" s="250"/>
      <c r="H115" s="250"/>
      <c r="I115" s="250"/>
      <c r="J115" s="251">
        <f>SUBTOTAL(9,J114:J114)</f>
        <v>-54</v>
      </c>
      <c r="K115" s="252"/>
      <c r="L115" s="253"/>
      <c r="M115" s="251">
        <f>SUBTOTAL(9,M114:M114)</f>
        <v>-1.07</v>
      </c>
      <c r="N115" s="251">
        <f>SUBTOTAL(9,N114:N114)</f>
        <v>-1.42</v>
      </c>
      <c r="O115" s="223"/>
      <c r="P115" s="210"/>
      <c r="Q115" s="210" t="str">
        <f>VLOOKUP(C115,'Descriptions Sorted by WO '!$A$5:$S$977,18,FALSE)</f>
        <v>393.1009 (5) (a) (b)</v>
      </c>
      <c r="R115" s="210" t="str">
        <f>VLOOKUP(C115,'Descriptions Sorted by WO '!$A$5:$S$977,19,FALSE)</f>
        <v>A,B</v>
      </c>
    </row>
    <row r="116" spans="1:18" ht="180" outlineLevel="2">
      <c r="A116" s="18" t="s">
        <v>17</v>
      </c>
      <c r="B116" s="15" t="s">
        <v>170</v>
      </c>
      <c r="C116" s="15" t="s">
        <v>171</v>
      </c>
      <c r="D116" s="14" t="s">
        <v>172</v>
      </c>
      <c r="E116" s="15" t="s">
        <v>62</v>
      </c>
      <c r="F116" s="14" t="s">
        <v>22</v>
      </c>
      <c r="G116" s="15" t="s">
        <v>23</v>
      </c>
      <c r="H116" s="15" t="s">
        <v>1525</v>
      </c>
      <c r="I116" s="15">
        <v>201409</v>
      </c>
      <c r="J116" s="16">
        <v>-3880.74</v>
      </c>
      <c r="K116" s="171">
        <f>VLOOKUP(I116,$T$9:$U$23,2)</f>
        <v>9</v>
      </c>
      <c r="L116" s="17">
        <v>1.4833299999999999E-3</v>
      </c>
      <c r="M116" s="16">
        <f>ROUND(J116*K116*L116,2)</f>
        <v>-51.81</v>
      </c>
      <c r="N116" s="16">
        <f>ROUND(J116*L116*12,2)</f>
        <v>-69.08</v>
      </c>
      <c r="O116" s="14"/>
      <c r="P116" s="210" t="str">
        <f>VLOOKUP(C116,'WO Descriptions'!$A$5:$D$384,4,FALSE)</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c r="Q116" s="210"/>
      <c r="R116" s="210"/>
    </row>
    <row r="117" spans="1:18" ht="180" outlineLevel="2">
      <c r="A117" s="18" t="s">
        <v>54</v>
      </c>
      <c r="B117" s="15" t="s">
        <v>170</v>
      </c>
      <c r="C117" s="15" t="s">
        <v>171</v>
      </c>
      <c r="D117" s="14" t="s">
        <v>172</v>
      </c>
      <c r="E117" s="15" t="s">
        <v>62</v>
      </c>
      <c r="F117" s="14" t="s">
        <v>22</v>
      </c>
      <c r="G117" s="15" t="s">
        <v>23</v>
      </c>
      <c r="H117" s="15" t="s">
        <v>1525</v>
      </c>
      <c r="I117" s="15">
        <v>201409</v>
      </c>
      <c r="J117" s="16">
        <v>-865.45</v>
      </c>
      <c r="K117" s="171">
        <f>VLOOKUP(I117,$T$9:$U$23,2)</f>
        <v>9</v>
      </c>
      <c r="L117" s="17">
        <v>1.4833299999999999E-3</v>
      </c>
      <c r="M117" s="16">
        <f>ROUND(J117*K117*L117,2)</f>
        <v>-11.55</v>
      </c>
      <c r="N117" s="16">
        <f>ROUND(J117*L117*12,2)</f>
        <v>-15.4</v>
      </c>
      <c r="O117" s="14"/>
      <c r="P117" s="210" t="str">
        <f>VLOOKUP(C117,'WO Descriptions'!$A$5:$D$384,4,FALSE)</f>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
      <c r="Q117" s="210"/>
      <c r="R117" s="210"/>
    </row>
    <row r="118" spans="1:18" outlineLevel="1">
      <c r="A118" s="225"/>
      <c r="B118" s="250"/>
      <c r="C118" s="254" t="s">
        <v>1792</v>
      </c>
      <c r="D118" s="223"/>
      <c r="E118" s="250"/>
      <c r="F118" s="223"/>
      <c r="G118" s="250"/>
      <c r="H118" s="250"/>
      <c r="I118" s="250"/>
      <c r="J118" s="251">
        <f>SUBTOTAL(9,J116:J117)</f>
        <v>-4746.1899999999996</v>
      </c>
      <c r="K118" s="252"/>
      <c r="L118" s="253"/>
      <c r="M118" s="251">
        <f>SUBTOTAL(9,M116:M117)</f>
        <v>-63.36</v>
      </c>
      <c r="N118" s="251">
        <f>SUBTOTAL(9,N116:N117)</f>
        <v>-84.48</v>
      </c>
      <c r="O118" s="223"/>
      <c r="P118" s="210"/>
      <c r="Q118" s="210" t="str">
        <f>VLOOKUP(C118,'Descriptions Sorted by WO '!$A$5:$S$977,18,FALSE)</f>
        <v>393.1009 (5) (a) (b)</v>
      </c>
      <c r="R118" s="210" t="str">
        <f>VLOOKUP(C118,'Descriptions Sorted by WO '!$A$5:$S$977,19,FALSE)</f>
        <v>A,B,C</v>
      </c>
    </row>
    <row r="119" spans="1:18" ht="60" outlineLevel="2">
      <c r="A119" s="18" t="s">
        <v>17</v>
      </c>
      <c r="B119" s="15" t="s">
        <v>173</v>
      </c>
      <c r="C119" s="15" t="s">
        <v>174</v>
      </c>
      <c r="D119" s="14" t="s">
        <v>175</v>
      </c>
      <c r="E119" s="15" t="s">
        <v>176</v>
      </c>
      <c r="F119" s="14" t="s">
        <v>28</v>
      </c>
      <c r="G119" s="15" t="s">
        <v>23</v>
      </c>
      <c r="H119" s="15" t="s">
        <v>1525</v>
      </c>
      <c r="I119" s="15">
        <v>201409</v>
      </c>
      <c r="J119" s="16">
        <v>10.59</v>
      </c>
      <c r="K119" s="171">
        <f>VLOOKUP(I119,$T$9:$U$23,2)</f>
        <v>9</v>
      </c>
      <c r="L119" s="17">
        <v>1.4833299999999999E-3</v>
      </c>
      <c r="M119" s="16">
        <f>ROUND(J119*K119*L119,2)</f>
        <v>0.14000000000000001</v>
      </c>
      <c r="N119" s="16">
        <f>ROUND(J119*L119*12,2)</f>
        <v>0.19</v>
      </c>
      <c r="O119" s="14"/>
      <c r="P119" s="210" t="str">
        <f>VLOOKUP(C119,'WO Descriptions'!$A$5:$D$384,4,FALSE)</f>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
      <c r="Q119" s="210"/>
      <c r="R119" s="210"/>
    </row>
    <row r="120" spans="1:18" outlineLevel="1">
      <c r="A120" s="225"/>
      <c r="B120" s="250"/>
      <c r="C120" s="254" t="s">
        <v>1793</v>
      </c>
      <c r="D120" s="223"/>
      <c r="E120" s="250"/>
      <c r="F120" s="223"/>
      <c r="G120" s="250"/>
      <c r="H120" s="250"/>
      <c r="I120" s="250"/>
      <c r="J120" s="251">
        <f>SUBTOTAL(9,J119:J119)</f>
        <v>10.59</v>
      </c>
      <c r="K120" s="252"/>
      <c r="L120" s="253"/>
      <c r="M120" s="251">
        <f>SUBTOTAL(9,M119:M119)</f>
        <v>0.14000000000000001</v>
      </c>
      <c r="N120" s="251">
        <f>SUBTOTAL(9,N119:N119)</f>
        <v>0.19</v>
      </c>
      <c r="O120" s="223"/>
      <c r="P120" s="210"/>
      <c r="Q120" s="210" t="str">
        <f>VLOOKUP(C120,'Descriptions Sorted by WO '!$A$5:$S$977,18,FALSE)</f>
        <v>393.1009 (5) (a) (b)</v>
      </c>
      <c r="R120" s="210" t="str">
        <f>VLOOKUP(C120,'Descriptions Sorted by WO '!$A$5:$S$977,19,FALSE)</f>
        <v>A,B</v>
      </c>
    </row>
    <row r="121" spans="1:18" ht="30" outlineLevel="2">
      <c r="A121" s="18" t="s">
        <v>17</v>
      </c>
      <c r="B121" s="15" t="s">
        <v>177</v>
      </c>
      <c r="C121" s="15" t="s">
        <v>178</v>
      </c>
      <c r="D121" s="14" t="s">
        <v>179</v>
      </c>
      <c r="E121" s="15" t="s">
        <v>176</v>
      </c>
      <c r="F121" s="14" t="s">
        <v>28</v>
      </c>
      <c r="G121" s="15" t="s">
        <v>23</v>
      </c>
      <c r="H121" s="15" t="s">
        <v>1525</v>
      </c>
      <c r="I121" s="15">
        <v>201409</v>
      </c>
      <c r="J121" s="16">
        <v>28.45</v>
      </c>
      <c r="K121" s="171">
        <f>VLOOKUP(I121,$T$9:$U$23,2)</f>
        <v>9</v>
      </c>
      <c r="L121" s="17">
        <v>1.4833299999999999E-3</v>
      </c>
      <c r="M121" s="16">
        <f>ROUND(J121*K121*L121,2)</f>
        <v>0.38</v>
      </c>
      <c r="N121" s="16">
        <f>ROUND(J121*L121*12,2)</f>
        <v>0.51</v>
      </c>
      <c r="O121" s="14"/>
      <c r="P121" s="210" t="str">
        <f>VLOOKUP(C121,'WO Descriptions'!$A$5:$D$384,4,FALSE)</f>
        <v>Approved by Galen Shoemaker 9/10/2013.  Manually work order set up due to woes is being changed over.</v>
      </c>
      <c r="Q121" s="210"/>
      <c r="R121" s="210"/>
    </row>
    <row r="122" spans="1:18" outlineLevel="1">
      <c r="A122" s="225"/>
      <c r="B122" s="250"/>
      <c r="C122" s="254" t="s">
        <v>1794</v>
      </c>
      <c r="D122" s="223"/>
      <c r="E122" s="250"/>
      <c r="F122" s="223"/>
      <c r="G122" s="250"/>
      <c r="H122" s="250"/>
      <c r="I122" s="250"/>
      <c r="J122" s="251">
        <f>SUBTOTAL(9,J121:J121)</f>
        <v>28.45</v>
      </c>
      <c r="K122" s="252"/>
      <c r="L122" s="253"/>
      <c r="M122" s="251">
        <f>SUBTOTAL(9,M121:M121)</f>
        <v>0.38</v>
      </c>
      <c r="N122" s="251">
        <f>SUBTOTAL(9,N121:N121)</f>
        <v>0.51</v>
      </c>
      <c r="O122" s="223"/>
      <c r="P122" s="210"/>
      <c r="Q122" s="210" t="str">
        <f>VLOOKUP(C122,'Descriptions Sorted by WO '!$A$5:$S$977,18,FALSE)</f>
        <v>393.1009 (5) (a) (b)</v>
      </c>
      <c r="R122" s="210" t="str">
        <f>VLOOKUP(C122,'Descriptions Sorted by WO '!$A$5:$S$977,19,FALSE)</f>
        <v>A,B</v>
      </c>
    </row>
    <row r="123" spans="1:18" ht="75" outlineLevel="2">
      <c r="A123" s="18" t="s">
        <v>17</v>
      </c>
      <c r="B123" s="15" t="s">
        <v>180</v>
      </c>
      <c r="C123" s="15" t="s">
        <v>181</v>
      </c>
      <c r="D123" s="14" t="s">
        <v>182</v>
      </c>
      <c r="E123" s="15" t="s">
        <v>53</v>
      </c>
      <c r="F123" s="14" t="s">
        <v>41</v>
      </c>
      <c r="G123" s="15" t="s">
        <v>23</v>
      </c>
      <c r="H123" s="15" t="s">
        <v>1526</v>
      </c>
      <c r="I123" s="15">
        <v>201409</v>
      </c>
      <c r="J123" s="16">
        <v>-243.49</v>
      </c>
      <c r="K123" s="171">
        <f>VLOOKUP(I123,$T$9:$U$23,2)</f>
        <v>9</v>
      </c>
      <c r="L123" s="17">
        <v>1.4833299999999999E-3</v>
      </c>
      <c r="M123" s="16">
        <f>ROUND(J123*K123*L123,2)</f>
        <v>-3.25</v>
      </c>
      <c r="N123" s="16">
        <f>ROUND(J123*L123*12,2)</f>
        <v>-4.33</v>
      </c>
      <c r="O123" s="14"/>
      <c r="P123" s="210" t="str">
        <f>VLOOKUP(C123,'WO Descriptions'!$A$5:$D$384,4,FALSE)</f>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
      <c r="Q123" s="210"/>
      <c r="R123" s="210"/>
    </row>
    <row r="124" spans="1:18" outlineLevel="1">
      <c r="A124" s="225"/>
      <c r="B124" s="250"/>
      <c r="C124" s="254" t="s">
        <v>1795</v>
      </c>
      <c r="D124" s="223"/>
      <c r="E124" s="250"/>
      <c r="F124" s="223"/>
      <c r="G124" s="250"/>
      <c r="H124" s="250"/>
      <c r="I124" s="250"/>
      <c r="J124" s="251">
        <f>SUBTOTAL(9,J123:J123)</f>
        <v>-243.49</v>
      </c>
      <c r="K124" s="252"/>
      <c r="L124" s="253"/>
      <c r="M124" s="251">
        <f>SUBTOTAL(9,M123:M123)</f>
        <v>-3.25</v>
      </c>
      <c r="N124" s="251">
        <f>SUBTOTAL(9,N123:N123)</f>
        <v>-4.33</v>
      </c>
      <c r="O124" s="223"/>
      <c r="P124" s="210"/>
      <c r="Q124" s="210" t="str">
        <f>VLOOKUP(C124,'Descriptions Sorted by WO '!$A$5:$S$977,18,FALSE)</f>
        <v>393.1009 (5) (C)</v>
      </c>
      <c r="R124" s="210"/>
    </row>
    <row r="125" spans="1:18" ht="90" outlineLevel="2">
      <c r="A125" s="14" t="s">
        <v>17</v>
      </c>
      <c r="B125" s="15" t="s">
        <v>183</v>
      </c>
      <c r="C125" s="15" t="s">
        <v>184</v>
      </c>
      <c r="D125" s="14" t="s">
        <v>185</v>
      </c>
      <c r="E125" s="15" t="s">
        <v>53</v>
      </c>
      <c r="F125" s="14" t="s">
        <v>41</v>
      </c>
      <c r="G125" s="15" t="s">
        <v>23</v>
      </c>
      <c r="H125" s="15" t="s">
        <v>1526</v>
      </c>
      <c r="I125" s="15">
        <v>201409</v>
      </c>
      <c r="J125" s="16">
        <v>-1163.68</v>
      </c>
      <c r="K125" s="171">
        <f>VLOOKUP(I125,$T$9:$U$23,2)</f>
        <v>9</v>
      </c>
      <c r="L125" s="17">
        <v>1.4833299999999999E-3</v>
      </c>
      <c r="M125" s="16">
        <f>ROUND(J125*K125*L125,2)</f>
        <v>-15.54</v>
      </c>
      <c r="N125" s="16">
        <f>ROUND(J125*L125*12,2)</f>
        <v>-20.71</v>
      </c>
      <c r="O125" s="14"/>
      <c r="P125" s="210" t="str">
        <f>VLOOKUP(C125,'WO Descriptions'!$A$5:$D$384,4,FALSE)</f>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
      <c r="Q125" s="210"/>
      <c r="R125" s="210"/>
    </row>
    <row r="126" spans="1:18" outlineLevel="1">
      <c r="A126" s="223"/>
      <c r="B126" s="250"/>
      <c r="C126" s="254" t="s">
        <v>1796</v>
      </c>
      <c r="D126" s="223"/>
      <c r="E126" s="250"/>
      <c r="F126" s="223"/>
      <c r="G126" s="250"/>
      <c r="H126" s="250"/>
      <c r="I126" s="250"/>
      <c r="J126" s="251">
        <f>SUBTOTAL(9,J125:J125)</f>
        <v>-1163.68</v>
      </c>
      <c r="K126" s="252"/>
      <c r="L126" s="253"/>
      <c r="M126" s="251">
        <f>SUBTOTAL(9,M125:M125)</f>
        <v>-15.54</v>
      </c>
      <c r="N126" s="251">
        <f>SUBTOTAL(9,N125:N125)</f>
        <v>-20.71</v>
      </c>
      <c r="O126" s="223"/>
      <c r="P126" s="210"/>
      <c r="Q126" s="210" t="str">
        <f>VLOOKUP(C126,'Descriptions Sorted by WO '!$A$5:$S$977,18,FALSE)</f>
        <v>393.1009 (5) (C)</v>
      </c>
      <c r="R126" s="210"/>
    </row>
    <row r="127" spans="1:18" ht="30" outlineLevel="2">
      <c r="A127" s="18" t="s">
        <v>17</v>
      </c>
      <c r="B127" s="15" t="s">
        <v>186</v>
      </c>
      <c r="C127" s="15" t="s">
        <v>187</v>
      </c>
      <c r="D127" s="14" t="s">
        <v>188</v>
      </c>
      <c r="E127" s="15" t="s">
        <v>108</v>
      </c>
      <c r="F127" s="14" t="s">
        <v>28</v>
      </c>
      <c r="G127" s="15" t="s">
        <v>23</v>
      </c>
      <c r="H127" s="15" t="s">
        <v>1525</v>
      </c>
      <c r="I127" s="15">
        <v>201409</v>
      </c>
      <c r="J127" s="16">
        <v>-23.18</v>
      </c>
      <c r="K127" s="171">
        <f>VLOOKUP(I127,$T$9:$U$23,2)</f>
        <v>9</v>
      </c>
      <c r="L127" s="17">
        <v>1.4833299999999999E-3</v>
      </c>
      <c r="M127" s="16">
        <f>ROUND(J127*K127*L127,2)</f>
        <v>-0.31</v>
      </c>
      <c r="N127" s="16">
        <f>ROUND(J127*L127*12,2)</f>
        <v>-0.41</v>
      </c>
      <c r="O127" s="14"/>
      <c r="P127" s="210" t="str">
        <f>VLOOKUP(C127,'WO Descriptions'!$A$5:$D$384,4,FALSE)</f>
        <v>Approved by: Kevin Driskell on 01/03/2014,  LAY 26'-4" TF STEEL DUE TO EXISTING GAS MAIN EXPOSED ON HILL.  ABANDONED 18FT-4" PCS(B1476A).</v>
      </c>
      <c r="Q127" s="210"/>
      <c r="R127" s="210"/>
    </row>
    <row r="128" spans="1:18" outlineLevel="1">
      <c r="A128" s="225"/>
      <c r="B128" s="250"/>
      <c r="C128" s="254" t="s">
        <v>1797</v>
      </c>
      <c r="D128" s="223"/>
      <c r="E128" s="250"/>
      <c r="F128" s="223"/>
      <c r="G128" s="250"/>
      <c r="H128" s="250"/>
      <c r="I128" s="250"/>
      <c r="J128" s="251">
        <f>SUBTOTAL(9,J127:J127)</f>
        <v>-23.18</v>
      </c>
      <c r="K128" s="252"/>
      <c r="L128" s="253"/>
      <c r="M128" s="251">
        <f>SUBTOTAL(9,M127:M127)</f>
        <v>-0.31</v>
      </c>
      <c r="N128" s="251">
        <f>SUBTOTAL(9,N127:N127)</f>
        <v>-0.41</v>
      </c>
      <c r="O128" s="223"/>
      <c r="P128" s="210"/>
      <c r="Q128" s="210" t="str">
        <f>VLOOKUP(C128,'Descriptions Sorted by WO '!$A$5:$S$977,18,FALSE)</f>
        <v>393.1009 (5) (a) (b)</v>
      </c>
      <c r="R128" s="210" t="str">
        <f>VLOOKUP(C128,'Descriptions Sorted by WO '!$A$5:$S$977,19,FALSE)</f>
        <v>A,B</v>
      </c>
    </row>
    <row r="129" spans="1:18" ht="165" outlineLevel="2">
      <c r="A129" s="18" t="s">
        <v>17</v>
      </c>
      <c r="B129" s="15" t="s">
        <v>189</v>
      </c>
      <c r="C129" s="15" t="s">
        <v>190</v>
      </c>
      <c r="D129" s="14" t="s">
        <v>191</v>
      </c>
      <c r="E129" s="15" t="s">
        <v>62</v>
      </c>
      <c r="F129" s="14" t="s">
        <v>22</v>
      </c>
      <c r="G129" s="15" t="s">
        <v>23</v>
      </c>
      <c r="H129" s="15" t="s">
        <v>1525</v>
      </c>
      <c r="I129" s="15">
        <v>201409</v>
      </c>
      <c r="J129" s="16">
        <v>-2735.91</v>
      </c>
      <c r="K129" s="171">
        <f>VLOOKUP(I129,$T$9:$U$23,2)</f>
        <v>9</v>
      </c>
      <c r="L129" s="17">
        <v>1.4833299999999999E-3</v>
      </c>
      <c r="M129" s="16">
        <f>ROUND(J129*K129*L129,2)</f>
        <v>-36.520000000000003</v>
      </c>
      <c r="N129" s="16">
        <f>ROUND(J129*L129*12,2)</f>
        <v>-48.7</v>
      </c>
      <c r="O129" s="14"/>
      <c r="P129" s="210" t="str">
        <f>VLOOKUP(C129,'WO Descriptions'!$A$5:$D$384,4,FALSE)</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c r="Q129" s="210"/>
      <c r="R129" s="210"/>
    </row>
    <row r="130" spans="1:18" ht="165" outlineLevel="2">
      <c r="A130" s="18" t="s">
        <v>17</v>
      </c>
      <c r="B130" s="15" t="s">
        <v>189</v>
      </c>
      <c r="C130" s="15" t="s">
        <v>190</v>
      </c>
      <c r="D130" s="14" t="s">
        <v>191</v>
      </c>
      <c r="E130" s="15" t="s">
        <v>62</v>
      </c>
      <c r="F130" s="14" t="s">
        <v>22</v>
      </c>
      <c r="G130" s="15" t="s">
        <v>23</v>
      </c>
      <c r="H130" s="15" t="s">
        <v>1525</v>
      </c>
      <c r="I130" s="15">
        <v>201411</v>
      </c>
      <c r="J130" s="16">
        <v>-151959.22</v>
      </c>
      <c r="K130" s="171">
        <f>VLOOKUP(I130,$T$9:$U$23,2)</f>
        <v>7</v>
      </c>
      <c r="L130" s="17">
        <v>1.4833299999999999E-3</v>
      </c>
      <c r="M130" s="16">
        <f>ROUND(J130*K130*L130,2)</f>
        <v>-1577.84</v>
      </c>
      <c r="N130" s="16">
        <f>ROUND(J130*L130*12,2)</f>
        <v>-2704.87</v>
      </c>
      <c r="O130" s="14"/>
      <c r="P130" s="210" t="str">
        <f>VLOOKUP(C130,'WO Descriptions'!$A$5:$D$384,4,FALSE)</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c r="Q130" s="210"/>
      <c r="R130" s="210"/>
    </row>
    <row r="131" spans="1:18" ht="165" outlineLevel="2">
      <c r="A131" s="18" t="s">
        <v>54</v>
      </c>
      <c r="B131" s="15" t="s">
        <v>189</v>
      </c>
      <c r="C131" s="15" t="s">
        <v>190</v>
      </c>
      <c r="D131" s="14" t="s">
        <v>191</v>
      </c>
      <c r="E131" s="15" t="s">
        <v>62</v>
      </c>
      <c r="F131" s="14" t="s">
        <v>22</v>
      </c>
      <c r="G131" s="15" t="s">
        <v>23</v>
      </c>
      <c r="H131" s="15" t="s">
        <v>1525</v>
      </c>
      <c r="I131" s="15">
        <v>201411</v>
      </c>
      <c r="J131" s="16">
        <v>151959.22</v>
      </c>
      <c r="K131" s="171">
        <f>VLOOKUP(I131,$T$9:$U$23,2)</f>
        <v>7</v>
      </c>
      <c r="L131" s="17">
        <v>1.4833299999999999E-3</v>
      </c>
      <c r="M131" s="16">
        <f>ROUND(J131*K131*L131,2)</f>
        <v>1577.84</v>
      </c>
      <c r="N131" s="16">
        <f>ROUND(J131*L131*12,2)</f>
        <v>2704.87</v>
      </c>
      <c r="O131" s="14"/>
      <c r="P131" s="210" t="str">
        <f>VLOOKUP(C131,'WO Descriptions'!$A$5:$D$384,4,FALSE)</f>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
      <c r="Q131" s="210"/>
      <c r="R131" s="210"/>
    </row>
    <row r="132" spans="1:18" outlineLevel="1">
      <c r="A132" s="225"/>
      <c r="B132" s="250"/>
      <c r="C132" s="254" t="s">
        <v>1798</v>
      </c>
      <c r="D132" s="223"/>
      <c r="E132" s="250"/>
      <c r="F132" s="223"/>
      <c r="G132" s="250"/>
      <c r="H132" s="250"/>
      <c r="I132" s="250"/>
      <c r="J132" s="251">
        <f>SUBTOTAL(9,J129:J131)</f>
        <v>-2735.9100000000035</v>
      </c>
      <c r="K132" s="252"/>
      <c r="L132" s="253"/>
      <c r="M132" s="251">
        <f>SUBTOTAL(9,M129:M131)</f>
        <v>-36.519999999999982</v>
      </c>
      <c r="N132" s="251">
        <f>SUBTOTAL(9,N129:N131)</f>
        <v>-48.699999999999818</v>
      </c>
      <c r="O132" s="223"/>
      <c r="P132" s="210"/>
      <c r="Q132" s="210" t="str">
        <f>VLOOKUP(C132,'Descriptions Sorted by WO '!$A$5:$S$977,18,FALSE)</f>
        <v>393.1009 (5) (a) (b)</v>
      </c>
      <c r="R132" s="210" t="str">
        <f>VLOOKUP(C132,'Descriptions Sorted by WO '!$A$5:$S$977,19,FALSE)</f>
        <v>A,B,C</v>
      </c>
    </row>
    <row r="133" spans="1:18" outlineLevel="2">
      <c r="A133" s="211" t="s">
        <v>66</v>
      </c>
      <c r="B133" s="212" t="s">
        <v>192</v>
      </c>
      <c r="C133" s="212" t="s">
        <v>193</v>
      </c>
      <c r="D133" s="211" t="s">
        <v>194</v>
      </c>
      <c r="E133" s="212" t="s">
        <v>195</v>
      </c>
      <c r="F133" s="211" t="s">
        <v>196</v>
      </c>
      <c r="G133" s="212" t="s">
        <v>23</v>
      </c>
      <c r="H133" s="212" t="s">
        <v>1530</v>
      </c>
      <c r="I133" s="212">
        <v>201410</v>
      </c>
      <c r="J133" s="213">
        <v>100.15</v>
      </c>
      <c r="K133" s="171">
        <f>VLOOKUP(I133,$T$9:$U$23,2)</f>
        <v>8</v>
      </c>
      <c r="L133" s="214">
        <v>2.23333E-3</v>
      </c>
      <c r="M133" s="213">
        <f>ROUND(J133*K133*L133,2)</f>
        <v>1.79</v>
      </c>
      <c r="N133" s="213">
        <f>ROUND(J133*L133*12,2)</f>
        <v>2.68</v>
      </c>
      <c r="O133" s="14"/>
      <c r="P133" s="210" t="str">
        <f>VLOOKUP(C133,'WO Descriptions'!$A$5:$D$384,4,FALSE)</f>
        <v>Line Locates - Service Line Replacements Only (Kansas City - Central Region)</v>
      </c>
      <c r="Q133" s="210"/>
      <c r="R133" s="210"/>
    </row>
    <row r="134" spans="1:18" outlineLevel="2">
      <c r="A134" s="211" t="s">
        <v>66</v>
      </c>
      <c r="B134" s="212" t="s">
        <v>192</v>
      </c>
      <c r="C134" s="212" t="s">
        <v>193</v>
      </c>
      <c r="D134" s="211" t="s">
        <v>194</v>
      </c>
      <c r="E134" s="212" t="s">
        <v>195</v>
      </c>
      <c r="F134" s="211" t="s">
        <v>196</v>
      </c>
      <c r="G134" s="212" t="s">
        <v>23</v>
      </c>
      <c r="H134" s="212" t="s">
        <v>1530</v>
      </c>
      <c r="I134" s="212">
        <v>201411</v>
      </c>
      <c r="J134" s="213">
        <v>-2.78</v>
      </c>
      <c r="K134" s="171">
        <f>VLOOKUP(I134,$T$9:$U$23,2)</f>
        <v>7</v>
      </c>
      <c r="L134" s="214">
        <v>2.23333E-3</v>
      </c>
      <c r="M134" s="213">
        <f>ROUND(J134*K134*L134,2)</f>
        <v>-0.04</v>
      </c>
      <c r="N134" s="213">
        <f>ROUND(J134*L134*12,2)</f>
        <v>-7.0000000000000007E-2</v>
      </c>
      <c r="O134" s="14"/>
      <c r="P134" s="210" t="str">
        <f>VLOOKUP(C134,'WO Descriptions'!$A$5:$D$384,4,FALSE)</f>
        <v>Line Locates - Service Line Replacements Only (Kansas City - Central Region)</v>
      </c>
      <c r="Q134" s="210"/>
      <c r="R134" s="210"/>
    </row>
    <row r="135" spans="1:18" outlineLevel="2">
      <c r="A135" s="211" t="s">
        <v>66</v>
      </c>
      <c r="B135" s="212" t="s">
        <v>192</v>
      </c>
      <c r="C135" s="212" t="s">
        <v>193</v>
      </c>
      <c r="D135" s="211" t="s">
        <v>194</v>
      </c>
      <c r="E135" s="212" t="s">
        <v>195</v>
      </c>
      <c r="F135" s="211" t="s">
        <v>196</v>
      </c>
      <c r="G135" s="212" t="s">
        <v>23</v>
      </c>
      <c r="H135" s="212" t="s">
        <v>1530</v>
      </c>
      <c r="I135" s="212">
        <v>201412</v>
      </c>
      <c r="J135" s="213">
        <v>-8.64</v>
      </c>
      <c r="K135" s="171">
        <f>VLOOKUP(I135,$T$9:$U$23,2)</f>
        <v>6</v>
      </c>
      <c r="L135" s="214">
        <v>2.23333E-3</v>
      </c>
      <c r="M135" s="213">
        <f>ROUND(J135*K135*L135,2)</f>
        <v>-0.12</v>
      </c>
      <c r="N135" s="213">
        <f>ROUND(J135*L135*12,2)</f>
        <v>-0.23</v>
      </c>
      <c r="O135" s="14"/>
      <c r="P135" s="210" t="str">
        <f>VLOOKUP(C135,'WO Descriptions'!$A$5:$D$384,4,FALSE)</f>
        <v>Line Locates - Service Line Replacements Only (Kansas City - Central Region)</v>
      </c>
      <c r="Q135" s="210"/>
      <c r="R135" s="210"/>
    </row>
    <row r="136" spans="1:18" outlineLevel="2">
      <c r="A136" s="14" t="s">
        <v>66</v>
      </c>
      <c r="B136" s="15" t="s">
        <v>192</v>
      </c>
      <c r="C136" s="15" t="s">
        <v>193</v>
      </c>
      <c r="D136" s="14" t="s">
        <v>194</v>
      </c>
      <c r="E136" s="15" t="s">
        <v>195</v>
      </c>
      <c r="F136" s="14" t="s">
        <v>196</v>
      </c>
      <c r="G136" s="15" t="s">
        <v>23</v>
      </c>
      <c r="H136" s="15" t="s">
        <v>1530</v>
      </c>
      <c r="I136" s="15">
        <v>201501</v>
      </c>
      <c r="J136" s="16">
        <v>-0.37</v>
      </c>
      <c r="K136" s="171">
        <f>VLOOKUP(I136,$T$9:$U$23,2)</f>
        <v>5</v>
      </c>
      <c r="L136" s="17">
        <v>2.23333E-3</v>
      </c>
      <c r="M136" s="16">
        <f>ROUND(J136*K136*L136,2)</f>
        <v>0</v>
      </c>
      <c r="N136" s="16">
        <f>ROUND(J136*L136*12,2)</f>
        <v>-0.01</v>
      </c>
      <c r="O136" s="14"/>
      <c r="P136" s="210" t="str">
        <f>VLOOKUP(C136,'WO Descriptions'!$A$5:$D$384,4,FALSE)</f>
        <v>Line Locates - Service Line Replacements Only (Kansas City - Central Region)</v>
      </c>
      <c r="Q136" s="210"/>
      <c r="R136" s="210"/>
    </row>
    <row r="137" spans="1:18" outlineLevel="2">
      <c r="A137" s="14" t="s">
        <v>66</v>
      </c>
      <c r="B137" s="15" t="s">
        <v>192</v>
      </c>
      <c r="C137" s="15" t="s">
        <v>193</v>
      </c>
      <c r="D137" s="14" t="s">
        <v>194</v>
      </c>
      <c r="E137" s="15" t="s">
        <v>195</v>
      </c>
      <c r="F137" s="14" t="s">
        <v>196</v>
      </c>
      <c r="G137" s="15" t="s">
        <v>23</v>
      </c>
      <c r="H137" s="15" t="s">
        <v>1530</v>
      </c>
      <c r="I137" s="15">
        <v>201502</v>
      </c>
      <c r="J137" s="16">
        <v>-0.87</v>
      </c>
      <c r="K137" s="171">
        <f>VLOOKUP(I137,$T$9:$U$23,2)</f>
        <v>4</v>
      </c>
      <c r="L137" s="17">
        <v>2.23333E-3</v>
      </c>
      <c r="M137" s="16">
        <f>ROUND(J137*K137*L137,2)</f>
        <v>-0.01</v>
      </c>
      <c r="N137" s="16">
        <f>ROUND(J137*L137*12,2)</f>
        <v>-0.02</v>
      </c>
      <c r="O137" s="14"/>
      <c r="P137" s="210" t="str">
        <f>VLOOKUP(C137,'WO Descriptions'!$A$5:$D$384,4,FALSE)</f>
        <v>Line Locates - Service Line Replacements Only (Kansas City - Central Region)</v>
      </c>
      <c r="Q137" s="210"/>
      <c r="R137" s="210"/>
    </row>
    <row r="138" spans="1:18" outlineLevel="1">
      <c r="A138" s="223"/>
      <c r="B138" s="250"/>
      <c r="C138" s="254" t="s">
        <v>1799</v>
      </c>
      <c r="D138" s="223"/>
      <c r="E138" s="250"/>
      <c r="F138" s="223"/>
      <c r="G138" s="250"/>
      <c r="H138" s="250"/>
      <c r="I138" s="250"/>
      <c r="J138" s="251">
        <f>SUBTOTAL(9,J133:J137)</f>
        <v>87.49</v>
      </c>
      <c r="K138" s="252"/>
      <c r="L138" s="253"/>
      <c r="M138" s="251">
        <f>SUBTOTAL(9,M133:M137)</f>
        <v>1.6199999999999999</v>
      </c>
      <c r="N138" s="251">
        <f>SUBTOTAL(9,N133:N137)</f>
        <v>2.3500000000000005</v>
      </c>
      <c r="O138" s="223"/>
      <c r="P138" s="210"/>
      <c r="Q138" s="210" t="str">
        <f>VLOOKUP(C138,'Descriptions Sorted by WO '!$A$5:$S$977,18,FALSE)</f>
        <v>393.1009 (5) (a) (b)</v>
      </c>
      <c r="R138" s="210" t="str">
        <f>VLOOKUP(C138,'Descriptions Sorted by WO '!$A$5:$S$977,19,FALSE)</f>
        <v>A,B,C,I</v>
      </c>
    </row>
    <row r="139" spans="1:18" outlineLevel="2">
      <c r="A139" s="14" t="s">
        <v>66</v>
      </c>
      <c r="B139" s="15" t="s">
        <v>2250</v>
      </c>
      <c r="C139" s="15" t="s">
        <v>2251</v>
      </c>
      <c r="D139" s="14" t="s">
        <v>194</v>
      </c>
      <c r="E139" s="15" t="s">
        <v>195</v>
      </c>
      <c r="F139" s="14" t="s">
        <v>196</v>
      </c>
      <c r="G139" s="15" t="s">
        <v>23</v>
      </c>
      <c r="H139" s="15" t="s">
        <v>1530</v>
      </c>
      <c r="I139" s="15">
        <v>201502</v>
      </c>
      <c r="J139" s="16">
        <v>1767.23</v>
      </c>
      <c r="K139" s="171">
        <f>VLOOKUP(I139,$T$9:$U$23,2)</f>
        <v>4</v>
      </c>
      <c r="L139" s="17">
        <v>2.23333E-3</v>
      </c>
      <c r="M139" s="16">
        <f>ROUND(J139*K139*L139,2)</f>
        <v>15.79</v>
      </c>
      <c r="N139" s="16">
        <f>ROUND(J139*L139*12,2)</f>
        <v>47.36</v>
      </c>
      <c r="O139" s="14"/>
      <c r="P139" s="210" t="str">
        <f>VLOOKUP(C139,'WO Descriptions'!$A$5:$D$384,4,FALSE)</f>
        <v>Line Locates - Service Line Replacements Only (Clay County - KC - South Region)</v>
      </c>
      <c r="Q139" s="210"/>
      <c r="R139" s="210"/>
    </row>
    <row r="140" spans="1:18" outlineLevel="1">
      <c r="A140" s="223"/>
      <c r="B140" s="250"/>
      <c r="C140" s="254" t="s">
        <v>2313</v>
      </c>
      <c r="D140" s="223"/>
      <c r="E140" s="250"/>
      <c r="F140" s="223"/>
      <c r="G140" s="250"/>
      <c r="H140" s="250"/>
      <c r="I140" s="250"/>
      <c r="J140" s="251">
        <f>SUBTOTAL(9,J139:J139)</f>
        <v>1767.23</v>
      </c>
      <c r="K140" s="252"/>
      <c r="L140" s="253"/>
      <c r="M140" s="251">
        <f>SUBTOTAL(9,M139:M139)</f>
        <v>15.79</v>
      </c>
      <c r="N140" s="251">
        <f>SUBTOTAL(9,N139:N139)</f>
        <v>47.36</v>
      </c>
      <c r="O140" s="223"/>
      <c r="P140" s="210"/>
      <c r="Q140" s="210" t="s">
        <v>2097</v>
      </c>
      <c r="R140" s="210" t="s">
        <v>2102</v>
      </c>
    </row>
    <row r="141" spans="1:18" ht="30" outlineLevel="2">
      <c r="A141" s="211" t="s">
        <v>66</v>
      </c>
      <c r="B141" s="212" t="s">
        <v>197</v>
      </c>
      <c r="C141" s="212" t="s">
        <v>198</v>
      </c>
      <c r="D141" s="211" t="s">
        <v>69</v>
      </c>
      <c r="E141" s="212" t="s">
        <v>199</v>
      </c>
      <c r="F141" s="211" t="s">
        <v>71</v>
      </c>
      <c r="G141" s="212" t="s">
        <v>23</v>
      </c>
      <c r="H141" s="212" t="s">
        <v>1530</v>
      </c>
      <c r="I141" s="212">
        <v>201409</v>
      </c>
      <c r="J141" s="213">
        <v>4610.79</v>
      </c>
      <c r="K141" s="171">
        <f>VLOOKUP(I141,$T$9:$U$23,2)</f>
        <v>9</v>
      </c>
      <c r="L141" s="214">
        <v>2.23333E-3</v>
      </c>
      <c r="M141" s="213">
        <f>ROUND(J141*K141*L141,2)</f>
        <v>92.68</v>
      </c>
      <c r="N141" s="213">
        <f>ROUND(J141*L141*12,2)</f>
        <v>123.57</v>
      </c>
      <c r="O141" s="14"/>
      <c r="P141" s="210" t="str">
        <f>VLOOKUP(C141,'WO Descriptions'!$A$5:$D$384,4,FALSE)</f>
        <v>Service/Yard Line Replacement (SLRP): Company Crew.  Immediate response - replacement single unprotected steel or copper  (Monett - South Region)</v>
      </c>
      <c r="Q141" s="210"/>
      <c r="R141" s="210"/>
    </row>
    <row r="142" spans="1:18" ht="30" outlineLevel="2">
      <c r="A142" s="211" t="s">
        <v>66</v>
      </c>
      <c r="B142" s="212" t="s">
        <v>197</v>
      </c>
      <c r="C142" s="212" t="s">
        <v>198</v>
      </c>
      <c r="D142" s="211" t="s">
        <v>69</v>
      </c>
      <c r="E142" s="212" t="s">
        <v>199</v>
      </c>
      <c r="F142" s="211" t="s">
        <v>71</v>
      </c>
      <c r="G142" s="212" t="s">
        <v>23</v>
      </c>
      <c r="H142" s="212" t="s">
        <v>1530</v>
      </c>
      <c r="I142" s="212">
        <v>201411</v>
      </c>
      <c r="J142" s="213">
        <v>-444.19</v>
      </c>
      <c r="K142" s="171">
        <f>VLOOKUP(I142,$T$9:$U$23,2)</f>
        <v>7</v>
      </c>
      <c r="L142" s="214">
        <v>2.23333E-3</v>
      </c>
      <c r="M142" s="213">
        <f>ROUND(J142*K142*L142,2)</f>
        <v>-6.94</v>
      </c>
      <c r="N142" s="213">
        <f>ROUND(J142*L142*12,2)</f>
        <v>-11.9</v>
      </c>
      <c r="O142" s="14"/>
      <c r="P142" s="210" t="str">
        <f>VLOOKUP(C142,'WO Descriptions'!$A$5:$D$384,4,FALSE)</f>
        <v>Service/Yard Line Replacement (SLRP): Company Crew.  Immediate response - replacement single unprotected steel or copper  (Monett - South Region)</v>
      </c>
      <c r="Q142" s="210"/>
      <c r="R142" s="210"/>
    </row>
    <row r="143" spans="1:18" ht="30" outlineLevel="2">
      <c r="A143" s="211" t="s">
        <v>66</v>
      </c>
      <c r="B143" s="212" t="s">
        <v>197</v>
      </c>
      <c r="C143" s="212" t="s">
        <v>198</v>
      </c>
      <c r="D143" s="211" t="s">
        <v>69</v>
      </c>
      <c r="E143" s="212" t="s">
        <v>199</v>
      </c>
      <c r="F143" s="211" t="s">
        <v>71</v>
      </c>
      <c r="G143" s="212" t="s">
        <v>23</v>
      </c>
      <c r="H143" s="212" t="s">
        <v>1530</v>
      </c>
      <c r="I143" s="212">
        <v>201412</v>
      </c>
      <c r="J143" s="213">
        <v>28.04</v>
      </c>
      <c r="K143" s="171">
        <f>VLOOKUP(I143,$T$9:$U$23,2)</f>
        <v>6</v>
      </c>
      <c r="L143" s="214">
        <v>2.23333E-3</v>
      </c>
      <c r="M143" s="213">
        <f>ROUND(J143*K143*L143,2)</f>
        <v>0.38</v>
      </c>
      <c r="N143" s="213">
        <f>ROUND(J143*L143*12,2)</f>
        <v>0.75</v>
      </c>
      <c r="O143" s="14"/>
      <c r="P143" s="210" t="str">
        <f>VLOOKUP(C143,'WO Descriptions'!$A$5:$D$384,4,FALSE)</f>
        <v>Service/Yard Line Replacement (SLRP): Company Crew.  Immediate response - replacement single unprotected steel or copper  (Monett - South Region)</v>
      </c>
      <c r="Q143" s="210"/>
      <c r="R143" s="210"/>
    </row>
    <row r="144" spans="1:18" ht="30" outlineLevel="2">
      <c r="A144" s="14" t="s">
        <v>66</v>
      </c>
      <c r="B144" s="15" t="s">
        <v>197</v>
      </c>
      <c r="C144" s="15" t="s">
        <v>198</v>
      </c>
      <c r="D144" s="14" t="s">
        <v>69</v>
      </c>
      <c r="E144" s="15" t="s">
        <v>199</v>
      </c>
      <c r="F144" s="14" t="s">
        <v>71</v>
      </c>
      <c r="G144" s="15" t="s">
        <v>23</v>
      </c>
      <c r="H144" s="15" t="s">
        <v>1530</v>
      </c>
      <c r="I144" s="15">
        <v>201501</v>
      </c>
      <c r="J144" s="16">
        <v>5773.19</v>
      </c>
      <c r="K144" s="171">
        <f>VLOOKUP(I144,$T$9:$U$23,2)</f>
        <v>5</v>
      </c>
      <c r="L144" s="17">
        <v>2.23333E-3</v>
      </c>
      <c r="M144" s="16">
        <f>ROUND(J144*K144*L144,2)</f>
        <v>64.47</v>
      </c>
      <c r="N144" s="16">
        <f>ROUND(J144*L144*12,2)</f>
        <v>154.72</v>
      </c>
      <c r="O144" s="14"/>
      <c r="P144" s="210" t="str">
        <f>VLOOKUP(C144,'WO Descriptions'!$A$5:$D$384,4,FALSE)</f>
        <v>Service/Yard Line Replacement (SLRP): Company Crew.  Immediate response - replacement single unprotected steel or copper  (Monett - South Region)</v>
      </c>
      <c r="Q144" s="210"/>
      <c r="R144" s="210"/>
    </row>
    <row r="145" spans="1:18" ht="30" outlineLevel="2">
      <c r="A145" s="14" t="s">
        <v>66</v>
      </c>
      <c r="B145" s="15" t="s">
        <v>197</v>
      </c>
      <c r="C145" s="15" t="s">
        <v>198</v>
      </c>
      <c r="D145" s="14" t="s">
        <v>69</v>
      </c>
      <c r="E145" s="15" t="s">
        <v>199</v>
      </c>
      <c r="F145" s="14" t="s">
        <v>71</v>
      </c>
      <c r="G145" s="15" t="s">
        <v>23</v>
      </c>
      <c r="H145" s="15" t="s">
        <v>1530</v>
      </c>
      <c r="I145" s="15">
        <v>201502</v>
      </c>
      <c r="J145" s="16">
        <v>16558.93</v>
      </c>
      <c r="K145" s="171">
        <f>VLOOKUP(I145,$T$9:$U$23,2)</f>
        <v>4</v>
      </c>
      <c r="L145" s="17">
        <v>2.23333E-3</v>
      </c>
      <c r="M145" s="16">
        <f>ROUND(J145*K145*L145,2)</f>
        <v>147.93</v>
      </c>
      <c r="N145" s="16">
        <f>ROUND(J145*L145*12,2)</f>
        <v>443.78</v>
      </c>
      <c r="O145" s="14"/>
      <c r="P145" s="210" t="str">
        <f>VLOOKUP(C145,'WO Descriptions'!$A$5:$D$384,4,FALSE)</f>
        <v>Service/Yard Line Replacement (SLRP): Company Crew.  Immediate response - replacement single unprotected steel or copper  (Monett - South Region)</v>
      </c>
      <c r="Q145" s="210"/>
      <c r="R145" s="210"/>
    </row>
    <row r="146" spans="1:18" outlineLevel="1">
      <c r="A146" s="223"/>
      <c r="B146" s="250"/>
      <c r="C146" s="254" t="s">
        <v>1800</v>
      </c>
      <c r="D146" s="223"/>
      <c r="E146" s="250"/>
      <c r="F146" s="223"/>
      <c r="G146" s="250"/>
      <c r="H146" s="250"/>
      <c r="I146" s="250"/>
      <c r="J146" s="251">
        <f>SUBTOTAL(9,J141:J145)</f>
        <v>26526.760000000002</v>
      </c>
      <c r="K146" s="252"/>
      <c r="L146" s="253"/>
      <c r="M146" s="251">
        <f>SUBTOTAL(9,M141:M145)</f>
        <v>298.52</v>
      </c>
      <c r="N146" s="251">
        <f>SUBTOTAL(9,N141:N145)</f>
        <v>710.92</v>
      </c>
      <c r="O146" s="223"/>
      <c r="P146" s="210"/>
      <c r="Q146" s="210" t="str">
        <f>VLOOKUP(C146,'Descriptions Sorted by WO '!$A$5:$S$977,18,FALSE)</f>
        <v>393.1009 (5) (a) (b)</v>
      </c>
      <c r="R146" s="210" t="str">
        <f>VLOOKUP(C146,'Descriptions Sorted by WO '!$A$5:$S$977,19,FALSE)</f>
        <v>A,B,C,I</v>
      </c>
    </row>
    <row r="147" spans="1:18" ht="30" outlineLevel="2">
      <c r="A147" s="211" t="s">
        <v>1584</v>
      </c>
      <c r="B147" s="212" t="s">
        <v>1591</v>
      </c>
      <c r="C147" s="212" t="s">
        <v>1592</v>
      </c>
      <c r="D147" s="211" t="s">
        <v>1593</v>
      </c>
      <c r="E147" s="212" t="s">
        <v>1594</v>
      </c>
      <c r="F147" s="211" t="s">
        <v>1590</v>
      </c>
      <c r="G147" s="212" t="s">
        <v>23</v>
      </c>
      <c r="H147" s="212" t="s">
        <v>1530</v>
      </c>
      <c r="I147" s="212">
        <v>201409</v>
      </c>
      <c r="J147" s="213">
        <v>1343.76</v>
      </c>
      <c r="K147" s="171">
        <f>VLOOKUP(I147,$T$9:$U$23,2)</f>
        <v>9</v>
      </c>
      <c r="L147" s="214">
        <v>2.0333333000000001E-3</v>
      </c>
      <c r="M147" s="213">
        <f>ROUND(J147*K147*L147,2)</f>
        <v>24.59</v>
      </c>
      <c r="N147" s="213">
        <f>ROUND(J147*L147*12,2)</f>
        <v>32.79</v>
      </c>
      <c r="O147" s="14"/>
      <c r="P147" s="210" t="str">
        <f>VLOOKUP(C147,'WO Descriptions'!$A$5:$D$384,4,FALSE)</f>
        <v>Service/Yard Line Replacement (SLRP): Contract Crew.  Rebuild meter/regulator setting (exclude regulator) (Monett - South Region).</v>
      </c>
      <c r="Q147" s="210"/>
      <c r="R147" s="210"/>
    </row>
    <row r="148" spans="1:18" ht="30" outlineLevel="2">
      <c r="A148" s="211" t="s">
        <v>1584</v>
      </c>
      <c r="B148" s="212" t="s">
        <v>1591</v>
      </c>
      <c r="C148" s="212" t="s">
        <v>1592</v>
      </c>
      <c r="D148" s="211" t="s">
        <v>1593</v>
      </c>
      <c r="E148" s="212" t="s">
        <v>1594</v>
      </c>
      <c r="F148" s="211" t="s">
        <v>1590</v>
      </c>
      <c r="G148" s="212" t="s">
        <v>23</v>
      </c>
      <c r="H148" s="212" t="s">
        <v>1530</v>
      </c>
      <c r="I148" s="212">
        <v>201410</v>
      </c>
      <c r="J148" s="213">
        <v>2397.15</v>
      </c>
      <c r="K148" s="171">
        <f>VLOOKUP(I148,$T$9:$U$23,2)</f>
        <v>8</v>
      </c>
      <c r="L148" s="214">
        <v>2.0333333000000001E-3</v>
      </c>
      <c r="M148" s="213">
        <f>ROUND(J148*K148*L148,2)</f>
        <v>38.99</v>
      </c>
      <c r="N148" s="213">
        <f>ROUND(J148*L148*12,2)</f>
        <v>58.49</v>
      </c>
      <c r="O148" s="14"/>
      <c r="P148" s="210" t="str">
        <f>VLOOKUP(C148,'WO Descriptions'!$A$5:$D$384,4,FALSE)</f>
        <v>Service/Yard Line Replacement (SLRP): Contract Crew.  Rebuild meter/regulator setting (exclude regulator) (Monett - South Region).</v>
      </c>
      <c r="Q148" s="210"/>
      <c r="R148" s="210"/>
    </row>
    <row r="149" spans="1:18" ht="30" outlineLevel="2">
      <c r="A149" s="211" t="s">
        <v>1584</v>
      </c>
      <c r="B149" s="212" t="s">
        <v>1591</v>
      </c>
      <c r="C149" s="212" t="s">
        <v>1592</v>
      </c>
      <c r="D149" s="211" t="s">
        <v>1593</v>
      </c>
      <c r="E149" s="212" t="s">
        <v>1594</v>
      </c>
      <c r="F149" s="211" t="s">
        <v>1590</v>
      </c>
      <c r="G149" s="212" t="s">
        <v>23</v>
      </c>
      <c r="H149" s="212" t="s">
        <v>1530</v>
      </c>
      <c r="I149" s="212">
        <v>201411</v>
      </c>
      <c r="J149" s="213">
        <v>-65.48</v>
      </c>
      <c r="K149" s="171">
        <f>VLOOKUP(I149,$T$9:$U$23,2)</f>
        <v>7</v>
      </c>
      <c r="L149" s="214">
        <v>2.0333333000000001E-3</v>
      </c>
      <c r="M149" s="213">
        <f>ROUND(J149*K149*L149,2)</f>
        <v>-0.93</v>
      </c>
      <c r="N149" s="213">
        <f>ROUND(J149*L149*12,2)</f>
        <v>-1.6</v>
      </c>
      <c r="O149" s="14"/>
      <c r="P149" s="210" t="str">
        <f>VLOOKUP(C149,'WO Descriptions'!$A$5:$D$384,4,FALSE)</f>
        <v>Service/Yard Line Replacement (SLRP): Contract Crew.  Rebuild meter/regulator setting (exclude regulator) (Monett - South Region).</v>
      </c>
      <c r="Q149" s="210"/>
      <c r="R149" s="210"/>
    </row>
    <row r="150" spans="1:18" ht="30" outlineLevel="2">
      <c r="A150" s="211" t="s">
        <v>1584</v>
      </c>
      <c r="B150" s="212" t="s">
        <v>1591</v>
      </c>
      <c r="C150" s="212" t="s">
        <v>1592</v>
      </c>
      <c r="D150" s="211" t="s">
        <v>1593</v>
      </c>
      <c r="E150" s="212" t="s">
        <v>1594</v>
      </c>
      <c r="F150" s="211" t="s">
        <v>1590</v>
      </c>
      <c r="G150" s="212" t="s">
        <v>23</v>
      </c>
      <c r="H150" s="212" t="s">
        <v>1530</v>
      </c>
      <c r="I150" s="212">
        <v>201412</v>
      </c>
      <c r="J150" s="213">
        <v>-207.19</v>
      </c>
      <c r="K150" s="171">
        <f>VLOOKUP(I150,$T$9:$U$23,2)</f>
        <v>6</v>
      </c>
      <c r="L150" s="214">
        <v>2.0333333000000001E-3</v>
      </c>
      <c r="M150" s="213">
        <f>ROUND(J150*K150*L150,2)</f>
        <v>-2.5299999999999998</v>
      </c>
      <c r="N150" s="213">
        <f>ROUND(J150*L150*12,2)</f>
        <v>-5.0599999999999996</v>
      </c>
      <c r="O150" s="14"/>
      <c r="P150" s="210" t="str">
        <f>VLOOKUP(C150,'WO Descriptions'!$A$5:$D$384,4,FALSE)</f>
        <v>Service/Yard Line Replacement (SLRP): Contract Crew.  Rebuild meter/regulator setting (exclude regulator) (Monett - South Region).</v>
      </c>
      <c r="Q150" s="210"/>
      <c r="R150" s="210"/>
    </row>
    <row r="151" spans="1:18" ht="30" outlineLevel="2">
      <c r="A151" s="14" t="s">
        <v>1584</v>
      </c>
      <c r="B151" s="15" t="s">
        <v>1591</v>
      </c>
      <c r="C151" s="15" t="s">
        <v>1592</v>
      </c>
      <c r="D151" s="14" t="s">
        <v>1593</v>
      </c>
      <c r="E151" s="15" t="s">
        <v>1594</v>
      </c>
      <c r="F151" s="14" t="s">
        <v>1590</v>
      </c>
      <c r="G151" s="15" t="s">
        <v>23</v>
      </c>
      <c r="H151" s="15" t="s">
        <v>1530</v>
      </c>
      <c r="I151" s="15">
        <v>201501</v>
      </c>
      <c r="J151" s="16">
        <v>-9.6</v>
      </c>
      <c r="K151" s="171">
        <f>VLOOKUP(I151,$T$9:$U$23,2)</f>
        <v>5</v>
      </c>
      <c r="L151" s="17">
        <v>2.0333333000000001E-3</v>
      </c>
      <c r="M151" s="16">
        <f>ROUND(J151*K151*L151,2)</f>
        <v>-0.1</v>
      </c>
      <c r="N151" s="16">
        <f>ROUND(J151*L151*12,2)</f>
        <v>-0.23</v>
      </c>
      <c r="O151" s="14"/>
      <c r="P151" s="210" t="str">
        <f>VLOOKUP(C151,'WO Descriptions'!$A$5:$D$384,4,FALSE)</f>
        <v>Service/Yard Line Replacement (SLRP): Contract Crew.  Rebuild meter/regulator setting (exclude regulator) (Monett - South Region).</v>
      </c>
      <c r="Q151" s="210"/>
      <c r="R151" s="210"/>
    </row>
    <row r="152" spans="1:18" outlineLevel="1">
      <c r="A152" s="223"/>
      <c r="B152" s="250"/>
      <c r="C152" s="254" t="s">
        <v>1801</v>
      </c>
      <c r="D152" s="223"/>
      <c r="E152" s="250"/>
      <c r="F152" s="223"/>
      <c r="G152" s="250"/>
      <c r="H152" s="250"/>
      <c r="I152" s="250"/>
      <c r="J152" s="251">
        <f>SUBTOTAL(9,J147:J151)</f>
        <v>3458.64</v>
      </c>
      <c r="K152" s="252"/>
      <c r="L152" s="253"/>
      <c r="M152" s="251">
        <f>SUBTOTAL(9,M147:M151)</f>
        <v>60.019999999999996</v>
      </c>
      <c r="N152" s="251">
        <f>SUBTOTAL(9,N147:N151)</f>
        <v>84.39</v>
      </c>
      <c r="O152" s="223"/>
      <c r="P152" s="210"/>
      <c r="Q152" s="210" t="str">
        <f>VLOOKUP(C152,'Descriptions Sorted by WO '!$A$5:$S$977,18,FALSE)</f>
        <v>393.1009 (5) (a) (b)</v>
      </c>
      <c r="R152" s="210" t="str">
        <f>VLOOKUP(C152,'Descriptions Sorted by WO '!$A$5:$S$977,19,FALSE)</f>
        <v>A,B,C,I</v>
      </c>
    </row>
    <row r="153" spans="1:18" ht="30" outlineLevel="2">
      <c r="A153" s="211" t="s">
        <v>1584</v>
      </c>
      <c r="B153" s="212" t="s">
        <v>1595</v>
      </c>
      <c r="C153" s="212" t="s">
        <v>1596</v>
      </c>
      <c r="D153" s="211" t="s">
        <v>1593</v>
      </c>
      <c r="E153" s="212" t="s">
        <v>1597</v>
      </c>
      <c r="F153" s="211" t="s">
        <v>1590</v>
      </c>
      <c r="G153" s="212" t="s">
        <v>23</v>
      </c>
      <c r="H153" s="212" t="s">
        <v>1530</v>
      </c>
      <c r="I153" s="212">
        <v>201409</v>
      </c>
      <c r="J153" s="213">
        <v>34137.56</v>
      </c>
      <c r="K153" s="171">
        <f>VLOOKUP(I153,$T$9:$U$23,2)</f>
        <v>9</v>
      </c>
      <c r="L153" s="214">
        <v>2.0333333000000001E-3</v>
      </c>
      <c r="M153" s="213">
        <f>ROUND(J153*K153*L153,2)</f>
        <v>624.72</v>
      </c>
      <c r="N153" s="213">
        <f>ROUND(J153*L153*12,2)</f>
        <v>832.96</v>
      </c>
      <c r="O153" s="14"/>
      <c r="P153" s="210" t="str">
        <f>VLOOKUP(C153,'WO Descriptions'!$A$5:$D$384,4,FALSE)</f>
        <v>Service/Yard Line Replacement (SLRP): Contract Crew.  Rebuild meter/regulator setting (exclude regulator) (Lee's Summit - East Region).</v>
      </c>
      <c r="Q153" s="210"/>
      <c r="R153" s="210"/>
    </row>
    <row r="154" spans="1:18" ht="30" outlineLevel="2">
      <c r="A154" s="211" t="s">
        <v>1584</v>
      </c>
      <c r="B154" s="212" t="s">
        <v>1595</v>
      </c>
      <c r="C154" s="212" t="s">
        <v>1596</v>
      </c>
      <c r="D154" s="211" t="s">
        <v>1593</v>
      </c>
      <c r="E154" s="212" t="s">
        <v>1597</v>
      </c>
      <c r="F154" s="211" t="s">
        <v>1590</v>
      </c>
      <c r="G154" s="212" t="s">
        <v>23</v>
      </c>
      <c r="H154" s="212" t="s">
        <v>1530</v>
      </c>
      <c r="I154" s="212">
        <v>201410</v>
      </c>
      <c r="J154" s="213">
        <v>26051.41</v>
      </c>
      <c r="K154" s="171">
        <f>VLOOKUP(I154,$T$9:$U$23,2)</f>
        <v>8</v>
      </c>
      <c r="L154" s="214">
        <v>2.0333333000000001E-3</v>
      </c>
      <c r="M154" s="213">
        <f>ROUND(J154*K154*L154,2)</f>
        <v>423.77</v>
      </c>
      <c r="N154" s="213">
        <f>ROUND(J154*L154*12,2)</f>
        <v>635.65</v>
      </c>
      <c r="O154" s="14"/>
      <c r="P154" s="210" t="str">
        <f>VLOOKUP(C154,'WO Descriptions'!$A$5:$D$384,4,FALSE)</f>
        <v>Service/Yard Line Replacement (SLRP): Contract Crew.  Rebuild meter/regulator setting (exclude regulator) (Lee's Summit - East Region).</v>
      </c>
      <c r="Q154" s="210"/>
      <c r="R154" s="210"/>
    </row>
    <row r="155" spans="1:18" ht="30" outlineLevel="2">
      <c r="A155" s="211" t="s">
        <v>1584</v>
      </c>
      <c r="B155" s="212" t="s">
        <v>1595</v>
      </c>
      <c r="C155" s="212" t="s">
        <v>1596</v>
      </c>
      <c r="D155" s="211" t="s">
        <v>1593</v>
      </c>
      <c r="E155" s="212" t="s">
        <v>1597</v>
      </c>
      <c r="F155" s="211" t="s">
        <v>1590</v>
      </c>
      <c r="G155" s="212" t="s">
        <v>23</v>
      </c>
      <c r="H155" s="212" t="s">
        <v>1530</v>
      </c>
      <c r="I155" s="212">
        <v>201411</v>
      </c>
      <c r="J155" s="213">
        <v>12942.18</v>
      </c>
      <c r="K155" s="171">
        <f>VLOOKUP(I155,$T$9:$U$23,2)</f>
        <v>7</v>
      </c>
      <c r="L155" s="214">
        <v>2.0333333000000001E-3</v>
      </c>
      <c r="M155" s="213">
        <f>ROUND(J155*K155*L155,2)</f>
        <v>184.21</v>
      </c>
      <c r="N155" s="213">
        <f>ROUND(J155*L155*12,2)</f>
        <v>315.79000000000002</v>
      </c>
      <c r="O155" s="14"/>
      <c r="P155" s="210" t="str">
        <f>VLOOKUP(C155,'WO Descriptions'!$A$5:$D$384,4,FALSE)</f>
        <v>Service/Yard Line Replacement (SLRP): Contract Crew.  Rebuild meter/regulator setting (exclude regulator) (Lee's Summit - East Region).</v>
      </c>
      <c r="Q155" s="210"/>
      <c r="R155" s="210"/>
    </row>
    <row r="156" spans="1:18" ht="30" outlineLevel="2">
      <c r="A156" s="211" t="s">
        <v>1584</v>
      </c>
      <c r="B156" s="212" t="s">
        <v>1595</v>
      </c>
      <c r="C156" s="212" t="s">
        <v>1596</v>
      </c>
      <c r="D156" s="211" t="s">
        <v>1593</v>
      </c>
      <c r="E156" s="212" t="s">
        <v>1597</v>
      </c>
      <c r="F156" s="211" t="s">
        <v>1590</v>
      </c>
      <c r="G156" s="212" t="s">
        <v>23</v>
      </c>
      <c r="H156" s="212" t="s">
        <v>1530</v>
      </c>
      <c r="I156" s="212">
        <v>201412</v>
      </c>
      <c r="J156" s="213">
        <v>24376.35</v>
      </c>
      <c r="K156" s="171">
        <f>VLOOKUP(I156,$T$9:$U$23,2)</f>
        <v>6</v>
      </c>
      <c r="L156" s="214">
        <v>2.0333333000000001E-3</v>
      </c>
      <c r="M156" s="213">
        <f>ROUND(J156*K156*L156,2)</f>
        <v>297.39</v>
      </c>
      <c r="N156" s="213">
        <f>ROUND(J156*L156*12,2)</f>
        <v>594.78</v>
      </c>
      <c r="O156" s="14"/>
      <c r="P156" s="210" t="str">
        <f>VLOOKUP(C156,'WO Descriptions'!$A$5:$D$384,4,FALSE)</f>
        <v>Service/Yard Line Replacement (SLRP): Contract Crew.  Rebuild meter/regulator setting (exclude regulator) (Lee's Summit - East Region).</v>
      </c>
      <c r="Q156" s="210"/>
      <c r="R156" s="210"/>
    </row>
    <row r="157" spans="1:18" ht="30" outlineLevel="2">
      <c r="A157" s="14" t="s">
        <v>1584</v>
      </c>
      <c r="B157" s="15" t="s">
        <v>1595</v>
      </c>
      <c r="C157" s="15" t="s">
        <v>1596</v>
      </c>
      <c r="D157" s="14" t="s">
        <v>1593</v>
      </c>
      <c r="E157" s="15" t="s">
        <v>1597</v>
      </c>
      <c r="F157" s="14" t="s">
        <v>1590</v>
      </c>
      <c r="G157" s="15" t="s">
        <v>23</v>
      </c>
      <c r="H157" s="15" t="s">
        <v>1530</v>
      </c>
      <c r="I157" s="15">
        <v>201501</v>
      </c>
      <c r="J157" s="16">
        <v>16802.72</v>
      </c>
      <c r="K157" s="171">
        <f>VLOOKUP(I157,$T$9:$U$23,2)</f>
        <v>5</v>
      </c>
      <c r="L157" s="17">
        <v>2.0333333000000001E-3</v>
      </c>
      <c r="M157" s="16">
        <f>ROUND(J157*K157*L157,2)</f>
        <v>170.83</v>
      </c>
      <c r="N157" s="16">
        <f>ROUND(J157*L157*12,2)</f>
        <v>409.99</v>
      </c>
      <c r="O157" s="14"/>
      <c r="P157" s="210" t="str">
        <f>VLOOKUP(C157,'WO Descriptions'!$A$5:$D$384,4,FALSE)</f>
        <v>Service/Yard Line Replacement (SLRP): Contract Crew.  Rebuild meter/regulator setting (exclude regulator) (Lee's Summit - East Region).</v>
      </c>
      <c r="Q157" s="210"/>
      <c r="R157" s="210"/>
    </row>
    <row r="158" spans="1:18" outlineLevel="1">
      <c r="A158" s="223"/>
      <c r="B158" s="250"/>
      <c r="C158" s="254" t="s">
        <v>1802</v>
      </c>
      <c r="D158" s="223"/>
      <c r="E158" s="250"/>
      <c r="F158" s="223"/>
      <c r="G158" s="250"/>
      <c r="H158" s="250"/>
      <c r="I158" s="250"/>
      <c r="J158" s="251">
        <f>SUBTOTAL(9,J153:J157)</f>
        <v>114310.22</v>
      </c>
      <c r="K158" s="252"/>
      <c r="L158" s="253"/>
      <c r="M158" s="251">
        <f>SUBTOTAL(9,M153:M157)</f>
        <v>1700.92</v>
      </c>
      <c r="N158" s="251">
        <f>SUBTOTAL(9,N153:N157)</f>
        <v>2789.17</v>
      </c>
      <c r="O158" s="223"/>
      <c r="P158" s="210"/>
      <c r="Q158" s="210" t="str">
        <f>VLOOKUP(C158,'Descriptions Sorted by WO '!$A$5:$S$977,18,FALSE)</f>
        <v>393.1009 (5) (a) (b)</v>
      </c>
      <c r="R158" s="210" t="str">
        <f>VLOOKUP(C158,'Descriptions Sorted by WO '!$A$5:$S$977,19,FALSE)</f>
        <v>A,B,C,I</v>
      </c>
    </row>
    <row r="159" spans="1:18" ht="30" outlineLevel="2">
      <c r="A159" s="211" t="s">
        <v>66</v>
      </c>
      <c r="B159" s="212" t="s">
        <v>200</v>
      </c>
      <c r="C159" s="212" t="s">
        <v>201</v>
      </c>
      <c r="D159" s="211" t="s">
        <v>202</v>
      </c>
      <c r="E159" s="212" t="s">
        <v>203</v>
      </c>
      <c r="F159" s="211" t="s">
        <v>80</v>
      </c>
      <c r="G159" s="212" t="s">
        <v>23</v>
      </c>
      <c r="H159" s="212" t="s">
        <v>1530</v>
      </c>
      <c r="I159" s="212">
        <v>201409</v>
      </c>
      <c r="J159" s="213">
        <v>103697.26</v>
      </c>
      <c r="K159" s="171">
        <f t="shared" ref="K159:K164" si="9">VLOOKUP(I159,$T$9:$U$23,2)</f>
        <v>9</v>
      </c>
      <c r="L159" s="214">
        <v>2.23333E-3</v>
      </c>
      <c r="M159" s="213">
        <f t="shared" ref="M159:M164" si="10">ROUND(J159*K159*L159,2)</f>
        <v>2084.31</v>
      </c>
      <c r="N159" s="213">
        <f t="shared" ref="N159:N164" si="11">ROUND(J159*L159*12,2)</f>
        <v>2779.08</v>
      </c>
      <c r="O159" s="14"/>
      <c r="P159" s="210" t="str">
        <f>VLOOKUP(C159,'WO Descriptions'!$A$5:$D$384,4,FALSE)</f>
        <v>Service/Yard Line Replacement (SLRP): Company Crew.  Modified Block by Block - Planned replacement of all unprotected steel or copper in a single block.  (Kansas City - Central Region)</v>
      </c>
      <c r="Q159" s="210"/>
      <c r="R159" s="210"/>
    </row>
    <row r="160" spans="1:18" ht="30" outlineLevel="2">
      <c r="A160" s="211" t="s">
        <v>66</v>
      </c>
      <c r="B160" s="212" t="s">
        <v>200</v>
      </c>
      <c r="C160" s="212" t="s">
        <v>201</v>
      </c>
      <c r="D160" s="211" t="s">
        <v>202</v>
      </c>
      <c r="E160" s="212" t="s">
        <v>203</v>
      </c>
      <c r="F160" s="211" t="s">
        <v>80</v>
      </c>
      <c r="G160" s="212" t="s">
        <v>23</v>
      </c>
      <c r="H160" s="212" t="s">
        <v>1530</v>
      </c>
      <c r="I160" s="212">
        <v>201410</v>
      </c>
      <c r="J160" s="213">
        <v>64057.599999999999</v>
      </c>
      <c r="K160" s="171">
        <f t="shared" si="9"/>
        <v>8</v>
      </c>
      <c r="L160" s="214">
        <v>2.23333E-3</v>
      </c>
      <c r="M160" s="213">
        <f t="shared" si="10"/>
        <v>1144.49</v>
      </c>
      <c r="N160" s="213">
        <f t="shared" si="11"/>
        <v>1716.74</v>
      </c>
      <c r="O160" s="14"/>
      <c r="P160" s="210" t="str">
        <f>VLOOKUP(C160,'WO Descriptions'!$A$5:$D$384,4,FALSE)</f>
        <v>Service/Yard Line Replacement (SLRP): Company Crew.  Modified Block by Block - Planned replacement of all unprotected steel or copper in a single block.  (Kansas City - Central Region)</v>
      </c>
      <c r="Q160" s="210"/>
      <c r="R160" s="210"/>
    </row>
    <row r="161" spans="1:18" ht="30" outlineLevel="2">
      <c r="A161" s="211" t="s">
        <v>66</v>
      </c>
      <c r="B161" s="212" t="s">
        <v>200</v>
      </c>
      <c r="C161" s="212" t="s">
        <v>201</v>
      </c>
      <c r="D161" s="211" t="s">
        <v>202</v>
      </c>
      <c r="E161" s="212" t="s">
        <v>203</v>
      </c>
      <c r="F161" s="211" t="s">
        <v>80</v>
      </c>
      <c r="G161" s="212" t="s">
        <v>23</v>
      </c>
      <c r="H161" s="212" t="s">
        <v>1530</v>
      </c>
      <c r="I161" s="212">
        <v>201411</v>
      </c>
      <c r="J161" s="213">
        <v>8450.75</v>
      </c>
      <c r="K161" s="171">
        <f t="shared" si="9"/>
        <v>7</v>
      </c>
      <c r="L161" s="214">
        <v>2.23333E-3</v>
      </c>
      <c r="M161" s="213">
        <f t="shared" si="10"/>
        <v>132.11000000000001</v>
      </c>
      <c r="N161" s="213">
        <f t="shared" si="11"/>
        <v>226.48</v>
      </c>
      <c r="O161" s="14"/>
      <c r="P161" s="210" t="str">
        <f>VLOOKUP(C161,'WO Descriptions'!$A$5:$D$384,4,FALSE)</f>
        <v>Service/Yard Line Replacement (SLRP): Company Crew.  Modified Block by Block - Planned replacement of all unprotected steel or copper in a single block.  (Kansas City - Central Region)</v>
      </c>
      <c r="Q161" s="210"/>
      <c r="R161" s="210"/>
    </row>
    <row r="162" spans="1:18" ht="30" outlineLevel="2">
      <c r="A162" s="211" t="s">
        <v>66</v>
      </c>
      <c r="B162" s="212" t="s">
        <v>200</v>
      </c>
      <c r="C162" s="212" t="s">
        <v>201</v>
      </c>
      <c r="D162" s="211" t="s">
        <v>202</v>
      </c>
      <c r="E162" s="212" t="s">
        <v>203</v>
      </c>
      <c r="F162" s="211" t="s">
        <v>80</v>
      </c>
      <c r="G162" s="212" t="s">
        <v>23</v>
      </c>
      <c r="H162" s="212" t="s">
        <v>1530</v>
      </c>
      <c r="I162" s="212">
        <v>201412</v>
      </c>
      <c r="J162" s="213">
        <v>23427.599999999999</v>
      </c>
      <c r="K162" s="171">
        <f t="shared" si="9"/>
        <v>6</v>
      </c>
      <c r="L162" s="214">
        <v>2.23333E-3</v>
      </c>
      <c r="M162" s="213">
        <f t="shared" si="10"/>
        <v>313.93</v>
      </c>
      <c r="N162" s="213">
        <f t="shared" si="11"/>
        <v>627.86</v>
      </c>
      <c r="O162" s="14"/>
      <c r="P162" s="210" t="str">
        <f>VLOOKUP(C162,'WO Descriptions'!$A$5:$D$384,4,FALSE)</f>
        <v>Service/Yard Line Replacement (SLRP): Company Crew.  Modified Block by Block - Planned replacement of all unprotected steel or copper in a single block.  (Kansas City - Central Region)</v>
      </c>
      <c r="Q162" s="210"/>
      <c r="R162" s="210"/>
    </row>
    <row r="163" spans="1:18" ht="30" outlineLevel="2">
      <c r="A163" s="14" t="s">
        <v>66</v>
      </c>
      <c r="B163" s="15" t="s">
        <v>200</v>
      </c>
      <c r="C163" s="15" t="s">
        <v>201</v>
      </c>
      <c r="D163" s="14" t="s">
        <v>202</v>
      </c>
      <c r="E163" s="15" t="s">
        <v>203</v>
      </c>
      <c r="F163" s="14" t="s">
        <v>80</v>
      </c>
      <c r="G163" s="15" t="s">
        <v>23</v>
      </c>
      <c r="H163" s="15" t="s">
        <v>1530</v>
      </c>
      <c r="I163" s="15">
        <v>201501</v>
      </c>
      <c r="J163" s="16">
        <v>12021.72</v>
      </c>
      <c r="K163" s="171">
        <f t="shared" si="9"/>
        <v>5</v>
      </c>
      <c r="L163" s="17">
        <v>2.23333E-3</v>
      </c>
      <c r="M163" s="16">
        <f t="shared" si="10"/>
        <v>134.24</v>
      </c>
      <c r="N163" s="16">
        <f t="shared" si="11"/>
        <v>322.18</v>
      </c>
      <c r="O163" s="14"/>
      <c r="P163" s="210" t="str">
        <f>VLOOKUP(C163,'WO Descriptions'!$A$5:$D$384,4,FALSE)</f>
        <v>Service/Yard Line Replacement (SLRP): Company Crew.  Modified Block by Block - Planned replacement of all unprotected steel or copper in a single block.  (Kansas City - Central Region)</v>
      </c>
      <c r="Q163" s="210"/>
      <c r="R163" s="210"/>
    </row>
    <row r="164" spans="1:18" ht="30" outlineLevel="2">
      <c r="A164" s="14" t="s">
        <v>66</v>
      </c>
      <c r="B164" s="15" t="s">
        <v>200</v>
      </c>
      <c r="C164" s="15" t="s">
        <v>201</v>
      </c>
      <c r="D164" s="14" t="s">
        <v>202</v>
      </c>
      <c r="E164" s="15" t="s">
        <v>203</v>
      </c>
      <c r="F164" s="14" t="s">
        <v>80</v>
      </c>
      <c r="G164" s="15" t="s">
        <v>23</v>
      </c>
      <c r="H164" s="15" t="s">
        <v>1530</v>
      </c>
      <c r="I164" s="15">
        <v>201502</v>
      </c>
      <c r="J164" s="16">
        <v>6597.97</v>
      </c>
      <c r="K164" s="171">
        <f t="shared" si="9"/>
        <v>4</v>
      </c>
      <c r="L164" s="17">
        <v>2.23333E-3</v>
      </c>
      <c r="M164" s="16">
        <f t="shared" si="10"/>
        <v>58.94</v>
      </c>
      <c r="N164" s="16">
        <f t="shared" si="11"/>
        <v>176.83</v>
      </c>
      <c r="O164" s="14"/>
      <c r="P164" s="210" t="str">
        <f>VLOOKUP(C164,'WO Descriptions'!$A$5:$D$384,4,FALSE)</f>
        <v>Service/Yard Line Replacement (SLRP): Company Crew.  Modified Block by Block - Planned replacement of all unprotected steel or copper in a single block.  (Kansas City - Central Region)</v>
      </c>
      <c r="Q164" s="210"/>
      <c r="R164" s="210"/>
    </row>
    <row r="165" spans="1:18" outlineLevel="1">
      <c r="A165" s="223"/>
      <c r="B165" s="250"/>
      <c r="C165" s="254" t="s">
        <v>1803</v>
      </c>
      <c r="D165" s="223"/>
      <c r="E165" s="250"/>
      <c r="F165" s="223"/>
      <c r="G165" s="250"/>
      <c r="H165" s="250"/>
      <c r="I165" s="250"/>
      <c r="J165" s="251">
        <f>SUBTOTAL(9,J159:J164)</f>
        <v>218252.9</v>
      </c>
      <c r="K165" s="252"/>
      <c r="L165" s="253"/>
      <c r="M165" s="251">
        <f>SUBTOTAL(9,M159:M164)</f>
        <v>3868.02</v>
      </c>
      <c r="N165" s="251">
        <f>SUBTOTAL(9,N159:N164)</f>
        <v>5849.1699999999992</v>
      </c>
      <c r="O165" s="223"/>
      <c r="P165" s="210"/>
      <c r="Q165" s="210" t="str">
        <f>VLOOKUP(C165,'Descriptions Sorted by WO '!$A$5:$S$977,18,FALSE)</f>
        <v>393.1009 (5) (a) (b)</v>
      </c>
      <c r="R165" s="210" t="str">
        <f>VLOOKUP(C165,'Descriptions Sorted by WO '!$A$5:$S$977,19,FALSE)</f>
        <v>A,B,C,I</v>
      </c>
    </row>
    <row r="166" spans="1:18" ht="30" outlineLevel="2">
      <c r="A166" s="211" t="s">
        <v>66</v>
      </c>
      <c r="B166" s="212" t="s">
        <v>204</v>
      </c>
      <c r="C166" s="212" t="s">
        <v>205</v>
      </c>
      <c r="D166" s="211" t="s">
        <v>206</v>
      </c>
      <c r="E166" s="212" t="s">
        <v>207</v>
      </c>
      <c r="F166" s="211" t="s">
        <v>97</v>
      </c>
      <c r="G166" s="212" t="s">
        <v>23</v>
      </c>
      <c r="H166" s="212" t="s">
        <v>1530</v>
      </c>
      <c r="I166" s="212">
        <v>201409</v>
      </c>
      <c r="J166" s="213">
        <v>-46.62</v>
      </c>
      <c r="K166" s="171">
        <f>VLOOKUP(I166,$T$9:$U$23,2)</f>
        <v>9</v>
      </c>
      <c r="L166" s="214">
        <v>2.23333E-3</v>
      </c>
      <c r="M166" s="213">
        <f>ROUND(J166*K166*L166,2)</f>
        <v>-0.94</v>
      </c>
      <c r="N166" s="213">
        <f>ROUND(J166*L166*12,2)</f>
        <v>-1.25</v>
      </c>
      <c r="O166" s="14"/>
      <c r="P166" s="210" t="str">
        <f>VLOOKUP(C166,'WO Descriptions'!$A$5:$D$384,4,FALSE)</f>
        <v>Service/Yard Line Replacement (SLRP): Company Crew.  Service/yard line replacement - Material Charges Only  (Kansas City - Monett - South Region)</v>
      </c>
      <c r="Q166" s="210"/>
      <c r="R166" s="210"/>
    </row>
    <row r="167" spans="1:18" outlineLevel="1">
      <c r="A167" s="256"/>
      <c r="B167" s="257"/>
      <c r="C167" s="260" t="s">
        <v>1804</v>
      </c>
      <c r="D167" s="256"/>
      <c r="E167" s="257"/>
      <c r="F167" s="256"/>
      <c r="G167" s="257"/>
      <c r="H167" s="257"/>
      <c r="I167" s="257"/>
      <c r="J167" s="258">
        <f>SUBTOTAL(9,J166:J166)</f>
        <v>-46.62</v>
      </c>
      <c r="K167" s="252"/>
      <c r="L167" s="259"/>
      <c r="M167" s="258">
        <f>SUBTOTAL(9,M166:M166)</f>
        <v>-0.94</v>
      </c>
      <c r="N167" s="258">
        <f>SUBTOTAL(9,N166:N166)</f>
        <v>-1.25</v>
      </c>
      <c r="O167" s="223"/>
      <c r="P167" s="210"/>
      <c r="Q167" s="210" t="str">
        <f>VLOOKUP(C167,'Descriptions Sorted by WO '!$A$5:$S$977,18,FALSE)</f>
        <v>393.1009 (5) (a) (b)</v>
      </c>
      <c r="R167" s="210" t="str">
        <f>VLOOKUP(C167,'Descriptions Sorted by WO '!$A$5:$S$977,19,FALSE)</f>
        <v>A,B,C,I</v>
      </c>
    </row>
    <row r="168" spans="1:18" ht="30" outlineLevel="2">
      <c r="A168" s="211" t="s">
        <v>66</v>
      </c>
      <c r="B168" s="212" t="s">
        <v>208</v>
      </c>
      <c r="C168" s="212" t="s">
        <v>209</v>
      </c>
      <c r="D168" s="211" t="s">
        <v>210</v>
      </c>
      <c r="E168" s="212" t="s">
        <v>211</v>
      </c>
      <c r="F168" s="211" t="s">
        <v>212</v>
      </c>
      <c r="G168" s="212" t="s">
        <v>23</v>
      </c>
      <c r="H168" s="212" t="s">
        <v>1530</v>
      </c>
      <c r="I168" s="212">
        <v>201409</v>
      </c>
      <c r="J168" s="213">
        <v>-620.16</v>
      </c>
      <c r="K168" s="171">
        <f>VLOOKUP(I168,$T$9:$U$23,2)</f>
        <v>9</v>
      </c>
      <c r="L168" s="214">
        <v>2.23333E-3</v>
      </c>
      <c r="M168" s="213">
        <f>ROUND(J168*K168*L168,2)</f>
        <v>-12.47</v>
      </c>
      <c r="N168" s="213">
        <f>ROUND(J168*L168*12,2)</f>
        <v>-16.62</v>
      </c>
      <c r="O168" s="14"/>
      <c r="P168" s="210" t="str">
        <f>VLOOKUP(C168,'WO Descriptions'!$A$5:$D$384,4,FALSE)</f>
        <v>Service/Yard Line Replacement (SLRP): Contract Crew.  Immediate response - replacement single unprotected steel or copper  (Joplin - South Region)</v>
      </c>
      <c r="Q168" s="210"/>
      <c r="R168" s="210"/>
    </row>
    <row r="169" spans="1:18" outlineLevel="1">
      <c r="A169" s="256"/>
      <c r="B169" s="257"/>
      <c r="C169" s="260" t="s">
        <v>1805</v>
      </c>
      <c r="D169" s="256"/>
      <c r="E169" s="257"/>
      <c r="F169" s="256"/>
      <c r="G169" s="257"/>
      <c r="H169" s="257"/>
      <c r="I169" s="257"/>
      <c r="J169" s="258">
        <f>SUBTOTAL(9,J168:J168)</f>
        <v>-620.16</v>
      </c>
      <c r="K169" s="252"/>
      <c r="L169" s="259"/>
      <c r="M169" s="258">
        <f>SUBTOTAL(9,M168:M168)</f>
        <v>-12.47</v>
      </c>
      <c r="N169" s="258">
        <f>SUBTOTAL(9,N168:N168)</f>
        <v>-16.62</v>
      </c>
      <c r="O169" s="223"/>
      <c r="P169" s="210"/>
      <c r="Q169" s="210" t="str">
        <f>VLOOKUP(C169,'Descriptions Sorted by WO '!$A$5:$S$977,18,FALSE)</f>
        <v>393.1009 (5) (a) (b)</v>
      </c>
      <c r="R169" s="210" t="str">
        <f>VLOOKUP(C169,'Descriptions Sorted by WO '!$A$5:$S$977,19,FALSE)</f>
        <v>A,B,C,I</v>
      </c>
    </row>
    <row r="170" spans="1:18" ht="45" outlineLevel="2">
      <c r="A170" s="18" t="s">
        <v>17</v>
      </c>
      <c r="B170" s="15" t="s">
        <v>213</v>
      </c>
      <c r="C170" s="15" t="s">
        <v>214</v>
      </c>
      <c r="D170" s="14" t="s">
        <v>215</v>
      </c>
      <c r="E170" s="15" t="s">
        <v>216</v>
      </c>
      <c r="F170" s="14" t="s">
        <v>22</v>
      </c>
      <c r="G170" s="15" t="s">
        <v>23</v>
      </c>
      <c r="H170" s="15" t="s">
        <v>1525</v>
      </c>
      <c r="I170" s="15">
        <v>201409</v>
      </c>
      <c r="J170" s="16">
        <v>-587.16999999999996</v>
      </c>
      <c r="K170" s="171">
        <f>VLOOKUP(I170,$T$9:$U$23,2)</f>
        <v>9</v>
      </c>
      <c r="L170" s="17">
        <v>1.4833299999999999E-3</v>
      </c>
      <c r="M170" s="16">
        <f>ROUND(J170*K170*L170,2)</f>
        <v>-7.84</v>
      </c>
      <c r="N170" s="16">
        <f>ROUND(J170*L170*12,2)</f>
        <v>-10.45</v>
      </c>
      <c r="O170" s="14"/>
      <c r="P170" s="210" t="str">
        <f>VLOOKUP(C170,'WO Descriptions'!$A$5:$D$384,4,FALSE)</f>
        <v>Approved by: Steve Holcomb on 06/06/2013,  Replace 3308' - 3in PBS (WO#: A7180) with 3310' - 4in PE pipe due to history of leakage. Project Location: Murphy Blvd and Main St; Pressure System: C-1; MOP: 58 psig; MAOP: 58 psig; Design: 58 psig; Test: 100 psig; ISRS $29.97/ft</v>
      </c>
      <c r="Q170" s="210"/>
      <c r="R170" s="210"/>
    </row>
    <row r="171" spans="1:18" outlineLevel="1">
      <c r="A171" s="225"/>
      <c r="B171" s="250"/>
      <c r="C171" s="254" t="s">
        <v>1806</v>
      </c>
      <c r="D171" s="223"/>
      <c r="E171" s="250"/>
      <c r="F171" s="223"/>
      <c r="G171" s="250"/>
      <c r="H171" s="250"/>
      <c r="I171" s="250"/>
      <c r="J171" s="251">
        <f>SUBTOTAL(9,J170:J170)</f>
        <v>-587.16999999999996</v>
      </c>
      <c r="K171" s="252"/>
      <c r="L171" s="253"/>
      <c r="M171" s="251">
        <f>SUBTOTAL(9,M170:M170)</f>
        <v>-7.84</v>
      </c>
      <c r="N171" s="251">
        <f>SUBTOTAL(9,N170:N170)</f>
        <v>-10.45</v>
      </c>
      <c r="O171" s="223"/>
      <c r="P171" s="210"/>
      <c r="Q171" s="210" t="str">
        <f>VLOOKUP(C171,'Descriptions Sorted by WO '!$A$5:$S$977,18,FALSE)</f>
        <v>393.1009 (5) (a) (b)</v>
      </c>
      <c r="R171" s="210" t="str">
        <f>VLOOKUP(C171,'Descriptions Sorted by WO '!$A$5:$S$977,19,FALSE)</f>
        <v>A,B,C</v>
      </c>
    </row>
    <row r="172" spans="1:18" outlineLevel="2">
      <c r="A172" s="18" t="s">
        <v>217</v>
      </c>
      <c r="B172" s="15" t="s">
        <v>218</v>
      </c>
      <c r="C172" s="15" t="s">
        <v>219</v>
      </c>
      <c r="D172" s="14" t="s">
        <v>220</v>
      </c>
      <c r="E172" s="15" t="s">
        <v>221</v>
      </c>
      <c r="F172" s="14" t="s">
        <v>222</v>
      </c>
      <c r="G172" s="15" t="s">
        <v>23</v>
      </c>
      <c r="H172" s="15" t="s">
        <v>1524</v>
      </c>
      <c r="I172" s="15">
        <v>201409</v>
      </c>
      <c r="J172" s="16">
        <v>120417.26</v>
      </c>
      <c r="K172" s="171">
        <f t="shared" ref="K172:K177" si="12">VLOOKUP(I172,$T$9:$U$23,2)</f>
        <v>9</v>
      </c>
      <c r="L172" s="17">
        <v>1.4833299999999999E-3</v>
      </c>
      <c r="M172" s="16">
        <f t="shared" ref="M172:M177" si="13">ROUND(J172*K172*L172,2)</f>
        <v>1607.57</v>
      </c>
      <c r="N172" s="16">
        <f t="shared" ref="N172:N177" si="14">ROUND(J172*L172*12,2)</f>
        <v>2143.42</v>
      </c>
      <c r="O172" s="14"/>
      <c r="P172" s="210" t="str">
        <f>VLOOKUP(C172,'WO Descriptions'!$A$5:$D$384,4,FALSE)</f>
        <v>Project Type:B</v>
      </c>
      <c r="Q172" s="210"/>
      <c r="R172" s="210"/>
    </row>
    <row r="173" spans="1:18" outlineLevel="2">
      <c r="A173" s="18" t="s">
        <v>217</v>
      </c>
      <c r="B173" s="15" t="s">
        <v>218</v>
      </c>
      <c r="C173" s="15" t="s">
        <v>219</v>
      </c>
      <c r="D173" s="14" t="s">
        <v>220</v>
      </c>
      <c r="E173" s="15" t="s">
        <v>221</v>
      </c>
      <c r="F173" s="14" t="s">
        <v>222</v>
      </c>
      <c r="G173" s="15" t="s">
        <v>23</v>
      </c>
      <c r="H173" s="15" t="s">
        <v>1524</v>
      </c>
      <c r="I173" s="15">
        <v>201410</v>
      </c>
      <c r="J173" s="16">
        <v>70665.899999999994</v>
      </c>
      <c r="K173" s="171">
        <f t="shared" si="12"/>
        <v>8</v>
      </c>
      <c r="L173" s="17">
        <v>1.4833299999999999E-3</v>
      </c>
      <c r="M173" s="16">
        <f t="shared" si="13"/>
        <v>838.57</v>
      </c>
      <c r="N173" s="16">
        <f t="shared" si="14"/>
        <v>1257.8499999999999</v>
      </c>
      <c r="O173" s="14"/>
      <c r="P173" s="210" t="str">
        <f>VLOOKUP(C173,'WO Descriptions'!$A$5:$D$384,4,FALSE)</f>
        <v>Project Type:B</v>
      </c>
      <c r="Q173" s="210"/>
      <c r="R173" s="210"/>
    </row>
    <row r="174" spans="1:18" outlineLevel="2">
      <c r="A174" s="18" t="s">
        <v>217</v>
      </c>
      <c r="B174" s="15" t="s">
        <v>218</v>
      </c>
      <c r="C174" s="15" t="s">
        <v>219</v>
      </c>
      <c r="D174" s="14" t="s">
        <v>220</v>
      </c>
      <c r="E174" s="15" t="s">
        <v>221</v>
      </c>
      <c r="F174" s="14" t="s">
        <v>222</v>
      </c>
      <c r="G174" s="15" t="s">
        <v>23</v>
      </c>
      <c r="H174" s="15" t="s">
        <v>1524</v>
      </c>
      <c r="I174" s="15">
        <v>201411</v>
      </c>
      <c r="J174" s="16">
        <v>63472.43</v>
      </c>
      <c r="K174" s="171">
        <f t="shared" si="12"/>
        <v>7</v>
      </c>
      <c r="L174" s="17">
        <v>1.4833299999999999E-3</v>
      </c>
      <c r="M174" s="16">
        <f t="shared" si="13"/>
        <v>659.05</v>
      </c>
      <c r="N174" s="16">
        <f t="shared" si="14"/>
        <v>1129.81</v>
      </c>
      <c r="O174" s="14"/>
      <c r="P174" s="210" t="str">
        <f>VLOOKUP(C174,'WO Descriptions'!$A$5:$D$384,4,FALSE)</f>
        <v>Project Type:B</v>
      </c>
      <c r="Q174" s="210"/>
      <c r="R174" s="210"/>
    </row>
    <row r="175" spans="1:18" outlineLevel="2">
      <c r="A175" s="14" t="s">
        <v>217</v>
      </c>
      <c r="B175" s="15" t="s">
        <v>218</v>
      </c>
      <c r="C175" s="15" t="s">
        <v>219</v>
      </c>
      <c r="D175" s="14" t="s">
        <v>220</v>
      </c>
      <c r="E175" s="15" t="s">
        <v>221</v>
      </c>
      <c r="F175" s="14" t="s">
        <v>222</v>
      </c>
      <c r="G175" s="15" t="s">
        <v>23</v>
      </c>
      <c r="H175" s="15" t="s">
        <v>1524</v>
      </c>
      <c r="I175" s="15">
        <v>201412</v>
      </c>
      <c r="J175" s="16">
        <v>30904.42</v>
      </c>
      <c r="K175" s="171">
        <f t="shared" si="12"/>
        <v>6</v>
      </c>
      <c r="L175" s="17">
        <v>1.4833299999999999E-3</v>
      </c>
      <c r="M175" s="16">
        <f t="shared" si="13"/>
        <v>275.05</v>
      </c>
      <c r="N175" s="16">
        <f t="shared" si="14"/>
        <v>550.1</v>
      </c>
      <c r="O175" s="14"/>
      <c r="P175" s="210" t="str">
        <f>VLOOKUP(C175,'WO Descriptions'!$A$5:$D$384,4,FALSE)</f>
        <v>Project Type:B</v>
      </c>
      <c r="Q175" s="210"/>
      <c r="R175" s="210"/>
    </row>
    <row r="176" spans="1:18" outlineLevel="2">
      <c r="A176" s="14" t="s">
        <v>217</v>
      </c>
      <c r="B176" s="15" t="s">
        <v>218</v>
      </c>
      <c r="C176" s="15" t="s">
        <v>219</v>
      </c>
      <c r="D176" s="14" t="s">
        <v>220</v>
      </c>
      <c r="E176" s="15" t="s">
        <v>221</v>
      </c>
      <c r="F176" s="14" t="s">
        <v>222</v>
      </c>
      <c r="G176" s="15" t="s">
        <v>23</v>
      </c>
      <c r="H176" s="15" t="s">
        <v>1524</v>
      </c>
      <c r="I176" s="15">
        <v>201501</v>
      </c>
      <c r="J176" s="16">
        <v>45692.63</v>
      </c>
      <c r="K176" s="171">
        <f t="shared" si="12"/>
        <v>5</v>
      </c>
      <c r="L176" s="17">
        <v>1.4833299999999999E-3</v>
      </c>
      <c r="M176" s="16">
        <f t="shared" si="13"/>
        <v>338.89</v>
      </c>
      <c r="N176" s="16">
        <f t="shared" si="14"/>
        <v>813.33</v>
      </c>
      <c r="O176" s="14"/>
      <c r="P176" s="210" t="str">
        <f>VLOOKUP(C176,'WO Descriptions'!$A$5:$D$384,4,FALSE)</f>
        <v>Project Type:B</v>
      </c>
      <c r="Q176" s="210"/>
      <c r="R176" s="210"/>
    </row>
    <row r="177" spans="1:18" outlineLevel="2">
      <c r="A177" s="14" t="s">
        <v>217</v>
      </c>
      <c r="B177" s="15" t="s">
        <v>218</v>
      </c>
      <c r="C177" s="15" t="s">
        <v>219</v>
      </c>
      <c r="D177" s="14" t="s">
        <v>220</v>
      </c>
      <c r="E177" s="15" t="s">
        <v>221</v>
      </c>
      <c r="F177" s="14" t="s">
        <v>222</v>
      </c>
      <c r="G177" s="15" t="s">
        <v>23</v>
      </c>
      <c r="H177" s="15" t="s">
        <v>1524</v>
      </c>
      <c r="I177" s="15">
        <v>201502</v>
      </c>
      <c r="J177" s="16">
        <v>56481.21</v>
      </c>
      <c r="K177" s="171">
        <f t="shared" si="12"/>
        <v>4</v>
      </c>
      <c r="L177" s="17">
        <v>1.4833299999999999E-3</v>
      </c>
      <c r="M177" s="16">
        <f t="shared" si="13"/>
        <v>335.12</v>
      </c>
      <c r="N177" s="16">
        <f t="shared" si="14"/>
        <v>1005.36</v>
      </c>
      <c r="O177" s="14"/>
      <c r="P177" s="210" t="str">
        <f>VLOOKUP(C177,'WO Descriptions'!$A$5:$D$384,4,FALSE)</f>
        <v>Project Type:B</v>
      </c>
      <c r="Q177" s="210"/>
      <c r="R177" s="210"/>
    </row>
    <row r="178" spans="1:18" outlineLevel="1">
      <c r="A178" s="223"/>
      <c r="B178" s="250"/>
      <c r="C178" s="254" t="s">
        <v>1807</v>
      </c>
      <c r="D178" s="223"/>
      <c r="E178" s="250"/>
      <c r="F178" s="223"/>
      <c r="G178" s="250"/>
      <c r="H178" s="250"/>
      <c r="I178" s="250"/>
      <c r="J178" s="251">
        <f>SUBTOTAL(9,J172:J177)</f>
        <v>387633.85</v>
      </c>
      <c r="K178" s="252"/>
      <c r="L178" s="253"/>
      <c r="M178" s="251">
        <f>SUBTOTAL(9,M172:M177)</f>
        <v>4054.2499999999995</v>
      </c>
      <c r="N178" s="251">
        <f>SUBTOTAL(9,N172:N177)</f>
        <v>6899.87</v>
      </c>
      <c r="O178" s="223"/>
      <c r="P178" s="210"/>
      <c r="Q178" s="210" t="str">
        <f>VLOOKUP(C178,'Descriptions Sorted by WO '!$A$5:$S$977,18,FALSE)</f>
        <v>393.1009 (5) (a), (b)</v>
      </c>
      <c r="R178" s="210" t="str">
        <f>VLOOKUP(C178,'Descriptions Sorted by WO '!$A$5:$S$977,19,FALSE)</f>
        <v>A, B, C, I</v>
      </c>
    </row>
    <row r="179" spans="1:18" ht="30" outlineLevel="2">
      <c r="A179" s="211" t="s">
        <v>66</v>
      </c>
      <c r="B179" s="212" t="s">
        <v>223</v>
      </c>
      <c r="C179" s="212" t="s">
        <v>224</v>
      </c>
      <c r="D179" s="211" t="s">
        <v>88</v>
      </c>
      <c r="E179" s="212" t="s">
        <v>225</v>
      </c>
      <c r="F179" s="211" t="s">
        <v>85</v>
      </c>
      <c r="G179" s="212" t="s">
        <v>23</v>
      </c>
      <c r="H179" s="212" t="s">
        <v>1530</v>
      </c>
      <c r="I179" s="212">
        <v>201409</v>
      </c>
      <c r="J179" s="213">
        <v>6250.26</v>
      </c>
      <c r="K179" s="171">
        <f>VLOOKUP(I179,$T$9:$U$23,2)</f>
        <v>9</v>
      </c>
      <c r="L179" s="214">
        <v>2.23333E-3</v>
      </c>
      <c r="M179" s="213">
        <f>ROUND(J179*K179*L179,2)</f>
        <v>125.63</v>
      </c>
      <c r="N179" s="213">
        <f>ROUND(J179*L179*12,2)</f>
        <v>167.51</v>
      </c>
      <c r="O179" s="14"/>
      <c r="P179" s="210" t="str">
        <f>VLOOKUP(C179,'WO Descriptions'!$A$5:$D$384,4,FALSE)</f>
        <v>Service/Yard Line Replacement (SLRP): Contract Crew.  Block by Block - Planned replacement of all unprotected steel or copper in a single block.  (Joplin - South Region)</v>
      </c>
      <c r="Q179" s="210"/>
      <c r="R179" s="210"/>
    </row>
    <row r="180" spans="1:18" ht="30" outlineLevel="2">
      <c r="A180" s="211" t="s">
        <v>66</v>
      </c>
      <c r="B180" s="212" t="s">
        <v>223</v>
      </c>
      <c r="C180" s="212" t="s">
        <v>224</v>
      </c>
      <c r="D180" s="211" t="s">
        <v>88</v>
      </c>
      <c r="E180" s="212" t="s">
        <v>225</v>
      </c>
      <c r="F180" s="211" t="s">
        <v>85</v>
      </c>
      <c r="G180" s="212" t="s">
        <v>23</v>
      </c>
      <c r="H180" s="212" t="s">
        <v>1530</v>
      </c>
      <c r="I180" s="212">
        <v>201411</v>
      </c>
      <c r="J180" s="213">
        <v>-864.28</v>
      </c>
      <c r="K180" s="171">
        <f>VLOOKUP(I180,$T$9:$U$23,2)</f>
        <v>7</v>
      </c>
      <c r="L180" s="214">
        <v>2.23333E-3</v>
      </c>
      <c r="M180" s="213">
        <f>ROUND(J180*K180*L180,2)</f>
        <v>-13.51</v>
      </c>
      <c r="N180" s="213">
        <f>ROUND(J180*L180*12,2)</f>
        <v>-23.16</v>
      </c>
      <c r="O180" s="14"/>
      <c r="P180" s="210" t="str">
        <f>VLOOKUP(C180,'WO Descriptions'!$A$5:$D$384,4,FALSE)</f>
        <v>Service/Yard Line Replacement (SLRP): Contract Crew.  Block by Block - Planned replacement of all unprotected steel or copper in a single block.  (Joplin - South Region)</v>
      </c>
      <c r="Q180" s="210"/>
      <c r="R180" s="210"/>
    </row>
    <row r="181" spans="1:18" ht="30" outlineLevel="2">
      <c r="A181" s="211" t="s">
        <v>66</v>
      </c>
      <c r="B181" s="212" t="s">
        <v>223</v>
      </c>
      <c r="C181" s="212" t="s">
        <v>224</v>
      </c>
      <c r="D181" s="211" t="s">
        <v>88</v>
      </c>
      <c r="E181" s="212" t="s">
        <v>225</v>
      </c>
      <c r="F181" s="211" t="s">
        <v>85</v>
      </c>
      <c r="G181" s="212" t="s">
        <v>23</v>
      </c>
      <c r="H181" s="212" t="s">
        <v>1530</v>
      </c>
      <c r="I181" s="212">
        <v>201412</v>
      </c>
      <c r="J181" s="213">
        <v>18.05</v>
      </c>
      <c r="K181" s="171">
        <f>VLOOKUP(I181,$T$9:$U$23,2)</f>
        <v>6</v>
      </c>
      <c r="L181" s="214">
        <v>2.23333E-3</v>
      </c>
      <c r="M181" s="213">
        <f>ROUND(J181*K181*L181,2)</f>
        <v>0.24</v>
      </c>
      <c r="N181" s="213">
        <f>ROUND(J181*L181*12,2)</f>
        <v>0.48</v>
      </c>
      <c r="O181" s="14"/>
      <c r="P181" s="210" t="str">
        <f>VLOOKUP(C181,'WO Descriptions'!$A$5:$D$384,4,FALSE)</f>
        <v>Service/Yard Line Replacement (SLRP): Contract Crew.  Block by Block - Planned replacement of all unprotected steel or copper in a single block.  (Joplin - South Region)</v>
      </c>
      <c r="Q181" s="210"/>
      <c r="R181" s="210"/>
    </row>
    <row r="182" spans="1:18" ht="30" outlineLevel="2">
      <c r="A182" s="14" t="s">
        <v>66</v>
      </c>
      <c r="B182" s="15" t="s">
        <v>223</v>
      </c>
      <c r="C182" s="15" t="s">
        <v>224</v>
      </c>
      <c r="D182" s="14" t="s">
        <v>88</v>
      </c>
      <c r="E182" s="15" t="s">
        <v>225</v>
      </c>
      <c r="F182" s="14" t="s">
        <v>85</v>
      </c>
      <c r="G182" s="15" t="s">
        <v>23</v>
      </c>
      <c r="H182" s="15" t="s">
        <v>1530</v>
      </c>
      <c r="I182" s="15">
        <v>201501</v>
      </c>
      <c r="J182" s="16">
        <v>33.119999999999997</v>
      </c>
      <c r="K182" s="171">
        <f>VLOOKUP(I182,$T$9:$U$23,2)</f>
        <v>5</v>
      </c>
      <c r="L182" s="17">
        <v>2.23333E-3</v>
      </c>
      <c r="M182" s="16">
        <f>ROUND(J182*K182*L182,2)</f>
        <v>0.37</v>
      </c>
      <c r="N182" s="16">
        <f>ROUND(J182*L182*12,2)</f>
        <v>0.89</v>
      </c>
      <c r="O182" s="14"/>
      <c r="P182" s="210" t="str">
        <f>VLOOKUP(C182,'WO Descriptions'!$A$5:$D$384,4,FALSE)</f>
        <v>Service/Yard Line Replacement (SLRP): Contract Crew.  Block by Block - Planned replacement of all unprotected steel or copper in a single block.  (Joplin - South Region)</v>
      </c>
      <c r="Q182" s="210"/>
      <c r="R182" s="210"/>
    </row>
    <row r="183" spans="1:18" ht="30" outlineLevel="2">
      <c r="A183" s="14" t="s">
        <v>66</v>
      </c>
      <c r="B183" s="15" t="s">
        <v>223</v>
      </c>
      <c r="C183" s="15" t="s">
        <v>224</v>
      </c>
      <c r="D183" s="14" t="s">
        <v>88</v>
      </c>
      <c r="E183" s="15" t="s">
        <v>225</v>
      </c>
      <c r="F183" s="14" t="s">
        <v>85</v>
      </c>
      <c r="G183" s="15" t="s">
        <v>23</v>
      </c>
      <c r="H183" s="15" t="s">
        <v>1530</v>
      </c>
      <c r="I183" s="15">
        <v>201502</v>
      </c>
      <c r="J183" s="16">
        <v>780.81</v>
      </c>
      <c r="K183" s="171">
        <f>VLOOKUP(I183,$T$9:$U$23,2)</f>
        <v>4</v>
      </c>
      <c r="L183" s="17">
        <v>2.23333E-3</v>
      </c>
      <c r="M183" s="16">
        <f>ROUND(J183*K183*L183,2)</f>
        <v>6.98</v>
      </c>
      <c r="N183" s="16">
        <f>ROUND(J183*L183*12,2)</f>
        <v>20.93</v>
      </c>
      <c r="O183" s="14"/>
      <c r="P183" s="210" t="str">
        <f>VLOOKUP(C183,'WO Descriptions'!$A$5:$D$384,4,FALSE)</f>
        <v>Service/Yard Line Replacement (SLRP): Contract Crew.  Block by Block - Planned replacement of all unprotected steel or copper in a single block.  (Joplin - South Region)</v>
      </c>
      <c r="Q183" s="210"/>
      <c r="R183" s="210"/>
    </row>
    <row r="184" spans="1:18" outlineLevel="1">
      <c r="A184" s="223"/>
      <c r="B184" s="250"/>
      <c r="C184" s="254" t="s">
        <v>1808</v>
      </c>
      <c r="D184" s="223"/>
      <c r="E184" s="250"/>
      <c r="F184" s="223"/>
      <c r="G184" s="250"/>
      <c r="H184" s="250"/>
      <c r="I184" s="250"/>
      <c r="J184" s="251">
        <f>SUBTOTAL(9,J179:J183)</f>
        <v>6217.9600000000009</v>
      </c>
      <c r="K184" s="252"/>
      <c r="L184" s="253"/>
      <c r="M184" s="251">
        <f>SUBTOTAL(9,M179:M183)</f>
        <v>119.71</v>
      </c>
      <c r="N184" s="251">
        <f>SUBTOTAL(9,N179:N183)</f>
        <v>166.64999999999998</v>
      </c>
      <c r="O184" s="223"/>
      <c r="P184" s="210"/>
      <c r="Q184" s="210" t="str">
        <f>VLOOKUP(C184,'Descriptions Sorted by WO '!$A$5:$S$977,18,FALSE)</f>
        <v>393.1009 (5) (a) (b)</v>
      </c>
      <c r="R184" s="210" t="str">
        <f>VLOOKUP(C184,'Descriptions Sorted by WO '!$A$5:$S$977,19,FALSE)</f>
        <v>A,B,C,I</v>
      </c>
    </row>
    <row r="185" spans="1:18" ht="30" outlineLevel="2">
      <c r="A185" s="211" t="s">
        <v>1584</v>
      </c>
      <c r="B185" s="212" t="s">
        <v>1598</v>
      </c>
      <c r="C185" s="212" t="s">
        <v>1599</v>
      </c>
      <c r="D185" s="211" t="s">
        <v>1600</v>
      </c>
      <c r="E185" s="212" t="s">
        <v>1601</v>
      </c>
      <c r="F185" s="211" t="s">
        <v>1590</v>
      </c>
      <c r="G185" s="212" t="s">
        <v>23</v>
      </c>
      <c r="H185" s="212" t="s">
        <v>1530</v>
      </c>
      <c r="I185" s="212">
        <v>201409</v>
      </c>
      <c r="J185" s="213">
        <v>34733.839999999997</v>
      </c>
      <c r="K185" s="171">
        <f>VLOOKUP(I185,$T$9:$U$23,2)</f>
        <v>9</v>
      </c>
      <c r="L185" s="214">
        <v>2.0333333000000001E-3</v>
      </c>
      <c r="M185" s="213">
        <f>ROUND(J185*K185*L185,2)</f>
        <v>635.63</v>
      </c>
      <c r="N185" s="213">
        <f>ROUND(J185*L185*12,2)</f>
        <v>847.51</v>
      </c>
      <c r="O185" s="14"/>
      <c r="P185" s="210" t="str">
        <f>VLOOKUP(C185,'WO Descriptions'!$A$5:$D$384,4,FALSE)</f>
        <v>Service/Yard Line Replacement (SLRP): Contract Crew.  Rebuild meter/regulator setting (exclude regulator) (Kansas City - Central Region).</v>
      </c>
      <c r="Q185" s="210"/>
      <c r="R185" s="210"/>
    </row>
    <row r="186" spans="1:18" ht="30" outlineLevel="2">
      <c r="A186" s="211" t="s">
        <v>1584</v>
      </c>
      <c r="B186" s="212" t="s">
        <v>1598</v>
      </c>
      <c r="C186" s="212" t="s">
        <v>1599</v>
      </c>
      <c r="D186" s="211" t="s">
        <v>1600</v>
      </c>
      <c r="E186" s="212" t="s">
        <v>1601</v>
      </c>
      <c r="F186" s="211" t="s">
        <v>1590</v>
      </c>
      <c r="G186" s="212" t="s">
        <v>23</v>
      </c>
      <c r="H186" s="212" t="s">
        <v>1530</v>
      </c>
      <c r="I186" s="212">
        <v>201410</v>
      </c>
      <c r="J186" s="213">
        <v>8169.02</v>
      </c>
      <c r="K186" s="171">
        <f>VLOOKUP(I186,$T$9:$U$23,2)</f>
        <v>8</v>
      </c>
      <c r="L186" s="214">
        <v>2.0333333000000001E-3</v>
      </c>
      <c r="M186" s="213">
        <f>ROUND(J186*K186*L186,2)</f>
        <v>132.88</v>
      </c>
      <c r="N186" s="213">
        <f>ROUND(J186*L186*12,2)</f>
        <v>199.32</v>
      </c>
      <c r="O186" s="14"/>
      <c r="P186" s="210" t="str">
        <f>VLOOKUP(C186,'WO Descriptions'!$A$5:$D$384,4,FALSE)</f>
        <v>Service/Yard Line Replacement (SLRP): Contract Crew.  Rebuild meter/regulator setting (exclude regulator) (Kansas City - Central Region).</v>
      </c>
      <c r="Q186" s="210"/>
      <c r="R186" s="210"/>
    </row>
    <row r="187" spans="1:18" ht="30" outlineLevel="2">
      <c r="A187" s="211" t="s">
        <v>1584</v>
      </c>
      <c r="B187" s="212" t="s">
        <v>1598</v>
      </c>
      <c r="C187" s="212" t="s">
        <v>1599</v>
      </c>
      <c r="D187" s="211" t="s">
        <v>1600</v>
      </c>
      <c r="E187" s="212" t="s">
        <v>1601</v>
      </c>
      <c r="F187" s="211" t="s">
        <v>1590</v>
      </c>
      <c r="G187" s="212" t="s">
        <v>23</v>
      </c>
      <c r="H187" s="212" t="s">
        <v>1530</v>
      </c>
      <c r="I187" s="212">
        <v>201411</v>
      </c>
      <c r="J187" s="213">
        <v>7279.43</v>
      </c>
      <c r="K187" s="171">
        <f>VLOOKUP(I187,$T$9:$U$23,2)</f>
        <v>7</v>
      </c>
      <c r="L187" s="214">
        <v>2.0333333000000001E-3</v>
      </c>
      <c r="M187" s="213">
        <f>ROUND(J187*K187*L187,2)</f>
        <v>103.61</v>
      </c>
      <c r="N187" s="213">
        <f>ROUND(J187*L187*12,2)</f>
        <v>177.62</v>
      </c>
      <c r="O187" s="14"/>
      <c r="P187" s="210" t="str">
        <f>VLOOKUP(C187,'WO Descriptions'!$A$5:$D$384,4,FALSE)</f>
        <v>Service/Yard Line Replacement (SLRP): Contract Crew.  Rebuild meter/regulator setting (exclude regulator) (Kansas City - Central Region).</v>
      </c>
      <c r="Q187" s="210"/>
      <c r="R187" s="210"/>
    </row>
    <row r="188" spans="1:18" ht="30" outlineLevel="2">
      <c r="A188" s="211" t="s">
        <v>1584</v>
      </c>
      <c r="B188" s="212" t="s">
        <v>1598</v>
      </c>
      <c r="C188" s="212" t="s">
        <v>1599</v>
      </c>
      <c r="D188" s="211" t="s">
        <v>1600</v>
      </c>
      <c r="E188" s="212" t="s">
        <v>1601</v>
      </c>
      <c r="F188" s="211" t="s">
        <v>1590</v>
      </c>
      <c r="G188" s="212" t="s">
        <v>23</v>
      </c>
      <c r="H188" s="212" t="s">
        <v>1530</v>
      </c>
      <c r="I188" s="212">
        <v>201412</v>
      </c>
      <c r="J188" s="213">
        <v>23241.21</v>
      </c>
      <c r="K188" s="171">
        <f>VLOOKUP(I188,$T$9:$U$23,2)</f>
        <v>6</v>
      </c>
      <c r="L188" s="214">
        <v>2.0333333000000001E-3</v>
      </c>
      <c r="M188" s="213">
        <f>ROUND(J188*K188*L188,2)</f>
        <v>283.54000000000002</v>
      </c>
      <c r="N188" s="213">
        <f>ROUND(J188*L188*12,2)</f>
        <v>567.09</v>
      </c>
      <c r="O188" s="14"/>
      <c r="P188" s="210" t="str">
        <f>VLOOKUP(C188,'WO Descriptions'!$A$5:$D$384,4,FALSE)</f>
        <v>Service/Yard Line Replacement (SLRP): Contract Crew.  Rebuild meter/regulator setting (exclude regulator) (Kansas City - Central Region).</v>
      </c>
      <c r="Q188" s="210"/>
      <c r="R188" s="210"/>
    </row>
    <row r="189" spans="1:18" ht="30" outlineLevel="2">
      <c r="A189" s="14" t="s">
        <v>1584</v>
      </c>
      <c r="B189" s="15" t="s">
        <v>1598</v>
      </c>
      <c r="C189" s="15" t="s">
        <v>1599</v>
      </c>
      <c r="D189" s="14" t="s">
        <v>1600</v>
      </c>
      <c r="E189" s="15" t="s">
        <v>1601</v>
      </c>
      <c r="F189" s="14" t="s">
        <v>1590</v>
      </c>
      <c r="G189" s="15" t="s">
        <v>23</v>
      </c>
      <c r="H189" s="15" t="s">
        <v>1530</v>
      </c>
      <c r="I189" s="15">
        <v>201501</v>
      </c>
      <c r="J189" s="16">
        <v>-1490</v>
      </c>
      <c r="K189" s="171">
        <f>VLOOKUP(I189,$T$9:$U$23,2)</f>
        <v>5</v>
      </c>
      <c r="L189" s="17">
        <v>2.0333333000000001E-3</v>
      </c>
      <c r="M189" s="16">
        <f>ROUND(J189*K189*L189,2)</f>
        <v>-15.15</v>
      </c>
      <c r="N189" s="16">
        <f>ROUND(J189*L189*12,2)</f>
        <v>-36.36</v>
      </c>
      <c r="O189" s="14"/>
      <c r="P189" s="210" t="str">
        <f>VLOOKUP(C189,'WO Descriptions'!$A$5:$D$384,4,FALSE)</f>
        <v>Service/Yard Line Replacement (SLRP): Contract Crew.  Rebuild meter/regulator setting (exclude regulator) (Kansas City - Central Region).</v>
      </c>
      <c r="Q189" s="210"/>
      <c r="R189" s="210"/>
    </row>
    <row r="190" spans="1:18" outlineLevel="1">
      <c r="A190" s="223"/>
      <c r="B190" s="250"/>
      <c r="C190" s="254" t="s">
        <v>1809</v>
      </c>
      <c r="D190" s="223"/>
      <c r="E190" s="250"/>
      <c r="F190" s="223"/>
      <c r="G190" s="250"/>
      <c r="H190" s="250"/>
      <c r="I190" s="250"/>
      <c r="J190" s="251">
        <f>SUBTOTAL(9,J185:J189)</f>
        <v>71933.5</v>
      </c>
      <c r="K190" s="252"/>
      <c r="L190" s="253"/>
      <c r="M190" s="251">
        <f>SUBTOTAL(9,M185:M189)</f>
        <v>1140.51</v>
      </c>
      <c r="N190" s="251">
        <f>SUBTOTAL(9,N185:N189)</f>
        <v>1755.18</v>
      </c>
      <c r="O190" s="223"/>
      <c r="P190" s="210"/>
      <c r="Q190" s="210" t="str">
        <f>VLOOKUP(C190,'Descriptions Sorted by WO '!$A$5:$S$977,18,FALSE)</f>
        <v>393.1009 (5) (a) (b)</v>
      </c>
      <c r="R190" s="210" t="str">
        <f>VLOOKUP(C190,'Descriptions Sorted by WO '!$A$5:$S$977,19,FALSE)</f>
        <v>A,B,C,I</v>
      </c>
    </row>
    <row r="191" spans="1:18" ht="30" outlineLevel="2">
      <c r="A191" s="211" t="s">
        <v>66</v>
      </c>
      <c r="B191" s="212" t="s">
        <v>226</v>
      </c>
      <c r="C191" s="212" t="s">
        <v>227</v>
      </c>
      <c r="D191" s="211" t="s">
        <v>78</v>
      </c>
      <c r="E191" s="212" t="s">
        <v>228</v>
      </c>
      <c r="F191" s="211" t="s">
        <v>80</v>
      </c>
      <c r="G191" s="212" t="s">
        <v>23</v>
      </c>
      <c r="H191" s="212" t="s">
        <v>1530</v>
      </c>
      <c r="I191" s="212">
        <v>201409</v>
      </c>
      <c r="J191" s="213">
        <v>16732.5</v>
      </c>
      <c r="K191" s="171">
        <f t="shared" ref="K191:K196" si="15">VLOOKUP(I191,$T$9:$U$23,2)</f>
        <v>9</v>
      </c>
      <c r="L191" s="214">
        <v>2.23333E-3</v>
      </c>
      <c r="M191" s="213">
        <f t="shared" ref="M191:M196" si="16">ROUND(J191*K191*L191,2)</f>
        <v>336.32</v>
      </c>
      <c r="N191" s="213">
        <f t="shared" ref="N191:N196" si="17">ROUND(J191*L191*12,2)</f>
        <v>448.43</v>
      </c>
      <c r="O191" s="14"/>
      <c r="P191" s="210" t="str">
        <f>VLOOKUP(C191,'WO Descriptions'!$A$5:$D$384,4,FALSE)</f>
        <v>Service/Yard Line Replacement (SLRP): Company Crew.  Modified Block by Block - Planned replacement of all unprotected steel or copper in a single block.  (Joplin - South Region)</v>
      </c>
      <c r="Q191" s="210"/>
      <c r="R191" s="210"/>
    </row>
    <row r="192" spans="1:18" ht="30" outlineLevel="2">
      <c r="A192" s="211" t="s">
        <v>66</v>
      </c>
      <c r="B192" s="212" t="s">
        <v>226</v>
      </c>
      <c r="C192" s="212" t="s">
        <v>227</v>
      </c>
      <c r="D192" s="211" t="s">
        <v>78</v>
      </c>
      <c r="E192" s="212" t="s">
        <v>228</v>
      </c>
      <c r="F192" s="211" t="s">
        <v>80</v>
      </c>
      <c r="G192" s="212" t="s">
        <v>23</v>
      </c>
      <c r="H192" s="212" t="s">
        <v>1530</v>
      </c>
      <c r="I192" s="212">
        <v>201410</v>
      </c>
      <c r="J192" s="213">
        <v>955.76</v>
      </c>
      <c r="K192" s="171">
        <f t="shared" si="15"/>
        <v>8</v>
      </c>
      <c r="L192" s="214">
        <v>2.23333E-3</v>
      </c>
      <c r="M192" s="213">
        <f t="shared" si="16"/>
        <v>17.079999999999998</v>
      </c>
      <c r="N192" s="213">
        <f t="shared" si="17"/>
        <v>25.61</v>
      </c>
      <c r="O192" s="14"/>
      <c r="P192" s="210" t="str">
        <f>VLOOKUP(C192,'WO Descriptions'!$A$5:$D$384,4,FALSE)</f>
        <v>Service/Yard Line Replacement (SLRP): Company Crew.  Modified Block by Block - Planned replacement of all unprotected steel or copper in a single block.  (Joplin - South Region)</v>
      </c>
      <c r="Q192" s="210"/>
      <c r="R192" s="210"/>
    </row>
    <row r="193" spans="1:18" ht="30" outlineLevel="2">
      <c r="A193" s="211" t="s">
        <v>66</v>
      </c>
      <c r="B193" s="212" t="s">
        <v>226</v>
      </c>
      <c r="C193" s="212" t="s">
        <v>227</v>
      </c>
      <c r="D193" s="211" t="s">
        <v>78</v>
      </c>
      <c r="E193" s="212" t="s">
        <v>228</v>
      </c>
      <c r="F193" s="211" t="s">
        <v>80</v>
      </c>
      <c r="G193" s="212" t="s">
        <v>23</v>
      </c>
      <c r="H193" s="212" t="s">
        <v>1530</v>
      </c>
      <c r="I193" s="212">
        <v>201411</v>
      </c>
      <c r="J193" s="213">
        <v>-783.88</v>
      </c>
      <c r="K193" s="171">
        <f t="shared" si="15"/>
        <v>7</v>
      </c>
      <c r="L193" s="214">
        <v>2.23333E-3</v>
      </c>
      <c r="M193" s="213">
        <f t="shared" si="16"/>
        <v>-12.25</v>
      </c>
      <c r="N193" s="213">
        <f t="shared" si="17"/>
        <v>-21.01</v>
      </c>
      <c r="O193" s="14"/>
      <c r="P193" s="210" t="str">
        <f>VLOOKUP(C193,'WO Descriptions'!$A$5:$D$384,4,FALSE)</f>
        <v>Service/Yard Line Replacement (SLRP): Company Crew.  Modified Block by Block - Planned replacement of all unprotected steel or copper in a single block.  (Joplin - South Region)</v>
      </c>
      <c r="Q193" s="210"/>
      <c r="R193" s="210"/>
    </row>
    <row r="194" spans="1:18" ht="30" outlineLevel="2">
      <c r="A194" s="211" t="s">
        <v>66</v>
      </c>
      <c r="B194" s="212" t="s">
        <v>226</v>
      </c>
      <c r="C194" s="212" t="s">
        <v>227</v>
      </c>
      <c r="D194" s="211" t="s">
        <v>78</v>
      </c>
      <c r="E194" s="212" t="s">
        <v>228</v>
      </c>
      <c r="F194" s="211" t="s">
        <v>80</v>
      </c>
      <c r="G194" s="212" t="s">
        <v>23</v>
      </c>
      <c r="H194" s="212" t="s">
        <v>1530</v>
      </c>
      <c r="I194" s="212">
        <v>201412</v>
      </c>
      <c r="J194" s="213">
        <v>148.91</v>
      </c>
      <c r="K194" s="171">
        <f t="shared" si="15"/>
        <v>6</v>
      </c>
      <c r="L194" s="214">
        <v>2.23333E-3</v>
      </c>
      <c r="M194" s="213">
        <f t="shared" si="16"/>
        <v>2</v>
      </c>
      <c r="N194" s="213">
        <f t="shared" si="17"/>
        <v>3.99</v>
      </c>
      <c r="O194" s="14"/>
      <c r="P194" s="210" t="str">
        <f>VLOOKUP(C194,'WO Descriptions'!$A$5:$D$384,4,FALSE)</f>
        <v>Service/Yard Line Replacement (SLRP): Company Crew.  Modified Block by Block - Planned replacement of all unprotected steel or copper in a single block.  (Joplin - South Region)</v>
      </c>
      <c r="Q194" s="210"/>
      <c r="R194" s="210"/>
    </row>
    <row r="195" spans="1:18" ht="30" outlineLevel="2">
      <c r="A195" s="14" t="s">
        <v>66</v>
      </c>
      <c r="B195" s="15" t="s">
        <v>226</v>
      </c>
      <c r="C195" s="15" t="s">
        <v>227</v>
      </c>
      <c r="D195" s="14" t="s">
        <v>78</v>
      </c>
      <c r="E195" s="15" t="s">
        <v>228</v>
      </c>
      <c r="F195" s="14" t="s">
        <v>80</v>
      </c>
      <c r="G195" s="15" t="s">
        <v>23</v>
      </c>
      <c r="H195" s="15" t="s">
        <v>1530</v>
      </c>
      <c r="I195" s="15">
        <v>201501</v>
      </c>
      <c r="J195" s="16">
        <v>17.399999999999999</v>
      </c>
      <c r="K195" s="171">
        <f t="shared" si="15"/>
        <v>5</v>
      </c>
      <c r="L195" s="17">
        <v>2.23333E-3</v>
      </c>
      <c r="M195" s="16">
        <f t="shared" si="16"/>
        <v>0.19</v>
      </c>
      <c r="N195" s="16">
        <f t="shared" si="17"/>
        <v>0.47</v>
      </c>
      <c r="O195" s="14"/>
      <c r="P195" s="210" t="str">
        <f>VLOOKUP(C195,'WO Descriptions'!$A$5:$D$384,4,FALSE)</f>
        <v>Service/Yard Line Replacement (SLRP): Company Crew.  Modified Block by Block - Planned replacement of all unprotected steel or copper in a single block.  (Joplin - South Region)</v>
      </c>
      <c r="Q195" s="210"/>
      <c r="R195" s="210"/>
    </row>
    <row r="196" spans="1:18" ht="30" outlineLevel="2">
      <c r="A196" s="14" t="s">
        <v>66</v>
      </c>
      <c r="B196" s="15" t="s">
        <v>226</v>
      </c>
      <c r="C196" s="15" t="s">
        <v>227</v>
      </c>
      <c r="D196" s="14" t="s">
        <v>78</v>
      </c>
      <c r="E196" s="15" t="s">
        <v>228</v>
      </c>
      <c r="F196" s="14" t="s">
        <v>80</v>
      </c>
      <c r="G196" s="15" t="s">
        <v>23</v>
      </c>
      <c r="H196" s="15" t="s">
        <v>1530</v>
      </c>
      <c r="I196" s="15">
        <v>201502</v>
      </c>
      <c r="J196" s="16">
        <v>-31.08</v>
      </c>
      <c r="K196" s="171">
        <f t="shared" si="15"/>
        <v>4</v>
      </c>
      <c r="L196" s="17">
        <v>2.23333E-3</v>
      </c>
      <c r="M196" s="16">
        <f t="shared" si="16"/>
        <v>-0.28000000000000003</v>
      </c>
      <c r="N196" s="16">
        <f t="shared" si="17"/>
        <v>-0.83</v>
      </c>
      <c r="O196" s="14"/>
      <c r="P196" s="210" t="str">
        <f>VLOOKUP(C196,'WO Descriptions'!$A$5:$D$384,4,FALSE)</f>
        <v>Service/Yard Line Replacement (SLRP): Company Crew.  Modified Block by Block - Planned replacement of all unprotected steel or copper in a single block.  (Joplin - South Region)</v>
      </c>
      <c r="Q196" s="210"/>
      <c r="R196" s="210"/>
    </row>
    <row r="197" spans="1:18" outlineLevel="1">
      <c r="A197" s="223"/>
      <c r="B197" s="250"/>
      <c r="C197" s="254" t="s">
        <v>1810</v>
      </c>
      <c r="D197" s="223"/>
      <c r="E197" s="250"/>
      <c r="F197" s="223"/>
      <c r="G197" s="250"/>
      <c r="H197" s="250"/>
      <c r="I197" s="250"/>
      <c r="J197" s="251">
        <f>SUBTOTAL(9,J191:J196)</f>
        <v>17039.609999999997</v>
      </c>
      <c r="K197" s="252"/>
      <c r="L197" s="253"/>
      <c r="M197" s="251">
        <f>SUBTOTAL(9,M191:M196)</f>
        <v>343.06</v>
      </c>
      <c r="N197" s="251">
        <f>SUBTOTAL(9,N191:N196)</f>
        <v>456.66000000000008</v>
      </c>
      <c r="O197" s="223"/>
      <c r="P197" s="210"/>
      <c r="Q197" s="210" t="str">
        <f>VLOOKUP(C197,'Descriptions Sorted by WO '!$A$5:$S$977,18,FALSE)</f>
        <v>393.1009 (5) (a) (b)</v>
      </c>
      <c r="R197" s="210" t="str">
        <f>VLOOKUP(C197,'Descriptions Sorted by WO '!$A$5:$S$977,19,FALSE)</f>
        <v>A,B,C,I</v>
      </c>
    </row>
    <row r="198" spans="1:18" ht="30" outlineLevel="2">
      <c r="A198" s="211" t="s">
        <v>66</v>
      </c>
      <c r="B198" s="212" t="s">
        <v>229</v>
      </c>
      <c r="C198" s="212" t="s">
        <v>230</v>
      </c>
      <c r="D198" s="211" t="s">
        <v>78</v>
      </c>
      <c r="E198" s="212" t="s">
        <v>231</v>
      </c>
      <c r="F198" s="211" t="s">
        <v>80</v>
      </c>
      <c r="G198" s="212" t="s">
        <v>23</v>
      </c>
      <c r="H198" s="212" t="s">
        <v>1530</v>
      </c>
      <c r="I198" s="212">
        <v>201409</v>
      </c>
      <c r="J198" s="213">
        <v>46346.59</v>
      </c>
      <c r="K198" s="171">
        <f t="shared" ref="K198:K203" si="18">VLOOKUP(I198,$T$9:$U$23,2)</f>
        <v>9</v>
      </c>
      <c r="L198" s="214">
        <v>2.23333E-3</v>
      </c>
      <c r="M198" s="213">
        <f t="shared" ref="M198:M203" si="19">ROUND(J198*K198*L198,2)</f>
        <v>931.57</v>
      </c>
      <c r="N198" s="213">
        <f t="shared" ref="N198:N203" si="20">ROUND(J198*L198*12,2)</f>
        <v>1242.0899999999999</v>
      </c>
      <c r="O198" s="14"/>
      <c r="P198" s="210" t="str">
        <f>VLOOKUP(C198,'WO Descriptions'!$A$5:$D$384,4,FALSE)</f>
        <v>Service/Yard Line Replacement (SLRP): Company Crew.  Modified Block by Block - Planned replacement of all unprotected steel or copper in a single block.  (Lee's Summit - East Region)</v>
      </c>
      <c r="Q198" s="210"/>
      <c r="R198" s="210"/>
    </row>
    <row r="199" spans="1:18" ht="30" outlineLevel="2">
      <c r="A199" s="211" t="s">
        <v>66</v>
      </c>
      <c r="B199" s="212" t="s">
        <v>229</v>
      </c>
      <c r="C199" s="212" t="s">
        <v>230</v>
      </c>
      <c r="D199" s="211" t="s">
        <v>78</v>
      </c>
      <c r="E199" s="212" t="s">
        <v>231</v>
      </c>
      <c r="F199" s="211" t="s">
        <v>80</v>
      </c>
      <c r="G199" s="212" t="s">
        <v>23</v>
      </c>
      <c r="H199" s="212" t="s">
        <v>1530</v>
      </c>
      <c r="I199" s="212">
        <v>201410</v>
      </c>
      <c r="J199" s="213">
        <v>7523.71</v>
      </c>
      <c r="K199" s="171">
        <f t="shared" si="18"/>
        <v>8</v>
      </c>
      <c r="L199" s="214">
        <v>2.23333E-3</v>
      </c>
      <c r="M199" s="213">
        <f t="shared" si="19"/>
        <v>134.41999999999999</v>
      </c>
      <c r="N199" s="213">
        <f t="shared" si="20"/>
        <v>201.64</v>
      </c>
      <c r="O199" s="14"/>
      <c r="P199" s="210" t="str">
        <f>VLOOKUP(C199,'WO Descriptions'!$A$5:$D$384,4,FALSE)</f>
        <v>Service/Yard Line Replacement (SLRP): Company Crew.  Modified Block by Block - Planned replacement of all unprotected steel or copper in a single block.  (Lee's Summit - East Region)</v>
      </c>
      <c r="Q199" s="210"/>
      <c r="R199" s="210"/>
    </row>
    <row r="200" spans="1:18" ht="30" outlineLevel="2">
      <c r="A200" s="211" t="s">
        <v>66</v>
      </c>
      <c r="B200" s="212" t="s">
        <v>229</v>
      </c>
      <c r="C200" s="212" t="s">
        <v>230</v>
      </c>
      <c r="D200" s="211" t="s">
        <v>78</v>
      </c>
      <c r="E200" s="212" t="s">
        <v>231</v>
      </c>
      <c r="F200" s="211" t="s">
        <v>80</v>
      </c>
      <c r="G200" s="212" t="s">
        <v>23</v>
      </c>
      <c r="H200" s="212" t="s">
        <v>1530</v>
      </c>
      <c r="I200" s="212">
        <v>201411</v>
      </c>
      <c r="J200" s="213">
        <v>-3450.23</v>
      </c>
      <c r="K200" s="171">
        <f t="shared" si="18"/>
        <v>7</v>
      </c>
      <c r="L200" s="214">
        <v>2.23333E-3</v>
      </c>
      <c r="M200" s="213">
        <f t="shared" si="19"/>
        <v>-53.94</v>
      </c>
      <c r="N200" s="213">
        <f t="shared" si="20"/>
        <v>-92.47</v>
      </c>
      <c r="O200" s="14"/>
      <c r="P200" s="210" t="str">
        <f>VLOOKUP(C200,'WO Descriptions'!$A$5:$D$384,4,FALSE)</f>
        <v>Service/Yard Line Replacement (SLRP): Company Crew.  Modified Block by Block - Planned replacement of all unprotected steel or copper in a single block.  (Lee's Summit - East Region)</v>
      </c>
      <c r="Q200" s="210"/>
      <c r="R200" s="210"/>
    </row>
    <row r="201" spans="1:18" ht="30" outlineLevel="2">
      <c r="A201" s="211" t="s">
        <v>66</v>
      </c>
      <c r="B201" s="212" t="s">
        <v>229</v>
      </c>
      <c r="C201" s="212" t="s">
        <v>230</v>
      </c>
      <c r="D201" s="211" t="s">
        <v>78</v>
      </c>
      <c r="E201" s="212" t="s">
        <v>231</v>
      </c>
      <c r="F201" s="211" t="s">
        <v>80</v>
      </c>
      <c r="G201" s="212" t="s">
        <v>23</v>
      </c>
      <c r="H201" s="212" t="s">
        <v>1530</v>
      </c>
      <c r="I201" s="212">
        <v>201412</v>
      </c>
      <c r="J201" s="213">
        <v>4761.8599999999997</v>
      </c>
      <c r="K201" s="171">
        <f t="shared" si="18"/>
        <v>6</v>
      </c>
      <c r="L201" s="214">
        <v>2.23333E-3</v>
      </c>
      <c r="M201" s="213">
        <f t="shared" si="19"/>
        <v>63.81</v>
      </c>
      <c r="N201" s="213">
        <f t="shared" si="20"/>
        <v>127.62</v>
      </c>
      <c r="O201" s="14"/>
      <c r="P201" s="210" t="str">
        <f>VLOOKUP(C201,'WO Descriptions'!$A$5:$D$384,4,FALSE)</f>
        <v>Service/Yard Line Replacement (SLRP): Company Crew.  Modified Block by Block - Planned replacement of all unprotected steel or copper in a single block.  (Lee's Summit - East Region)</v>
      </c>
      <c r="Q201" s="210"/>
      <c r="R201" s="210"/>
    </row>
    <row r="202" spans="1:18" ht="30" outlineLevel="2">
      <c r="A202" s="223" t="s">
        <v>66</v>
      </c>
      <c r="B202" s="250" t="s">
        <v>229</v>
      </c>
      <c r="C202" s="250" t="s">
        <v>230</v>
      </c>
      <c r="D202" s="223" t="s">
        <v>78</v>
      </c>
      <c r="E202" s="250" t="s">
        <v>231</v>
      </c>
      <c r="F202" s="223" t="s">
        <v>80</v>
      </c>
      <c r="G202" s="250" t="s">
        <v>23</v>
      </c>
      <c r="H202" s="250" t="s">
        <v>1530</v>
      </c>
      <c r="I202" s="250">
        <v>201501</v>
      </c>
      <c r="J202" s="251">
        <v>519.49</v>
      </c>
      <c r="K202" s="171">
        <f t="shared" si="18"/>
        <v>5</v>
      </c>
      <c r="L202" s="253">
        <v>2.23333E-3</v>
      </c>
      <c r="M202" s="251">
        <f t="shared" si="19"/>
        <v>5.8</v>
      </c>
      <c r="N202" s="251">
        <f t="shared" si="20"/>
        <v>13.92</v>
      </c>
      <c r="O202" s="223"/>
      <c r="P202" s="210" t="str">
        <f>VLOOKUP(C202,'WO Descriptions'!$A$5:$D$384,4,FALSE)</f>
        <v>Service/Yard Line Replacement (SLRP): Company Crew.  Modified Block by Block - Planned replacement of all unprotected steel or copper in a single block.  (Lee's Summit - East Region)</v>
      </c>
      <c r="Q202" s="210"/>
      <c r="R202" s="210"/>
    </row>
    <row r="203" spans="1:18" ht="30" outlineLevel="2">
      <c r="A203" s="223" t="s">
        <v>66</v>
      </c>
      <c r="B203" s="250" t="s">
        <v>229</v>
      </c>
      <c r="C203" s="250" t="s">
        <v>230</v>
      </c>
      <c r="D203" s="223" t="s">
        <v>78</v>
      </c>
      <c r="E203" s="250" t="s">
        <v>231</v>
      </c>
      <c r="F203" s="223" t="s">
        <v>80</v>
      </c>
      <c r="G203" s="250" t="s">
        <v>23</v>
      </c>
      <c r="H203" s="250" t="s">
        <v>1530</v>
      </c>
      <c r="I203" s="250">
        <v>201502</v>
      </c>
      <c r="J203" s="251">
        <v>-507.92</v>
      </c>
      <c r="K203" s="171">
        <f t="shared" si="18"/>
        <v>4</v>
      </c>
      <c r="L203" s="253">
        <v>2.23333E-3</v>
      </c>
      <c r="M203" s="251">
        <f t="shared" si="19"/>
        <v>-4.54</v>
      </c>
      <c r="N203" s="251">
        <f t="shared" si="20"/>
        <v>-13.61</v>
      </c>
      <c r="O203" s="223"/>
      <c r="P203" s="210" t="str">
        <f>VLOOKUP(C203,'WO Descriptions'!$A$5:$D$384,4,FALSE)</f>
        <v>Service/Yard Line Replacement (SLRP): Company Crew.  Modified Block by Block - Planned replacement of all unprotected steel or copper in a single block.  (Lee's Summit - East Region)</v>
      </c>
      <c r="Q203" s="210"/>
      <c r="R203" s="210"/>
    </row>
    <row r="204" spans="1:18" outlineLevel="1">
      <c r="A204" s="223"/>
      <c r="B204" s="250"/>
      <c r="C204" s="254" t="s">
        <v>1811</v>
      </c>
      <c r="D204" s="223"/>
      <c r="E204" s="250"/>
      <c r="F204" s="223"/>
      <c r="G204" s="250"/>
      <c r="H204" s="250"/>
      <c r="I204" s="250"/>
      <c r="J204" s="251">
        <f>SUBTOTAL(9,J198:J203)</f>
        <v>55193.499999999993</v>
      </c>
      <c r="K204" s="252"/>
      <c r="L204" s="253"/>
      <c r="M204" s="251">
        <f>SUBTOTAL(9,M198:M203)</f>
        <v>1077.1199999999999</v>
      </c>
      <c r="N204" s="251">
        <f>SUBTOTAL(9,N198:N203)</f>
        <v>1479.1900000000003</v>
      </c>
      <c r="O204" s="223"/>
      <c r="P204" s="210"/>
      <c r="Q204" s="210" t="str">
        <f>VLOOKUP(C204,'Descriptions Sorted by WO '!$A$5:$S$977,18,FALSE)</f>
        <v>393.1009 (5) (a) (b)</v>
      </c>
      <c r="R204" s="210" t="str">
        <f>VLOOKUP(C204,'Descriptions Sorted by WO '!$A$5:$S$977,19,FALSE)</f>
        <v>A,B,C,I</v>
      </c>
    </row>
    <row r="205" spans="1:18" ht="30" outlineLevel="2">
      <c r="A205" s="223" t="s">
        <v>66</v>
      </c>
      <c r="B205" s="250" t="s">
        <v>2252</v>
      </c>
      <c r="C205" s="250" t="s">
        <v>2253</v>
      </c>
      <c r="D205" s="223" t="s">
        <v>589</v>
      </c>
      <c r="E205" s="250" t="s">
        <v>2254</v>
      </c>
      <c r="F205" s="223" t="s">
        <v>591</v>
      </c>
      <c r="G205" s="250" t="s">
        <v>23</v>
      </c>
      <c r="H205" s="250" t="s">
        <v>1530</v>
      </c>
      <c r="I205" s="250">
        <v>201502</v>
      </c>
      <c r="J205" s="251">
        <v>7194.54</v>
      </c>
      <c r="K205" s="171">
        <f>VLOOKUP(I205,$T$9:$U$23,2)</f>
        <v>4</v>
      </c>
      <c r="L205" s="253">
        <v>2.23333E-3</v>
      </c>
      <c r="M205" s="251">
        <f>ROUND(J205*K205*L205,2)</f>
        <v>64.27</v>
      </c>
      <c r="N205" s="251">
        <f>ROUND(J205*L205*12,2)</f>
        <v>192.81</v>
      </c>
      <c r="O205" s="223"/>
      <c r="P205" s="210" t="str">
        <f>VLOOKUP(C205,'WO Descriptions'!$A$5:$D$384,4,FALSE)</f>
        <v>Service/Yard Line Replacement (SLRP): Company Crew.  Block by Block - Planned replacement of all unprotected steel or copper in a single block.  (Lees Summitt - East Region)</v>
      </c>
      <c r="Q205" s="210"/>
      <c r="R205" s="210"/>
    </row>
    <row r="206" spans="1:18" outlineLevel="1">
      <c r="A206" s="223"/>
      <c r="B206" s="250"/>
      <c r="C206" s="254" t="s">
        <v>2314</v>
      </c>
      <c r="D206" s="223"/>
      <c r="E206" s="250"/>
      <c r="F206" s="223"/>
      <c r="G206" s="250"/>
      <c r="H206" s="250"/>
      <c r="I206" s="250"/>
      <c r="J206" s="251">
        <f>SUBTOTAL(9,J205:J205)</f>
        <v>7194.54</v>
      </c>
      <c r="K206" s="252"/>
      <c r="L206" s="253"/>
      <c r="M206" s="251">
        <f>SUBTOTAL(9,M205:M205)</f>
        <v>64.27</v>
      </c>
      <c r="N206" s="251">
        <f>SUBTOTAL(9,N205:N205)</f>
        <v>192.81</v>
      </c>
      <c r="O206" s="223"/>
      <c r="P206" s="210"/>
      <c r="Q206" s="210" t="s">
        <v>2097</v>
      </c>
      <c r="R206" s="210" t="s">
        <v>2102</v>
      </c>
    </row>
    <row r="207" spans="1:18" ht="30" outlineLevel="2">
      <c r="A207" s="256" t="s">
        <v>1584</v>
      </c>
      <c r="B207" s="257" t="s">
        <v>1602</v>
      </c>
      <c r="C207" s="257" t="s">
        <v>1603</v>
      </c>
      <c r="D207" s="256" t="s">
        <v>1588</v>
      </c>
      <c r="E207" s="257" t="s">
        <v>1604</v>
      </c>
      <c r="F207" s="256" t="s">
        <v>1590</v>
      </c>
      <c r="G207" s="257" t="s">
        <v>23</v>
      </c>
      <c r="H207" s="257" t="s">
        <v>1530</v>
      </c>
      <c r="I207" s="257">
        <v>201409</v>
      </c>
      <c r="J207" s="258">
        <v>-4.0199999999999996</v>
      </c>
      <c r="K207" s="171">
        <f>VLOOKUP(I207,$T$9:$U$23,2)</f>
        <v>9</v>
      </c>
      <c r="L207" s="259">
        <v>2.0333333000000001E-3</v>
      </c>
      <c r="M207" s="258">
        <f>ROUND(J207*K207*L207,2)</f>
        <v>-7.0000000000000007E-2</v>
      </c>
      <c r="N207" s="258">
        <f>ROUND(J207*L207*12,2)</f>
        <v>-0.1</v>
      </c>
      <c r="O207" s="223"/>
      <c r="P207" s="210" t="str">
        <f>VLOOKUP(C207,'WO Descriptions'!$A$5:$D$384,4,FALSE)</f>
        <v>Service/Yard Line Replacement (SLRP): Company Crew.  Rebuild meter/regulator setting (exclude regulator) (Monett - South Region).</v>
      </c>
      <c r="Q207" s="210"/>
      <c r="R207" s="210"/>
    </row>
    <row r="208" spans="1:18" outlineLevel="1">
      <c r="A208" s="256"/>
      <c r="B208" s="257"/>
      <c r="C208" s="260" t="s">
        <v>1812</v>
      </c>
      <c r="D208" s="256"/>
      <c r="E208" s="257"/>
      <c r="F208" s="256"/>
      <c r="G208" s="257"/>
      <c r="H208" s="257"/>
      <c r="I208" s="257"/>
      <c r="J208" s="258">
        <f>SUBTOTAL(9,J207:J207)</f>
        <v>-4.0199999999999996</v>
      </c>
      <c r="K208" s="252"/>
      <c r="L208" s="259"/>
      <c r="M208" s="258">
        <f>SUBTOTAL(9,M207:M207)</f>
        <v>-7.0000000000000007E-2</v>
      </c>
      <c r="N208" s="258">
        <f>SUBTOTAL(9,N207:N207)</f>
        <v>-0.1</v>
      </c>
      <c r="O208" s="223"/>
      <c r="P208" s="210"/>
      <c r="Q208" s="210" t="str">
        <f>VLOOKUP(C208,'Descriptions Sorted by WO '!$A$5:$S$977,18,FALSE)</f>
        <v>393.1009 (5) (a) (b)</v>
      </c>
      <c r="R208" s="210" t="str">
        <f>VLOOKUP(C208,'Descriptions Sorted by WO '!$A$5:$S$977,19,FALSE)</f>
        <v>A,B,C,I</v>
      </c>
    </row>
    <row r="209" spans="1:18" ht="45" outlineLevel="2">
      <c r="A209" s="225" t="s">
        <v>17</v>
      </c>
      <c r="B209" s="250" t="s">
        <v>232</v>
      </c>
      <c r="C209" s="250" t="s">
        <v>233</v>
      </c>
      <c r="D209" s="223" t="s">
        <v>234</v>
      </c>
      <c r="E209" s="250" t="s">
        <v>40</v>
      </c>
      <c r="F209" s="223" t="s">
        <v>41</v>
      </c>
      <c r="G209" s="250" t="s">
        <v>23</v>
      </c>
      <c r="H209" s="250" t="s">
        <v>1526</v>
      </c>
      <c r="I209" s="250">
        <v>201409</v>
      </c>
      <c r="J209" s="251">
        <v>34.520000000000003</v>
      </c>
      <c r="K209" s="171">
        <f>VLOOKUP(I209,$T$9:$U$23,2)</f>
        <v>9</v>
      </c>
      <c r="L209" s="253">
        <v>1.4833299999999999E-3</v>
      </c>
      <c r="M209" s="251">
        <f>ROUND(J209*K209*L209,2)</f>
        <v>0.46</v>
      </c>
      <c r="N209" s="251">
        <f>ROUND(J209*L209*12,2)</f>
        <v>0.61</v>
      </c>
      <c r="O209" s="223"/>
      <c r="P209" s="210" t="str">
        <f>VLOOKUP(C209,'WO Descriptions'!$A$5:$D$384,4,FALSE)</f>
        <v>Approved by: Kevin Driskell on 04/08/2013,  Relocate 50' of 2in PE due to public improvement, grade cuts will put existing gas main at 15in deep. Install 1-1/4in bypass for service to UMB Bank. Retire 10'-2in CS, 1992 wo 92-6977; 40'-2in PE 2009 wo 09-6139.</v>
      </c>
      <c r="Q209" s="210"/>
      <c r="R209" s="210"/>
    </row>
    <row r="210" spans="1:18" outlineLevel="1">
      <c r="A210" s="225"/>
      <c r="B210" s="250"/>
      <c r="C210" s="254" t="s">
        <v>1813</v>
      </c>
      <c r="D210" s="223"/>
      <c r="E210" s="250"/>
      <c r="F210" s="223"/>
      <c r="G210" s="250"/>
      <c r="H210" s="250"/>
      <c r="I210" s="250"/>
      <c r="J210" s="251">
        <f>SUBTOTAL(9,J209:J209)</f>
        <v>34.520000000000003</v>
      </c>
      <c r="K210" s="252"/>
      <c r="L210" s="253"/>
      <c r="M210" s="251">
        <f>SUBTOTAL(9,M209:M209)</f>
        <v>0.46</v>
      </c>
      <c r="N210" s="251">
        <f>SUBTOTAL(9,N209:N209)</f>
        <v>0.61</v>
      </c>
      <c r="O210" s="223"/>
      <c r="P210" s="210"/>
      <c r="Q210" s="210" t="str">
        <f>VLOOKUP(C210,'Descriptions Sorted by WO '!$A$5:$S$977,18,FALSE)</f>
        <v>393.1009 (5) (C)</v>
      </c>
      <c r="R210" s="210"/>
    </row>
    <row r="211" spans="1:18" ht="105" outlineLevel="2">
      <c r="A211" s="223" t="s">
        <v>17</v>
      </c>
      <c r="B211" s="250" t="s">
        <v>235</v>
      </c>
      <c r="C211" s="250" t="s">
        <v>236</v>
      </c>
      <c r="D211" s="223" t="s">
        <v>237</v>
      </c>
      <c r="E211" s="250" t="s">
        <v>62</v>
      </c>
      <c r="F211" s="223" t="s">
        <v>22</v>
      </c>
      <c r="G211" s="250" t="s">
        <v>23</v>
      </c>
      <c r="H211" s="250" t="s">
        <v>1525</v>
      </c>
      <c r="I211" s="250">
        <v>201409</v>
      </c>
      <c r="J211" s="251">
        <v>16.510000000000002</v>
      </c>
      <c r="K211" s="171">
        <f>VLOOKUP(I211,$T$9:$U$23,2)</f>
        <v>9</v>
      </c>
      <c r="L211" s="253">
        <v>1.4833299999999999E-3</v>
      </c>
      <c r="M211" s="251">
        <f>ROUND(J211*K211*L211,2)</f>
        <v>0.22</v>
      </c>
      <c r="N211" s="251">
        <f>ROUND(J211*L211*12,2)</f>
        <v>0.28999999999999998</v>
      </c>
      <c r="O211" s="223"/>
      <c r="P211" s="210" t="str">
        <f>VLOOKUP(C211,'WO Descriptions'!$A$5:$D$384,4,FALSE)</f>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
      <c r="Q211" s="210"/>
      <c r="R211" s="210"/>
    </row>
    <row r="212" spans="1:18" outlineLevel="1">
      <c r="A212" s="223"/>
      <c r="B212" s="250"/>
      <c r="C212" s="254" t="s">
        <v>1814</v>
      </c>
      <c r="D212" s="223"/>
      <c r="E212" s="250"/>
      <c r="F212" s="223"/>
      <c r="G212" s="250"/>
      <c r="H212" s="250"/>
      <c r="I212" s="250"/>
      <c r="J212" s="251">
        <f>SUBTOTAL(9,J211:J211)</f>
        <v>16.510000000000002</v>
      </c>
      <c r="K212" s="252"/>
      <c r="L212" s="253"/>
      <c r="M212" s="251">
        <f>SUBTOTAL(9,M211:M211)</f>
        <v>0.22</v>
      </c>
      <c r="N212" s="251">
        <f>SUBTOTAL(9,N211:N211)</f>
        <v>0.28999999999999998</v>
      </c>
      <c r="O212" s="223"/>
      <c r="P212" s="210"/>
      <c r="Q212" s="210" t="str">
        <f>VLOOKUP(C212,'Descriptions Sorted by WO '!$A$5:$S$977,18,FALSE)</f>
        <v>393.1009 (5) (a) (b)</v>
      </c>
      <c r="R212" s="210" t="str">
        <f>VLOOKUP(C212,'Descriptions Sorted by WO '!$A$5:$S$977,19,FALSE)</f>
        <v>A,B,C</v>
      </c>
    </row>
    <row r="213" spans="1:18" ht="105" outlineLevel="2">
      <c r="A213" s="225" t="s">
        <v>238</v>
      </c>
      <c r="B213" s="250" t="s">
        <v>239</v>
      </c>
      <c r="C213" s="250" t="s">
        <v>240</v>
      </c>
      <c r="D213" s="223" t="s">
        <v>241</v>
      </c>
      <c r="E213" s="250" t="s">
        <v>168</v>
      </c>
      <c r="F213" s="223" t="s">
        <v>169</v>
      </c>
      <c r="G213" s="250" t="s">
        <v>23</v>
      </c>
      <c r="H213" s="250" t="s">
        <v>1528</v>
      </c>
      <c r="I213" s="250">
        <v>201409</v>
      </c>
      <c r="J213" s="251">
        <v>5.08</v>
      </c>
      <c r="K213" s="171">
        <f>VLOOKUP(I213,$T$9:$U$23,2)</f>
        <v>9</v>
      </c>
      <c r="L213" s="253">
        <v>2.3833299999999999E-3</v>
      </c>
      <c r="M213" s="251">
        <f>ROUND(J213*K213*L213,2)</f>
        <v>0.11</v>
      </c>
      <c r="N213" s="251">
        <f>ROUND(J213*L213*12,2)</f>
        <v>0.15</v>
      </c>
      <c r="O213" s="223"/>
      <c r="P213" s="210" t="str">
        <f>VLOOKUP(C213,'WO Descriptions'!$A$5:$D$384,4,FALSE)</f>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
      <c r="Q213" s="210"/>
      <c r="R213" s="210"/>
    </row>
    <row r="214" spans="1:18" outlineLevel="1">
      <c r="A214" s="225"/>
      <c r="B214" s="250"/>
      <c r="C214" s="254" t="s">
        <v>1815</v>
      </c>
      <c r="D214" s="223"/>
      <c r="E214" s="250"/>
      <c r="F214" s="223"/>
      <c r="G214" s="250"/>
      <c r="H214" s="250"/>
      <c r="I214" s="250"/>
      <c r="J214" s="251">
        <f>SUBTOTAL(9,J213:J213)</f>
        <v>5.08</v>
      </c>
      <c r="K214" s="252"/>
      <c r="L214" s="253"/>
      <c r="M214" s="251">
        <f>SUBTOTAL(9,M213:M213)</f>
        <v>0.11</v>
      </c>
      <c r="N214" s="251">
        <f>SUBTOTAL(9,N213:N213)</f>
        <v>0.15</v>
      </c>
      <c r="O214" s="223"/>
      <c r="P214" s="210"/>
      <c r="Q214" s="210" t="str">
        <f>VLOOKUP(C214,'Descriptions Sorted by WO '!$A$5:$S$977,18,FALSE)</f>
        <v>393.1009 (5) (a) (b)</v>
      </c>
      <c r="R214" s="210" t="str">
        <f>VLOOKUP(C214,'Descriptions Sorted by WO '!$A$5:$S$977,19,FALSE)</f>
        <v>A,B</v>
      </c>
    </row>
    <row r="215" spans="1:18" ht="60" outlineLevel="2">
      <c r="A215" s="223" t="s">
        <v>17</v>
      </c>
      <c r="B215" s="250" t="s">
        <v>2282</v>
      </c>
      <c r="C215" s="250" t="s">
        <v>1727</v>
      </c>
      <c r="D215" s="223" t="s">
        <v>1728</v>
      </c>
      <c r="E215" s="250" t="s">
        <v>53</v>
      </c>
      <c r="F215" s="223" t="s">
        <v>41</v>
      </c>
      <c r="G215" s="250" t="s">
        <v>23</v>
      </c>
      <c r="H215" s="250" t="s">
        <v>1526</v>
      </c>
      <c r="I215" s="250">
        <v>201502</v>
      </c>
      <c r="J215" s="251">
        <v>137127.51</v>
      </c>
      <c r="K215" s="171">
        <f>VLOOKUP(I215,$T$9:$U$23,2)</f>
        <v>4</v>
      </c>
      <c r="L215" s="253">
        <v>1.4833299999999999E-3</v>
      </c>
      <c r="M215" s="251">
        <f>ROUND(J215*K215*L215,2)</f>
        <v>813.62</v>
      </c>
      <c r="N215" s="251">
        <f>ROUND(J215*L215*12,2)</f>
        <v>2440.86</v>
      </c>
      <c r="O215" s="223"/>
      <c r="P215" s="210" t="str">
        <f>VLOOKUP(C215,'WO Descriptions'!$A$5:$D$384,4,FALSE)</f>
        <v>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v>
      </c>
      <c r="Q215" s="210"/>
      <c r="R215" s="210"/>
    </row>
    <row r="216" spans="1:18" outlineLevel="1">
      <c r="A216" s="223"/>
      <c r="B216" s="250"/>
      <c r="C216" s="254" t="s">
        <v>2315</v>
      </c>
      <c r="D216" s="223"/>
      <c r="E216" s="250"/>
      <c r="F216" s="223"/>
      <c r="G216" s="250"/>
      <c r="H216" s="250"/>
      <c r="I216" s="250"/>
      <c r="J216" s="251">
        <f>SUBTOTAL(9,J215:J215)</f>
        <v>137127.51</v>
      </c>
      <c r="K216" s="252"/>
      <c r="L216" s="253"/>
      <c r="M216" s="251">
        <f>SUBTOTAL(9,M215:M215)</f>
        <v>813.62</v>
      </c>
      <c r="N216" s="251">
        <f>SUBTOTAL(9,N215:N215)</f>
        <v>2440.86</v>
      </c>
      <c r="O216" s="223"/>
      <c r="P216" s="210"/>
      <c r="Q216" s="210" t="s">
        <v>2096</v>
      </c>
      <c r="R216" s="210"/>
    </row>
    <row r="217" spans="1:18" ht="30" outlineLevel="2">
      <c r="A217" s="225" t="s">
        <v>242</v>
      </c>
      <c r="B217" s="250" t="s">
        <v>243</v>
      </c>
      <c r="C217" s="250" t="s">
        <v>244</v>
      </c>
      <c r="D217" s="223" t="s">
        <v>245</v>
      </c>
      <c r="E217" s="250" t="s">
        <v>246</v>
      </c>
      <c r="F217" s="223" t="s">
        <v>247</v>
      </c>
      <c r="G217" s="250" t="s">
        <v>23</v>
      </c>
      <c r="H217" s="250" t="s">
        <v>1525</v>
      </c>
      <c r="I217" s="250">
        <v>201409</v>
      </c>
      <c r="J217" s="251">
        <v>-9517.91</v>
      </c>
      <c r="K217" s="171">
        <f>VLOOKUP(I217,$T$9:$U$23,2)</f>
        <v>9</v>
      </c>
      <c r="L217" s="253">
        <v>1.4833299999999999E-3</v>
      </c>
      <c r="M217" s="251">
        <f>ROUND(J217*K217*L217,2)</f>
        <v>-127.06</v>
      </c>
      <c r="N217" s="251">
        <f>ROUND(J217*L217*12,2)</f>
        <v>-169.42</v>
      </c>
      <c r="O217" s="223"/>
      <c r="P217" s="210" t="str">
        <f>VLOOKUP(C217,'WO Descriptions'!$A$5:$D$384,4,FALSE)</f>
        <v>Rob Hack approved through email due to being out of town and copy of email attached with work order in file.  Approved 7/30/2013.  Official approval in WOES 8/5/2013</v>
      </c>
      <c r="Q217" s="210"/>
      <c r="R217" s="210"/>
    </row>
    <row r="218" spans="1:18" outlineLevel="1">
      <c r="A218" s="225"/>
      <c r="B218" s="250"/>
      <c r="C218" s="254" t="s">
        <v>1816</v>
      </c>
      <c r="D218" s="223"/>
      <c r="E218" s="250"/>
      <c r="F218" s="223"/>
      <c r="G218" s="250"/>
      <c r="H218" s="250"/>
      <c r="I218" s="250"/>
      <c r="J218" s="251">
        <f>SUBTOTAL(9,J217:J217)</f>
        <v>-9517.91</v>
      </c>
      <c r="K218" s="252"/>
      <c r="L218" s="253"/>
      <c r="M218" s="251">
        <f>SUBTOTAL(9,M217:M217)</f>
        <v>-127.06</v>
      </c>
      <c r="N218" s="251">
        <f>SUBTOTAL(9,N217:N217)</f>
        <v>-169.42</v>
      </c>
      <c r="O218" s="223"/>
      <c r="P218" s="210"/>
      <c r="Q218" s="210" t="str">
        <f>VLOOKUP(C218,'Descriptions Sorted by WO '!$A$5:$S$977,18,FALSE)</f>
        <v>393.1009 (5) (a) (b)</v>
      </c>
      <c r="R218" s="210" t="str">
        <f>VLOOKUP(C218,'Descriptions Sorted by WO '!$A$5:$S$977,19,FALSE)</f>
        <v>A,B,G</v>
      </c>
    </row>
    <row r="219" spans="1:18" ht="90" outlineLevel="2">
      <c r="A219" s="223" t="s">
        <v>238</v>
      </c>
      <c r="B219" s="250" t="s">
        <v>2223</v>
      </c>
      <c r="C219" s="250" t="s">
        <v>2224</v>
      </c>
      <c r="D219" s="223" t="s">
        <v>2225</v>
      </c>
      <c r="E219" s="250" t="s">
        <v>168</v>
      </c>
      <c r="F219" s="223" t="s">
        <v>169</v>
      </c>
      <c r="G219" s="250" t="s">
        <v>23</v>
      </c>
      <c r="H219" s="250" t="s">
        <v>1528</v>
      </c>
      <c r="I219" s="250">
        <v>201501</v>
      </c>
      <c r="J219" s="251">
        <v>213064.46</v>
      </c>
      <c r="K219" s="171">
        <f>VLOOKUP(I219,$T$9:$U$23,2)</f>
        <v>5</v>
      </c>
      <c r="L219" s="253">
        <v>2.3833299999999999E-3</v>
      </c>
      <c r="M219" s="251">
        <f>ROUND(J219*K219*L219,2)</f>
        <v>2539.0100000000002</v>
      </c>
      <c r="N219" s="251">
        <f>ROUND(J219*L219*12,2)</f>
        <v>6093.64</v>
      </c>
      <c r="O219" s="223"/>
      <c r="P219" s="210" t="str">
        <f>VLOOKUP(C219,'WO Descriptions'!$A$5:$D$384,4,FALSE)</f>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
      <c r="Q219" s="210"/>
      <c r="R219" s="210"/>
    </row>
    <row r="220" spans="1:18" ht="90" outlineLevel="2">
      <c r="A220" s="223" t="s">
        <v>238</v>
      </c>
      <c r="B220" s="250" t="s">
        <v>2223</v>
      </c>
      <c r="C220" s="250" t="s">
        <v>2224</v>
      </c>
      <c r="D220" s="223" t="s">
        <v>2225</v>
      </c>
      <c r="E220" s="250" t="s">
        <v>168</v>
      </c>
      <c r="F220" s="223" t="s">
        <v>169</v>
      </c>
      <c r="G220" s="250" t="s">
        <v>23</v>
      </c>
      <c r="H220" s="250" t="s">
        <v>1528</v>
      </c>
      <c r="I220" s="250">
        <v>201502</v>
      </c>
      <c r="J220" s="251">
        <v>-268.13</v>
      </c>
      <c r="K220" s="171">
        <f>VLOOKUP(I220,$T$9:$U$23,2)</f>
        <v>4</v>
      </c>
      <c r="L220" s="253">
        <v>2.3833299999999999E-3</v>
      </c>
      <c r="M220" s="251">
        <f>ROUND(J220*K220*L220,2)</f>
        <v>-2.56</v>
      </c>
      <c r="N220" s="251">
        <f>ROUND(J220*L220*12,2)</f>
        <v>-7.67</v>
      </c>
      <c r="O220" s="223"/>
      <c r="P220" s="210" t="str">
        <f>VLOOKUP(C220,'WO Descriptions'!$A$5:$D$384,4,FALSE)</f>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
      <c r="Q220" s="210"/>
      <c r="R220" s="210"/>
    </row>
    <row r="221" spans="1:18" outlineLevel="1">
      <c r="A221" s="223"/>
      <c r="B221" s="250"/>
      <c r="C221" s="254" t="s">
        <v>2316</v>
      </c>
      <c r="D221" s="223"/>
      <c r="E221" s="250"/>
      <c r="F221" s="223"/>
      <c r="G221" s="250"/>
      <c r="H221" s="250"/>
      <c r="I221" s="250"/>
      <c r="J221" s="251">
        <f>SUBTOTAL(9,J219:J220)</f>
        <v>212796.33</v>
      </c>
      <c r="K221" s="252"/>
      <c r="L221" s="253"/>
      <c r="M221" s="251">
        <f>SUBTOTAL(9,M219:M220)</f>
        <v>2536.4500000000003</v>
      </c>
      <c r="N221" s="251">
        <f>SUBTOTAL(9,N219:N220)</f>
        <v>6085.97</v>
      </c>
      <c r="O221" s="223"/>
      <c r="P221" s="210"/>
      <c r="Q221" s="210" t="s">
        <v>2097</v>
      </c>
      <c r="R221" s="210" t="s">
        <v>2099</v>
      </c>
    </row>
    <row r="222" spans="1:18" ht="75" outlineLevel="2">
      <c r="A222" s="225" t="s">
        <v>17</v>
      </c>
      <c r="B222" s="250" t="s">
        <v>248</v>
      </c>
      <c r="C222" s="250" t="s">
        <v>249</v>
      </c>
      <c r="D222" s="223" t="s">
        <v>250</v>
      </c>
      <c r="E222" s="250" t="s">
        <v>62</v>
      </c>
      <c r="F222" s="223" t="s">
        <v>22</v>
      </c>
      <c r="G222" s="250" t="s">
        <v>23</v>
      </c>
      <c r="H222" s="250" t="s">
        <v>1525</v>
      </c>
      <c r="I222" s="250">
        <v>201409</v>
      </c>
      <c r="J222" s="251">
        <v>-0.82</v>
      </c>
      <c r="K222" s="171">
        <f>VLOOKUP(I222,$T$9:$U$23,2)</f>
        <v>9</v>
      </c>
      <c r="L222" s="253">
        <v>1.4833299999999999E-3</v>
      </c>
      <c r="M222" s="251">
        <f>ROUND(J222*K222*L222,2)</f>
        <v>-0.01</v>
      </c>
      <c r="N222" s="251">
        <f>ROUND(J222*L222*12,2)</f>
        <v>-0.01</v>
      </c>
      <c r="O222" s="223"/>
      <c r="P222" s="210" t="str">
        <f>VLOOKUP(C222,'WO Descriptions'!$A$5:$D$384,4,FALSE)</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c r="Q222" s="210"/>
      <c r="R222" s="210"/>
    </row>
    <row r="223" spans="1:18" ht="75" outlineLevel="2">
      <c r="A223" s="225" t="s">
        <v>17</v>
      </c>
      <c r="B223" s="250" t="s">
        <v>251</v>
      </c>
      <c r="C223" s="250" t="s">
        <v>249</v>
      </c>
      <c r="D223" s="223" t="s">
        <v>250</v>
      </c>
      <c r="E223" s="250" t="s">
        <v>62</v>
      </c>
      <c r="F223" s="223" t="s">
        <v>22</v>
      </c>
      <c r="G223" s="250" t="s">
        <v>23</v>
      </c>
      <c r="H223" s="250" t="s">
        <v>1525</v>
      </c>
      <c r="I223" s="250">
        <v>201409</v>
      </c>
      <c r="J223" s="251">
        <v>-735.35</v>
      </c>
      <c r="K223" s="171">
        <f>VLOOKUP(I223,$T$9:$U$23,2)</f>
        <v>9</v>
      </c>
      <c r="L223" s="253">
        <v>1.4833299999999999E-3</v>
      </c>
      <c r="M223" s="251">
        <f>ROUND(J223*K223*L223,2)</f>
        <v>-9.82</v>
      </c>
      <c r="N223" s="251">
        <f>ROUND(J223*L223*12,2)</f>
        <v>-13.09</v>
      </c>
      <c r="O223" s="223"/>
      <c r="P223" s="210" t="str">
        <f>VLOOKUP(C223,'WO Descriptions'!$A$5:$D$384,4,FALSE)</f>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
      <c r="Q223" s="210"/>
      <c r="R223" s="210"/>
    </row>
    <row r="224" spans="1:18" outlineLevel="1">
      <c r="A224" s="225"/>
      <c r="B224" s="250"/>
      <c r="C224" s="254" t="s">
        <v>1817</v>
      </c>
      <c r="D224" s="223"/>
      <c r="E224" s="250"/>
      <c r="F224" s="223"/>
      <c r="G224" s="250"/>
      <c r="H224" s="250"/>
      <c r="I224" s="250"/>
      <c r="J224" s="251">
        <f>SUBTOTAL(9,J222:J223)</f>
        <v>-736.17000000000007</v>
      </c>
      <c r="K224" s="252"/>
      <c r="L224" s="253"/>
      <c r="M224" s="251">
        <f>SUBTOTAL(9,M222:M223)</f>
        <v>-9.83</v>
      </c>
      <c r="N224" s="251">
        <f>SUBTOTAL(9,N222:N223)</f>
        <v>-13.1</v>
      </c>
      <c r="O224" s="223"/>
      <c r="P224" s="210"/>
      <c r="Q224" s="210" t="str">
        <f>VLOOKUP(C224,'Descriptions Sorted by WO '!$A$5:$S$977,18,FALSE)</f>
        <v>393.1009 (5) (a) (b)</v>
      </c>
      <c r="R224" s="210" t="str">
        <f>VLOOKUP(C224,'Descriptions Sorted by WO '!$A$5:$S$977,19,FALSE)</f>
        <v>A,B,C</v>
      </c>
    </row>
    <row r="225" spans="1:18" ht="45" outlineLevel="2">
      <c r="A225" s="225" t="s">
        <v>17</v>
      </c>
      <c r="B225" s="250" t="s">
        <v>252</v>
      </c>
      <c r="C225" s="250" t="s">
        <v>253</v>
      </c>
      <c r="D225" s="223" t="s">
        <v>254</v>
      </c>
      <c r="E225" s="250" t="s">
        <v>141</v>
      </c>
      <c r="F225" s="223" t="s">
        <v>142</v>
      </c>
      <c r="G225" s="250" t="s">
        <v>23</v>
      </c>
      <c r="H225" s="250" t="s">
        <v>1525</v>
      </c>
      <c r="I225" s="250">
        <v>201409</v>
      </c>
      <c r="J225" s="251">
        <v>-226.18</v>
      </c>
      <c r="K225" s="171">
        <f>VLOOKUP(I225,$T$9:$U$23,2)</f>
        <v>9</v>
      </c>
      <c r="L225" s="253">
        <v>1.4833299999999999E-3</v>
      </c>
      <c r="M225" s="251">
        <f>ROUND(J225*K225*L225,2)</f>
        <v>-3.02</v>
      </c>
      <c r="N225" s="251">
        <f>ROUND(J225*L225*12,2)</f>
        <v>-4.03</v>
      </c>
      <c r="O225" s="223"/>
      <c r="P225" s="210" t="str">
        <f>VLOOKUP(C225,'WO Descriptions'!$A$5:$D$384,4,FALSE)</f>
        <v>Approved by: Melvin Burns on 07/28/2013,  Replace 70ft of 4in CI with 4in PE due to broken CI main.  Bag off and Tie-in points should be in greenway to the east of the driveway of 1820 W 38th St.  Tie-over 3 services.  Cost per foot $330.16</v>
      </c>
      <c r="Q225" s="210"/>
      <c r="R225" s="210"/>
    </row>
    <row r="226" spans="1:18" outlineLevel="1">
      <c r="A226" s="225"/>
      <c r="B226" s="250"/>
      <c r="C226" s="254" t="s">
        <v>1818</v>
      </c>
      <c r="D226" s="223"/>
      <c r="E226" s="250"/>
      <c r="F226" s="223"/>
      <c r="G226" s="250"/>
      <c r="H226" s="250"/>
      <c r="I226" s="250"/>
      <c r="J226" s="251">
        <f>SUBTOTAL(9,J225:J225)</f>
        <v>-226.18</v>
      </c>
      <c r="K226" s="252"/>
      <c r="L226" s="253"/>
      <c r="M226" s="251">
        <f>SUBTOTAL(9,M225:M225)</f>
        <v>-3.02</v>
      </c>
      <c r="N226" s="251">
        <f>SUBTOTAL(9,N225:N225)</f>
        <v>-4.03</v>
      </c>
      <c r="O226" s="223"/>
      <c r="P226" s="210"/>
      <c r="Q226" s="210" t="str">
        <f>VLOOKUP(C226,'Descriptions Sorted by WO '!$A$5:$S$977,18,FALSE)</f>
        <v>393.1009 (5) (a) (b)</v>
      </c>
      <c r="R226" s="210" t="str">
        <f>VLOOKUP(C226,'Descriptions Sorted by WO '!$A$5:$S$977,19,FALSE)</f>
        <v>A,B,C,D,I</v>
      </c>
    </row>
    <row r="227" spans="1:18" ht="60" outlineLevel="2">
      <c r="A227" s="225" t="s">
        <v>17</v>
      </c>
      <c r="B227" s="250" t="s">
        <v>255</v>
      </c>
      <c r="C227" s="250" t="s">
        <v>256</v>
      </c>
      <c r="D227" s="223" t="s">
        <v>257</v>
      </c>
      <c r="E227" s="250" t="s">
        <v>258</v>
      </c>
      <c r="F227" s="223" t="s">
        <v>259</v>
      </c>
      <c r="G227" s="250" t="s">
        <v>23</v>
      </c>
      <c r="H227" s="250" t="s">
        <v>1525</v>
      </c>
      <c r="I227" s="250">
        <v>201409</v>
      </c>
      <c r="J227" s="251">
        <v>-257.27</v>
      </c>
      <c r="K227" s="171">
        <f>VLOOKUP(I227,$T$9:$U$23,2)</f>
        <v>9</v>
      </c>
      <c r="L227" s="253">
        <v>1.4833299999999999E-3</v>
      </c>
      <c r="M227" s="251">
        <f>ROUND(J227*K227*L227,2)</f>
        <v>-3.43</v>
      </c>
      <c r="N227" s="251">
        <f>ROUND(J227*L227*12,2)</f>
        <v>-4.58</v>
      </c>
      <c r="O227" s="223"/>
      <c r="P227" s="210" t="str">
        <f>VLOOKUP(C227,'WO Descriptions'!$A$5:$D$384,4,FALSE)</f>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
      <c r="Q227" s="210"/>
      <c r="R227" s="210"/>
    </row>
    <row r="228" spans="1:18" outlineLevel="1">
      <c r="A228" s="225"/>
      <c r="B228" s="250"/>
      <c r="C228" s="254" t="s">
        <v>1819</v>
      </c>
      <c r="D228" s="223"/>
      <c r="E228" s="250"/>
      <c r="F228" s="223"/>
      <c r="G228" s="250"/>
      <c r="H228" s="250"/>
      <c r="I228" s="250"/>
      <c r="J228" s="251">
        <f>SUBTOTAL(9,J227:J227)</f>
        <v>-257.27</v>
      </c>
      <c r="K228" s="252"/>
      <c r="L228" s="253"/>
      <c r="M228" s="251">
        <f>SUBTOTAL(9,M227:M227)</f>
        <v>-3.43</v>
      </c>
      <c r="N228" s="251">
        <f>SUBTOTAL(9,N227:N227)</f>
        <v>-4.58</v>
      </c>
      <c r="O228" s="223"/>
      <c r="P228" s="210"/>
      <c r="Q228" s="210" t="str">
        <f>VLOOKUP(C228,'Descriptions Sorted by WO '!$A$5:$S$977,18,FALSE)</f>
        <v>393.1009 (5) (a) (b)</v>
      </c>
      <c r="R228" s="210" t="str">
        <f>VLOOKUP(C228,'Descriptions Sorted by WO '!$A$5:$S$977,19,FALSE)</f>
        <v>A,B,G</v>
      </c>
    </row>
    <row r="229" spans="1:18" ht="75" outlineLevel="2">
      <c r="A229" s="225" t="s">
        <v>17</v>
      </c>
      <c r="B229" s="250" t="s">
        <v>260</v>
      </c>
      <c r="C229" s="250" t="s">
        <v>261</v>
      </c>
      <c r="D229" s="223" t="s">
        <v>262</v>
      </c>
      <c r="E229" s="250" t="s">
        <v>258</v>
      </c>
      <c r="F229" s="223" t="s">
        <v>259</v>
      </c>
      <c r="G229" s="250" t="s">
        <v>23</v>
      </c>
      <c r="H229" s="250" t="s">
        <v>1525</v>
      </c>
      <c r="I229" s="250">
        <v>201409</v>
      </c>
      <c r="J229" s="251">
        <v>-264.56</v>
      </c>
      <c r="K229" s="171">
        <f>VLOOKUP(I229,$T$9:$U$23,2)</f>
        <v>9</v>
      </c>
      <c r="L229" s="253">
        <v>1.4833299999999999E-3</v>
      </c>
      <c r="M229" s="251">
        <f>ROUND(J229*K229*L229,2)</f>
        <v>-3.53</v>
      </c>
      <c r="N229" s="251">
        <f>ROUND(J229*L229*12,2)</f>
        <v>-4.71</v>
      </c>
      <c r="O229" s="223"/>
      <c r="P229" s="210" t="str">
        <f>VLOOKUP(C229,'WO Descriptions'!$A$5:$D$384,4,FALSE)</f>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
      <c r="Q229" s="210"/>
      <c r="R229" s="210"/>
    </row>
    <row r="230" spans="1:18" outlineLevel="1">
      <c r="A230" s="225"/>
      <c r="B230" s="250"/>
      <c r="C230" s="254" t="s">
        <v>1820</v>
      </c>
      <c r="D230" s="223"/>
      <c r="E230" s="250"/>
      <c r="F230" s="223"/>
      <c r="G230" s="250"/>
      <c r="H230" s="250"/>
      <c r="I230" s="250"/>
      <c r="J230" s="251">
        <f>SUBTOTAL(9,J229:J229)</f>
        <v>-264.56</v>
      </c>
      <c r="K230" s="252"/>
      <c r="L230" s="253"/>
      <c r="M230" s="251">
        <f>SUBTOTAL(9,M229:M229)</f>
        <v>-3.53</v>
      </c>
      <c r="N230" s="251">
        <f>SUBTOTAL(9,N229:N229)</f>
        <v>-4.71</v>
      </c>
      <c r="O230" s="223"/>
      <c r="P230" s="210"/>
      <c r="Q230" s="210" t="str">
        <f>VLOOKUP(C230,'Descriptions Sorted by WO '!$A$5:$S$977,18,FALSE)</f>
        <v>393.1009 (5) (a) (b)</v>
      </c>
      <c r="R230" s="210" t="str">
        <f>VLOOKUP(C230,'Descriptions Sorted by WO '!$A$5:$S$977,19,FALSE)</f>
        <v>A,B,G</v>
      </c>
    </row>
    <row r="231" spans="1:18" ht="60" outlineLevel="2">
      <c r="A231" s="223" t="s">
        <v>17</v>
      </c>
      <c r="B231" s="250" t="s">
        <v>263</v>
      </c>
      <c r="C231" s="250" t="s">
        <v>264</v>
      </c>
      <c r="D231" s="223" t="s">
        <v>265</v>
      </c>
      <c r="E231" s="250" t="s">
        <v>62</v>
      </c>
      <c r="F231" s="223" t="s">
        <v>22</v>
      </c>
      <c r="G231" s="250" t="s">
        <v>23</v>
      </c>
      <c r="H231" s="250" t="s">
        <v>1525</v>
      </c>
      <c r="I231" s="250">
        <v>201409</v>
      </c>
      <c r="J231" s="251">
        <v>-405.55</v>
      </c>
      <c r="K231" s="171">
        <f>VLOOKUP(I231,$T$9:$U$23,2)</f>
        <v>9</v>
      </c>
      <c r="L231" s="253">
        <v>1.4833299999999999E-3</v>
      </c>
      <c r="M231" s="251">
        <f>ROUND(J231*K231*L231,2)</f>
        <v>-5.41</v>
      </c>
      <c r="N231" s="251">
        <f>ROUND(J231*L231*12,2)</f>
        <v>-7.22</v>
      </c>
      <c r="O231" s="223"/>
      <c r="P231" s="210" t="str">
        <f>VLOOKUP(C231,'WO Descriptions'!$A$5:$D$384,4,FALSE)</f>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
      <c r="Q231" s="210"/>
      <c r="R231" s="210"/>
    </row>
    <row r="232" spans="1:18" outlineLevel="1">
      <c r="A232" s="223"/>
      <c r="B232" s="250"/>
      <c r="C232" s="254" t="s">
        <v>1821</v>
      </c>
      <c r="D232" s="223"/>
      <c r="E232" s="250"/>
      <c r="F232" s="223"/>
      <c r="G232" s="250"/>
      <c r="H232" s="250"/>
      <c r="I232" s="250"/>
      <c r="J232" s="251">
        <f>SUBTOTAL(9,J231:J231)</f>
        <v>-405.55</v>
      </c>
      <c r="K232" s="252"/>
      <c r="L232" s="253"/>
      <c r="M232" s="251">
        <f>SUBTOTAL(9,M231:M231)</f>
        <v>-5.41</v>
      </c>
      <c r="N232" s="251">
        <f>SUBTOTAL(9,N231:N231)</f>
        <v>-7.22</v>
      </c>
      <c r="O232" s="223"/>
      <c r="P232" s="210"/>
      <c r="Q232" s="210" t="str">
        <f>VLOOKUP(C232,'Descriptions Sorted by WO '!$A$5:$S$977,18,FALSE)</f>
        <v>393.1009 (5) (a) (b)</v>
      </c>
      <c r="R232" s="210" t="str">
        <f>VLOOKUP(C232,'Descriptions Sorted by WO '!$A$5:$S$977,19,FALSE)</f>
        <v>A,B,C</v>
      </c>
    </row>
    <row r="233" spans="1:18" ht="45" outlineLevel="2">
      <c r="A233" s="223" t="s">
        <v>17</v>
      </c>
      <c r="B233" s="250" t="s">
        <v>266</v>
      </c>
      <c r="C233" s="250" t="s">
        <v>267</v>
      </c>
      <c r="D233" s="223" t="s">
        <v>268</v>
      </c>
      <c r="E233" s="250" t="s">
        <v>104</v>
      </c>
      <c r="F233" s="223" t="s">
        <v>41</v>
      </c>
      <c r="G233" s="250" t="s">
        <v>23</v>
      </c>
      <c r="H233" s="250" t="s">
        <v>1526</v>
      </c>
      <c r="I233" s="250">
        <v>201409</v>
      </c>
      <c r="J233" s="251">
        <v>3</v>
      </c>
      <c r="K233" s="171">
        <f>VLOOKUP(I233,$T$9:$U$23,2)</f>
        <v>9</v>
      </c>
      <c r="L233" s="253">
        <v>1.4833299999999999E-3</v>
      </c>
      <c r="M233" s="251">
        <f>ROUND(J233*K233*L233,2)</f>
        <v>0.04</v>
      </c>
      <c r="N233" s="251">
        <f>ROUND(J233*L233*12,2)</f>
        <v>0.05</v>
      </c>
      <c r="O233" s="223"/>
      <c r="P233" s="210" t="str">
        <f>VLOOKUP(C233,'WO Descriptions'!$A$5:$D$384,4,FALSE)</f>
        <v>Approved by: Ralph Janes on 09/05/2013,  Public Improvement Project: Country Lane Storm. Install a 20' x 5' dogleg for a new storm inlet at Country Lane and Country Place. Install 30' of 2in PE and retire 20' of 3in PE (WO# 78-3836). ISRS</v>
      </c>
      <c r="Q233" s="210"/>
      <c r="R233" s="210"/>
    </row>
    <row r="234" spans="1:18" outlineLevel="1">
      <c r="A234" s="223"/>
      <c r="B234" s="250"/>
      <c r="C234" s="254" t="s">
        <v>1822</v>
      </c>
      <c r="D234" s="223"/>
      <c r="E234" s="250"/>
      <c r="F234" s="223"/>
      <c r="G234" s="250"/>
      <c r="H234" s="250"/>
      <c r="I234" s="250"/>
      <c r="J234" s="251">
        <f>SUBTOTAL(9,J233:J233)</f>
        <v>3</v>
      </c>
      <c r="K234" s="252"/>
      <c r="L234" s="253"/>
      <c r="M234" s="251">
        <f>SUBTOTAL(9,M233:M233)</f>
        <v>0.04</v>
      </c>
      <c r="N234" s="251">
        <f>SUBTOTAL(9,N233:N233)</f>
        <v>0.05</v>
      </c>
      <c r="O234" s="223"/>
      <c r="P234" s="210"/>
      <c r="Q234" s="210" t="str">
        <f>VLOOKUP(C234,'Descriptions Sorted by WO '!$A$5:$S$977,18,FALSE)</f>
        <v>393.1009 (5) (C)</v>
      </c>
      <c r="R234" s="210"/>
    </row>
    <row r="235" spans="1:18" ht="75" outlineLevel="2">
      <c r="A235" s="223" t="s">
        <v>17</v>
      </c>
      <c r="B235" s="250" t="s">
        <v>269</v>
      </c>
      <c r="C235" s="250" t="s">
        <v>270</v>
      </c>
      <c r="D235" s="223" t="s">
        <v>271</v>
      </c>
      <c r="E235" s="250" t="s">
        <v>62</v>
      </c>
      <c r="F235" s="223" t="s">
        <v>22</v>
      </c>
      <c r="G235" s="250" t="s">
        <v>23</v>
      </c>
      <c r="H235" s="250" t="s">
        <v>1525</v>
      </c>
      <c r="I235" s="250">
        <v>201409</v>
      </c>
      <c r="J235" s="251">
        <v>0.82</v>
      </c>
      <c r="K235" s="171">
        <f>VLOOKUP(I235,$T$9:$U$23,2)</f>
        <v>9</v>
      </c>
      <c r="L235" s="253">
        <v>1.4833299999999999E-3</v>
      </c>
      <c r="M235" s="251">
        <f>ROUND(J235*K235*L235,2)</f>
        <v>0.01</v>
      </c>
      <c r="N235" s="251">
        <f>ROUND(J235*L235*12,2)</f>
        <v>0.01</v>
      </c>
      <c r="O235" s="223"/>
      <c r="P235" s="210" t="str">
        <f>VLOOKUP(C235,'WO Descriptions'!$A$5:$D$384,4,FALSE)</f>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
      <c r="Q235" s="210"/>
      <c r="R235" s="210"/>
    </row>
    <row r="236" spans="1:18" outlineLevel="1">
      <c r="A236" s="223"/>
      <c r="B236" s="250"/>
      <c r="C236" s="254" t="s">
        <v>1823</v>
      </c>
      <c r="D236" s="223"/>
      <c r="E236" s="250"/>
      <c r="F236" s="223"/>
      <c r="G236" s="250"/>
      <c r="H236" s="250"/>
      <c r="I236" s="250"/>
      <c r="J236" s="251">
        <f>SUBTOTAL(9,J235:J235)</f>
        <v>0.82</v>
      </c>
      <c r="K236" s="252"/>
      <c r="L236" s="253"/>
      <c r="M236" s="251">
        <f>SUBTOTAL(9,M235:M235)</f>
        <v>0.01</v>
      </c>
      <c r="N236" s="251">
        <f>SUBTOTAL(9,N235:N235)</f>
        <v>0.01</v>
      </c>
      <c r="O236" s="223"/>
      <c r="P236" s="210"/>
      <c r="Q236" s="210" t="str">
        <f>VLOOKUP(C236,'Descriptions Sorted by WO '!$A$5:$S$977,18,FALSE)</f>
        <v>393.1009 (5) (a) (b)</v>
      </c>
      <c r="R236" s="210" t="str">
        <f>VLOOKUP(C236,'Descriptions Sorted by WO '!$A$5:$S$977,19,FALSE)</f>
        <v>A,B,C</v>
      </c>
    </row>
    <row r="237" spans="1:18" ht="45" outlineLevel="2">
      <c r="A237" s="223" t="s">
        <v>17</v>
      </c>
      <c r="B237" s="250" t="s">
        <v>272</v>
      </c>
      <c r="C237" s="250" t="s">
        <v>273</v>
      </c>
      <c r="D237" s="223" t="s">
        <v>274</v>
      </c>
      <c r="E237" s="250" t="s">
        <v>36</v>
      </c>
      <c r="F237" s="223" t="s">
        <v>22</v>
      </c>
      <c r="G237" s="250" t="s">
        <v>23</v>
      </c>
      <c r="H237" s="250" t="s">
        <v>1525</v>
      </c>
      <c r="I237" s="250">
        <v>201409</v>
      </c>
      <c r="J237" s="251">
        <v>-319.74</v>
      </c>
      <c r="K237" s="171">
        <f>VLOOKUP(I237,$T$9:$U$23,2)</f>
        <v>9</v>
      </c>
      <c r="L237" s="253">
        <v>1.4833299999999999E-3</v>
      </c>
      <c r="M237" s="251">
        <f>ROUND(J237*K237*L237,2)</f>
        <v>-4.2699999999999996</v>
      </c>
      <c r="N237" s="251">
        <f>ROUND(J237*L237*12,2)</f>
        <v>-5.69</v>
      </c>
      <c r="O237" s="223"/>
      <c r="P237" s="210" t="str">
        <f>VLOOKUP(C237,'WO Descriptions'!$A$5:$D$384,4,FALSE)</f>
        <v>Approved by: Gary Williams on 03/03/2014,  TO LAY 680FT-4PE MAIN TO REPLACE 666FT-4 BARE STEEL MAIN.Due to other leakage on pipe.Cost per foot:$40.16 MOP:14oz MAOP: 21oz Design MAOP:14oz Test Pressure:100 PSIG.</v>
      </c>
      <c r="Q237" s="210"/>
      <c r="R237" s="210"/>
    </row>
    <row r="238" spans="1:18" ht="45" outlineLevel="2">
      <c r="A238" s="223" t="s">
        <v>17</v>
      </c>
      <c r="B238" s="250" t="s">
        <v>272</v>
      </c>
      <c r="C238" s="250" t="s">
        <v>273</v>
      </c>
      <c r="D238" s="223" t="s">
        <v>274</v>
      </c>
      <c r="E238" s="250" t="s">
        <v>36</v>
      </c>
      <c r="F238" s="223" t="s">
        <v>22</v>
      </c>
      <c r="G238" s="250" t="s">
        <v>23</v>
      </c>
      <c r="H238" s="250" t="s">
        <v>1525</v>
      </c>
      <c r="I238" s="250">
        <v>201410</v>
      </c>
      <c r="J238" s="251">
        <v>-30089.42</v>
      </c>
      <c r="K238" s="171">
        <f>VLOOKUP(I238,$T$9:$U$23,2)</f>
        <v>8</v>
      </c>
      <c r="L238" s="253">
        <v>1.4833299999999999E-3</v>
      </c>
      <c r="M238" s="251">
        <f>ROUND(J238*K238*L238,2)</f>
        <v>-357.06</v>
      </c>
      <c r="N238" s="251">
        <f>ROUND(J238*L238*12,2)</f>
        <v>-535.59</v>
      </c>
      <c r="O238" s="223"/>
      <c r="P238" s="210" t="str">
        <f>VLOOKUP(C238,'WO Descriptions'!$A$5:$D$384,4,FALSE)</f>
        <v>Approved by: Gary Williams on 03/03/2014,  TO LAY 680FT-4PE MAIN TO REPLACE 666FT-4 BARE STEEL MAIN.Due to other leakage on pipe.Cost per foot:$40.16 MOP:14oz MAOP: 21oz Design MAOP:14oz Test Pressure:100 PSIG.</v>
      </c>
      <c r="Q238" s="210"/>
      <c r="R238" s="210"/>
    </row>
    <row r="239" spans="1:18" ht="45" outlineLevel="2">
      <c r="A239" s="223" t="s">
        <v>54</v>
      </c>
      <c r="B239" s="250" t="s">
        <v>272</v>
      </c>
      <c r="C239" s="250" t="s">
        <v>273</v>
      </c>
      <c r="D239" s="223" t="s">
        <v>274</v>
      </c>
      <c r="E239" s="250" t="s">
        <v>36</v>
      </c>
      <c r="F239" s="223" t="s">
        <v>22</v>
      </c>
      <c r="G239" s="250" t="s">
        <v>23</v>
      </c>
      <c r="H239" s="250" t="s">
        <v>1525</v>
      </c>
      <c r="I239" s="250">
        <v>201410</v>
      </c>
      <c r="J239" s="251">
        <v>30089.42</v>
      </c>
      <c r="K239" s="171">
        <f>VLOOKUP(I239,$T$9:$U$23,2)</f>
        <v>8</v>
      </c>
      <c r="L239" s="253">
        <v>1.4833299999999999E-3</v>
      </c>
      <c r="M239" s="251">
        <f>ROUND(J239*K239*L239,2)</f>
        <v>357.06</v>
      </c>
      <c r="N239" s="251">
        <f>ROUND(J239*L239*12,2)</f>
        <v>535.59</v>
      </c>
      <c r="O239" s="223"/>
      <c r="P239" s="210" t="str">
        <f>VLOOKUP(C239,'WO Descriptions'!$A$5:$D$384,4,FALSE)</f>
        <v>Approved by: Gary Williams on 03/03/2014,  TO LAY 680FT-4PE MAIN TO REPLACE 666FT-4 BARE STEEL MAIN.Due to other leakage on pipe.Cost per foot:$40.16 MOP:14oz MAOP: 21oz Design MAOP:14oz Test Pressure:100 PSIG.</v>
      </c>
      <c r="Q239" s="210"/>
      <c r="R239" s="210"/>
    </row>
    <row r="240" spans="1:18" outlineLevel="1">
      <c r="A240" s="223"/>
      <c r="B240" s="250"/>
      <c r="C240" s="254" t="s">
        <v>1824</v>
      </c>
      <c r="D240" s="223"/>
      <c r="E240" s="250"/>
      <c r="F240" s="223"/>
      <c r="G240" s="250"/>
      <c r="H240" s="250"/>
      <c r="I240" s="250"/>
      <c r="J240" s="251">
        <f>SUBTOTAL(9,J237:J239)</f>
        <v>-319.7400000000016</v>
      </c>
      <c r="K240" s="252"/>
      <c r="L240" s="253"/>
      <c r="M240" s="251">
        <f>SUBTOTAL(9,M237:M239)</f>
        <v>-4.2699999999999818</v>
      </c>
      <c r="N240" s="251">
        <f>SUBTOTAL(9,N237:N239)</f>
        <v>-5.6900000000000546</v>
      </c>
      <c r="O240" s="223"/>
      <c r="P240" s="210"/>
      <c r="Q240" s="210" t="str">
        <f>VLOOKUP(C240,'Descriptions Sorted by WO '!$A$5:$S$977,18,FALSE)</f>
        <v>393.1009 (5) (a) (b)</v>
      </c>
      <c r="R240" s="210" t="str">
        <f>VLOOKUP(C240,'Descriptions Sorted by WO '!$A$5:$S$977,19,FALSE)</f>
        <v>A,B,C</v>
      </c>
    </row>
    <row r="241" spans="1:18" ht="60" outlineLevel="2">
      <c r="A241" s="223" t="s">
        <v>17</v>
      </c>
      <c r="B241" s="250" t="s">
        <v>275</v>
      </c>
      <c r="C241" s="250" t="s">
        <v>276</v>
      </c>
      <c r="D241" s="223" t="s">
        <v>277</v>
      </c>
      <c r="E241" s="250" t="s">
        <v>40</v>
      </c>
      <c r="F241" s="223" t="s">
        <v>41</v>
      </c>
      <c r="G241" s="250" t="s">
        <v>23</v>
      </c>
      <c r="H241" s="250" t="s">
        <v>1526</v>
      </c>
      <c r="I241" s="250">
        <v>201409</v>
      </c>
      <c r="J241" s="251">
        <v>-955.41</v>
      </c>
      <c r="K241" s="171">
        <f>VLOOKUP(I241,$T$9:$U$23,2)</f>
        <v>9</v>
      </c>
      <c r="L241" s="253">
        <v>1.4833299999999999E-3</v>
      </c>
      <c r="M241" s="251">
        <f>ROUND(J241*K241*L241,2)</f>
        <v>-12.75</v>
      </c>
      <c r="N241" s="251">
        <f>ROUND(J241*L241*12,2)</f>
        <v>-17.010000000000002</v>
      </c>
      <c r="O241" s="223"/>
      <c r="P241" s="210" t="str">
        <f>VLOOKUP(C241,'WO Descriptions'!$A$5:$D$384,4,FALSE)</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c r="Q241" s="210"/>
      <c r="R241" s="210"/>
    </row>
    <row r="242" spans="1:18" ht="60" outlineLevel="2">
      <c r="A242" s="223" t="s">
        <v>54</v>
      </c>
      <c r="B242" s="250" t="s">
        <v>275</v>
      </c>
      <c r="C242" s="250" t="s">
        <v>276</v>
      </c>
      <c r="D242" s="223" t="s">
        <v>277</v>
      </c>
      <c r="E242" s="250" t="s">
        <v>40</v>
      </c>
      <c r="F242" s="223" t="s">
        <v>41</v>
      </c>
      <c r="G242" s="250" t="s">
        <v>23</v>
      </c>
      <c r="H242" s="250" t="s">
        <v>1526</v>
      </c>
      <c r="I242" s="250">
        <v>201409</v>
      </c>
      <c r="J242" s="251">
        <v>-211.86</v>
      </c>
      <c r="K242" s="171">
        <f>VLOOKUP(I242,$T$9:$U$23,2)</f>
        <v>9</v>
      </c>
      <c r="L242" s="253">
        <v>1.4833299999999999E-3</v>
      </c>
      <c r="M242" s="251">
        <f>ROUND(J242*K242*L242,2)</f>
        <v>-2.83</v>
      </c>
      <c r="N242" s="251">
        <f>ROUND(J242*L242*12,2)</f>
        <v>-3.77</v>
      </c>
      <c r="O242" s="223"/>
      <c r="P242" s="210" t="str">
        <f>VLOOKUP(C242,'WO Descriptions'!$A$5:$D$384,4,FALSE)</f>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
      <c r="Q242" s="210"/>
      <c r="R242" s="210"/>
    </row>
    <row r="243" spans="1:18" outlineLevel="1">
      <c r="A243" s="223"/>
      <c r="B243" s="250"/>
      <c r="C243" s="254" t="s">
        <v>1825</v>
      </c>
      <c r="D243" s="223"/>
      <c r="E243" s="250"/>
      <c r="F243" s="223"/>
      <c r="G243" s="250"/>
      <c r="H243" s="250"/>
      <c r="I243" s="250"/>
      <c r="J243" s="251">
        <f>SUBTOTAL(9,J241:J242)</f>
        <v>-1167.27</v>
      </c>
      <c r="K243" s="252"/>
      <c r="L243" s="253"/>
      <c r="M243" s="251">
        <f>SUBTOTAL(9,M241:M242)</f>
        <v>-15.58</v>
      </c>
      <c r="N243" s="251">
        <f>SUBTOTAL(9,N241:N242)</f>
        <v>-20.78</v>
      </c>
      <c r="O243" s="223"/>
      <c r="P243" s="210"/>
      <c r="Q243" s="210" t="str">
        <f>VLOOKUP(C243,'Descriptions Sorted by WO '!$A$5:$S$977,18,FALSE)</f>
        <v>393.1009 (5) (C)</v>
      </c>
      <c r="R243" s="210"/>
    </row>
    <row r="244" spans="1:18" ht="45" outlineLevel="2">
      <c r="A244" s="223" t="s">
        <v>17</v>
      </c>
      <c r="B244" s="250" t="s">
        <v>278</v>
      </c>
      <c r="C244" s="250" t="s">
        <v>279</v>
      </c>
      <c r="D244" s="223" t="s">
        <v>280</v>
      </c>
      <c r="E244" s="250" t="s">
        <v>104</v>
      </c>
      <c r="F244" s="223" t="s">
        <v>41</v>
      </c>
      <c r="G244" s="250" t="s">
        <v>23</v>
      </c>
      <c r="H244" s="250" t="s">
        <v>1526</v>
      </c>
      <c r="I244" s="250">
        <v>201409</v>
      </c>
      <c r="J244" s="251">
        <v>-53.52</v>
      </c>
      <c r="K244" s="171">
        <f>VLOOKUP(I244,$T$9:$U$23,2)</f>
        <v>9</v>
      </c>
      <c r="L244" s="253">
        <v>1.4833299999999999E-3</v>
      </c>
      <c r="M244" s="251">
        <f>ROUND(J244*K244*L244,2)</f>
        <v>-0.71</v>
      </c>
      <c r="N244" s="251">
        <f>ROUND(J244*L244*12,2)</f>
        <v>-0.95</v>
      </c>
      <c r="O244" s="223"/>
      <c r="P244" s="210" t="str">
        <f>VLOOKUP(C244,'WO Descriptions'!$A$5:$D$384,4,FALSE)</f>
        <v>Approved by: Ralph Janes on 03/05/2014,  Relocate and abandon 15' - 4" pe main (00-1895) by installing 30' - temporary 2" pe main and then 15' - 4" pe main to allow the rural water district to install a new water tower main and tap. (ISRS)</v>
      </c>
      <c r="Q244" s="210"/>
      <c r="R244" s="210"/>
    </row>
    <row r="245" spans="1:18" ht="45" outlineLevel="2">
      <c r="A245" s="223" t="s">
        <v>17</v>
      </c>
      <c r="B245" s="250" t="s">
        <v>278</v>
      </c>
      <c r="C245" s="250" t="s">
        <v>279</v>
      </c>
      <c r="D245" s="223" t="s">
        <v>280</v>
      </c>
      <c r="E245" s="250" t="s">
        <v>104</v>
      </c>
      <c r="F245" s="223" t="s">
        <v>41</v>
      </c>
      <c r="G245" s="250" t="s">
        <v>23</v>
      </c>
      <c r="H245" s="250" t="s">
        <v>1526</v>
      </c>
      <c r="I245" s="250">
        <v>201412</v>
      </c>
      <c r="J245" s="251">
        <v>-1972.63</v>
      </c>
      <c r="K245" s="171">
        <f>VLOOKUP(I245,$T$9:$U$23,2)</f>
        <v>6</v>
      </c>
      <c r="L245" s="253">
        <v>1.4833299999999999E-3</v>
      </c>
      <c r="M245" s="251">
        <f>ROUND(J245*K245*L245,2)</f>
        <v>-17.559999999999999</v>
      </c>
      <c r="N245" s="251">
        <f>ROUND(J245*L245*12,2)</f>
        <v>-35.11</v>
      </c>
      <c r="O245" s="223"/>
      <c r="P245" s="210" t="str">
        <f>VLOOKUP(C245,'WO Descriptions'!$A$5:$D$384,4,FALSE)</f>
        <v>Approved by: Ralph Janes on 03/05/2014,  Relocate and abandon 15' - 4" pe main (00-1895) by installing 30' - temporary 2" pe main and then 15' - 4" pe main to allow the rural water district to install a new water tower main and tap. (ISRS)</v>
      </c>
      <c r="Q245" s="210"/>
      <c r="R245" s="210"/>
    </row>
    <row r="246" spans="1:18" ht="45" outlineLevel="2">
      <c r="A246" s="223" t="s">
        <v>54</v>
      </c>
      <c r="B246" s="250" t="s">
        <v>278</v>
      </c>
      <c r="C246" s="250" t="s">
        <v>279</v>
      </c>
      <c r="D246" s="223" t="s">
        <v>280</v>
      </c>
      <c r="E246" s="250" t="s">
        <v>104</v>
      </c>
      <c r="F246" s="223" t="s">
        <v>41</v>
      </c>
      <c r="G246" s="250" t="s">
        <v>23</v>
      </c>
      <c r="H246" s="250" t="s">
        <v>1526</v>
      </c>
      <c r="I246" s="250">
        <v>201412</v>
      </c>
      <c r="J246" s="251">
        <v>1972.63</v>
      </c>
      <c r="K246" s="171">
        <f>VLOOKUP(I246,$T$9:$U$23,2)</f>
        <v>6</v>
      </c>
      <c r="L246" s="253">
        <v>1.4833299999999999E-3</v>
      </c>
      <c r="M246" s="251">
        <f>ROUND(J246*K246*L246,2)</f>
        <v>17.559999999999999</v>
      </c>
      <c r="N246" s="251">
        <f>ROUND(J246*L246*12,2)</f>
        <v>35.11</v>
      </c>
      <c r="O246" s="223"/>
      <c r="P246" s="210" t="str">
        <f>VLOOKUP(C246,'WO Descriptions'!$A$5:$D$384,4,FALSE)</f>
        <v>Approved by: Ralph Janes on 03/05/2014,  Relocate and abandon 15' - 4" pe main (00-1895) by installing 30' - temporary 2" pe main and then 15' - 4" pe main to allow the rural water district to install a new water tower main and tap. (ISRS)</v>
      </c>
      <c r="Q246" s="210"/>
      <c r="R246" s="210"/>
    </row>
    <row r="247" spans="1:18" outlineLevel="1">
      <c r="A247" s="223"/>
      <c r="B247" s="250"/>
      <c r="C247" s="254" t="s">
        <v>1826</v>
      </c>
      <c r="D247" s="223"/>
      <c r="E247" s="250"/>
      <c r="F247" s="223"/>
      <c r="G247" s="250"/>
      <c r="H247" s="250"/>
      <c r="I247" s="250"/>
      <c r="J247" s="251">
        <f>SUBTOTAL(9,J244:J246)</f>
        <v>-53.519999999999982</v>
      </c>
      <c r="K247" s="252"/>
      <c r="L247" s="253"/>
      <c r="M247" s="251">
        <f>SUBTOTAL(9,M244:M246)</f>
        <v>-0.71000000000000085</v>
      </c>
      <c r="N247" s="251">
        <f>SUBTOTAL(9,N244:N246)</f>
        <v>-0.95000000000000284</v>
      </c>
      <c r="O247" s="223"/>
      <c r="P247" s="210"/>
      <c r="Q247" s="210" t="str">
        <f>VLOOKUP(C247,'Descriptions Sorted by WO '!$A$5:$S$977,18,FALSE)</f>
        <v>393.1009 (5) (C)</v>
      </c>
      <c r="R247" s="210"/>
    </row>
    <row r="248" spans="1:18" ht="105" outlineLevel="2">
      <c r="A248" s="223" t="s">
        <v>17</v>
      </c>
      <c r="B248" s="250" t="s">
        <v>281</v>
      </c>
      <c r="C248" s="250" t="s">
        <v>282</v>
      </c>
      <c r="D248" s="223" t="s">
        <v>283</v>
      </c>
      <c r="E248" s="250" t="s">
        <v>40</v>
      </c>
      <c r="F248" s="223" t="s">
        <v>41</v>
      </c>
      <c r="G248" s="250" t="s">
        <v>23</v>
      </c>
      <c r="H248" s="250" t="s">
        <v>1526</v>
      </c>
      <c r="I248" s="250">
        <v>201409</v>
      </c>
      <c r="J248" s="251">
        <v>-3433.06</v>
      </c>
      <c r="K248" s="171">
        <f>VLOOKUP(I248,$T$9:$U$23,2)</f>
        <v>9</v>
      </c>
      <c r="L248" s="253">
        <v>1.4833299999999999E-3</v>
      </c>
      <c r="M248" s="251">
        <f>ROUND(J248*K248*L248,2)</f>
        <v>-45.83</v>
      </c>
      <c r="N248" s="251">
        <f>ROUND(J248*L248*12,2)</f>
        <v>-61.11</v>
      </c>
      <c r="O248" s="223"/>
      <c r="P248" s="210" t="str">
        <f>VLOOKUP(C248,'WO Descriptions'!$A$5:$D$384,4,FALSE)</f>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
      <c r="Q248" s="210"/>
      <c r="R248" s="210"/>
    </row>
    <row r="249" spans="1:18" outlineLevel="1">
      <c r="A249" s="223"/>
      <c r="B249" s="250"/>
      <c r="C249" s="254" t="s">
        <v>1827</v>
      </c>
      <c r="D249" s="223"/>
      <c r="E249" s="250"/>
      <c r="F249" s="223"/>
      <c r="G249" s="250"/>
      <c r="H249" s="250"/>
      <c r="I249" s="250"/>
      <c r="J249" s="251">
        <f>SUBTOTAL(9,J248:J248)</f>
        <v>-3433.06</v>
      </c>
      <c r="K249" s="252"/>
      <c r="L249" s="253"/>
      <c r="M249" s="251">
        <f>SUBTOTAL(9,M248:M248)</f>
        <v>-45.83</v>
      </c>
      <c r="N249" s="251">
        <f>SUBTOTAL(9,N248:N248)</f>
        <v>-61.11</v>
      </c>
      <c r="O249" s="223"/>
      <c r="P249" s="210"/>
      <c r="Q249" s="210" t="str">
        <f>VLOOKUP(C249,'Descriptions Sorted by WO '!$A$5:$S$977,18,FALSE)</f>
        <v>393.1009 (5) (C)</v>
      </c>
      <c r="R249" s="210"/>
    </row>
    <row r="250" spans="1:18" ht="75" outlineLevel="2">
      <c r="A250" s="223" t="s">
        <v>54</v>
      </c>
      <c r="B250" s="250" t="s">
        <v>284</v>
      </c>
      <c r="C250" s="250" t="s">
        <v>285</v>
      </c>
      <c r="D250" s="223" t="s">
        <v>286</v>
      </c>
      <c r="E250" s="250" t="s">
        <v>58</v>
      </c>
      <c r="F250" s="223" t="s">
        <v>22</v>
      </c>
      <c r="G250" s="250" t="s">
        <v>23</v>
      </c>
      <c r="H250" s="250" t="s">
        <v>1525</v>
      </c>
      <c r="I250" s="250">
        <v>201410</v>
      </c>
      <c r="J250" s="251">
        <v>258234.64</v>
      </c>
      <c r="K250" s="171">
        <f>VLOOKUP(I250,$T$9:$U$23,2)</f>
        <v>8</v>
      </c>
      <c r="L250" s="253">
        <v>1.4833299999999999E-3</v>
      </c>
      <c r="M250" s="251">
        <f>ROUND(J250*K250*L250,2)</f>
        <v>3064.38</v>
      </c>
      <c r="N250" s="251">
        <f>ROUND(J250*L250*12,2)</f>
        <v>4596.57</v>
      </c>
      <c r="O250" s="223"/>
      <c r="P250" s="210" t="str">
        <f>VLOOKUP(C250,'WO Descriptions'!$A$5:$D$384,4,FALSE)</f>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
      <c r="Q250" s="210"/>
      <c r="R250" s="210"/>
    </row>
    <row r="251" spans="1:18" outlineLevel="1">
      <c r="A251" s="223"/>
      <c r="B251" s="250"/>
      <c r="C251" s="254" t="s">
        <v>1828</v>
      </c>
      <c r="D251" s="223"/>
      <c r="E251" s="250"/>
      <c r="F251" s="223"/>
      <c r="G251" s="250"/>
      <c r="H251" s="250"/>
      <c r="I251" s="250"/>
      <c r="J251" s="251">
        <f>SUBTOTAL(9,J250:J250)</f>
        <v>258234.64</v>
      </c>
      <c r="K251" s="252"/>
      <c r="L251" s="253"/>
      <c r="M251" s="251">
        <f>SUBTOTAL(9,M250:M250)</f>
        <v>3064.38</v>
      </c>
      <c r="N251" s="251">
        <f>SUBTOTAL(9,N250:N250)</f>
        <v>4596.57</v>
      </c>
      <c r="O251" s="223"/>
      <c r="P251" s="210"/>
      <c r="Q251" s="210" t="str">
        <f>VLOOKUP(C251,'Descriptions Sorted by WO '!$A$5:$S$977,18,FALSE)</f>
        <v>393.1009 (5) (a) (b)</v>
      </c>
      <c r="R251" s="210" t="str">
        <f>VLOOKUP(C251,'Descriptions Sorted by WO '!$A$5:$S$977,19,FALSE)</f>
        <v>A,B,C</v>
      </c>
    </row>
    <row r="252" spans="1:18" ht="60" outlineLevel="2">
      <c r="A252" s="223" t="s">
        <v>17</v>
      </c>
      <c r="B252" s="250" t="s">
        <v>287</v>
      </c>
      <c r="C252" s="250" t="s">
        <v>288</v>
      </c>
      <c r="D252" s="223" t="s">
        <v>289</v>
      </c>
      <c r="E252" s="250" t="s">
        <v>21</v>
      </c>
      <c r="F252" s="223" t="s">
        <v>22</v>
      </c>
      <c r="G252" s="250" t="s">
        <v>23</v>
      </c>
      <c r="H252" s="250" t="s">
        <v>1525</v>
      </c>
      <c r="I252" s="250">
        <v>201409</v>
      </c>
      <c r="J252" s="251">
        <v>-258.58</v>
      </c>
      <c r="K252" s="171">
        <f>VLOOKUP(I252,$T$9:$U$23,2)</f>
        <v>9</v>
      </c>
      <c r="L252" s="253">
        <v>1.4833299999999999E-3</v>
      </c>
      <c r="M252" s="251">
        <f>ROUND(J252*K252*L252,2)</f>
        <v>-3.45</v>
      </c>
      <c r="N252" s="251">
        <f>ROUND(J252*L252*12,2)</f>
        <v>-4.5999999999999996</v>
      </c>
      <c r="O252" s="223"/>
      <c r="P252" s="210" t="str">
        <f>VLOOKUP(C252,'WO Descriptions'!$A$5:$D$384,4,FALSE)</f>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
      <c r="Q252" s="210"/>
      <c r="R252" s="210"/>
    </row>
    <row r="253" spans="1:18" outlineLevel="1">
      <c r="A253" s="223"/>
      <c r="B253" s="250"/>
      <c r="C253" s="254" t="s">
        <v>1829</v>
      </c>
      <c r="D253" s="223"/>
      <c r="E253" s="250"/>
      <c r="F253" s="223"/>
      <c r="G253" s="250"/>
      <c r="H253" s="250"/>
      <c r="I253" s="250"/>
      <c r="J253" s="251">
        <f>SUBTOTAL(9,J252:J252)</f>
        <v>-258.58</v>
      </c>
      <c r="K253" s="252"/>
      <c r="L253" s="253"/>
      <c r="M253" s="251">
        <f>SUBTOTAL(9,M252:M252)</f>
        <v>-3.45</v>
      </c>
      <c r="N253" s="251">
        <f>SUBTOTAL(9,N252:N252)</f>
        <v>-4.5999999999999996</v>
      </c>
      <c r="O253" s="223"/>
      <c r="P253" s="210"/>
      <c r="Q253" s="210" t="str">
        <f>VLOOKUP(C253,'Descriptions Sorted by WO '!$A$5:$S$977,18,FALSE)</f>
        <v>393.1009 (5) (a) (b)</v>
      </c>
      <c r="R253" s="210" t="str">
        <f>VLOOKUP(C253,'Descriptions Sorted by WO '!$A$5:$S$977,19,FALSE)</f>
        <v>A,B,C</v>
      </c>
    </row>
    <row r="254" spans="1:18" ht="60" outlineLevel="2">
      <c r="A254" s="223" t="s">
        <v>17</v>
      </c>
      <c r="B254" s="250" t="s">
        <v>290</v>
      </c>
      <c r="C254" s="250" t="s">
        <v>291</v>
      </c>
      <c r="D254" s="223" t="s">
        <v>292</v>
      </c>
      <c r="E254" s="250" t="s">
        <v>62</v>
      </c>
      <c r="F254" s="223" t="s">
        <v>22</v>
      </c>
      <c r="G254" s="250" t="s">
        <v>23</v>
      </c>
      <c r="H254" s="250" t="s">
        <v>1525</v>
      </c>
      <c r="I254" s="250">
        <v>201409</v>
      </c>
      <c r="J254" s="251">
        <v>-309.68</v>
      </c>
      <c r="K254" s="171">
        <f>VLOOKUP(I254,$T$9:$U$23,2)</f>
        <v>9</v>
      </c>
      <c r="L254" s="253">
        <v>1.4833299999999999E-3</v>
      </c>
      <c r="M254" s="251">
        <f>ROUND(J254*K254*L254,2)</f>
        <v>-4.13</v>
      </c>
      <c r="N254" s="251">
        <f>ROUND(J254*L254*12,2)</f>
        <v>-5.51</v>
      </c>
      <c r="O254" s="223"/>
      <c r="P254" s="210" t="str">
        <f>VLOOKUP(C254,'WO Descriptions'!$A$5:$D$384,4,FALSE)</f>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
      <c r="Q254" s="210"/>
      <c r="R254" s="210"/>
    </row>
    <row r="255" spans="1:18" outlineLevel="1">
      <c r="A255" s="223"/>
      <c r="B255" s="250"/>
      <c r="C255" s="254" t="s">
        <v>1830</v>
      </c>
      <c r="D255" s="223"/>
      <c r="E255" s="250"/>
      <c r="F255" s="223"/>
      <c r="G255" s="250"/>
      <c r="H255" s="250"/>
      <c r="I255" s="250"/>
      <c r="J255" s="251">
        <f>SUBTOTAL(9,J254:J254)</f>
        <v>-309.68</v>
      </c>
      <c r="K255" s="252"/>
      <c r="L255" s="253"/>
      <c r="M255" s="251">
        <f>SUBTOTAL(9,M254:M254)</f>
        <v>-4.13</v>
      </c>
      <c r="N255" s="251">
        <f>SUBTOTAL(9,N254:N254)</f>
        <v>-5.51</v>
      </c>
      <c r="O255" s="223"/>
      <c r="P255" s="210"/>
      <c r="Q255" s="210" t="str">
        <f>VLOOKUP(C255,'Descriptions Sorted by WO '!$A$5:$S$977,18,FALSE)</f>
        <v>393.1009 (5) (a) (b)</v>
      </c>
      <c r="R255" s="210" t="str">
        <f>VLOOKUP(C255,'Descriptions Sorted by WO '!$A$5:$S$977,19,FALSE)</f>
        <v>A,B,C</v>
      </c>
    </row>
    <row r="256" spans="1:18" ht="60" outlineLevel="2">
      <c r="A256" s="223" t="s">
        <v>17</v>
      </c>
      <c r="B256" s="250" t="s">
        <v>293</v>
      </c>
      <c r="C256" s="250" t="s">
        <v>294</v>
      </c>
      <c r="D256" s="223" t="s">
        <v>295</v>
      </c>
      <c r="E256" s="250" t="s">
        <v>296</v>
      </c>
      <c r="F256" s="223" t="s">
        <v>28</v>
      </c>
      <c r="G256" s="250" t="s">
        <v>23</v>
      </c>
      <c r="H256" s="250" t="s">
        <v>1525</v>
      </c>
      <c r="I256" s="250">
        <v>201409</v>
      </c>
      <c r="J256" s="251">
        <v>-79.17</v>
      </c>
      <c r="K256" s="171">
        <f>VLOOKUP(I256,$T$9:$U$23,2)</f>
        <v>9</v>
      </c>
      <c r="L256" s="253">
        <v>1.4833299999999999E-3</v>
      </c>
      <c r="M256" s="251">
        <f>ROUND(J256*K256*L256,2)</f>
        <v>-1.06</v>
      </c>
      <c r="N256" s="251">
        <f>ROUND(J256*L256*12,2)</f>
        <v>-1.41</v>
      </c>
      <c r="O256" s="223"/>
      <c r="P256" s="210" t="str">
        <f>VLOOKUP(C256,'WO Descriptions'!$A$5:$D$384,4,FALSE)</f>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
      <c r="Q256" s="210"/>
      <c r="R256" s="210"/>
    </row>
    <row r="257" spans="1:18" outlineLevel="1">
      <c r="A257" s="223"/>
      <c r="B257" s="250"/>
      <c r="C257" s="254" t="s">
        <v>1831</v>
      </c>
      <c r="D257" s="223"/>
      <c r="E257" s="250"/>
      <c r="F257" s="223"/>
      <c r="G257" s="250"/>
      <c r="H257" s="250"/>
      <c r="I257" s="250"/>
      <c r="J257" s="251">
        <f>SUBTOTAL(9,J256:J256)</f>
        <v>-79.17</v>
      </c>
      <c r="K257" s="252"/>
      <c r="L257" s="253"/>
      <c r="M257" s="251">
        <f>SUBTOTAL(9,M256:M256)</f>
        <v>-1.06</v>
      </c>
      <c r="N257" s="251">
        <f>SUBTOTAL(9,N256:N256)</f>
        <v>-1.41</v>
      </c>
      <c r="O257" s="223"/>
      <c r="P257" s="210"/>
      <c r="Q257" s="210" t="str">
        <f>VLOOKUP(C257,'Descriptions Sorted by WO '!$A$5:$S$977,18,FALSE)</f>
        <v>393.1009 (5) (a) (b)</v>
      </c>
      <c r="R257" s="210" t="str">
        <f>VLOOKUP(C257,'Descriptions Sorted by WO '!$A$5:$S$977,19,FALSE)</f>
        <v>A,B</v>
      </c>
    </row>
    <row r="258" spans="1:18" ht="60" outlineLevel="2">
      <c r="A258" s="223" t="s">
        <v>17</v>
      </c>
      <c r="B258" s="250" t="s">
        <v>297</v>
      </c>
      <c r="C258" s="250" t="s">
        <v>298</v>
      </c>
      <c r="D258" s="223" t="s">
        <v>299</v>
      </c>
      <c r="E258" s="250" t="s">
        <v>21</v>
      </c>
      <c r="F258" s="223" t="s">
        <v>22</v>
      </c>
      <c r="G258" s="250" t="s">
        <v>23</v>
      </c>
      <c r="H258" s="250" t="s">
        <v>1525</v>
      </c>
      <c r="I258" s="250">
        <v>201409</v>
      </c>
      <c r="J258" s="251">
        <v>-1027.9100000000001</v>
      </c>
      <c r="K258" s="171">
        <f>VLOOKUP(I258,$T$9:$U$23,2)</f>
        <v>9</v>
      </c>
      <c r="L258" s="253">
        <v>1.4833299999999999E-3</v>
      </c>
      <c r="M258" s="251">
        <f>ROUND(J258*K258*L258,2)</f>
        <v>-13.72</v>
      </c>
      <c r="N258" s="251">
        <f>ROUND(J258*L258*12,2)</f>
        <v>-18.3</v>
      </c>
      <c r="O258" s="223"/>
      <c r="P258" s="210" t="str">
        <f>VLOOKUP(C258,'WO Descriptions'!$A$5:$D$384,4,FALSE)</f>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
      <c r="Q258" s="210"/>
      <c r="R258" s="210"/>
    </row>
    <row r="259" spans="1:18" outlineLevel="1">
      <c r="A259" s="223"/>
      <c r="B259" s="250"/>
      <c r="C259" s="254" t="s">
        <v>1832</v>
      </c>
      <c r="D259" s="223"/>
      <c r="E259" s="250"/>
      <c r="F259" s="223"/>
      <c r="G259" s="250"/>
      <c r="H259" s="250"/>
      <c r="I259" s="250"/>
      <c r="J259" s="251">
        <f>SUBTOTAL(9,J258:J258)</f>
        <v>-1027.9100000000001</v>
      </c>
      <c r="K259" s="252"/>
      <c r="L259" s="253"/>
      <c r="M259" s="251">
        <f>SUBTOTAL(9,M258:M258)</f>
        <v>-13.72</v>
      </c>
      <c r="N259" s="251">
        <f>SUBTOTAL(9,N258:N258)</f>
        <v>-18.3</v>
      </c>
      <c r="O259" s="223"/>
      <c r="P259" s="210"/>
      <c r="Q259" s="210" t="str">
        <f>VLOOKUP(C259,'Descriptions Sorted by WO '!$A$5:$S$977,18,FALSE)</f>
        <v>393.1009 (5) (a) (b)</v>
      </c>
      <c r="R259" s="210" t="str">
        <f>VLOOKUP(C259,'Descriptions Sorted by WO '!$A$5:$S$977,19,FALSE)</f>
        <v>A,B,C</v>
      </c>
    </row>
    <row r="260" spans="1:18" ht="45" outlineLevel="2">
      <c r="A260" s="223" t="s">
        <v>17</v>
      </c>
      <c r="B260" s="250" t="s">
        <v>300</v>
      </c>
      <c r="C260" s="250" t="s">
        <v>301</v>
      </c>
      <c r="D260" s="223" t="s">
        <v>302</v>
      </c>
      <c r="E260" s="250" t="s">
        <v>141</v>
      </c>
      <c r="F260" s="223" t="s">
        <v>142</v>
      </c>
      <c r="G260" s="250" t="s">
        <v>23</v>
      </c>
      <c r="H260" s="250" t="s">
        <v>1525</v>
      </c>
      <c r="I260" s="250">
        <v>201409</v>
      </c>
      <c r="J260" s="251">
        <v>-683.05</v>
      </c>
      <c r="K260" s="171">
        <f>VLOOKUP(I260,$T$9:$U$23,2)</f>
        <v>9</v>
      </c>
      <c r="L260" s="253">
        <v>1.4833299999999999E-3</v>
      </c>
      <c r="M260" s="251">
        <f>ROUND(J260*K260*L260,2)</f>
        <v>-9.1199999999999992</v>
      </c>
      <c r="N260" s="251">
        <f>ROUND(J260*L260*12,2)</f>
        <v>-12.16</v>
      </c>
      <c r="O260" s="223"/>
      <c r="P260" s="210" t="str">
        <f>VLOOKUP(C260,'WO Descriptions'!$A$5:$D$384,4,FALSE)</f>
        <v>Approved by: Kevin Driskell on 12/16/2013,  AOR.  Replace 35' of 4in CI with PE main.  CI is in angle of repose due to 12' of parallel excavation next to main.  This project must be completed by Feb 16, 2014.  AOR happened 119' SSCB of 45th Street.  Tie-over 1 service at 4505 Agnes.</v>
      </c>
      <c r="Q260" s="210"/>
      <c r="R260" s="210"/>
    </row>
    <row r="261" spans="1:18" outlineLevel="1">
      <c r="A261" s="223"/>
      <c r="B261" s="250"/>
      <c r="C261" s="254" t="s">
        <v>1833</v>
      </c>
      <c r="D261" s="223"/>
      <c r="E261" s="250"/>
      <c r="F261" s="223"/>
      <c r="G261" s="250"/>
      <c r="H261" s="250"/>
      <c r="I261" s="250"/>
      <c r="J261" s="251">
        <f>SUBTOTAL(9,J260:J260)</f>
        <v>-683.05</v>
      </c>
      <c r="K261" s="252"/>
      <c r="L261" s="253"/>
      <c r="M261" s="251">
        <f>SUBTOTAL(9,M260:M260)</f>
        <v>-9.1199999999999992</v>
      </c>
      <c r="N261" s="251">
        <f>SUBTOTAL(9,N260:N260)</f>
        <v>-12.16</v>
      </c>
      <c r="O261" s="223"/>
      <c r="P261" s="210"/>
      <c r="Q261" s="210" t="str">
        <f>VLOOKUP(C261,'Descriptions Sorted by WO '!$A$5:$S$977,18,FALSE)</f>
        <v>393.1009 (5) (a) (b)</v>
      </c>
      <c r="R261" s="210" t="str">
        <f>VLOOKUP(C261,'Descriptions Sorted by WO '!$A$5:$S$977,19,FALSE)</f>
        <v>A,B,C,D,I</v>
      </c>
    </row>
    <row r="262" spans="1:18" ht="90" outlineLevel="2">
      <c r="A262" s="223" t="s">
        <v>17</v>
      </c>
      <c r="B262" s="250" t="s">
        <v>1024</v>
      </c>
      <c r="C262" s="250" t="s">
        <v>1025</v>
      </c>
      <c r="D262" s="223" t="s">
        <v>1026</v>
      </c>
      <c r="E262" s="250" t="s">
        <v>216</v>
      </c>
      <c r="F262" s="223" t="s">
        <v>22</v>
      </c>
      <c r="G262" s="250" t="s">
        <v>23</v>
      </c>
      <c r="H262" s="250" t="s">
        <v>1525</v>
      </c>
      <c r="I262" s="250">
        <v>201412</v>
      </c>
      <c r="J262" s="251">
        <v>48840.31</v>
      </c>
      <c r="K262" s="171">
        <f>VLOOKUP(I262,$T$9:$U$23,2)</f>
        <v>6</v>
      </c>
      <c r="L262" s="253">
        <v>1.4833299999999999E-3</v>
      </c>
      <c r="M262" s="251">
        <f>ROUND(J262*K262*L262,2)</f>
        <v>434.68</v>
      </c>
      <c r="N262" s="251">
        <f>ROUND(J262*L262*12,2)</f>
        <v>869.36</v>
      </c>
      <c r="O262" s="223"/>
      <c r="P262" s="210" t="str">
        <f>VLOOKUP(C262,'WO Descriptions'!$A$5:$D$384,4,FALSE)</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c r="Q262" s="210"/>
      <c r="R262" s="210"/>
    </row>
    <row r="263" spans="1:18" ht="90" outlineLevel="2">
      <c r="A263" s="223" t="s">
        <v>17</v>
      </c>
      <c r="B263" s="250" t="s">
        <v>1024</v>
      </c>
      <c r="C263" s="250" t="s">
        <v>1025</v>
      </c>
      <c r="D263" s="223" t="s">
        <v>1026</v>
      </c>
      <c r="E263" s="250" t="s">
        <v>216</v>
      </c>
      <c r="F263" s="223" t="s">
        <v>22</v>
      </c>
      <c r="G263" s="250" t="s">
        <v>23</v>
      </c>
      <c r="H263" s="250" t="s">
        <v>1525</v>
      </c>
      <c r="I263" s="250">
        <v>201501</v>
      </c>
      <c r="J263" s="251">
        <v>87.89</v>
      </c>
      <c r="K263" s="171">
        <f>VLOOKUP(I263,$T$9:$U$23,2)</f>
        <v>5</v>
      </c>
      <c r="L263" s="253">
        <v>1.4833299999999999E-3</v>
      </c>
      <c r="M263" s="251">
        <f>ROUND(J263*K263*L263,2)</f>
        <v>0.65</v>
      </c>
      <c r="N263" s="251">
        <f>ROUND(J263*L263*12,2)</f>
        <v>1.56</v>
      </c>
      <c r="O263" s="223"/>
      <c r="P263" s="210" t="str">
        <f>VLOOKUP(C263,'WO Descriptions'!$A$5:$D$384,4,FALSE)</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c r="Q263" s="210"/>
      <c r="R263" s="210"/>
    </row>
    <row r="264" spans="1:18" ht="90" outlineLevel="2">
      <c r="A264" s="223" t="s">
        <v>17</v>
      </c>
      <c r="B264" s="250" t="s">
        <v>1024</v>
      </c>
      <c r="C264" s="250" t="s">
        <v>1025</v>
      </c>
      <c r="D264" s="223" t="s">
        <v>1026</v>
      </c>
      <c r="E264" s="250" t="s">
        <v>216</v>
      </c>
      <c r="F264" s="223" t="s">
        <v>22</v>
      </c>
      <c r="G264" s="250" t="s">
        <v>23</v>
      </c>
      <c r="H264" s="250" t="s">
        <v>1525</v>
      </c>
      <c r="I264" s="250">
        <v>201502</v>
      </c>
      <c r="J264" s="251">
        <v>10.91</v>
      </c>
      <c r="K264" s="171">
        <f>VLOOKUP(I264,$T$9:$U$23,2)</f>
        <v>4</v>
      </c>
      <c r="L264" s="253">
        <v>1.4833299999999999E-3</v>
      </c>
      <c r="M264" s="251">
        <f>ROUND(J264*K264*L264,2)</f>
        <v>0.06</v>
      </c>
      <c r="N264" s="251">
        <f>ROUND(J264*L264*12,2)</f>
        <v>0.19</v>
      </c>
      <c r="O264" s="223"/>
      <c r="P264" s="210" t="str">
        <f>VLOOKUP(C264,'WO Descriptions'!$A$5:$D$384,4,FALSE)</f>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
      <c r="Q264" s="210"/>
      <c r="R264" s="210"/>
    </row>
    <row r="265" spans="1:18" outlineLevel="1">
      <c r="A265" s="223"/>
      <c r="B265" s="250"/>
      <c r="C265" s="254" t="s">
        <v>1834</v>
      </c>
      <c r="D265" s="223"/>
      <c r="E265" s="250"/>
      <c r="F265" s="223"/>
      <c r="G265" s="250"/>
      <c r="H265" s="250"/>
      <c r="I265" s="250"/>
      <c r="J265" s="251">
        <f>SUBTOTAL(9,J262:J264)</f>
        <v>48939.11</v>
      </c>
      <c r="K265" s="252"/>
      <c r="L265" s="253"/>
      <c r="M265" s="251">
        <f>SUBTOTAL(9,M262:M264)</f>
        <v>435.39</v>
      </c>
      <c r="N265" s="251">
        <f>SUBTOTAL(9,N262:N264)</f>
        <v>871.11</v>
      </c>
      <c r="O265" s="223"/>
      <c r="P265" s="210"/>
      <c r="Q265" s="210" t="str">
        <f>VLOOKUP(C265,'Descriptions Sorted by WO '!$A$5:$S$977,18,FALSE)</f>
        <v>393.1009 (5) (a) (b)</v>
      </c>
      <c r="R265" s="210" t="str">
        <f>VLOOKUP(C265,'Descriptions Sorted by WO '!$A$5:$S$977,19,FALSE)</f>
        <v>A,B,C</v>
      </c>
    </row>
    <row r="266" spans="1:18" ht="75" outlineLevel="2">
      <c r="A266" s="223" t="s">
        <v>54</v>
      </c>
      <c r="B266" s="250" t="s">
        <v>303</v>
      </c>
      <c r="C266" s="250" t="s">
        <v>304</v>
      </c>
      <c r="D266" s="223" t="s">
        <v>305</v>
      </c>
      <c r="E266" s="250" t="s">
        <v>104</v>
      </c>
      <c r="F266" s="223" t="s">
        <v>41</v>
      </c>
      <c r="G266" s="250" t="s">
        <v>23</v>
      </c>
      <c r="H266" s="250" t="s">
        <v>1526</v>
      </c>
      <c r="I266" s="250">
        <v>201409</v>
      </c>
      <c r="J266" s="251">
        <v>-52.25</v>
      </c>
      <c r="K266" s="171">
        <f>VLOOKUP(I266,$T$9:$U$23,2)</f>
        <v>9</v>
      </c>
      <c r="L266" s="253">
        <v>1.4833299999999999E-3</v>
      </c>
      <c r="M266" s="251">
        <f>ROUND(J266*K266*L266,2)</f>
        <v>-0.7</v>
      </c>
      <c r="N266" s="251">
        <f>ROUND(J266*L266*12,2)</f>
        <v>-0.93</v>
      </c>
      <c r="O266" s="223"/>
      <c r="P266" s="210" t="str">
        <f>VLOOKUP(C266,'WO Descriptions'!$A$5:$D$384,4,FALSE)</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c r="Q266" s="210"/>
      <c r="R266" s="210"/>
    </row>
    <row r="267" spans="1:18" ht="75" outlineLevel="2">
      <c r="A267" s="223" t="s">
        <v>54</v>
      </c>
      <c r="B267" s="250" t="s">
        <v>303</v>
      </c>
      <c r="C267" s="250" t="s">
        <v>304</v>
      </c>
      <c r="D267" s="223" t="s">
        <v>305</v>
      </c>
      <c r="E267" s="250" t="s">
        <v>104</v>
      </c>
      <c r="F267" s="223" t="s">
        <v>41</v>
      </c>
      <c r="G267" s="250" t="s">
        <v>23</v>
      </c>
      <c r="H267" s="250" t="s">
        <v>1526</v>
      </c>
      <c r="I267" s="250">
        <v>201411</v>
      </c>
      <c r="J267" s="251">
        <v>0</v>
      </c>
      <c r="K267" s="171">
        <f>VLOOKUP(I267,$T$9:$U$23,2)</f>
        <v>7</v>
      </c>
      <c r="L267" s="253">
        <v>1.4833299999999999E-3</v>
      </c>
      <c r="M267" s="251">
        <f>ROUND(J267*K267*L267,2)</f>
        <v>0</v>
      </c>
      <c r="N267" s="251">
        <f>ROUND(J267*L267*12,2)</f>
        <v>0</v>
      </c>
      <c r="O267" s="223"/>
      <c r="P267" s="210" t="str">
        <f>VLOOKUP(C267,'WO Descriptions'!$A$5:$D$384,4,FALSE)</f>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
      <c r="Q267" s="210"/>
      <c r="R267" s="210"/>
    </row>
    <row r="268" spans="1:18" outlineLevel="1">
      <c r="A268" s="223"/>
      <c r="B268" s="250"/>
      <c r="C268" s="254" t="s">
        <v>1835</v>
      </c>
      <c r="D268" s="223"/>
      <c r="E268" s="250"/>
      <c r="F268" s="223"/>
      <c r="G268" s="250"/>
      <c r="H268" s="250"/>
      <c r="I268" s="250"/>
      <c r="J268" s="251">
        <f>SUBTOTAL(9,J266:J267)</f>
        <v>-52.25</v>
      </c>
      <c r="K268" s="252"/>
      <c r="L268" s="253"/>
      <c r="M268" s="251">
        <f>SUBTOTAL(9,M266:M267)</f>
        <v>-0.7</v>
      </c>
      <c r="N268" s="251">
        <f>SUBTOTAL(9,N266:N267)</f>
        <v>-0.93</v>
      </c>
      <c r="O268" s="223"/>
      <c r="P268" s="210"/>
      <c r="Q268" s="210" t="str">
        <f>VLOOKUP(C268,'Descriptions Sorted by WO '!$A$5:$S$977,18,FALSE)</f>
        <v>393.1009 (5) (C)</v>
      </c>
      <c r="R268" s="210"/>
    </row>
    <row r="269" spans="1:18" ht="30" outlineLevel="2">
      <c r="A269" s="223" t="s">
        <v>54</v>
      </c>
      <c r="B269" s="250" t="s">
        <v>306</v>
      </c>
      <c r="C269" s="250" t="s">
        <v>307</v>
      </c>
      <c r="D269" s="223" t="s">
        <v>308</v>
      </c>
      <c r="E269" s="250" t="s">
        <v>36</v>
      </c>
      <c r="F269" s="223" t="s">
        <v>22</v>
      </c>
      <c r="G269" s="250" t="s">
        <v>23</v>
      </c>
      <c r="H269" s="250" t="s">
        <v>1525</v>
      </c>
      <c r="I269" s="250">
        <v>201409</v>
      </c>
      <c r="J269" s="251">
        <v>-195.22</v>
      </c>
      <c r="K269" s="171">
        <f>VLOOKUP(I269,$T$9:$U$23,2)</f>
        <v>9</v>
      </c>
      <c r="L269" s="253">
        <v>1.4833299999999999E-3</v>
      </c>
      <c r="M269" s="251">
        <f>ROUND(J269*K269*L269,2)</f>
        <v>-2.61</v>
      </c>
      <c r="N269" s="251">
        <f>ROUND(J269*L269*12,2)</f>
        <v>-3.47</v>
      </c>
      <c r="O269" s="223"/>
      <c r="P269" s="210" t="str">
        <f>VLOOKUP(C269,'WO Descriptions'!$A$5:$D$384,4,FALSE)</f>
        <v>Approved by: Gary Williams on 03/14/2014,  TO lay 288FT-2IN PE main to replace 288FT-2IN PBS (WO#35207) due to down project.</v>
      </c>
      <c r="Q269" s="210"/>
      <c r="R269" s="210"/>
    </row>
    <row r="270" spans="1:18" ht="30" outlineLevel="2">
      <c r="A270" s="223" t="s">
        <v>54</v>
      </c>
      <c r="B270" s="250" t="s">
        <v>306</v>
      </c>
      <c r="C270" s="250" t="s">
        <v>307</v>
      </c>
      <c r="D270" s="223" t="s">
        <v>308</v>
      </c>
      <c r="E270" s="250" t="s">
        <v>36</v>
      </c>
      <c r="F270" s="223" t="s">
        <v>22</v>
      </c>
      <c r="G270" s="250" t="s">
        <v>23</v>
      </c>
      <c r="H270" s="250" t="s">
        <v>1525</v>
      </c>
      <c r="I270" s="250">
        <v>201410</v>
      </c>
      <c r="J270" s="251">
        <v>0</v>
      </c>
      <c r="K270" s="171">
        <f>VLOOKUP(I270,$T$9:$U$23,2)</f>
        <v>8</v>
      </c>
      <c r="L270" s="253">
        <v>1.4833299999999999E-3</v>
      </c>
      <c r="M270" s="251">
        <f>ROUND(J270*K270*L270,2)</f>
        <v>0</v>
      </c>
      <c r="N270" s="251">
        <f>ROUND(J270*L270*12,2)</f>
        <v>0</v>
      </c>
      <c r="O270" s="223"/>
      <c r="P270" s="210" t="str">
        <f>VLOOKUP(C270,'WO Descriptions'!$A$5:$D$384,4,FALSE)</f>
        <v>Approved by: Gary Williams on 03/14/2014,  TO lay 288FT-2IN PE main to replace 288FT-2IN PBS (WO#35207) due to down project.</v>
      </c>
      <c r="Q270" s="210"/>
      <c r="R270" s="210"/>
    </row>
    <row r="271" spans="1:18" outlineLevel="1">
      <c r="A271" s="223"/>
      <c r="B271" s="250"/>
      <c r="C271" s="254" t="s">
        <v>1836</v>
      </c>
      <c r="D271" s="223"/>
      <c r="E271" s="250"/>
      <c r="F271" s="223"/>
      <c r="G271" s="250"/>
      <c r="H271" s="250"/>
      <c r="I271" s="250"/>
      <c r="J271" s="251">
        <f>SUBTOTAL(9,J269:J270)</f>
        <v>-195.22</v>
      </c>
      <c r="K271" s="252"/>
      <c r="L271" s="253"/>
      <c r="M271" s="251">
        <f>SUBTOTAL(9,M269:M270)</f>
        <v>-2.61</v>
      </c>
      <c r="N271" s="251">
        <f>SUBTOTAL(9,N269:N270)</f>
        <v>-3.47</v>
      </c>
      <c r="O271" s="223"/>
      <c r="P271" s="210"/>
      <c r="Q271" s="210" t="str">
        <f>VLOOKUP(C271,'Descriptions Sorted by WO '!$A$5:$S$977,18,FALSE)</f>
        <v>393.1009 (5) (a) (b)</v>
      </c>
      <c r="R271" s="210" t="str">
        <f>VLOOKUP(C271,'Descriptions Sorted by WO '!$A$5:$S$977,19,FALSE)</f>
        <v>A,B,C</v>
      </c>
    </row>
    <row r="272" spans="1:18" ht="75" outlineLevel="2">
      <c r="A272" s="223" t="s">
        <v>54</v>
      </c>
      <c r="B272" s="250" t="s">
        <v>309</v>
      </c>
      <c r="C272" s="250" t="s">
        <v>310</v>
      </c>
      <c r="D272" s="223" t="s">
        <v>311</v>
      </c>
      <c r="E272" s="250" t="s">
        <v>216</v>
      </c>
      <c r="F272" s="223" t="s">
        <v>22</v>
      </c>
      <c r="G272" s="250" t="s">
        <v>23</v>
      </c>
      <c r="H272" s="250" t="s">
        <v>1525</v>
      </c>
      <c r="I272" s="250">
        <v>201411</v>
      </c>
      <c r="J272" s="251">
        <v>40780.9</v>
      </c>
      <c r="K272" s="171">
        <f>VLOOKUP(I272,$T$9:$U$23,2)</f>
        <v>7</v>
      </c>
      <c r="L272" s="253">
        <v>1.4833299999999999E-3</v>
      </c>
      <c r="M272" s="251">
        <f>ROUND(J272*K272*L272,2)</f>
        <v>423.44</v>
      </c>
      <c r="N272" s="251">
        <f>ROUND(J272*L272*12,2)</f>
        <v>725.9</v>
      </c>
      <c r="O272" s="223"/>
      <c r="P272" s="210" t="str">
        <f>VLOOKUP(C272,'WO Descriptions'!$A$5:$D$384,4,FALSE)</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c r="Q272" s="210"/>
      <c r="R272" s="210"/>
    </row>
    <row r="273" spans="1:18" ht="75" outlineLevel="2">
      <c r="A273" s="223" t="s">
        <v>54</v>
      </c>
      <c r="B273" s="250" t="s">
        <v>309</v>
      </c>
      <c r="C273" s="250" t="s">
        <v>310</v>
      </c>
      <c r="D273" s="223" t="s">
        <v>311</v>
      </c>
      <c r="E273" s="250" t="s">
        <v>216</v>
      </c>
      <c r="F273" s="223" t="s">
        <v>22</v>
      </c>
      <c r="G273" s="250" t="s">
        <v>23</v>
      </c>
      <c r="H273" s="250" t="s">
        <v>1525</v>
      </c>
      <c r="I273" s="250">
        <v>201412</v>
      </c>
      <c r="J273" s="251">
        <v>-104.47</v>
      </c>
      <c r="K273" s="171">
        <f>VLOOKUP(I273,$T$9:$U$23,2)</f>
        <v>6</v>
      </c>
      <c r="L273" s="253">
        <v>1.4833299999999999E-3</v>
      </c>
      <c r="M273" s="251">
        <f>ROUND(J273*K273*L273,2)</f>
        <v>-0.93</v>
      </c>
      <c r="N273" s="251">
        <f>ROUND(J273*L273*12,2)</f>
        <v>-1.86</v>
      </c>
      <c r="O273" s="223"/>
      <c r="P273" s="210" t="str">
        <f>VLOOKUP(C273,'WO Descriptions'!$A$5:$D$384,4,FALSE)</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c r="Q273" s="210"/>
      <c r="R273" s="210"/>
    </row>
    <row r="274" spans="1:18" ht="75" outlineLevel="2">
      <c r="A274" s="223" t="s">
        <v>54</v>
      </c>
      <c r="B274" s="250" t="s">
        <v>309</v>
      </c>
      <c r="C274" s="250" t="s">
        <v>310</v>
      </c>
      <c r="D274" s="223" t="s">
        <v>311</v>
      </c>
      <c r="E274" s="250" t="s">
        <v>216</v>
      </c>
      <c r="F274" s="223" t="s">
        <v>22</v>
      </c>
      <c r="G274" s="250" t="s">
        <v>23</v>
      </c>
      <c r="H274" s="250" t="s">
        <v>1525</v>
      </c>
      <c r="I274" s="250">
        <v>201501</v>
      </c>
      <c r="J274" s="251">
        <v>-55.84</v>
      </c>
      <c r="K274" s="171">
        <f>VLOOKUP(I274,$T$9:$U$23,2)</f>
        <v>5</v>
      </c>
      <c r="L274" s="253">
        <v>1.4833299999999999E-3</v>
      </c>
      <c r="M274" s="251">
        <f>ROUND(J274*K274*L274,2)</f>
        <v>-0.41</v>
      </c>
      <c r="N274" s="251">
        <f>ROUND(J274*L274*12,2)</f>
        <v>-0.99</v>
      </c>
      <c r="O274" s="223"/>
      <c r="P274" s="210" t="str">
        <f>VLOOKUP(C274,'WO Descriptions'!$A$5:$D$384,4,FALSE)</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c r="Q274" s="210"/>
      <c r="R274" s="210"/>
    </row>
    <row r="275" spans="1:18" ht="75" outlineLevel="2">
      <c r="A275" s="223" t="s">
        <v>54</v>
      </c>
      <c r="B275" s="250" t="s">
        <v>309</v>
      </c>
      <c r="C275" s="250" t="s">
        <v>310</v>
      </c>
      <c r="D275" s="223" t="s">
        <v>311</v>
      </c>
      <c r="E275" s="250" t="s">
        <v>216</v>
      </c>
      <c r="F275" s="223" t="s">
        <v>22</v>
      </c>
      <c r="G275" s="250" t="s">
        <v>23</v>
      </c>
      <c r="H275" s="250" t="s">
        <v>1525</v>
      </c>
      <c r="I275" s="250">
        <v>201502</v>
      </c>
      <c r="J275" s="251">
        <v>-166.18</v>
      </c>
      <c r="K275" s="171">
        <f>VLOOKUP(I275,$T$9:$U$23,2)</f>
        <v>4</v>
      </c>
      <c r="L275" s="253">
        <v>1.4833299999999999E-3</v>
      </c>
      <c r="M275" s="251">
        <f>ROUND(J275*K275*L275,2)</f>
        <v>-0.99</v>
      </c>
      <c r="N275" s="251">
        <f>ROUND(J275*L275*12,2)</f>
        <v>-2.96</v>
      </c>
      <c r="O275" s="223"/>
      <c r="P275" s="210" t="str">
        <f>VLOOKUP(C275,'WO Descriptions'!$A$5:$D$384,4,FALSE)</f>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
      <c r="Q275" s="210"/>
      <c r="R275" s="210"/>
    </row>
    <row r="276" spans="1:18" outlineLevel="1">
      <c r="A276" s="223"/>
      <c r="B276" s="250"/>
      <c r="C276" s="254" t="s">
        <v>1837</v>
      </c>
      <c r="D276" s="223"/>
      <c r="E276" s="250"/>
      <c r="F276" s="223"/>
      <c r="G276" s="250"/>
      <c r="H276" s="250"/>
      <c r="I276" s="250"/>
      <c r="J276" s="251">
        <f>SUBTOTAL(9,J272:J275)</f>
        <v>40454.410000000003</v>
      </c>
      <c r="K276" s="252"/>
      <c r="L276" s="253"/>
      <c r="M276" s="251">
        <f>SUBTOTAL(9,M272:M275)</f>
        <v>421.10999999999996</v>
      </c>
      <c r="N276" s="251">
        <f>SUBTOTAL(9,N272:N275)</f>
        <v>720.08999999999992</v>
      </c>
      <c r="O276" s="223"/>
      <c r="P276" s="210"/>
      <c r="Q276" s="210" t="str">
        <f>VLOOKUP(C276,'Descriptions Sorted by WO '!$A$5:$S$977,18,FALSE)</f>
        <v>393.1009 (5) (a) (b)</v>
      </c>
      <c r="R276" s="210" t="str">
        <f>VLOOKUP(C276,'Descriptions Sorted by WO '!$A$5:$S$977,19,FALSE)</f>
        <v>A,B,C</v>
      </c>
    </row>
    <row r="277" spans="1:18" ht="45" outlineLevel="2">
      <c r="A277" s="223" t="s">
        <v>17</v>
      </c>
      <c r="B277" s="250" t="s">
        <v>312</v>
      </c>
      <c r="C277" s="250" t="s">
        <v>313</v>
      </c>
      <c r="D277" s="223" t="s">
        <v>314</v>
      </c>
      <c r="E277" s="250" t="s">
        <v>176</v>
      </c>
      <c r="F277" s="223" t="s">
        <v>28</v>
      </c>
      <c r="G277" s="250" t="s">
        <v>23</v>
      </c>
      <c r="H277" s="250" t="s">
        <v>1525</v>
      </c>
      <c r="I277" s="250">
        <v>201409</v>
      </c>
      <c r="J277" s="251">
        <v>5.0199999999999996</v>
      </c>
      <c r="K277" s="171">
        <f>VLOOKUP(I277,$T$9:$U$23,2)</f>
        <v>9</v>
      </c>
      <c r="L277" s="253">
        <v>1.4833299999999999E-3</v>
      </c>
      <c r="M277" s="251">
        <f>ROUND(J277*K277*L277,2)</f>
        <v>7.0000000000000007E-2</v>
      </c>
      <c r="N277" s="251">
        <f>ROUND(J277*L277*12,2)</f>
        <v>0.09</v>
      </c>
      <c r="O277" s="223"/>
      <c r="P277" s="210" t="str">
        <f>VLOOKUP(C277,'WO Descriptions'!$A$5:$D$384,4,FALSE)</f>
        <v>Approved by: Galen Shoemaker on 10/08/2013,  To replace 5ft of 2in Plastic Main from WO 72-6600 with 2in Plastic to repair a third party damage on leak #13-133. Service was interrupted to five homes and there was loss of blowing gas. MOP=30# MAOP=30# SYSTEM=S-6 TEST=100#</v>
      </c>
      <c r="Q277" s="210"/>
      <c r="R277" s="210"/>
    </row>
    <row r="278" spans="1:18" outlineLevel="1">
      <c r="A278" s="223"/>
      <c r="B278" s="250"/>
      <c r="C278" s="254" t="s">
        <v>1838</v>
      </c>
      <c r="D278" s="223"/>
      <c r="E278" s="250"/>
      <c r="F278" s="223"/>
      <c r="G278" s="250"/>
      <c r="H278" s="250"/>
      <c r="I278" s="250"/>
      <c r="J278" s="251">
        <f>SUBTOTAL(9,J277:J277)</f>
        <v>5.0199999999999996</v>
      </c>
      <c r="K278" s="252"/>
      <c r="L278" s="253"/>
      <c r="M278" s="251">
        <f>SUBTOTAL(9,M277:M277)</f>
        <v>7.0000000000000007E-2</v>
      </c>
      <c r="N278" s="251">
        <f>SUBTOTAL(9,N277:N277)</f>
        <v>0.09</v>
      </c>
      <c r="O278" s="223"/>
      <c r="P278" s="210"/>
      <c r="Q278" s="210" t="str">
        <f>VLOOKUP(C278,'Descriptions Sorted by WO '!$A$5:$S$977,18,FALSE)</f>
        <v>393.1009 (5) (a) (b)</v>
      </c>
      <c r="R278" s="210" t="str">
        <f>VLOOKUP(C278,'Descriptions Sorted by WO '!$A$5:$S$977,19,FALSE)</f>
        <v>A,B</v>
      </c>
    </row>
    <row r="279" spans="1:18" ht="60" outlineLevel="2">
      <c r="A279" s="223" t="s">
        <v>17</v>
      </c>
      <c r="B279" s="250" t="s">
        <v>315</v>
      </c>
      <c r="C279" s="250" t="s">
        <v>316</v>
      </c>
      <c r="D279" s="223" t="s">
        <v>317</v>
      </c>
      <c r="E279" s="250" t="s">
        <v>141</v>
      </c>
      <c r="F279" s="223" t="s">
        <v>142</v>
      </c>
      <c r="G279" s="250" t="s">
        <v>23</v>
      </c>
      <c r="H279" s="250" t="s">
        <v>1525</v>
      </c>
      <c r="I279" s="250">
        <v>201409</v>
      </c>
      <c r="J279" s="251">
        <v>-417.76</v>
      </c>
      <c r="K279" s="171">
        <f>VLOOKUP(I279,$T$9:$U$23,2)</f>
        <v>9</v>
      </c>
      <c r="L279" s="253">
        <v>1.4833299999999999E-3</v>
      </c>
      <c r="M279" s="251">
        <f>ROUND(J279*K279*L279,2)</f>
        <v>-5.58</v>
      </c>
      <c r="N279" s="251">
        <f>ROUND(J279*L279*12,2)</f>
        <v>-7.44</v>
      </c>
      <c r="O279" s="223"/>
      <c r="P279" s="210" t="str">
        <f>VLOOKUP(C279,'WO Descriptions'!$A$5:$D$384,4,FALSE)</f>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
      <c r="Q279" s="210"/>
      <c r="R279" s="210"/>
    </row>
    <row r="280" spans="1:18" outlineLevel="1">
      <c r="A280" s="223"/>
      <c r="B280" s="250"/>
      <c r="C280" s="254" t="s">
        <v>1839</v>
      </c>
      <c r="D280" s="223"/>
      <c r="E280" s="250"/>
      <c r="F280" s="223"/>
      <c r="G280" s="250"/>
      <c r="H280" s="250"/>
      <c r="I280" s="250"/>
      <c r="J280" s="251">
        <f>SUBTOTAL(9,J279:J279)</f>
        <v>-417.76</v>
      </c>
      <c r="K280" s="252"/>
      <c r="L280" s="253"/>
      <c r="M280" s="251">
        <f>SUBTOTAL(9,M279:M279)</f>
        <v>-5.58</v>
      </c>
      <c r="N280" s="251">
        <f>SUBTOTAL(9,N279:N279)</f>
        <v>-7.44</v>
      </c>
      <c r="O280" s="223"/>
      <c r="P280" s="210"/>
      <c r="Q280" s="210" t="str">
        <f>VLOOKUP(C280,'Descriptions Sorted by WO '!$A$5:$S$977,18,FALSE)</f>
        <v>393.1009 (5) (a) (b)</v>
      </c>
      <c r="R280" s="210" t="str">
        <f>VLOOKUP(C280,'Descriptions Sorted by WO '!$A$5:$S$977,19,FALSE)</f>
        <v>A,B,C,D,I</v>
      </c>
    </row>
    <row r="281" spans="1:18" ht="45" outlineLevel="2">
      <c r="A281" s="223" t="s">
        <v>17</v>
      </c>
      <c r="B281" s="250" t="s">
        <v>318</v>
      </c>
      <c r="C281" s="250" t="s">
        <v>319</v>
      </c>
      <c r="D281" s="223" t="s">
        <v>320</v>
      </c>
      <c r="E281" s="250" t="s">
        <v>141</v>
      </c>
      <c r="F281" s="223" t="s">
        <v>142</v>
      </c>
      <c r="G281" s="250" t="s">
        <v>23</v>
      </c>
      <c r="H281" s="250" t="s">
        <v>1525</v>
      </c>
      <c r="I281" s="250">
        <v>201409</v>
      </c>
      <c r="J281" s="251">
        <v>-427.59</v>
      </c>
      <c r="K281" s="171">
        <f>VLOOKUP(I281,$T$9:$U$23,2)</f>
        <v>9</v>
      </c>
      <c r="L281" s="253">
        <v>1.4833299999999999E-3</v>
      </c>
      <c r="M281" s="251">
        <f>ROUND(J281*K281*L281,2)</f>
        <v>-5.71</v>
      </c>
      <c r="N281" s="251">
        <f>ROUND(J281*L281*12,2)</f>
        <v>-7.61</v>
      </c>
      <c r="O281" s="223"/>
      <c r="P281" s="210" t="str">
        <f>VLOOKUP(C281,'WO Descriptions'!$A$5:$D$384,4,FALSE)</f>
        <v>Approved by: Kevin Driskell on 10/15/2013,  AOR.  This job must be completed by Dec 19, 2013.  Replace 6" CI with 30' of 6in PE due to parallel excavation.  Retire 30'-6in CI, WO A1585, year 1926.</v>
      </c>
      <c r="Q281" s="210"/>
      <c r="R281" s="210"/>
    </row>
    <row r="282" spans="1:18" outlineLevel="1">
      <c r="A282" s="223"/>
      <c r="B282" s="250"/>
      <c r="C282" s="254" t="s">
        <v>1840</v>
      </c>
      <c r="D282" s="223"/>
      <c r="E282" s="250"/>
      <c r="F282" s="223"/>
      <c r="G282" s="250"/>
      <c r="H282" s="250"/>
      <c r="I282" s="250"/>
      <c r="J282" s="251">
        <f>SUBTOTAL(9,J281:J281)</f>
        <v>-427.59</v>
      </c>
      <c r="K282" s="252"/>
      <c r="L282" s="253"/>
      <c r="M282" s="251">
        <f>SUBTOTAL(9,M281:M281)</f>
        <v>-5.71</v>
      </c>
      <c r="N282" s="251">
        <f>SUBTOTAL(9,N281:N281)</f>
        <v>-7.61</v>
      </c>
      <c r="O282" s="223"/>
      <c r="P282" s="210"/>
      <c r="Q282" s="210" t="str">
        <f>VLOOKUP(C282,'Descriptions Sorted by WO '!$A$5:$S$977,18,FALSE)</f>
        <v>393.1009 (5) (a) (b)</v>
      </c>
      <c r="R282" s="210" t="str">
        <f>VLOOKUP(C282,'Descriptions Sorted by WO '!$A$5:$S$977,19,FALSE)</f>
        <v>A,B,C,D,I</v>
      </c>
    </row>
    <row r="283" spans="1:18" ht="105" outlineLevel="2">
      <c r="A283" s="223" t="s">
        <v>17</v>
      </c>
      <c r="B283" s="250" t="s">
        <v>321</v>
      </c>
      <c r="C283" s="250" t="s">
        <v>322</v>
      </c>
      <c r="D283" s="223" t="s">
        <v>323</v>
      </c>
      <c r="E283" s="250" t="s">
        <v>324</v>
      </c>
      <c r="F283" s="223" t="s">
        <v>325</v>
      </c>
      <c r="G283" s="250" t="s">
        <v>23</v>
      </c>
      <c r="H283" s="250" t="s">
        <v>1525</v>
      </c>
      <c r="I283" s="250">
        <v>201409</v>
      </c>
      <c r="J283" s="251">
        <v>-370.12</v>
      </c>
      <c r="K283" s="171">
        <f>VLOOKUP(I283,$T$9:$U$23,2)</f>
        <v>9</v>
      </c>
      <c r="L283" s="253">
        <v>1.4833299999999999E-3</v>
      </c>
      <c r="M283" s="251">
        <f>ROUND(J283*K283*L283,2)</f>
        <v>-4.9400000000000004</v>
      </c>
      <c r="N283" s="251">
        <f>ROUND(J283*L283*12,2)</f>
        <v>-6.59</v>
      </c>
      <c r="O283" s="223"/>
      <c r="P283" s="210" t="str">
        <f>VLOOKUP(C283,'WO Descriptions'!$A$5:$D$384,4,FALSE)</f>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
      <c r="Q283" s="210"/>
      <c r="R283" s="210"/>
    </row>
    <row r="284" spans="1:18" outlineLevel="1">
      <c r="A284" s="223"/>
      <c r="B284" s="250"/>
      <c r="C284" s="254" t="s">
        <v>1841</v>
      </c>
      <c r="D284" s="223"/>
      <c r="E284" s="250"/>
      <c r="F284" s="223"/>
      <c r="G284" s="250"/>
      <c r="H284" s="250"/>
      <c r="I284" s="250"/>
      <c r="J284" s="251">
        <f>SUBTOTAL(9,J283:J283)</f>
        <v>-370.12</v>
      </c>
      <c r="K284" s="252"/>
      <c r="L284" s="253"/>
      <c r="M284" s="251">
        <f>SUBTOTAL(9,M283:M283)</f>
        <v>-4.9400000000000004</v>
      </c>
      <c r="N284" s="251">
        <f>SUBTOTAL(9,N283:N283)</f>
        <v>-6.59</v>
      </c>
      <c r="O284" s="223"/>
      <c r="P284" s="210"/>
      <c r="Q284" s="210" t="str">
        <f>VLOOKUP(C284,'Descriptions Sorted by WO '!$A$5:$S$977,18,FALSE)</f>
        <v>393.1009 (5) (a), (b)</v>
      </c>
      <c r="R284" s="210" t="str">
        <f>VLOOKUP(C284,'Descriptions Sorted by WO '!$A$5:$S$977,19,FALSE)</f>
        <v>A, B, E</v>
      </c>
    </row>
    <row r="285" spans="1:18" ht="60" outlineLevel="2">
      <c r="A285" s="223" t="s">
        <v>54</v>
      </c>
      <c r="B285" s="250" t="s">
        <v>326</v>
      </c>
      <c r="C285" s="250" t="s">
        <v>327</v>
      </c>
      <c r="D285" s="223" t="s">
        <v>328</v>
      </c>
      <c r="E285" s="250" t="s">
        <v>32</v>
      </c>
      <c r="F285" s="223" t="s">
        <v>22</v>
      </c>
      <c r="G285" s="250" t="s">
        <v>23</v>
      </c>
      <c r="H285" s="250" t="s">
        <v>1525</v>
      </c>
      <c r="I285" s="250">
        <v>201409</v>
      </c>
      <c r="J285" s="251">
        <v>-118.82</v>
      </c>
      <c r="K285" s="171">
        <f>VLOOKUP(I285,$T$9:$U$23,2)</f>
        <v>9</v>
      </c>
      <c r="L285" s="253">
        <v>1.4833299999999999E-3</v>
      </c>
      <c r="M285" s="251">
        <f>ROUND(J285*K285*L285,2)</f>
        <v>-1.59</v>
      </c>
      <c r="N285" s="251">
        <f>ROUND(J285*L285*12,2)</f>
        <v>-2.11</v>
      </c>
      <c r="O285" s="223"/>
      <c r="P285" s="210" t="str">
        <f>VLOOKUP(C285,'WO Descriptions'!$A$5:$D$384,4,FALSE)</f>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
      <c r="Q285" s="210"/>
      <c r="R285" s="210"/>
    </row>
    <row r="286" spans="1:18" outlineLevel="1">
      <c r="A286" s="223"/>
      <c r="B286" s="250"/>
      <c r="C286" s="254" t="s">
        <v>1842</v>
      </c>
      <c r="D286" s="223"/>
      <c r="E286" s="250"/>
      <c r="F286" s="223"/>
      <c r="G286" s="250"/>
      <c r="H286" s="250"/>
      <c r="I286" s="250"/>
      <c r="J286" s="251">
        <f>SUBTOTAL(9,J285:J285)</f>
        <v>-118.82</v>
      </c>
      <c r="K286" s="252"/>
      <c r="L286" s="253"/>
      <c r="M286" s="251">
        <f>SUBTOTAL(9,M285:M285)</f>
        <v>-1.59</v>
      </c>
      <c r="N286" s="251">
        <f>SUBTOTAL(9,N285:N285)</f>
        <v>-2.11</v>
      </c>
      <c r="O286" s="223"/>
      <c r="P286" s="210"/>
      <c r="Q286" s="210" t="str">
        <f>VLOOKUP(C286,'Descriptions Sorted by WO '!$A$5:$S$977,18,FALSE)</f>
        <v>393.1009 (5) (a) (b)</v>
      </c>
      <c r="R286" s="210" t="str">
        <f>VLOOKUP(C286,'Descriptions Sorted by WO '!$A$5:$S$977,19,FALSE)</f>
        <v>A,B,C</v>
      </c>
    </row>
    <row r="287" spans="1:18" ht="30" outlineLevel="2">
      <c r="A287" s="223" t="s">
        <v>17</v>
      </c>
      <c r="B287" s="250" t="s">
        <v>329</v>
      </c>
      <c r="C287" s="250" t="s">
        <v>330</v>
      </c>
      <c r="D287" s="223" t="s">
        <v>331</v>
      </c>
      <c r="E287" s="250" t="s">
        <v>108</v>
      </c>
      <c r="F287" s="223" t="s">
        <v>28</v>
      </c>
      <c r="G287" s="250" t="s">
        <v>23</v>
      </c>
      <c r="H287" s="250" t="s">
        <v>1525</v>
      </c>
      <c r="I287" s="250">
        <v>201409</v>
      </c>
      <c r="J287" s="251">
        <v>5.61</v>
      </c>
      <c r="K287" s="171">
        <f>VLOOKUP(I287,$T$9:$U$23,2)</f>
        <v>9</v>
      </c>
      <c r="L287" s="253">
        <v>1.4833299999999999E-3</v>
      </c>
      <c r="M287" s="251">
        <f>ROUND(J287*K287*L287,2)</f>
        <v>7.0000000000000007E-2</v>
      </c>
      <c r="N287" s="251">
        <f>ROUND(J287*L287*12,2)</f>
        <v>0.1</v>
      </c>
      <c r="O287" s="223"/>
      <c r="P287" s="210" t="str">
        <f>VLOOKUP(C287,'WO Descriptions'!$A$5:$D$384,4,FALSE)</f>
        <v>Approved by: Kevin Driskell on 02/28/2014,  Replacement due to to exposed 2" main caused by erosion. Lay 200'-2in PE and retire 307'-2in PE Retire 1973, 73-3024.</v>
      </c>
      <c r="Q287" s="210"/>
      <c r="R287" s="210"/>
    </row>
    <row r="288" spans="1:18" outlineLevel="1">
      <c r="A288" s="223"/>
      <c r="B288" s="250"/>
      <c r="C288" s="254" t="s">
        <v>1843</v>
      </c>
      <c r="D288" s="223"/>
      <c r="E288" s="250"/>
      <c r="F288" s="223"/>
      <c r="G288" s="250"/>
      <c r="H288" s="250"/>
      <c r="I288" s="250"/>
      <c r="J288" s="251">
        <f>SUBTOTAL(9,J287:J287)</f>
        <v>5.61</v>
      </c>
      <c r="K288" s="252"/>
      <c r="L288" s="253"/>
      <c r="M288" s="251">
        <f>SUBTOTAL(9,M287:M287)</f>
        <v>7.0000000000000007E-2</v>
      </c>
      <c r="N288" s="251">
        <f>SUBTOTAL(9,N287:N287)</f>
        <v>0.1</v>
      </c>
      <c r="O288" s="223"/>
      <c r="P288" s="210"/>
      <c r="Q288" s="210" t="str">
        <f>VLOOKUP(C288,'Descriptions Sorted by WO '!$A$5:$S$977,18,FALSE)</f>
        <v>393.1009 (5) (a) (b)</v>
      </c>
      <c r="R288" s="210" t="str">
        <f>VLOOKUP(C288,'Descriptions Sorted by WO '!$A$5:$S$977,19,FALSE)</f>
        <v>A,B</v>
      </c>
    </row>
    <row r="289" spans="1:18" ht="45" outlineLevel="2">
      <c r="A289" s="223" t="s">
        <v>54</v>
      </c>
      <c r="B289" s="250" t="s">
        <v>332</v>
      </c>
      <c r="C289" s="250" t="s">
        <v>333</v>
      </c>
      <c r="D289" s="223" t="s">
        <v>334</v>
      </c>
      <c r="E289" s="250" t="s">
        <v>36</v>
      </c>
      <c r="F289" s="223" t="s">
        <v>22</v>
      </c>
      <c r="G289" s="250" t="s">
        <v>23</v>
      </c>
      <c r="H289" s="250" t="s">
        <v>1525</v>
      </c>
      <c r="I289" s="250">
        <v>201409</v>
      </c>
      <c r="J289" s="251">
        <v>-149.47999999999999</v>
      </c>
      <c r="K289" s="171">
        <f>VLOOKUP(I289,$T$9:$U$23,2)</f>
        <v>9</v>
      </c>
      <c r="L289" s="253">
        <v>1.4833299999999999E-3</v>
      </c>
      <c r="M289" s="251">
        <f>ROUND(J289*K289*L289,2)</f>
        <v>-2</v>
      </c>
      <c r="N289" s="251">
        <f>ROUND(J289*L289*12,2)</f>
        <v>-2.66</v>
      </c>
      <c r="O289" s="223"/>
      <c r="P289" s="210" t="str">
        <f>VLOOKUP(C289,'WO Descriptions'!$A$5:$D$384,4,FALSE)</f>
        <v>Approved by: Gary Williams on 03/03/2014,  To lay 414ft-4pe main.to replace 414ft-bs main due to down project. Install 2" bypaas before completing tie in. Cost per foot:$49.16.ID:C-03 MOP:20oz MAOP:30oz Design MAOP:20oz Pressure Test:100 PSIG.</v>
      </c>
      <c r="Q289" s="210"/>
      <c r="R289" s="210"/>
    </row>
    <row r="290" spans="1:18" outlineLevel="1">
      <c r="A290" s="223"/>
      <c r="B290" s="250"/>
      <c r="C290" s="254" t="s">
        <v>1844</v>
      </c>
      <c r="D290" s="223"/>
      <c r="E290" s="250"/>
      <c r="F290" s="223"/>
      <c r="G290" s="250"/>
      <c r="H290" s="250"/>
      <c r="I290" s="250"/>
      <c r="J290" s="251">
        <f>SUBTOTAL(9,J289:J289)</f>
        <v>-149.47999999999999</v>
      </c>
      <c r="K290" s="252"/>
      <c r="L290" s="253"/>
      <c r="M290" s="251">
        <f>SUBTOTAL(9,M289:M289)</f>
        <v>-2</v>
      </c>
      <c r="N290" s="251">
        <f>SUBTOTAL(9,N289:N289)</f>
        <v>-2.66</v>
      </c>
      <c r="O290" s="223"/>
      <c r="P290" s="210"/>
      <c r="Q290" s="210" t="str">
        <f>VLOOKUP(C290,'Descriptions Sorted by WO '!$A$5:$S$977,18,FALSE)</f>
        <v>393.1009 (5) (a) (b)</v>
      </c>
      <c r="R290" s="210" t="str">
        <f>VLOOKUP(C290,'Descriptions Sorted by WO '!$A$5:$S$977,19,FALSE)</f>
        <v>A,B,C</v>
      </c>
    </row>
    <row r="291" spans="1:18" ht="60" outlineLevel="2">
      <c r="A291" s="223" t="s">
        <v>17</v>
      </c>
      <c r="B291" s="250" t="s">
        <v>335</v>
      </c>
      <c r="C291" s="250" t="s">
        <v>336</v>
      </c>
      <c r="D291" s="223" t="s">
        <v>337</v>
      </c>
      <c r="E291" s="250" t="s">
        <v>62</v>
      </c>
      <c r="F291" s="223" t="s">
        <v>22</v>
      </c>
      <c r="G291" s="250" t="s">
        <v>23</v>
      </c>
      <c r="H291" s="250" t="s">
        <v>1525</v>
      </c>
      <c r="I291" s="250">
        <v>201409</v>
      </c>
      <c r="J291" s="251">
        <v>-2164.7800000000002</v>
      </c>
      <c r="K291" s="171">
        <f>VLOOKUP(I291,$T$9:$U$23,2)</f>
        <v>9</v>
      </c>
      <c r="L291" s="253">
        <v>1.4833299999999999E-3</v>
      </c>
      <c r="M291" s="251">
        <f>ROUND(J291*K291*L291,2)</f>
        <v>-28.9</v>
      </c>
      <c r="N291" s="251">
        <f>ROUND(J291*L291*12,2)</f>
        <v>-38.53</v>
      </c>
      <c r="O291" s="223"/>
      <c r="P291" s="210" t="str">
        <f>VLOOKUP(C291,'WO Descriptions'!$A$5:$D$384,4,FALSE)</f>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
      <c r="Q291" s="210"/>
      <c r="R291" s="210"/>
    </row>
    <row r="292" spans="1:18" outlineLevel="1">
      <c r="A292" s="223"/>
      <c r="B292" s="250"/>
      <c r="C292" s="254" t="s">
        <v>1845</v>
      </c>
      <c r="D292" s="223"/>
      <c r="E292" s="250"/>
      <c r="F292" s="223"/>
      <c r="G292" s="250"/>
      <c r="H292" s="250"/>
      <c r="I292" s="250"/>
      <c r="J292" s="251">
        <f>SUBTOTAL(9,J291:J291)</f>
        <v>-2164.7800000000002</v>
      </c>
      <c r="K292" s="252"/>
      <c r="L292" s="253"/>
      <c r="M292" s="251">
        <f>SUBTOTAL(9,M291:M291)</f>
        <v>-28.9</v>
      </c>
      <c r="N292" s="251">
        <f>SUBTOTAL(9,N291:N291)</f>
        <v>-38.53</v>
      </c>
      <c r="O292" s="223"/>
      <c r="P292" s="210"/>
      <c r="Q292" s="210" t="str">
        <f>VLOOKUP(C292,'Descriptions Sorted by WO '!$A$5:$S$977,18,FALSE)</f>
        <v>393.1009 (5) (a) (b)</v>
      </c>
      <c r="R292" s="210" t="str">
        <f>VLOOKUP(C292,'Descriptions Sorted by WO '!$A$5:$S$977,19,FALSE)</f>
        <v>A,B,C</v>
      </c>
    </row>
    <row r="293" spans="1:18" ht="195" outlineLevel="2">
      <c r="A293" s="223" t="s">
        <v>17</v>
      </c>
      <c r="B293" s="250" t="s">
        <v>338</v>
      </c>
      <c r="C293" s="250" t="s">
        <v>339</v>
      </c>
      <c r="D293" s="223" t="s">
        <v>340</v>
      </c>
      <c r="E293" s="250" t="s">
        <v>62</v>
      </c>
      <c r="F293" s="223" t="s">
        <v>22</v>
      </c>
      <c r="G293" s="250" t="s">
        <v>23</v>
      </c>
      <c r="H293" s="250" t="s">
        <v>1525</v>
      </c>
      <c r="I293" s="250">
        <v>201409</v>
      </c>
      <c r="J293" s="251">
        <v>-1152.29</v>
      </c>
      <c r="K293" s="171">
        <f>VLOOKUP(I293,$T$9:$U$23,2)</f>
        <v>9</v>
      </c>
      <c r="L293" s="253">
        <v>1.4833299999999999E-3</v>
      </c>
      <c r="M293" s="251">
        <f>ROUND(J293*K293*L293,2)</f>
        <v>-15.38</v>
      </c>
      <c r="N293" s="251">
        <f>ROUND(J293*L293*12,2)</f>
        <v>-20.51</v>
      </c>
      <c r="O293" s="223"/>
      <c r="P293" s="210" t="str">
        <f>VLOOKUP(C293,'WO Descriptions'!$A$5:$D$384,4,FALSE)</f>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
      <c r="Q293" s="210"/>
      <c r="R293" s="210"/>
    </row>
    <row r="294" spans="1:18" outlineLevel="1">
      <c r="A294" s="223"/>
      <c r="B294" s="250"/>
      <c r="C294" s="254" t="s">
        <v>1846</v>
      </c>
      <c r="D294" s="223"/>
      <c r="E294" s="250"/>
      <c r="F294" s="223"/>
      <c r="G294" s="250"/>
      <c r="H294" s="250"/>
      <c r="I294" s="250"/>
      <c r="J294" s="251">
        <f>SUBTOTAL(9,J293:J293)</f>
        <v>-1152.29</v>
      </c>
      <c r="K294" s="252"/>
      <c r="L294" s="253"/>
      <c r="M294" s="251">
        <f>SUBTOTAL(9,M293:M293)</f>
        <v>-15.38</v>
      </c>
      <c r="N294" s="251">
        <f>SUBTOTAL(9,N293:N293)</f>
        <v>-20.51</v>
      </c>
      <c r="O294" s="223"/>
      <c r="P294" s="210"/>
      <c r="Q294" s="210" t="str">
        <f>VLOOKUP(C294,'Descriptions Sorted by WO '!$A$5:$S$977,18,FALSE)</f>
        <v>393.1009 (5) (a) (b)</v>
      </c>
      <c r="R294" s="210" t="str">
        <f>VLOOKUP(C294,'Descriptions Sorted by WO '!$A$5:$S$977,19,FALSE)</f>
        <v>A,B,C</v>
      </c>
    </row>
    <row r="295" spans="1:18" ht="45" outlineLevel="2">
      <c r="A295" s="223" t="s">
        <v>164</v>
      </c>
      <c r="B295" s="250" t="s">
        <v>341</v>
      </c>
      <c r="C295" s="250" t="s">
        <v>342</v>
      </c>
      <c r="D295" s="223" t="s">
        <v>343</v>
      </c>
      <c r="E295" s="250" t="s">
        <v>168</v>
      </c>
      <c r="F295" s="223" t="s">
        <v>169</v>
      </c>
      <c r="G295" s="250" t="s">
        <v>23</v>
      </c>
      <c r="H295" s="250" t="s">
        <v>1528</v>
      </c>
      <c r="I295" s="250">
        <v>201409</v>
      </c>
      <c r="J295" s="251">
        <v>-787.04</v>
      </c>
      <c r="K295" s="171">
        <f>VLOOKUP(I295,$T$9:$U$23,2)</f>
        <v>9</v>
      </c>
      <c r="L295" s="253">
        <v>2.1916700000000002E-3</v>
      </c>
      <c r="M295" s="251">
        <f>ROUND(J295*K295*L295,2)</f>
        <v>-15.52</v>
      </c>
      <c r="N295" s="251">
        <f>ROUND(J295*L295*12,2)</f>
        <v>-20.7</v>
      </c>
      <c r="O295" s="223"/>
      <c r="P295" s="210" t="str">
        <f>VLOOKUP(C295,'WO Descriptions'!$A$5:$D$384,4,FALSE)</f>
        <v>Approved by: Rob Kitterman on 08/14/2013,  Purchase Bulk Odorant storage tank for REX site.  This tank is to store additional odorant for use in various divisions as needs arise.  The unit is self contained for spill emergencies.  Tank provided by Milton Roy,YZ Systems, Total Systems.</v>
      </c>
      <c r="Q295" s="210"/>
      <c r="R295" s="210"/>
    </row>
    <row r="296" spans="1:18" outlineLevel="1">
      <c r="A296" s="223"/>
      <c r="B296" s="250"/>
      <c r="C296" s="254" t="s">
        <v>1847</v>
      </c>
      <c r="D296" s="223"/>
      <c r="E296" s="250"/>
      <c r="F296" s="223"/>
      <c r="G296" s="250"/>
      <c r="H296" s="250"/>
      <c r="I296" s="250"/>
      <c r="J296" s="251">
        <f>SUBTOTAL(9,J295:J295)</f>
        <v>-787.04</v>
      </c>
      <c r="K296" s="252"/>
      <c r="L296" s="253"/>
      <c r="M296" s="251">
        <f>SUBTOTAL(9,M295:M295)</f>
        <v>-15.52</v>
      </c>
      <c r="N296" s="251">
        <f>SUBTOTAL(9,N295:N295)</f>
        <v>-20.7</v>
      </c>
      <c r="O296" s="223"/>
      <c r="P296" s="210"/>
      <c r="Q296" s="210" t="str">
        <f>VLOOKUP(C296,'Descriptions Sorted by WO '!$A$5:$S$977,18,FALSE)</f>
        <v>393.1009 (5) (a) (b)</v>
      </c>
      <c r="R296" s="210" t="str">
        <f>VLOOKUP(C296,'Descriptions Sorted by WO '!$A$5:$S$977,19,FALSE)</f>
        <v>A,B</v>
      </c>
    </row>
    <row r="297" spans="1:18" ht="60" outlineLevel="2">
      <c r="A297" s="223" t="s">
        <v>17</v>
      </c>
      <c r="B297" s="250" t="s">
        <v>344</v>
      </c>
      <c r="C297" s="250" t="s">
        <v>345</v>
      </c>
      <c r="D297" s="223" t="s">
        <v>346</v>
      </c>
      <c r="E297" s="250" t="s">
        <v>53</v>
      </c>
      <c r="F297" s="223" t="s">
        <v>41</v>
      </c>
      <c r="G297" s="250" t="s">
        <v>23</v>
      </c>
      <c r="H297" s="250" t="s">
        <v>1526</v>
      </c>
      <c r="I297" s="250">
        <v>201409</v>
      </c>
      <c r="J297" s="251">
        <v>-1802.78</v>
      </c>
      <c r="K297" s="171">
        <f>VLOOKUP(I297,$T$9:$U$23,2)</f>
        <v>9</v>
      </c>
      <c r="L297" s="253">
        <v>1.4833299999999999E-3</v>
      </c>
      <c r="M297" s="251">
        <f>ROUND(J297*K297*L297,2)</f>
        <v>-24.07</v>
      </c>
      <c r="N297" s="251">
        <f>ROUND(J297*L297*12,2)</f>
        <v>-32.090000000000003</v>
      </c>
      <c r="O297" s="223"/>
      <c r="P297" s="210" t="str">
        <f>VLOOKUP(C297,'WO Descriptions'!$A$5:$D$384,4,FALSE)</f>
        <v>Approved by: Ken Thomas on 09/17/2013,  Replace 510' - 6in PBS (WO#: A8634A) with 510' - 6in PE due to roadway improvements and shallow existing main. Project Location: 11th and Highview; Pressure System: C-1; MOP: 58 psig; MAOP: 58 psig; Design: 58 psig; Test: 100 psig; ISRS $67.22/ft</v>
      </c>
      <c r="Q297" s="210"/>
      <c r="R297" s="210"/>
    </row>
    <row r="298" spans="1:18" outlineLevel="1">
      <c r="A298" s="223"/>
      <c r="B298" s="250"/>
      <c r="C298" s="254" t="s">
        <v>1848</v>
      </c>
      <c r="D298" s="223"/>
      <c r="E298" s="250"/>
      <c r="F298" s="223"/>
      <c r="G298" s="250"/>
      <c r="H298" s="250"/>
      <c r="I298" s="250"/>
      <c r="J298" s="251">
        <f>SUBTOTAL(9,J297:J297)</f>
        <v>-1802.78</v>
      </c>
      <c r="K298" s="252"/>
      <c r="L298" s="253"/>
      <c r="M298" s="251">
        <f>SUBTOTAL(9,M297:M297)</f>
        <v>-24.07</v>
      </c>
      <c r="N298" s="251">
        <f>SUBTOTAL(9,N297:N297)</f>
        <v>-32.090000000000003</v>
      </c>
      <c r="O298" s="223"/>
      <c r="P298" s="210"/>
      <c r="Q298" s="210" t="str">
        <f>VLOOKUP(C298,'Descriptions Sorted by WO '!$A$5:$S$977,18,FALSE)</f>
        <v>393.1009 (5) (C)</v>
      </c>
      <c r="R298" s="210"/>
    </row>
    <row r="299" spans="1:18" ht="105" outlineLevel="2">
      <c r="A299" s="223" t="s">
        <v>17</v>
      </c>
      <c r="B299" s="250" t="s">
        <v>347</v>
      </c>
      <c r="C299" s="250" t="s">
        <v>348</v>
      </c>
      <c r="D299" s="223" t="s">
        <v>349</v>
      </c>
      <c r="E299" s="250" t="s">
        <v>324</v>
      </c>
      <c r="F299" s="223" t="s">
        <v>325</v>
      </c>
      <c r="G299" s="250" t="s">
        <v>23</v>
      </c>
      <c r="H299" s="250" t="s">
        <v>1525</v>
      </c>
      <c r="I299" s="250">
        <v>201409</v>
      </c>
      <c r="J299" s="251">
        <v>478.42</v>
      </c>
      <c r="K299" s="171">
        <f t="shared" ref="K299:K304" si="21">VLOOKUP(I299,$T$9:$U$23,2)</f>
        <v>9</v>
      </c>
      <c r="L299" s="253">
        <v>1.4833299999999999E-3</v>
      </c>
      <c r="M299" s="251">
        <f t="shared" ref="M299:M304" si="22">ROUND(J299*K299*L299,2)</f>
        <v>6.39</v>
      </c>
      <c r="N299" s="251">
        <f t="shared" ref="N299:N304" si="23">ROUND(J299*L299*12,2)</f>
        <v>8.52</v>
      </c>
      <c r="O299" s="223"/>
      <c r="P299" s="210" t="str">
        <f>VLOOKUP(C299,'WO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299" s="210"/>
      <c r="R299" s="210"/>
    </row>
    <row r="300" spans="1:18" ht="105" outlineLevel="2">
      <c r="A300" s="223" t="s">
        <v>17</v>
      </c>
      <c r="B300" s="250" t="s">
        <v>347</v>
      </c>
      <c r="C300" s="250" t="s">
        <v>348</v>
      </c>
      <c r="D300" s="223" t="s">
        <v>349</v>
      </c>
      <c r="E300" s="250" t="s">
        <v>324</v>
      </c>
      <c r="F300" s="223" t="s">
        <v>325</v>
      </c>
      <c r="G300" s="250" t="s">
        <v>23</v>
      </c>
      <c r="H300" s="250" t="s">
        <v>1525</v>
      </c>
      <c r="I300" s="250">
        <v>201410</v>
      </c>
      <c r="J300" s="251">
        <v>940.85</v>
      </c>
      <c r="K300" s="171">
        <f t="shared" si="21"/>
        <v>8</v>
      </c>
      <c r="L300" s="253">
        <v>1.4833299999999999E-3</v>
      </c>
      <c r="M300" s="251">
        <f t="shared" si="22"/>
        <v>11.16</v>
      </c>
      <c r="N300" s="251">
        <f t="shared" si="23"/>
        <v>16.75</v>
      </c>
      <c r="O300" s="223"/>
      <c r="P300" s="210" t="str">
        <f>VLOOKUP(C300,'WO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300" s="210"/>
      <c r="R300" s="210"/>
    </row>
    <row r="301" spans="1:18" ht="105" outlineLevel="2">
      <c r="A301" s="223" t="s">
        <v>17</v>
      </c>
      <c r="B301" s="250" t="s">
        <v>347</v>
      </c>
      <c r="C301" s="250" t="s">
        <v>348</v>
      </c>
      <c r="D301" s="223" t="s">
        <v>349</v>
      </c>
      <c r="E301" s="250" t="s">
        <v>324</v>
      </c>
      <c r="F301" s="223" t="s">
        <v>325</v>
      </c>
      <c r="G301" s="250" t="s">
        <v>23</v>
      </c>
      <c r="H301" s="250" t="s">
        <v>1525</v>
      </c>
      <c r="I301" s="250">
        <v>201411</v>
      </c>
      <c r="J301" s="251">
        <v>1085.29</v>
      </c>
      <c r="K301" s="171">
        <f t="shared" si="21"/>
        <v>7</v>
      </c>
      <c r="L301" s="253">
        <v>1.4833299999999999E-3</v>
      </c>
      <c r="M301" s="251">
        <f t="shared" si="22"/>
        <v>11.27</v>
      </c>
      <c r="N301" s="251">
        <f t="shared" si="23"/>
        <v>19.32</v>
      </c>
      <c r="O301" s="223"/>
      <c r="P301" s="210" t="str">
        <f>VLOOKUP(C301,'WO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301" s="210"/>
      <c r="R301" s="210"/>
    </row>
    <row r="302" spans="1:18" ht="105" outlineLevel="2">
      <c r="A302" s="223" t="s">
        <v>17</v>
      </c>
      <c r="B302" s="250" t="s">
        <v>347</v>
      </c>
      <c r="C302" s="250" t="s">
        <v>348</v>
      </c>
      <c r="D302" s="223" t="s">
        <v>349</v>
      </c>
      <c r="E302" s="250" t="s">
        <v>324</v>
      </c>
      <c r="F302" s="223" t="s">
        <v>325</v>
      </c>
      <c r="G302" s="250" t="s">
        <v>23</v>
      </c>
      <c r="H302" s="250" t="s">
        <v>1525</v>
      </c>
      <c r="I302" s="250">
        <v>201412</v>
      </c>
      <c r="J302" s="251">
        <v>5.46</v>
      </c>
      <c r="K302" s="171">
        <f t="shared" si="21"/>
        <v>6</v>
      </c>
      <c r="L302" s="253">
        <v>1.4833299999999999E-3</v>
      </c>
      <c r="M302" s="251">
        <f t="shared" si="22"/>
        <v>0.05</v>
      </c>
      <c r="N302" s="251">
        <f t="shared" si="23"/>
        <v>0.1</v>
      </c>
      <c r="O302" s="223"/>
      <c r="P302" s="210" t="str">
        <f>VLOOKUP(C302,'WO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302" s="210"/>
      <c r="R302" s="210"/>
    </row>
    <row r="303" spans="1:18" ht="105" outlineLevel="2">
      <c r="A303" s="223" t="s">
        <v>17</v>
      </c>
      <c r="B303" s="250" t="s">
        <v>347</v>
      </c>
      <c r="C303" s="250" t="s">
        <v>348</v>
      </c>
      <c r="D303" s="223" t="s">
        <v>349</v>
      </c>
      <c r="E303" s="250" t="s">
        <v>324</v>
      </c>
      <c r="F303" s="223" t="s">
        <v>325</v>
      </c>
      <c r="G303" s="250" t="s">
        <v>23</v>
      </c>
      <c r="H303" s="250" t="s">
        <v>1525</v>
      </c>
      <c r="I303" s="250">
        <v>201501</v>
      </c>
      <c r="J303" s="251">
        <v>138.51</v>
      </c>
      <c r="K303" s="171">
        <f t="shared" si="21"/>
        <v>5</v>
      </c>
      <c r="L303" s="253">
        <v>1.4833299999999999E-3</v>
      </c>
      <c r="M303" s="251">
        <f t="shared" si="22"/>
        <v>1.03</v>
      </c>
      <c r="N303" s="251">
        <f t="shared" si="23"/>
        <v>2.4700000000000002</v>
      </c>
      <c r="O303" s="223"/>
      <c r="P303" s="210" t="str">
        <f>VLOOKUP(C303,'WO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303" s="210"/>
      <c r="R303" s="210"/>
    </row>
    <row r="304" spans="1:18" ht="105" outlineLevel="2">
      <c r="A304" s="14" t="s">
        <v>17</v>
      </c>
      <c r="B304" s="15" t="s">
        <v>347</v>
      </c>
      <c r="C304" s="15" t="s">
        <v>348</v>
      </c>
      <c r="D304" s="14" t="s">
        <v>349</v>
      </c>
      <c r="E304" s="15" t="s">
        <v>324</v>
      </c>
      <c r="F304" s="14" t="s">
        <v>325</v>
      </c>
      <c r="G304" s="15" t="s">
        <v>23</v>
      </c>
      <c r="H304" s="15" t="s">
        <v>1525</v>
      </c>
      <c r="I304" s="15">
        <v>201502</v>
      </c>
      <c r="J304" s="16">
        <v>-37.24</v>
      </c>
      <c r="K304" s="171">
        <f t="shared" si="21"/>
        <v>4</v>
      </c>
      <c r="L304" s="17">
        <v>1.4833299999999999E-3</v>
      </c>
      <c r="M304" s="16">
        <f t="shared" si="22"/>
        <v>-0.22</v>
      </c>
      <c r="N304" s="16">
        <f t="shared" si="23"/>
        <v>-0.66</v>
      </c>
      <c r="O304" s="14"/>
      <c r="P304" s="210" t="str">
        <f>VLOOKUP(C304,'WO Descriptions'!$A$5:$D$384,4,FALSE)</f>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
      <c r="Q304" s="210"/>
      <c r="R304" s="210"/>
    </row>
    <row r="305" spans="1:18" outlineLevel="1">
      <c r="A305" s="223"/>
      <c r="B305" s="250"/>
      <c r="C305" s="254" t="s">
        <v>1849</v>
      </c>
      <c r="D305" s="223"/>
      <c r="E305" s="250"/>
      <c r="F305" s="223"/>
      <c r="G305" s="250"/>
      <c r="H305" s="250"/>
      <c r="I305" s="250"/>
      <c r="J305" s="251">
        <f>SUBTOTAL(9,J299:J304)</f>
        <v>2611.29</v>
      </c>
      <c r="K305" s="252"/>
      <c r="L305" s="253"/>
      <c r="M305" s="251">
        <f>SUBTOTAL(9,M299:M304)</f>
        <v>29.680000000000003</v>
      </c>
      <c r="N305" s="251">
        <f>SUBTOTAL(9,N299:N304)</f>
        <v>46.500000000000007</v>
      </c>
      <c r="O305" s="223"/>
      <c r="P305" s="210"/>
      <c r="Q305" s="210" t="str">
        <f>VLOOKUP(C305,'Descriptions Sorted by WO '!$A$5:$S$977,18,FALSE)</f>
        <v>393.1009 (5) (a), (b)</v>
      </c>
      <c r="R305" s="210" t="str">
        <f>VLOOKUP(C305,'Descriptions Sorted by WO '!$A$5:$S$977,19,FALSE)</f>
        <v>A, B, E</v>
      </c>
    </row>
    <row r="306" spans="1:18" ht="30" outlineLevel="2">
      <c r="A306" s="14" t="s">
        <v>17</v>
      </c>
      <c r="B306" s="15" t="s">
        <v>350</v>
      </c>
      <c r="C306" s="15" t="s">
        <v>351</v>
      </c>
      <c r="D306" s="14" t="s">
        <v>352</v>
      </c>
      <c r="E306" s="15" t="s">
        <v>108</v>
      </c>
      <c r="F306" s="14" t="s">
        <v>28</v>
      </c>
      <c r="G306" s="15" t="s">
        <v>23</v>
      </c>
      <c r="H306" s="15" t="s">
        <v>1525</v>
      </c>
      <c r="I306" s="15">
        <v>201409</v>
      </c>
      <c r="J306" s="16">
        <v>8.58</v>
      </c>
      <c r="K306" s="171">
        <f>VLOOKUP(I306,$T$9:$U$23,2)</f>
        <v>9</v>
      </c>
      <c r="L306" s="17">
        <v>1.4833299999999999E-3</v>
      </c>
      <c r="M306" s="16">
        <f>ROUND(J306*K306*L306,2)</f>
        <v>0.11</v>
      </c>
      <c r="N306" s="16">
        <f>ROUND(J306*L306*12,2)</f>
        <v>0.15</v>
      </c>
      <c r="O306" s="14"/>
      <c r="P306" s="210" t="str">
        <f>VLOOKUP(C306,'WO Descriptions'!$A$5:$D$384,4,FALSE)</f>
        <v>Approved by: Kevin Driskell on 09/18/2013,  Installed welded yoke around leaking dresser and valve. 12' of 2in PCS was installed and 6' of 2in PCS was abandoned.</v>
      </c>
      <c r="Q306" s="210"/>
      <c r="R306" s="210"/>
    </row>
    <row r="307" spans="1:18" outlineLevel="1">
      <c r="A307" s="223"/>
      <c r="B307" s="250"/>
      <c r="C307" s="254" t="s">
        <v>1850</v>
      </c>
      <c r="D307" s="223"/>
      <c r="E307" s="250"/>
      <c r="F307" s="223"/>
      <c r="G307" s="250"/>
      <c r="H307" s="250"/>
      <c r="I307" s="250"/>
      <c r="J307" s="251">
        <f>SUBTOTAL(9,J306:J306)</f>
        <v>8.58</v>
      </c>
      <c r="K307" s="252"/>
      <c r="L307" s="253"/>
      <c r="M307" s="251">
        <f>SUBTOTAL(9,M306:M306)</f>
        <v>0.11</v>
      </c>
      <c r="N307" s="251">
        <f>SUBTOTAL(9,N306:N306)</f>
        <v>0.15</v>
      </c>
      <c r="O307" s="223"/>
      <c r="P307" s="210"/>
      <c r="Q307" s="210" t="str">
        <f>VLOOKUP(C307,'Descriptions Sorted by WO '!$A$5:$S$977,18,FALSE)</f>
        <v>393.1009 (5) (a) (b)</v>
      </c>
      <c r="R307" s="210" t="str">
        <f>VLOOKUP(C307,'Descriptions Sorted by WO '!$A$5:$S$977,19,FALSE)</f>
        <v>A,B</v>
      </c>
    </row>
    <row r="308" spans="1:18" ht="180" outlineLevel="2">
      <c r="A308" s="14" t="s">
        <v>17</v>
      </c>
      <c r="B308" s="15" t="s">
        <v>353</v>
      </c>
      <c r="C308" s="15" t="s">
        <v>354</v>
      </c>
      <c r="D308" s="14" t="s">
        <v>355</v>
      </c>
      <c r="E308" s="15" t="s">
        <v>62</v>
      </c>
      <c r="F308" s="14" t="s">
        <v>22</v>
      </c>
      <c r="G308" s="15" t="s">
        <v>23</v>
      </c>
      <c r="H308" s="15" t="s">
        <v>1525</v>
      </c>
      <c r="I308" s="15">
        <v>201409</v>
      </c>
      <c r="J308" s="16">
        <v>-1349</v>
      </c>
      <c r="K308" s="171">
        <f>VLOOKUP(I308,$T$9:$U$23,2)</f>
        <v>9</v>
      </c>
      <c r="L308" s="17">
        <v>1.4833299999999999E-3</v>
      </c>
      <c r="M308" s="16">
        <f>ROUND(J308*K308*L308,2)</f>
        <v>-18.010000000000002</v>
      </c>
      <c r="N308" s="16">
        <f>ROUND(J308*L308*12,2)</f>
        <v>-24.01</v>
      </c>
      <c r="O308" s="14"/>
      <c r="P308" s="210" t="str">
        <f>VLOOKUP(C308,'WO Descriptions'!$A$5:$D$384,4,FALSE)</f>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
      <c r="Q308" s="210"/>
      <c r="R308" s="210"/>
    </row>
    <row r="309" spans="1:18" outlineLevel="1">
      <c r="A309" s="223"/>
      <c r="B309" s="250"/>
      <c r="C309" s="254" t="s">
        <v>1851</v>
      </c>
      <c r="D309" s="223"/>
      <c r="E309" s="250"/>
      <c r="F309" s="223"/>
      <c r="G309" s="250"/>
      <c r="H309" s="250"/>
      <c r="I309" s="250"/>
      <c r="J309" s="251">
        <f>SUBTOTAL(9,J308:J308)</f>
        <v>-1349</v>
      </c>
      <c r="K309" s="252"/>
      <c r="L309" s="253"/>
      <c r="M309" s="251">
        <f>SUBTOTAL(9,M308:M308)</f>
        <v>-18.010000000000002</v>
      </c>
      <c r="N309" s="251">
        <f>SUBTOTAL(9,N308:N308)</f>
        <v>-24.01</v>
      </c>
      <c r="O309" s="223"/>
      <c r="P309" s="210"/>
      <c r="Q309" s="210" t="str">
        <f>VLOOKUP(C309,'Descriptions Sorted by WO '!$A$5:$S$977,18,FALSE)</f>
        <v>393.1009 (5) (a) (b)</v>
      </c>
      <c r="R309" s="210" t="str">
        <f>VLOOKUP(C309,'Descriptions Sorted by WO '!$A$5:$S$977,19,FALSE)</f>
        <v>A,B,C</v>
      </c>
    </row>
    <row r="310" spans="1:18" ht="30" outlineLevel="2">
      <c r="A310" s="14" t="s">
        <v>238</v>
      </c>
      <c r="B310" s="15" t="s">
        <v>356</v>
      </c>
      <c r="C310" s="15" t="s">
        <v>357</v>
      </c>
      <c r="D310" s="14" t="s">
        <v>358</v>
      </c>
      <c r="E310" s="15" t="s">
        <v>168</v>
      </c>
      <c r="F310" s="14" t="s">
        <v>169</v>
      </c>
      <c r="G310" s="15" t="s">
        <v>23</v>
      </c>
      <c r="H310" s="15" t="s">
        <v>1528</v>
      </c>
      <c r="I310" s="15">
        <v>201409</v>
      </c>
      <c r="J310" s="16">
        <v>-2239.5500000000002</v>
      </c>
      <c r="K310" s="171">
        <f>VLOOKUP(I310,$T$9:$U$23,2)</f>
        <v>9</v>
      </c>
      <c r="L310" s="17">
        <v>2.3833299999999999E-3</v>
      </c>
      <c r="M310" s="16">
        <f>ROUND(J310*K310*L310,2)</f>
        <v>-48.04</v>
      </c>
      <c r="N310" s="16">
        <f>ROUND(J310*L310*12,2)</f>
        <v>-64.05</v>
      </c>
      <c r="O310" s="14"/>
      <c r="P310" s="210" t="str">
        <f>VLOOKUP(C310,'WO Descriptions'!$A$5:$D$384,4,FALSE)</f>
        <v>Approved by: Steve Holcomb on 10/07/2013,  Rebuild DRS 356 due to complications arising during Hydro Test. Construct 1- 10" run utilizing existing regulators, and 1- 6" run for bypass.</v>
      </c>
      <c r="Q310" s="210"/>
      <c r="R310" s="210"/>
    </row>
    <row r="311" spans="1:18" ht="30" outlineLevel="2">
      <c r="A311" s="14" t="s">
        <v>238</v>
      </c>
      <c r="B311" s="15" t="s">
        <v>356</v>
      </c>
      <c r="C311" s="15" t="s">
        <v>357</v>
      </c>
      <c r="D311" s="14" t="s">
        <v>358</v>
      </c>
      <c r="E311" s="15" t="s">
        <v>168</v>
      </c>
      <c r="F311" s="14" t="s">
        <v>169</v>
      </c>
      <c r="G311" s="15" t="s">
        <v>23</v>
      </c>
      <c r="H311" s="15" t="s">
        <v>1528</v>
      </c>
      <c r="I311" s="15">
        <v>201501</v>
      </c>
      <c r="J311" s="16">
        <v>780.23</v>
      </c>
      <c r="K311" s="171">
        <f>VLOOKUP(I311,$T$9:$U$23,2)</f>
        <v>5</v>
      </c>
      <c r="L311" s="17">
        <v>2.3833299999999999E-3</v>
      </c>
      <c r="M311" s="16">
        <f>ROUND(J311*K311*L311,2)</f>
        <v>9.3000000000000007</v>
      </c>
      <c r="N311" s="16">
        <f>ROUND(J311*L311*12,2)</f>
        <v>22.31</v>
      </c>
      <c r="O311" s="14"/>
      <c r="P311" s="210" t="str">
        <f>VLOOKUP(C311,'WO Descriptions'!$A$5:$D$384,4,FALSE)</f>
        <v>Approved by: Steve Holcomb on 10/07/2013,  Rebuild DRS 356 due to complications arising during Hydro Test. Construct 1- 10" run utilizing existing regulators, and 1- 6" run for bypass.</v>
      </c>
      <c r="Q311" s="210"/>
      <c r="R311" s="210"/>
    </row>
    <row r="312" spans="1:18" ht="30" outlineLevel="2">
      <c r="A312" s="223" t="s">
        <v>238</v>
      </c>
      <c r="B312" s="250" t="s">
        <v>356</v>
      </c>
      <c r="C312" s="250" t="s">
        <v>357</v>
      </c>
      <c r="D312" s="223" t="s">
        <v>358</v>
      </c>
      <c r="E312" s="250" t="s">
        <v>168</v>
      </c>
      <c r="F312" s="223" t="s">
        <v>169</v>
      </c>
      <c r="G312" s="250" t="s">
        <v>23</v>
      </c>
      <c r="H312" s="250" t="s">
        <v>1528</v>
      </c>
      <c r="I312" s="250">
        <v>201502</v>
      </c>
      <c r="J312" s="251">
        <v>-299.17</v>
      </c>
      <c r="K312" s="171">
        <f>VLOOKUP(I312,$T$9:$U$23,2)</f>
        <v>4</v>
      </c>
      <c r="L312" s="253">
        <v>2.3833299999999999E-3</v>
      </c>
      <c r="M312" s="251">
        <f>ROUND(J312*K312*L312,2)</f>
        <v>-2.85</v>
      </c>
      <c r="N312" s="251">
        <f>ROUND(J312*L312*12,2)</f>
        <v>-8.56</v>
      </c>
      <c r="O312" s="14"/>
      <c r="P312" s="210" t="str">
        <f>VLOOKUP(C312,'WO Descriptions'!$A$5:$D$384,4,FALSE)</f>
        <v>Approved by: Steve Holcomb on 10/07/2013,  Rebuild DRS 356 due to complications arising during Hydro Test. Construct 1- 10" run utilizing existing regulators, and 1- 6" run for bypass.</v>
      </c>
      <c r="Q312" s="210"/>
      <c r="R312" s="210"/>
    </row>
    <row r="313" spans="1:18" outlineLevel="1">
      <c r="A313" s="223"/>
      <c r="B313" s="250"/>
      <c r="C313" s="254" t="s">
        <v>1852</v>
      </c>
      <c r="D313" s="223"/>
      <c r="E313" s="250"/>
      <c r="F313" s="223"/>
      <c r="G313" s="250"/>
      <c r="H313" s="250"/>
      <c r="I313" s="250"/>
      <c r="J313" s="251">
        <f>SUBTOTAL(9,J310:J312)</f>
        <v>-1758.4900000000002</v>
      </c>
      <c r="K313" s="252"/>
      <c r="L313" s="253"/>
      <c r="M313" s="251">
        <f>SUBTOTAL(9,M310:M312)</f>
        <v>-41.589999999999996</v>
      </c>
      <c r="N313" s="251">
        <f>SUBTOTAL(9,N310:N312)</f>
        <v>-50.3</v>
      </c>
      <c r="O313" s="223"/>
      <c r="P313" s="210"/>
      <c r="Q313" s="210" t="str">
        <f>VLOOKUP(C313,'Descriptions Sorted by WO '!$A$5:$S$977,18,FALSE)</f>
        <v>393.1009 (5) (a) (b)</v>
      </c>
      <c r="R313" s="210" t="str">
        <f>VLOOKUP(C313,'Descriptions Sorted by WO '!$A$5:$S$977,19,FALSE)</f>
        <v>A,B</v>
      </c>
    </row>
    <row r="314" spans="1:18" ht="90" outlineLevel="2">
      <c r="A314" s="223" t="s">
        <v>54</v>
      </c>
      <c r="B314" s="250" t="s">
        <v>359</v>
      </c>
      <c r="C314" s="250" t="s">
        <v>360</v>
      </c>
      <c r="D314" s="223" t="s">
        <v>361</v>
      </c>
      <c r="E314" s="250" t="s">
        <v>362</v>
      </c>
      <c r="F314" s="223" t="s">
        <v>41</v>
      </c>
      <c r="G314" s="250" t="s">
        <v>23</v>
      </c>
      <c r="H314" s="250" t="s">
        <v>1526</v>
      </c>
      <c r="I314" s="250">
        <v>201409</v>
      </c>
      <c r="J314" s="251">
        <v>-2592.5700000000002</v>
      </c>
      <c r="K314" s="171">
        <f t="shared" ref="K314:K319" si="24">VLOOKUP(I314,$T$9:$U$23,2)</f>
        <v>9</v>
      </c>
      <c r="L314" s="253">
        <v>1.4833299999999999E-3</v>
      </c>
      <c r="M314" s="251">
        <f t="shared" ref="M314:M319" si="25">ROUND(J314*K314*L314,2)</f>
        <v>-34.61</v>
      </c>
      <c r="N314" s="251">
        <f t="shared" ref="N314:N319" si="26">ROUND(J314*L314*12,2)</f>
        <v>-46.15</v>
      </c>
      <c r="O314" s="223"/>
      <c r="P314" s="210" t="str">
        <f>VLOOKUP(C314,'WO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4" s="210"/>
      <c r="R314" s="210"/>
    </row>
    <row r="315" spans="1:18" ht="90" outlineLevel="2">
      <c r="A315" s="14" t="s">
        <v>54</v>
      </c>
      <c r="B315" s="15" t="s">
        <v>359</v>
      </c>
      <c r="C315" s="15" t="s">
        <v>360</v>
      </c>
      <c r="D315" s="14" t="s">
        <v>361</v>
      </c>
      <c r="E315" s="15" t="s">
        <v>362</v>
      </c>
      <c r="F315" s="14" t="s">
        <v>41</v>
      </c>
      <c r="G315" s="15" t="s">
        <v>23</v>
      </c>
      <c r="H315" s="15" t="s">
        <v>1526</v>
      </c>
      <c r="I315" s="15">
        <v>201410</v>
      </c>
      <c r="J315" s="16">
        <v>2800.39</v>
      </c>
      <c r="K315" s="171">
        <f t="shared" si="24"/>
        <v>8</v>
      </c>
      <c r="L315" s="17">
        <v>1.4833299999999999E-3</v>
      </c>
      <c r="M315" s="16">
        <f t="shared" si="25"/>
        <v>33.229999999999997</v>
      </c>
      <c r="N315" s="16">
        <f t="shared" si="26"/>
        <v>49.85</v>
      </c>
      <c r="O315" s="14"/>
      <c r="P315" s="210" t="str">
        <f>VLOOKUP(C315,'WO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5" s="210"/>
      <c r="R315" s="210"/>
    </row>
    <row r="316" spans="1:18" ht="90" outlineLevel="2">
      <c r="A316" s="14" t="s">
        <v>54</v>
      </c>
      <c r="B316" s="15" t="s">
        <v>359</v>
      </c>
      <c r="C316" s="15" t="s">
        <v>360</v>
      </c>
      <c r="D316" s="14" t="s">
        <v>361</v>
      </c>
      <c r="E316" s="15" t="s">
        <v>362</v>
      </c>
      <c r="F316" s="14" t="s">
        <v>41</v>
      </c>
      <c r="G316" s="15" t="s">
        <v>23</v>
      </c>
      <c r="H316" s="15" t="s">
        <v>1526</v>
      </c>
      <c r="I316" s="15">
        <v>201411</v>
      </c>
      <c r="J316" s="16">
        <v>-76.47</v>
      </c>
      <c r="K316" s="171">
        <f t="shared" si="24"/>
        <v>7</v>
      </c>
      <c r="L316" s="17">
        <v>1.4833299999999999E-3</v>
      </c>
      <c r="M316" s="16">
        <f t="shared" si="25"/>
        <v>-0.79</v>
      </c>
      <c r="N316" s="16">
        <f t="shared" si="26"/>
        <v>-1.36</v>
      </c>
      <c r="O316" s="14"/>
      <c r="P316" s="210" t="str">
        <f>VLOOKUP(C316,'WO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6" s="210"/>
      <c r="R316" s="210"/>
    </row>
    <row r="317" spans="1:18" ht="90" outlineLevel="2">
      <c r="A317" s="14" t="s">
        <v>54</v>
      </c>
      <c r="B317" s="15" t="s">
        <v>359</v>
      </c>
      <c r="C317" s="15" t="s">
        <v>360</v>
      </c>
      <c r="D317" s="14" t="s">
        <v>361</v>
      </c>
      <c r="E317" s="15" t="s">
        <v>362</v>
      </c>
      <c r="F317" s="14" t="s">
        <v>41</v>
      </c>
      <c r="G317" s="15" t="s">
        <v>23</v>
      </c>
      <c r="H317" s="15" t="s">
        <v>1526</v>
      </c>
      <c r="I317" s="15">
        <v>201412</v>
      </c>
      <c r="J317" s="16">
        <v>-242.08</v>
      </c>
      <c r="K317" s="171">
        <f t="shared" si="24"/>
        <v>6</v>
      </c>
      <c r="L317" s="17">
        <v>1.4833299999999999E-3</v>
      </c>
      <c r="M317" s="16">
        <f t="shared" si="25"/>
        <v>-2.15</v>
      </c>
      <c r="N317" s="16">
        <f t="shared" si="26"/>
        <v>-4.3099999999999996</v>
      </c>
      <c r="O317" s="14"/>
      <c r="P317" s="210" t="str">
        <f>VLOOKUP(C317,'WO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7" s="210"/>
      <c r="R317" s="210"/>
    </row>
    <row r="318" spans="1:18" ht="90" outlineLevel="2">
      <c r="A318" s="14" t="s">
        <v>54</v>
      </c>
      <c r="B318" s="15" t="s">
        <v>359</v>
      </c>
      <c r="C318" s="15" t="s">
        <v>360</v>
      </c>
      <c r="D318" s="14" t="s">
        <v>361</v>
      </c>
      <c r="E318" s="15" t="s">
        <v>362</v>
      </c>
      <c r="F318" s="14" t="s">
        <v>41</v>
      </c>
      <c r="G318" s="15" t="s">
        <v>23</v>
      </c>
      <c r="H318" s="15" t="s">
        <v>1526</v>
      </c>
      <c r="I318" s="15">
        <v>201501</v>
      </c>
      <c r="J318" s="16">
        <v>-11.23</v>
      </c>
      <c r="K318" s="171">
        <f t="shared" si="24"/>
        <v>5</v>
      </c>
      <c r="L318" s="17">
        <v>1.4833299999999999E-3</v>
      </c>
      <c r="M318" s="16">
        <f t="shared" si="25"/>
        <v>-0.08</v>
      </c>
      <c r="N318" s="16">
        <f t="shared" si="26"/>
        <v>-0.2</v>
      </c>
      <c r="O318" s="14"/>
      <c r="P318" s="210" t="str">
        <f>VLOOKUP(C318,'WO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8" s="210"/>
      <c r="R318" s="210"/>
    </row>
    <row r="319" spans="1:18" ht="90" outlineLevel="2">
      <c r="A319" s="14" t="s">
        <v>54</v>
      </c>
      <c r="B319" s="15" t="s">
        <v>359</v>
      </c>
      <c r="C319" s="15" t="s">
        <v>360</v>
      </c>
      <c r="D319" s="14" t="s">
        <v>361</v>
      </c>
      <c r="E319" s="15" t="s">
        <v>362</v>
      </c>
      <c r="F319" s="14" t="s">
        <v>41</v>
      </c>
      <c r="G319" s="15" t="s">
        <v>23</v>
      </c>
      <c r="H319" s="15" t="s">
        <v>1526</v>
      </c>
      <c r="I319" s="15">
        <v>201502</v>
      </c>
      <c r="J319" s="16">
        <v>-23.99</v>
      </c>
      <c r="K319" s="171">
        <f t="shared" si="24"/>
        <v>4</v>
      </c>
      <c r="L319" s="17">
        <v>1.4833299999999999E-3</v>
      </c>
      <c r="M319" s="16">
        <f t="shared" si="25"/>
        <v>-0.14000000000000001</v>
      </c>
      <c r="N319" s="16">
        <f t="shared" si="26"/>
        <v>-0.43</v>
      </c>
      <c r="O319" s="14"/>
      <c r="P319" s="210" t="str">
        <f>VLOOKUP(C319,'WO Descriptions'!$A$5:$D$384,4,FALSE)</f>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
      <c r="Q319" s="210"/>
      <c r="R319" s="210"/>
    </row>
    <row r="320" spans="1:18" outlineLevel="1">
      <c r="A320" s="223"/>
      <c r="B320" s="250"/>
      <c r="C320" s="254" t="s">
        <v>1853</v>
      </c>
      <c r="D320" s="223"/>
      <c r="E320" s="250"/>
      <c r="F320" s="223"/>
      <c r="G320" s="250"/>
      <c r="H320" s="250"/>
      <c r="I320" s="250"/>
      <c r="J320" s="251">
        <f>SUBTOTAL(9,J314:J319)</f>
        <v>-145.9500000000003</v>
      </c>
      <c r="K320" s="252"/>
      <c r="L320" s="253"/>
      <c r="M320" s="251">
        <f>SUBTOTAL(9,M314:M319)</f>
        <v>-4.5400000000000018</v>
      </c>
      <c r="N320" s="251">
        <f>SUBTOTAL(9,N314:N319)</f>
        <v>-2.5999999999999974</v>
      </c>
      <c r="O320" s="223"/>
      <c r="P320" s="210"/>
      <c r="Q320" s="210" t="str">
        <f>VLOOKUP(C320,'Descriptions Sorted by WO '!$A$5:$S$977,18,FALSE)</f>
        <v>393.1009 (5) (C)</v>
      </c>
      <c r="R320" s="210"/>
    </row>
    <row r="321" spans="1:18" ht="30" outlineLevel="2">
      <c r="A321" s="14" t="s">
        <v>17</v>
      </c>
      <c r="B321" s="15" t="s">
        <v>363</v>
      </c>
      <c r="C321" s="15" t="s">
        <v>364</v>
      </c>
      <c r="D321" s="14" t="s">
        <v>365</v>
      </c>
      <c r="E321" s="15" t="s">
        <v>21</v>
      </c>
      <c r="F321" s="14" t="s">
        <v>22</v>
      </c>
      <c r="G321" s="15" t="s">
        <v>23</v>
      </c>
      <c r="H321" s="15" t="s">
        <v>1525</v>
      </c>
      <c r="I321" s="15">
        <v>201409</v>
      </c>
      <c r="J321" s="16">
        <v>25.47</v>
      </c>
      <c r="K321" s="171">
        <f>VLOOKUP(I321,$T$9:$U$23,2)</f>
        <v>9</v>
      </c>
      <c r="L321" s="17">
        <v>1.4833299999999999E-3</v>
      </c>
      <c r="M321" s="16">
        <f>ROUND(J321*K321*L321,2)</f>
        <v>0.34</v>
      </c>
      <c r="N321" s="16">
        <f>ROUND(J321*L321*12,2)</f>
        <v>0.45</v>
      </c>
      <c r="O321" s="14"/>
      <c r="P321" s="210" t="str">
        <f>VLOOKUP(C321,'WO Descriptions'!$A$5:$D$384,4,FALSE)</f>
        <v>Approved by: Kevin Driskell on 08/23/2013,  Replace 10' of 2in PBS, original JO A6962C, year 1956 with 10'-2in PCS due to #3 leak at 113th Ter and Jackson.  Gate valve was removed.</v>
      </c>
      <c r="Q321" s="210"/>
      <c r="R321" s="210"/>
    </row>
    <row r="322" spans="1:18" outlineLevel="1">
      <c r="A322" s="223"/>
      <c r="B322" s="250"/>
      <c r="C322" s="254" t="s">
        <v>1854</v>
      </c>
      <c r="D322" s="223"/>
      <c r="E322" s="250"/>
      <c r="F322" s="223"/>
      <c r="G322" s="250"/>
      <c r="H322" s="250"/>
      <c r="I322" s="250"/>
      <c r="J322" s="251">
        <f>SUBTOTAL(9,J321:J321)</f>
        <v>25.47</v>
      </c>
      <c r="K322" s="252"/>
      <c r="L322" s="253"/>
      <c r="M322" s="251">
        <f>SUBTOTAL(9,M321:M321)</f>
        <v>0.34</v>
      </c>
      <c r="N322" s="251">
        <f>SUBTOTAL(9,N321:N321)</f>
        <v>0.45</v>
      </c>
      <c r="O322" s="223"/>
      <c r="P322" s="210"/>
      <c r="Q322" s="210" t="str">
        <f>VLOOKUP(C322,'Descriptions Sorted by WO '!$A$5:$S$977,18,FALSE)</f>
        <v>393.1009 (5) (a) (b)</v>
      </c>
      <c r="R322" s="210" t="str">
        <f>VLOOKUP(C322,'Descriptions Sorted by WO '!$A$5:$S$977,19,FALSE)</f>
        <v>A,B,C</v>
      </c>
    </row>
    <row r="323" spans="1:18" ht="180" outlineLevel="2">
      <c r="A323" s="14" t="s">
        <v>17</v>
      </c>
      <c r="B323" s="15" t="s">
        <v>366</v>
      </c>
      <c r="C323" s="15" t="s">
        <v>367</v>
      </c>
      <c r="D323" s="14" t="s">
        <v>368</v>
      </c>
      <c r="E323" s="15" t="s">
        <v>369</v>
      </c>
      <c r="F323" s="14" t="s">
        <v>41</v>
      </c>
      <c r="G323" s="15" t="s">
        <v>23</v>
      </c>
      <c r="H323" s="15" t="s">
        <v>1526</v>
      </c>
      <c r="I323" s="15">
        <v>201411</v>
      </c>
      <c r="J323" s="16">
        <v>3575265.61</v>
      </c>
      <c r="K323" s="171">
        <f>VLOOKUP(I323,$T$9:$U$23,2)</f>
        <v>7</v>
      </c>
      <c r="L323" s="17">
        <v>1.4833299999999999E-3</v>
      </c>
      <c r="M323" s="16">
        <f>ROUND(J323*K323*L323,2)</f>
        <v>37123.089999999997</v>
      </c>
      <c r="N323" s="16">
        <f>ROUND(J323*L323*12,2)</f>
        <v>63639.58</v>
      </c>
      <c r="O323" s="14"/>
      <c r="P323" s="210" t="str">
        <f>VLOOKUP(C323,'WO Descriptions'!$A$5:$D$384,4,FALSE)</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c r="Q323" s="210"/>
      <c r="R323" s="210"/>
    </row>
    <row r="324" spans="1:18" ht="180" outlineLevel="2">
      <c r="A324" s="14" t="s">
        <v>17</v>
      </c>
      <c r="B324" s="15" t="s">
        <v>366</v>
      </c>
      <c r="C324" s="15" t="s">
        <v>367</v>
      </c>
      <c r="D324" s="14" t="s">
        <v>370</v>
      </c>
      <c r="E324" s="15" t="s">
        <v>369</v>
      </c>
      <c r="F324" s="14" t="s">
        <v>41</v>
      </c>
      <c r="G324" s="15" t="s">
        <v>23</v>
      </c>
      <c r="H324" s="15" t="s">
        <v>1526</v>
      </c>
      <c r="I324" s="15">
        <v>201411</v>
      </c>
      <c r="J324" s="16">
        <v>-1179275</v>
      </c>
      <c r="K324" s="171">
        <f>VLOOKUP(I324,$T$9:$U$23,2)</f>
        <v>7</v>
      </c>
      <c r="L324" s="17">
        <v>1.4833299999999999E-3</v>
      </c>
      <c r="M324" s="16">
        <f>ROUND(J324*K324*L324,2)</f>
        <v>-12244.78</v>
      </c>
      <c r="N324" s="16">
        <f>ROUND(J324*L324*12,2)</f>
        <v>-20991.05</v>
      </c>
      <c r="O324" s="14"/>
      <c r="P324" s="210" t="str">
        <f>VLOOKUP(C324,'WO Descriptions'!$A$5:$D$384,4,FALSE)</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c r="Q324" s="210"/>
      <c r="R324" s="210"/>
    </row>
    <row r="325" spans="1:18" ht="180" outlineLevel="2">
      <c r="A325" s="14" t="s">
        <v>17</v>
      </c>
      <c r="B325" s="15" t="s">
        <v>366</v>
      </c>
      <c r="C325" s="15" t="s">
        <v>367</v>
      </c>
      <c r="D325" s="14" t="s">
        <v>368</v>
      </c>
      <c r="E325" s="15" t="s">
        <v>369</v>
      </c>
      <c r="F325" s="14" t="s">
        <v>41</v>
      </c>
      <c r="G325" s="15" t="s">
        <v>23</v>
      </c>
      <c r="H325" s="15" t="s">
        <v>1526</v>
      </c>
      <c r="I325" s="15">
        <v>201412</v>
      </c>
      <c r="J325" s="16">
        <v>11025.12</v>
      </c>
      <c r="K325" s="171">
        <f>VLOOKUP(I325,$T$9:$U$23,2)</f>
        <v>6</v>
      </c>
      <c r="L325" s="17">
        <v>1.4833299999999999E-3</v>
      </c>
      <c r="M325" s="16">
        <f>ROUND(J325*K325*L325,2)</f>
        <v>98.12</v>
      </c>
      <c r="N325" s="16">
        <f>ROUND(J325*L325*12,2)</f>
        <v>196.25</v>
      </c>
      <c r="O325" s="14"/>
      <c r="P325" s="210" t="str">
        <f>VLOOKUP(C325,'WO Descriptions'!$A$5:$D$384,4,FALSE)</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c r="Q325" s="210"/>
      <c r="R325" s="210"/>
    </row>
    <row r="326" spans="1:18" ht="180" outlineLevel="2">
      <c r="A326" s="14" t="s">
        <v>17</v>
      </c>
      <c r="B326" s="15" t="s">
        <v>366</v>
      </c>
      <c r="C326" s="15" t="s">
        <v>367</v>
      </c>
      <c r="D326" s="14" t="s">
        <v>368</v>
      </c>
      <c r="E326" s="15" t="s">
        <v>369</v>
      </c>
      <c r="F326" s="14" t="s">
        <v>41</v>
      </c>
      <c r="G326" s="15" t="s">
        <v>23</v>
      </c>
      <c r="H326" s="15" t="s">
        <v>1526</v>
      </c>
      <c r="I326" s="15">
        <v>201501</v>
      </c>
      <c r="J326" s="16">
        <v>14460.37</v>
      </c>
      <c r="K326" s="171">
        <f>VLOOKUP(I326,$T$9:$U$23,2)</f>
        <v>5</v>
      </c>
      <c r="L326" s="17">
        <v>1.4833299999999999E-3</v>
      </c>
      <c r="M326" s="16">
        <f>ROUND(J326*K326*L326,2)</f>
        <v>107.25</v>
      </c>
      <c r="N326" s="16">
        <f>ROUND(J326*L326*12,2)</f>
        <v>257.39</v>
      </c>
      <c r="O326" s="14"/>
      <c r="P326" s="210" t="str">
        <f>VLOOKUP(C326,'WO Descriptions'!$A$5:$D$384,4,FALSE)</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c r="Q326" s="210"/>
      <c r="R326" s="210"/>
    </row>
    <row r="327" spans="1:18" ht="180" outlineLevel="2">
      <c r="A327" s="14" t="s">
        <v>17</v>
      </c>
      <c r="B327" s="15" t="s">
        <v>366</v>
      </c>
      <c r="C327" s="15" t="s">
        <v>367</v>
      </c>
      <c r="D327" s="14" t="s">
        <v>368</v>
      </c>
      <c r="E327" s="15" t="s">
        <v>369</v>
      </c>
      <c r="F327" s="14" t="s">
        <v>41</v>
      </c>
      <c r="G327" s="15" t="s">
        <v>23</v>
      </c>
      <c r="H327" s="15" t="s">
        <v>1526</v>
      </c>
      <c r="I327" s="15">
        <v>201502</v>
      </c>
      <c r="J327" s="16">
        <v>-1278.56</v>
      </c>
      <c r="K327" s="171">
        <f>VLOOKUP(I327,$T$9:$U$23,2)</f>
        <v>4</v>
      </c>
      <c r="L327" s="17">
        <v>1.4833299999999999E-3</v>
      </c>
      <c r="M327" s="16">
        <f>ROUND(J327*K327*L327,2)</f>
        <v>-7.59</v>
      </c>
      <c r="N327" s="16">
        <f>ROUND(J327*L327*12,2)</f>
        <v>-22.76</v>
      </c>
      <c r="O327" s="14"/>
      <c r="P327" s="210" t="str">
        <f>VLOOKUP(C327,'WO Descriptions'!$A$5:$D$384,4,FALSE)</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v>
      </c>
      <c r="Q327" s="210"/>
      <c r="R327" s="210"/>
    </row>
    <row r="328" spans="1:18" outlineLevel="1">
      <c r="A328" s="223"/>
      <c r="B328" s="250"/>
      <c r="C328" s="254" t="s">
        <v>1855</v>
      </c>
      <c r="D328" s="223"/>
      <c r="E328" s="250"/>
      <c r="F328" s="223"/>
      <c r="G328" s="250"/>
      <c r="H328" s="250"/>
      <c r="I328" s="250"/>
      <c r="J328" s="251">
        <f>SUBTOTAL(9,J323:J327)</f>
        <v>2420197.54</v>
      </c>
      <c r="K328" s="252"/>
      <c r="L328" s="253"/>
      <c r="M328" s="251">
        <f>SUBTOTAL(9,M323:M327)</f>
        <v>25076.089999999997</v>
      </c>
      <c r="N328" s="251">
        <f>SUBTOTAL(9,N323:N327)</f>
        <v>43079.409999999996</v>
      </c>
      <c r="O328" s="223"/>
      <c r="P328" s="210"/>
      <c r="Q328" s="210" t="str">
        <f>VLOOKUP(C328,'Descriptions Sorted by WO '!$A$5:$S$977,18,FALSE)</f>
        <v>393.1009 (5) (C)</v>
      </c>
      <c r="R328" s="210"/>
    </row>
    <row r="329" spans="1:18" ht="30" outlineLevel="2">
      <c r="A329" s="211" t="s">
        <v>66</v>
      </c>
      <c r="B329" s="212" t="s">
        <v>371</v>
      </c>
      <c r="C329" s="212" t="s">
        <v>372</v>
      </c>
      <c r="D329" s="211" t="s">
        <v>88</v>
      </c>
      <c r="E329" s="212" t="s">
        <v>373</v>
      </c>
      <c r="F329" s="211" t="s">
        <v>85</v>
      </c>
      <c r="G329" s="212" t="s">
        <v>23</v>
      </c>
      <c r="H329" s="212" t="s">
        <v>1530</v>
      </c>
      <c r="I329" s="212">
        <v>201409</v>
      </c>
      <c r="J329" s="213">
        <v>47214.32</v>
      </c>
      <c r="K329" s="171">
        <f t="shared" ref="K329:K334" si="27">VLOOKUP(I329,$T$9:$U$23,2)</f>
        <v>9</v>
      </c>
      <c r="L329" s="214">
        <v>2.23333E-3</v>
      </c>
      <c r="M329" s="213">
        <f t="shared" ref="M329:M334" si="28">ROUND(J329*K329*L329,2)</f>
        <v>949.01</v>
      </c>
      <c r="N329" s="213">
        <f t="shared" ref="N329:N334" si="29">ROUND(J329*L329*12,2)</f>
        <v>1265.3399999999999</v>
      </c>
      <c r="O329" s="14"/>
      <c r="P329" s="210" t="str">
        <f>VLOOKUP(C329,'WO Descriptions'!$A$5:$D$384,4,FALSE)</f>
        <v>Service/Yard Line Replacement (SLRP): Contract Crew.  Block by Block - Planned replacement of all unprotected steel or copper in a single block.  (Lee's Summit - East Region)</v>
      </c>
      <c r="Q329" s="210"/>
      <c r="R329" s="210"/>
    </row>
    <row r="330" spans="1:18" ht="30" outlineLevel="2">
      <c r="A330" s="211" t="s">
        <v>66</v>
      </c>
      <c r="B330" s="212" t="s">
        <v>371</v>
      </c>
      <c r="C330" s="212" t="s">
        <v>372</v>
      </c>
      <c r="D330" s="211" t="s">
        <v>88</v>
      </c>
      <c r="E330" s="212" t="s">
        <v>373</v>
      </c>
      <c r="F330" s="211" t="s">
        <v>85</v>
      </c>
      <c r="G330" s="212" t="s">
        <v>23</v>
      </c>
      <c r="H330" s="212" t="s">
        <v>1530</v>
      </c>
      <c r="I330" s="212">
        <v>201410</v>
      </c>
      <c r="J330" s="213">
        <v>13638.55</v>
      </c>
      <c r="K330" s="171">
        <f t="shared" si="27"/>
        <v>8</v>
      </c>
      <c r="L330" s="214">
        <v>2.23333E-3</v>
      </c>
      <c r="M330" s="213">
        <f t="shared" si="28"/>
        <v>243.68</v>
      </c>
      <c r="N330" s="213">
        <f t="shared" si="29"/>
        <v>365.51</v>
      </c>
      <c r="O330" s="14"/>
      <c r="P330" s="210" t="str">
        <f>VLOOKUP(C330,'WO Descriptions'!$A$5:$D$384,4,FALSE)</f>
        <v>Service/Yard Line Replacement (SLRP): Contract Crew.  Block by Block - Planned replacement of all unprotected steel or copper in a single block.  (Lee's Summit - East Region)</v>
      </c>
      <c r="Q330" s="210"/>
      <c r="R330" s="210"/>
    </row>
    <row r="331" spans="1:18" ht="30" outlineLevel="2">
      <c r="A331" s="211" t="s">
        <v>66</v>
      </c>
      <c r="B331" s="212" t="s">
        <v>371</v>
      </c>
      <c r="C331" s="212" t="s">
        <v>372</v>
      </c>
      <c r="D331" s="211" t="s">
        <v>88</v>
      </c>
      <c r="E331" s="212" t="s">
        <v>373</v>
      </c>
      <c r="F331" s="211" t="s">
        <v>85</v>
      </c>
      <c r="G331" s="212" t="s">
        <v>23</v>
      </c>
      <c r="H331" s="212" t="s">
        <v>1530</v>
      </c>
      <c r="I331" s="212">
        <v>201411</v>
      </c>
      <c r="J331" s="213">
        <v>-288.35000000000002</v>
      </c>
      <c r="K331" s="171">
        <f t="shared" si="27"/>
        <v>7</v>
      </c>
      <c r="L331" s="214">
        <v>2.23333E-3</v>
      </c>
      <c r="M331" s="213">
        <f t="shared" si="28"/>
        <v>-4.51</v>
      </c>
      <c r="N331" s="213">
        <f t="shared" si="29"/>
        <v>-7.73</v>
      </c>
      <c r="O331" s="14"/>
      <c r="P331" s="210" t="str">
        <f>VLOOKUP(C331,'WO Descriptions'!$A$5:$D$384,4,FALSE)</f>
        <v>Service/Yard Line Replacement (SLRP): Contract Crew.  Block by Block - Planned replacement of all unprotected steel or copper in a single block.  (Lee's Summit - East Region)</v>
      </c>
      <c r="Q331" s="210"/>
      <c r="R331" s="210"/>
    </row>
    <row r="332" spans="1:18" ht="30" outlineLevel="2">
      <c r="A332" s="211" t="s">
        <v>66</v>
      </c>
      <c r="B332" s="212" t="s">
        <v>371</v>
      </c>
      <c r="C332" s="212" t="s">
        <v>372</v>
      </c>
      <c r="D332" s="211" t="s">
        <v>88</v>
      </c>
      <c r="E332" s="212" t="s">
        <v>373</v>
      </c>
      <c r="F332" s="211" t="s">
        <v>85</v>
      </c>
      <c r="G332" s="212" t="s">
        <v>23</v>
      </c>
      <c r="H332" s="212" t="s">
        <v>1530</v>
      </c>
      <c r="I332" s="212">
        <v>201412</v>
      </c>
      <c r="J332" s="213">
        <v>2148.71</v>
      </c>
      <c r="K332" s="171">
        <f t="shared" si="27"/>
        <v>6</v>
      </c>
      <c r="L332" s="214">
        <v>2.23333E-3</v>
      </c>
      <c r="M332" s="213">
        <f t="shared" si="28"/>
        <v>28.79</v>
      </c>
      <c r="N332" s="213">
        <f t="shared" si="29"/>
        <v>57.59</v>
      </c>
      <c r="O332" s="14"/>
      <c r="P332" s="210" t="str">
        <f>VLOOKUP(C332,'WO Descriptions'!$A$5:$D$384,4,FALSE)</f>
        <v>Service/Yard Line Replacement (SLRP): Contract Crew.  Block by Block - Planned replacement of all unprotected steel or copper in a single block.  (Lee's Summit - East Region)</v>
      </c>
      <c r="Q332" s="210"/>
      <c r="R332" s="210"/>
    </row>
    <row r="333" spans="1:18" ht="30" outlineLevel="2">
      <c r="A333" s="14" t="s">
        <v>66</v>
      </c>
      <c r="B333" s="15" t="s">
        <v>371</v>
      </c>
      <c r="C333" s="15" t="s">
        <v>372</v>
      </c>
      <c r="D333" s="14" t="s">
        <v>88</v>
      </c>
      <c r="E333" s="15" t="s">
        <v>373</v>
      </c>
      <c r="F333" s="14" t="s">
        <v>85</v>
      </c>
      <c r="G333" s="15" t="s">
        <v>23</v>
      </c>
      <c r="H333" s="15" t="s">
        <v>1530</v>
      </c>
      <c r="I333" s="15">
        <v>201501</v>
      </c>
      <c r="J333" s="16">
        <v>-66.13</v>
      </c>
      <c r="K333" s="171">
        <f t="shared" si="27"/>
        <v>5</v>
      </c>
      <c r="L333" s="17">
        <v>2.23333E-3</v>
      </c>
      <c r="M333" s="16">
        <f t="shared" si="28"/>
        <v>-0.74</v>
      </c>
      <c r="N333" s="16">
        <f t="shared" si="29"/>
        <v>-1.77</v>
      </c>
      <c r="O333" s="14"/>
      <c r="P333" s="210" t="str">
        <f>VLOOKUP(C333,'WO Descriptions'!$A$5:$D$384,4,FALSE)</f>
        <v>Service/Yard Line Replacement (SLRP): Contract Crew.  Block by Block - Planned replacement of all unprotected steel or copper in a single block.  (Lee's Summit - East Region)</v>
      </c>
      <c r="Q333" s="210"/>
      <c r="R333" s="210"/>
    </row>
    <row r="334" spans="1:18" ht="30" outlineLevel="2">
      <c r="A334" s="14" t="s">
        <v>66</v>
      </c>
      <c r="B334" s="15" t="s">
        <v>371</v>
      </c>
      <c r="C334" s="15" t="s">
        <v>372</v>
      </c>
      <c r="D334" s="14" t="s">
        <v>88</v>
      </c>
      <c r="E334" s="15" t="s">
        <v>373</v>
      </c>
      <c r="F334" s="14" t="s">
        <v>85</v>
      </c>
      <c r="G334" s="15" t="s">
        <v>23</v>
      </c>
      <c r="H334" s="15" t="s">
        <v>1530</v>
      </c>
      <c r="I334" s="15">
        <v>201502</v>
      </c>
      <c r="J334" s="16">
        <v>11468.81</v>
      </c>
      <c r="K334" s="171">
        <f t="shared" si="27"/>
        <v>4</v>
      </c>
      <c r="L334" s="17">
        <v>2.23333E-3</v>
      </c>
      <c r="M334" s="16">
        <f t="shared" si="28"/>
        <v>102.45</v>
      </c>
      <c r="N334" s="16">
        <f t="shared" si="29"/>
        <v>307.36</v>
      </c>
      <c r="O334" s="14"/>
      <c r="P334" s="210" t="str">
        <f>VLOOKUP(C334,'WO Descriptions'!$A$5:$D$384,4,FALSE)</f>
        <v>Service/Yard Line Replacement (SLRP): Contract Crew.  Block by Block - Planned replacement of all unprotected steel or copper in a single block.  (Lee's Summit - East Region)</v>
      </c>
      <c r="Q334" s="210"/>
      <c r="R334" s="210"/>
    </row>
    <row r="335" spans="1:18" outlineLevel="1">
      <c r="A335" s="223"/>
      <c r="B335" s="250"/>
      <c r="C335" s="254" t="s">
        <v>1856</v>
      </c>
      <c r="D335" s="223"/>
      <c r="E335" s="250"/>
      <c r="F335" s="223"/>
      <c r="G335" s="250"/>
      <c r="H335" s="250"/>
      <c r="I335" s="250"/>
      <c r="J335" s="251">
        <f>SUBTOTAL(9,J329:J334)</f>
        <v>74115.91</v>
      </c>
      <c r="K335" s="252"/>
      <c r="L335" s="253"/>
      <c r="M335" s="251">
        <f>SUBTOTAL(9,M329:M334)</f>
        <v>1318.68</v>
      </c>
      <c r="N335" s="251">
        <f>SUBTOTAL(9,N329:N334)</f>
        <v>1986.2999999999997</v>
      </c>
      <c r="O335" s="223"/>
      <c r="P335" s="210"/>
      <c r="Q335" s="210" t="str">
        <f>VLOOKUP(C335,'Descriptions Sorted by WO '!$A$5:$S$977,18,FALSE)</f>
        <v>393.1009 (5) (a) (b)</v>
      </c>
      <c r="R335" s="210" t="str">
        <f>VLOOKUP(C335,'Descriptions Sorted by WO '!$A$5:$S$977,19,FALSE)</f>
        <v>A,B,C,I</v>
      </c>
    </row>
    <row r="336" spans="1:18" ht="30" outlineLevel="2">
      <c r="A336" s="211" t="s">
        <v>66</v>
      </c>
      <c r="B336" s="212" t="s">
        <v>374</v>
      </c>
      <c r="C336" s="212" t="s">
        <v>375</v>
      </c>
      <c r="D336" s="211" t="s">
        <v>376</v>
      </c>
      <c r="E336" s="212" t="s">
        <v>377</v>
      </c>
      <c r="F336" s="211" t="s">
        <v>378</v>
      </c>
      <c r="G336" s="212" t="s">
        <v>23</v>
      </c>
      <c r="H336" s="212" t="s">
        <v>1530</v>
      </c>
      <c r="I336" s="212">
        <v>201409</v>
      </c>
      <c r="J336" s="213">
        <v>23482.38</v>
      </c>
      <c r="K336" s="171">
        <f t="shared" ref="K336:K341" si="30">VLOOKUP(I336,$T$9:$U$23,2)</f>
        <v>9</v>
      </c>
      <c r="L336" s="214">
        <v>2.23333E-3</v>
      </c>
      <c r="M336" s="213">
        <f t="shared" ref="M336:M341" si="31">ROUND(J336*K336*L336,2)</f>
        <v>472</v>
      </c>
      <c r="N336" s="213">
        <f t="shared" ref="N336:N341" si="32">ROUND(J336*L336*12,2)</f>
        <v>629.33000000000004</v>
      </c>
      <c r="O336" s="14"/>
      <c r="P336" s="210" t="str">
        <f>VLOOKUP(C336,'WO Descriptions'!$A$5:$D$384,4,FALSE)</f>
        <v>Service/Yard Line Replacement (SLRP): Contract Crew.  Service/yard line replacement - Material Charges Only  (Joplin - South Region)</v>
      </c>
      <c r="Q336" s="210"/>
      <c r="R336" s="210"/>
    </row>
    <row r="337" spans="1:18" ht="30" outlineLevel="2">
      <c r="A337" s="211" t="s">
        <v>66</v>
      </c>
      <c r="B337" s="212" t="s">
        <v>374</v>
      </c>
      <c r="C337" s="212" t="s">
        <v>375</v>
      </c>
      <c r="D337" s="211" t="s">
        <v>376</v>
      </c>
      <c r="E337" s="212" t="s">
        <v>377</v>
      </c>
      <c r="F337" s="211" t="s">
        <v>378</v>
      </c>
      <c r="G337" s="212" t="s">
        <v>23</v>
      </c>
      <c r="H337" s="212" t="s">
        <v>1530</v>
      </c>
      <c r="I337" s="212">
        <v>201410</v>
      </c>
      <c r="J337" s="213">
        <v>18639.88</v>
      </c>
      <c r="K337" s="171">
        <f t="shared" si="30"/>
        <v>8</v>
      </c>
      <c r="L337" s="214">
        <v>2.23333E-3</v>
      </c>
      <c r="M337" s="213">
        <f t="shared" si="31"/>
        <v>333.03</v>
      </c>
      <c r="N337" s="213">
        <f t="shared" si="32"/>
        <v>499.55</v>
      </c>
      <c r="O337" s="14"/>
      <c r="P337" s="210" t="str">
        <f>VLOOKUP(C337,'WO Descriptions'!$A$5:$D$384,4,FALSE)</f>
        <v>Service/Yard Line Replacement (SLRP): Contract Crew.  Service/yard line replacement - Material Charges Only  (Joplin - South Region)</v>
      </c>
      <c r="Q337" s="210"/>
      <c r="R337" s="210"/>
    </row>
    <row r="338" spans="1:18" ht="30" outlineLevel="2">
      <c r="A338" s="211" t="s">
        <v>66</v>
      </c>
      <c r="B338" s="212" t="s">
        <v>374</v>
      </c>
      <c r="C338" s="212" t="s">
        <v>375</v>
      </c>
      <c r="D338" s="211" t="s">
        <v>376</v>
      </c>
      <c r="E338" s="212" t="s">
        <v>377</v>
      </c>
      <c r="F338" s="211" t="s">
        <v>378</v>
      </c>
      <c r="G338" s="212" t="s">
        <v>23</v>
      </c>
      <c r="H338" s="212" t="s">
        <v>1530</v>
      </c>
      <c r="I338" s="212">
        <v>201411</v>
      </c>
      <c r="J338" s="213">
        <v>-119.93</v>
      </c>
      <c r="K338" s="171">
        <f t="shared" si="30"/>
        <v>7</v>
      </c>
      <c r="L338" s="214">
        <v>2.23333E-3</v>
      </c>
      <c r="M338" s="213">
        <f t="shared" si="31"/>
        <v>-1.87</v>
      </c>
      <c r="N338" s="213">
        <f t="shared" si="32"/>
        <v>-3.21</v>
      </c>
      <c r="O338" s="14"/>
      <c r="P338" s="210" t="str">
        <f>VLOOKUP(C338,'WO Descriptions'!$A$5:$D$384,4,FALSE)</f>
        <v>Service/Yard Line Replacement (SLRP): Contract Crew.  Service/yard line replacement - Material Charges Only  (Joplin - South Region)</v>
      </c>
      <c r="Q338" s="210"/>
      <c r="R338" s="210"/>
    </row>
    <row r="339" spans="1:18" ht="30" outlineLevel="2">
      <c r="A339" s="211" t="s">
        <v>66</v>
      </c>
      <c r="B339" s="212" t="s">
        <v>374</v>
      </c>
      <c r="C339" s="212" t="s">
        <v>375</v>
      </c>
      <c r="D339" s="211" t="s">
        <v>376</v>
      </c>
      <c r="E339" s="212" t="s">
        <v>377</v>
      </c>
      <c r="F339" s="211" t="s">
        <v>378</v>
      </c>
      <c r="G339" s="212" t="s">
        <v>23</v>
      </c>
      <c r="H339" s="212" t="s">
        <v>1530</v>
      </c>
      <c r="I339" s="212">
        <v>201412</v>
      </c>
      <c r="J339" s="213">
        <v>1572.18</v>
      </c>
      <c r="K339" s="171">
        <f t="shared" si="30"/>
        <v>6</v>
      </c>
      <c r="L339" s="214">
        <v>2.23333E-3</v>
      </c>
      <c r="M339" s="213">
        <f t="shared" si="31"/>
        <v>21.07</v>
      </c>
      <c r="N339" s="213">
        <f t="shared" si="32"/>
        <v>42.13</v>
      </c>
      <c r="O339" s="14"/>
      <c r="P339" s="210" t="str">
        <f>VLOOKUP(C339,'WO Descriptions'!$A$5:$D$384,4,FALSE)</f>
        <v>Service/Yard Line Replacement (SLRP): Contract Crew.  Service/yard line replacement - Material Charges Only  (Joplin - South Region)</v>
      </c>
      <c r="Q339" s="210"/>
      <c r="R339" s="210"/>
    </row>
    <row r="340" spans="1:18" ht="30" outlineLevel="2">
      <c r="A340" s="14" t="s">
        <v>66</v>
      </c>
      <c r="B340" s="15" t="s">
        <v>374</v>
      </c>
      <c r="C340" s="15" t="s">
        <v>375</v>
      </c>
      <c r="D340" s="14" t="s">
        <v>376</v>
      </c>
      <c r="E340" s="15" t="s">
        <v>377</v>
      </c>
      <c r="F340" s="14" t="s">
        <v>378</v>
      </c>
      <c r="G340" s="15" t="s">
        <v>23</v>
      </c>
      <c r="H340" s="15" t="s">
        <v>1530</v>
      </c>
      <c r="I340" s="15">
        <v>201501</v>
      </c>
      <c r="J340" s="16">
        <v>9578.3799999999992</v>
      </c>
      <c r="K340" s="171">
        <f t="shared" si="30"/>
        <v>5</v>
      </c>
      <c r="L340" s="17">
        <v>2.23333E-3</v>
      </c>
      <c r="M340" s="16">
        <f t="shared" si="31"/>
        <v>106.96</v>
      </c>
      <c r="N340" s="16">
        <f t="shared" si="32"/>
        <v>256.7</v>
      </c>
      <c r="O340" s="14"/>
      <c r="P340" s="210" t="str">
        <f>VLOOKUP(C340,'WO Descriptions'!$A$5:$D$384,4,FALSE)</f>
        <v>Service/Yard Line Replacement (SLRP): Contract Crew.  Service/yard line replacement - Material Charges Only  (Joplin - South Region)</v>
      </c>
      <c r="Q340" s="210"/>
      <c r="R340" s="210"/>
    </row>
    <row r="341" spans="1:18" ht="30" outlineLevel="2">
      <c r="A341" s="14" t="s">
        <v>66</v>
      </c>
      <c r="B341" s="15" t="s">
        <v>374</v>
      </c>
      <c r="C341" s="15" t="s">
        <v>375</v>
      </c>
      <c r="D341" s="14" t="s">
        <v>376</v>
      </c>
      <c r="E341" s="15" t="s">
        <v>377</v>
      </c>
      <c r="F341" s="14" t="s">
        <v>378</v>
      </c>
      <c r="G341" s="15" t="s">
        <v>23</v>
      </c>
      <c r="H341" s="15" t="s">
        <v>1530</v>
      </c>
      <c r="I341" s="15">
        <v>201502</v>
      </c>
      <c r="J341" s="16">
        <v>1496.68</v>
      </c>
      <c r="K341" s="171">
        <f t="shared" si="30"/>
        <v>4</v>
      </c>
      <c r="L341" s="17">
        <v>2.23333E-3</v>
      </c>
      <c r="M341" s="16">
        <f t="shared" si="31"/>
        <v>13.37</v>
      </c>
      <c r="N341" s="16">
        <f t="shared" si="32"/>
        <v>40.11</v>
      </c>
      <c r="O341" s="14"/>
      <c r="P341" s="210" t="str">
        <f>VLOOKUP(C341,'WO Descriptions'!$A$5:$D$384,4,FALSE)</f>
        <v>Service/Yard Line Replacement (SLRP): Contract Crew.  Service/yard line replacement - Material Charges Only  (Joplin - South Region)</v>
      </c>
      <c r="Q341" s="210"/>
      <c r="R341" s="210"/>
    </row>
    <row r="342" spans="1:18" outlineLevel="1">
      <c r="A342" s="223"/>
      <c r="B342" s="250"/>
      <c r="C342" s="254" t="s">
        <v>1857</v>
      </c>
      <c r="D342" s="223"/>
      <c r="E342" s="250"/>
      <c r="F342" s="223"/>
      <c r="G342" s="250"/>
      <c r="H342" s="250"/>
      <c r="I342" s="250"/>
      <c r="J342" s="251">
        <f>SUBTOTAL(9,J336:J341)</f>
        <v>54649.57</v>
      </c>
      <c r="K342" s="252"/>
      <c r="L342" s="253"/>
      <c r="M342" s="251">
        <f>SUBTOTAL(9,M336:M341)</f>
        <v>944.56000000000006</v>
      </c>
      <c r="N342" s="251">
        <f>SUBTOTAL(9,N336:N341)</f>
        <v>1464.6100000000001</v>
      </c>
      <c r="O342" s="223"/>
      <c r="P342" s="210"/>
      <c r="Q342" s="210" t="str">
        <f>VLOOKUP(C342,'Descriptions Sorted by WO '!$A$5:$S$977,18,FALSE)</f>
        <v>393.1009 (5) (a) (b)</v>
      </c>
      <c r="R342" s="210" t="str">
        <f>VLOOKUP(C342,'Descriptions Sorted by WO '!$A$5:$S$977,19,FALSE)</f>
        <v>A,B,C,I</v>
      </c>
    </row>
    <row r="343" spans="1:18" ht="30" outlineLevel="2">
      <c r="A343" s="211" t="s">
        <v>66</v>
      </c>
      <c r="B343" s="212" t="s">
        <v>379</v>
      </c>
      <c r="C343" s="212" t="s">
        <v>380</v>
      </c>
      <c r="D343" s="211" t="s">
        <v>381</v>
      </c>
      <c r="E343" s="212" t="s">
        <v>382</v>
      </c>
      <c r="F343" s="211" t="s">
        <v>212</v>
      </c>
      <c r="G343" s="212" t="s">
        <v>23</v>
      </c>
      <c r="H343" s="212" t="s">
        <v>1530</v>
      </c>
      <c r="I343" s="212">
        <v>201409</v>
      </c>
      <c r="J343" s="213">
        <v>51541.52</v>
      </c>
      <c r="K343" s="171">
        <f t="shared" ref="K343:K348" si="33">VLOOKUP(I343,$T$9:$U$23,2)</f>
        <v>9</v>
      </c>
      <c r="L343" s="214">
        <v>2.23333E-3</v>
      </c>
      <c r="M343" s="213">
        <f t="shared" ref="M343:M348" si="34">ROUND(J343*K343*L343,2)</f>
        <v>1035.98</v>
      </c>
      <c r="N343" s="213">
        <f t="shared" ref="N343:N348" si="35">ROUND(J343*L343*12,2)</f>
        <v>1381.31</v>
      </c>
      <c r="O343" s="14"/>
      <c r="P343" s="210" t="str">
        <f>VLOOKUP(C343,'WO Descriptions'!$A$5:$D$384,4,FALSE)</f>
        <v>Service/Yard Line Replacement (SLRP): Contract Crew.  Immediate response - replacement single unprotected steel or copper  (Kansas City - Central Region)</v>
      </c>
      <c r="Q343" s="210"/>
      <c r="R343" s="210"/>
    </row>
    <row r="344" spans="1:18" ht="30" outlineLevel="2">
      <c r="A344" s="211" t="s">
        <v>66</v>
      </c>
      <c r="B344" s="212" t="s">
        <v>379</v>
      </c>
      <c r="C344" s="212" t="s">
        <v>380</v>
      </c>
      <c r="D344" s="211" t="s">
        <v>381</v>
      </c>
      <c r="E344" s="212" t="s">
        <v>382</v>
      </c>
      <c r="F344" s="211" t="s">
        <v>212</v>
      </c>
      <c r="G344" s="212" t="s">
        <v>23</v>
      </c>
      <c r="H344" s="212" t="s">
        <v>1530</v>
      </c>
      <c r="I344" s="212">
        <v>201410</v>
      </c>
      <c r="J344" s="213">
        <v>44071.92</v>
      </c>
      <c r="K344" s="171">
        <f t="shared" si="33"/>
        <v>8</v>
      </c>
      <c r="L344" s="214">
        <v>2.23333E-3</v>
      </c>
      <c r="M344" s="213">
        <f t="shared" si="34"/>
        <v>787.42</v>
      </c>
      <c r="N344" s="213">
        <f t="shared" si="35"/>
        <v>1181.1300000000001</v>
      </c>
      <c r="O344" s="14"/>
      <c r="P344" s="210" t="str">
        <f>VLOOKUP(C344,'WO Descriptions'!$A$5:$D$384,4,FALSE)</f>
        <v>Service/Yard Line Replacement (SLRP): Contract Crew.  Immediate response - replacement single unprotected steel or copper  (Kansas City - Central Region)</v>
      </c>
      <c r="Q344" s="210"/>
      <c r="R344" s="210"/>
    </row>
    <row r="345" spans="1:18" ht="30" outlineLevel="2">
      <c r="A345" s="211" t="s">
        <v>66</v>
      </c>
      <c r="B345" s="212" t="s">
        <v>379</v>
      </c>
      <c r="C345" s="212" t="s">
        <v>380</v>
      </c>
      <c r="D345" s="211" t="s">
        <v>381</v>
      </c>
      <c r="E345" s="212" t="s">
        <v>382</v>
      </c>
      <c r="F345" s="211" t="s">
        <v>212</v>
      </c>
      <c r="G345" s="212" t="s">
        <v>23</v>
      </c>
      <c r="H345" s="212" t="s">
        <v>1530</v>
      </c>
      <c r="I345" s="212">
        <v>201411</v>
      </c>
      <c r="J345" s="213">
        <v>8632.84</v>
      </c>
      <c r="K345" s="171">
        <f t="shared" si="33"/>
        <v>7</v>
      </c>
      <c r="L345" s="214">
        <v>2.23333E-3</v>
      </c>
      <c r="M345" s="213">
        <f t="shared" si="34"/>
        <v>134.96</v>
      </c>
      <c r="N345" s="213">
        <f t="shared" si="35"/>
        <v>231.36</v>
      </c>
      <c r="O345" s="14"/>
      <c r="P345" s="210" t="str">
        <f>VLOOKUP(C345,'WO Descriptions'!$A$5:$D$384,4,FALSE)</f>
        <v>Service/Yard Line Replacement (SLRP): Contract Crew.  Immediate response - replacement single unprotected steel or copper  (Kansas City - Central Region)</v>
      </c>
      <c r="Q345" s="210"/>
      <c r="R345" s="210"/>
    </row>
    <row r="346" spans="1:18" ht="30" outlineLevel="2">
      <c r="A346" s="211" t="s">
        <v>66</v>
      </c>
      <c r="B346" s="212" t="s">
        <v>379</v>
      </c>
      <c r="C346" s="212" t="s">
        <v>380</v>
      </c>
      <c r="D346" s="211" t="s">
        <v>381</v>
      </c>
      <c r="E346" s="212" t="s">
        <v>382</v>
      </c>
      <c r="F346" s="211" t="s">
        <v>212</v>
      </c>
      <c r="G346" s="212" t="s">
        <v>23</v>
      </c>
      <c r="H346" s="212" t="s">
        <v>1530</v>
      </c>
      <c r="I346" s="212">
        <v>201412</v>
      </c>
      <c r="J346" s="213">
        <v>-3419.01</v>
      </c>
      <c r="K346" s="171">
        <f t="shared" si="33"/>
        <v>6</v>
      </c>
      <c r="L346" s="214">
        <v>2.23333E-3</v>
      </c>
      <c r="M346" s="213">
        <f t="shared" si="34"/>
        <v>-45.81</v>
      </c>
      <c r="N346" s="213">
        <f t="shared" si="35"/>
        <v>-91.63</v>
      </c>
      <c r="O346" s="14"/>
      <c r="P346" s="210" t="str">
        <f>VLOOKUP(C346,'WO Descriptions'!$A$5:$D$384,4,FALSE)</f>
        <v>Service/Yard Line Replacement (SLRP): Contract Crew.  Immediate response - replacement single unprotected steel or copper  (Kansas City - Central Region)</v>
      </c>
      <c r="Q346" s="210"/>
      <c r="R346" s="210"/>
    </row>
    <row r="347" spans="1:18" ht="30" outlineLevel="2">
      <c r="A347" s="14" t="s">
        <v>66</v>
      </c>
      <c r="B347" s="15" t="s">
        <v>379</v>
      </c>
      <c r="C347" s="15" t="s">
        <v>380</v>
      </c>
      <c r="D347" s="14" t="s">
        <v>381</v>
      </c>
      <c r="E347" s="15" t="s">
        <v>382</v>
      </c>
      <c r="F347" s="14" t="s">
        <v>212</v>
      </c>
      <c r="G347" s="15" t="s">
        <v>23</v>
      </c>
      <c r="H347" s="15" t="s">
        <v>1530</v>
      </c>
      <c r="I347" s="15">
        <v>201501</v>
      </c>
      <c r="J347" s="16">
        <v>-219.89</v>
      </c>
      <c r="K347" s="171">
        <f t="shared" si="33"/>
        <v>5</v>
      </c>
      <c r="L347" s="17">
        <v>2.23333E-3</v>
      </c>
      <c r="M347" s="16">
        <f t="shared" si="34"/>
        <v>-2.46</v>
      </c>
      <c r="N347" s="16">
        <f t="shared" si="35"/>
        <v>-5.89</v>
      </c>
      <c r="O347" s="14"/>
      <c r="P347" s="210" t="str">
        <f>VLOOKUP(C347,'WO Descriptions'!$A$5:$D$384,4,FALSE)</f>
        <v>Service/Yard Line Replacement (SLRP): Contract Crew.  Immediate response - replacement single unprotected steel or copper  (Kansas City - Central Region)</v>
      </c>
      <c r="Q347" s="210"/>
      <c r="R347" s="210"/>
    </row>
    <row r="348" spans="1:18" ht="30" outlineLevel="2">
      <c r="A348" s="14" t="s">
        <v>66</v>
      </c>
      <c r="B348" s="15" t="s">
        <v>379</v>
      </c>
      <c r="C348" s="15" t="s">
        <v>380</v>
      </c>
      <c r="D348" s="14" t="s">
        <v>381</v>
      </c>
      <c r="E348" s="15" t="s">
        <v>382</v>
      </c>
      <c r="F348" s="14" t="s">
        <v>212</v>
      </c>
      <c r="G348" s="15" t="s">
        <v>23</v>
      </c>
      <c r="H348" s="15" t="s">
        <v>1530</v>
      </c>
      <c r="I348" s="15">
        <v>201502</v>
      </c>
      <c r="J348" s="16">
        <v>20813.990000000002</v>
      </c>
      <c r="K348" s="171">
        <f t="shared" si="33"/>
        <v>4</v>
      </c>
      <c r="L348" s="17">
        <v>2.23333E-3</v>
      </c>
      <c r="M348" s="16">
        <f t="shared" si="34"/>
        <v>185.94</v>
      </c>
      <c r="N348" s="16">
        <f t="shared" si="35"/>
        <v>557.80999999999995</v>
      </c>
      <c r="O348" s="14"/>
      <c r="P348" s="210" t="str">
        <f>VLOOKUP(C348,'WO Descriptions'!$A$5:$D$384,4,FALSE)</f>
        <v>Service/Yard Line Replacement (SLRP): Contract Crew.  Immediate response - replacement single unprotected steel or copper  (Kansas City - Central Region)</v>
      </c>
      <c r="Q348" s="210"/>
      <c r="R348" s="210"/>
    </row>
    <row r="349" spans="1:18" outlineLevel="1">
      <c r="A349" s="223"/>
      <c r="B349" s="250"/>
      <c r="C349" s="254" t="s">
        <v>1858</v>
      </c>
      <c r="D349" s="223"/>
      <c r="E349" s="250"/>
      <c r="F349" s="223"/>
      <c r="G349" s="250"/>
      <c r="H349" s="250"/>
      <c r="I349" s="250"/>
      <c r="J349" s="251">
        <f>SUBTOTAL(9,J343:J348)</f>
        <v>121421.37000000001</v>
      </c>
      <c r="K349" s="252"/>
      <c r="L349" s="253"/>
      <c r="M349" s="251">
        <f>SUBTOTAL(9,M343:M348)</f>
        <v>2096.0300000000002</v>
      </c>
      <c r="N349" s="251">
        <f>SUBTOTAL(9,N343:N348)</f>
        <v>3254.09</v>
      </c>
      <c r="O349" s="223"/>
      <c r="P349" s="210"/>
      <c r="Q349" s="210" t="str">
        <f>VLOOKUP(C349,'Descriptions Sorted by WO '!$A$5:$S$977,18,FALSE)</f>
        <v>393.1009 (5) (a) (b)</v>
      </c>
      <c r="R349" s="210" t="str">
        <f>VLOOKUP(C349,'Descriptions Sorted by WO '!$A$5:$S$977,19,FALSE)</f>
        <v>A,B,C,I</v>
      </c>
    </row>
    <row r="350" spans="1:18" ht="30" outlineLevel="2">
      <c r="A350" s="211" t="s">
        <v>66</v>
      </c>
      <c r="B350" s="212" t="s">
        <v>383</v>
      </c>
      <c r="C350" s="212" t="s">
        <v>384</v>
      </c>
      <c r="D350" s="211" t="s">
        <v>385</v>
      </c>
      <c r="E350" s="212" t="s">
        <v>386</v>
      </c>
      <c r="F350" s="211" t="s">
        <v>387</v>
      </c>
      <c r="G350" s="212" t="s">
        <v>23</v>
      </c>
      <c r="H350" s="212" t="s">
        <v>1530</v>
      </c>
      <c r="I350" s="212">
        <v>201409</v>
      </c>
      <c r="J350" s="213">
        <v>103600.86</v>
      </c>
      <c r="K350" s="171">
        <f t="shared" ref="K350:K355" si="36">VLOOKUP(I350,$T$9:$U$23,2)</f>
        <v>9</v>
      </c>
      <c r="L350" s="214">
        <v>2.23333E-3</v>
      </c>
      <c r="M350" s="213">
        <f t="shared" ref="M350:M355" si="37">ROUND(J350*K350*L350,2)</f>
        <v>2082.37</v>
      </c>
      <c r="N350" s="213">
        <f t="shared" ref="N350:N355" si="38">ROUND(J350*L350*12,2)</f>
        <v>2776.5</v>
      </c>
      <c r="O350" s="14"/>
      <c r="P350" s="210" t="str">
        <f>VLOOKUP(C350,'WO Descriptions'!$A$5:$D$384,4,FALSE)</f>
        <v>Replacement and/or removal of existing protected steel or plastic (Kansas City - Central Region)</v>
      </c>
      <c r="Q350" s="210"/>
      <c r="R350" s="210"/>
    </row>
    <row r="351" spans="1:18" ht="30" outlineLevel="2">
      <c r="A351" s="211" t="s">
        <v>66</v>
      </c>
      <c r="B351" s="212" t="s">
        <v>383</v>
      </c>
      <c r="C351" s="212" t="s">
        <v>384</v>
      </c>
      <c r="D351" s="211" t="s">
        <v>385</v>
      </c>
      <c r="E351" s="212" t="s">
        <v>386</v>
      </c>
      <c r="F351" s="211" t="s">
        <v>387</v>
      </c>
      <c r="G351" s="212" t="s">
        <v>23</v>
      </c>
      <c r="H351" s="212" t="s">
        <v>1530</v>
      </c>
      <c r="I351" s="212">
        <v>201410</v>
      </c>
      <c r="J351" s="213">
        <v>183813.51</v>
      </c>
      <c r="K351" s="171">
        <f t="shared" si="36"/>
        <v>8</v>
      </c>
      <c r="L351" s="214">
        <v>2.23333E-3</v>
      </c>
      <c r="M351" s="213">
        <f t="shared" si="37"/>
        <v>3284.13</v>
      </c>
      <c r="N351" s="213">
        <f t="shared" si="38"/>
        <v>4926.1899999999996</v>
      </c>
      <c r="O351" s="14"/>
      <c r="P351" s="210" t="str">
        <f>VLOOKUP(C351,'WO Descriptions'!$A$5:$D$384,4,FALSE)</f>
        <v>Replacement and/or removal of existing protected steel or plastic (Kansas City - Central Region)</v>
      </c>
      <c r="Q351" s="210"/>
      <c r="R351" s="210"/>
    </row>
    <row r="352" spans="1:18" ht="30" outlineLevel="2">
      <c r="A352" s="211" t="s">
        <v>66</v>
      </c>
      <c r="B352" s="212" t="s">
        <v>383</v>
      </c>
      <c r="C352" s="212" t="s">
        <v>384</v>
      </c>
      <c r="D352" s="211" t="s">
        <v>385</v>
      </c>
      <c r="E352" s="212" t="s">
        <v>386</v>
      </c>
      <c r="F352" s="211" t="s">
        <v>387</v>
      </c>
      <c r="G352" s="212" t="s">
        <v>23</v>
      </c>
      <c r="H352" s="212" t="s">
        <v>1530</v>
      </c>
      <c r="I352" s="212">
        <v>201411</v>
      </c>
      <c r="J352" s="213">
        <v>112142.79</v>
      </c>
      <c r="K352" s="171">
        <f t="shared" si="36"/>
        <v>7</v>
      </c>
      <c r="L352" s="214">
        <v>2.23333E-3</v>
      </c>
      <c r="M352" s="213">
        <f t="shared" si="37"/>
        <v>1753.16</v>
      </c>
      <c r="N352" s="213">
        <f t="shared" si="38"/>
        <v>3005.42</v>
      </c>
      <c r="O352" s="14"/>
      <c r="P352" s="210" t="str">
        <f>VLOOKUP(C352,'WO Descriptions'!$A$5:$D$384,4,FALSE)</f>
        <v>Replacement and/or removal of existing protected steel or plastic (Kansas City - Central Region)</v>
      </c>
      <c r="Q352" s="210"/>
      <c r="R352" s="210"/>
    </row>
    <row r="353" spans="1:18" ht="30" outlineLevel="2">
      <c r="A353" s="211" t="s">
        <v>66</v>
      </c>
      <c r="B353" s="212" t="s">
        <v>383</v>
      </c>
      <c r="C353" s="212" t="s">
        <v>384</v>
      </c>
      <c r="D353" s="211" t="s">
        <v>385</v>
      </c>
      <c r="E353" s="212" t="s">
        <v>386</v>
      </c>
      <c r="F353" s="211" t="s">
        <v>387</v>
      </c>
      <c r="G353" s="212" t="s">
        <v>23</v>
      </c>
      <c r="H353" s="212" t="s">
        <v>1530</v>
      </c>
      <c r="I353" s="212">
        <v>201412</v>
      </c>
      <c r="J353" s="213">
        <v>155294.04</v>
      </c>
      <c r="K353" s="171">
        <f t="shared" si="36"/>
        <v>6</v>
      </c>
      <c r="L353" s="214">
        <v>2.23333E-3</v>
      </c>
      <c r="M353" s="213">
        <f t="shared" si="37"/>
        <v>2080.94</v>
      </c>
      <c r="N353" s="213">
        <f t="shared" si="38"/>
        <v>4161.87</v>
      </c>
      <c r="O353" s="14"/>
      <c r="P353" s="210" t="str">
        <f>VLOOKUP(C353,'WO Descriptions'!$A$5:$D$384,4,FALSE)</f>
        <v>Replacement and/or removal of existing protected steel or plastic (Kansas City - Central Region)</v>
      </c>
      <c r="Q353" s="210"/>
      <c r="R353" s="210"/>
    </row>
    <row r="354" spans="1:18" ht="30" outlineLevel="2">
      <c r="A354" s="14" t="s">
        <v>66</v>
      </c>
      <c r="B354" s="15" t="s">
        <v>383</v>
      </c>
      <c r="C354" s="15" t="s">
        <v>384</v>
      </c>
      <c r="D354" s="14" t="s">
        <v>385</v>
      </c>
      <c r="E354" s="15" t="s">
        <v>386</v>
      </c>
      <c r="F354" s="14" t="s">
        <v>387</v>
      </c>
      <c r="G354" s="15" t="s">
        <v>23</v>
      </c>
      <c r="H354" s="15" t="s">
        <v>1530</v>
      </c>
      <c r="I354" s="15">
        <v>201501</v>
      </c>
      <c r="J354" s="16">
        <v>193116.77</v>
      </c>
      <c r="K354" s="171">
        <f t="shared" si="36"/>
        <v>5</v>
      </c>
      <c r="L354" s="17">
        <v>2.23333E-3</v>
      </c>
      <c r="M354" s="16">
        <f t="shared" si="37"/>
        <v>2156.4699999999998</v>
      </c>
      <c r="N354" s="16">
        <f t="shared" si="38"/>
        <v>5175.5200000000004</v>
      </c>
      <c r="O354" s="14"/>
      <c r="P354" s="210" t="str">
        <f>VLOOKUP(C354,'WO Descriptions'!$A$5:$D$384,4,FALSE)</f>
        <v>Replacement and/or removal of existing protected steel or plastic (Kansas City - Central Region)</v>
      </c>
      <c r="Q354" s="210"/>
      <c r="R354" s="210"/>
    </row>
    <row r="355" spans="1:18" ht="30" outlineLevel="2">
      <c r="A355" s="14" t="s">
        <v>66</v>
      </c>
      <c r="B355" s="15" t="s">
        <v>383</v>
      </c>
      <c r="C355" s="15" t="s">
        <v>384</v>
      </c>
      <c r="D355" s="14" t="s">
        <v>385</v>
      </c>
      <c r="E355" s="15" t="s">
        <v>386</v>
      </c>
      <c r="F355" s="14" t="s">
        <v>387</v>
      </c>
      <c r="G355" s="15" t="s">
        <v>23</v>
      </c>
      <c r="H355" s="15" t="s">
        <v>1530</v>
      </c>
      <c r="I355" s="15">
        <v>201502</v>
      </c>
      <c r="J355" s="16">
        <v>135568.03</v>
      </c>
      <c r="K355" s="171">
        <f t="shared" si="36"/>
        <v>4</v>
      </c>
      <c r="L355" s="17">
        <v>2.23333E-3</v>
      </c>
      <c r="M355" s="16">
        <f t="shared" si="37"/>
        <v>1211.07</v>
      </c>
      <c r="N355" s="16">
        <f t="shared" si="38"/>
        <v>3633.22</v>
      </c>
      <c r="O355" s="14"/>
      <c r="P355" s="210" t="str">
        <f>VLOOKUP(C355,'WO Descriptions'!$A$5:$D$384,4,FALSE)</f>
        <v>Replacement and/or removal of existing protected steel or plastic (Kansas City - Central Region)</v>
      </c>
      <c r="Q355" s="210"/>
      <c r="R355" s="210"/>
    </row>
    <row r="356" spans="1:18" outlineLevel="1">
      <c r="A356" s="223"/>
      <c r="B356" s="250"/>
      <c r="C356" s="254" t="s">
        <v>1859</v>
      </c>
      <c r="D356" s="223"/>
      <c r="E356" s="250"/>
      <c r="F356" s="223"/>
      <c r="G356" s="250"/>
      <c r="H356" s="250"/>
      <c r="I356" s="250"/>
      <c r="J356" s="251">
        <f>SUBTOTAL(9,J350:J355)</f>
        <v>883536</v>
      </c>
      <c r="K356" s="252"/>
      <c r="L356" s="253"/>
      <c r="M356" s="251">
        <f>SUBTOTAL(9,M350:M355)</f>
        <v>12568.14</v>
      </c>
      <c r="N356" s="251">
        <f>SUBTOTAL(9,N350:N355)</f>
        <v>23678.720000000001</v>
      </c>
      <c r="O356" s="223"/>
      <c r="P356" s="210"/>
      <c r="Q356" s="210" t="str">
        <f>VLOOKUP(C356,'Descriptions Sorted by WO '!$A$5:$S$977,18,FALSE)</f>
        <v>393.1009 (5) (a) (b)</v>
      </c>
      <c r="R356" s="210" t="str">
        <f>VLOOKUP(C356,'Descriptions Sorted by WO '!$A$5:$S$977,19,FALSE)</f>
        <v>A,B,C,I</v>
      </c>
    </row>
    <row r="357" spans="1:18" outlineLevel="2">
      <c r="A357" s="211" t="s">
        <v>66</v>
      </c>
      <c r="B357" s="212" t="s">
        <v>388</v>
      </c>
      <c r="C357" s="212" t="s">
        <v>389</v>
      </c>
      <c r="D357" s="211" t="s">
        <v>385</v>
      </c>
      <c r="E357" s="212" t="s">
        <v>390</v>
      </c>
      <c r="F357" s="211" t="s">
        <v>387</v>
      </c>
      <c r="G357" s="212" t="s">
        <v>23</v>
      </c>
      <c r="H357" s="212" t="s">
        <v>1530</v>
      </c>
      <c r="I357" s="212">
        <v>201409</v>
      </c>
      <c r="J357" s="213">
        <v>42682.33</v>
      </c>
      <c r="K357" s="171">
        <f t="shared" ref="K357:K362" si="39">VLOOKUP(I357,$T$9:$U$23,2)</f>
        <v>9</v>
      </c>
      <c r="L357" s="214">
        <v>2.23333E-3</v>
      </c>
      <c r="M357" s="213">
        <f t="shared" ref="M357:M362" si="40">ROUND(J357*K357*L357,2)</f>
        <v>857.91</v>
      </c>
      <c r="N357" s="213">
        <f t="shared" ref="N357:N362" si="41">ROUND(J357*L357*12,2)</f>
        <v>1143.8800000000001</v>
      </c>
      <c r="O357" s="14"/>
      <c r="P357" s="210" t="str">
        <f>VLOOKUP(C357,'WO Descriptions'!$A$5:$D$384,4,FALSE)</f>
        <v>Replacement and/or removal of existing protected steel or plastic (Lee's Summit - East Region)</v>
      </c>
      <c r="Q357" s="210"/>
      <c r="R357" s="210"/>
    </row>
    <row r="358" spans="1:18" outlineLevel="2">
      <c r="A358" s="211" t="s">
        <v>66</v>
      </c>
      <c r="B358" s="212" t="s">
        <v>388</v>
      </c>
      <c r="C358" s="212" t="s">
        <v>389</v>
      </c>
      <c r="D358" s="211" t="s">
        <v>385</v>
      </c>
      <c r="E358" s="212" t="s">
        <v>390</v>
      </c>
      <c r="F358" s="211" t="s">
        <v>387</v>
      </c>
      <c r="G358" s="212" t="s">
        <v>23</v>
      </c>
      <c r="H358" s="212" t="s">
        <v>1530</v>
      </c>
      <c r="I358" s="212">
        <v>201410</v>
      </c>
      <c r="J358" s="213">
        <v>30625.17</v>
      </c>
      <c r="K358" s="171">
        <f t="shared" si="39"/>
        <v>8</v>
      </c>
      <c r="L358" s="214">
        <v>2.23333E-3</v>
      </c>
      <c r="M358" s="213">
        <f t="shared" si="40"/>
        <v>547.16999999999996</v>
      </c>
      <c r="N358" s="213">
        <f t="shared" si="41"/>
        <v>820.75</v>
      </c>
      <c r="O358" s="14"/>
      <c r="P358" s="210" t="str">
        <f>VLOOKUP(C358,'WO Descriptions'!$A$5:$D$384,4,FALSE)</f>
        <v>Replacement and/or removal of existing protected steel or plastic (Lee's Summit - East Region)</v>
      </c>
      <c r="Q358" s="210"/>
      <c r="R358" s="210"/>
    </row>
    <row r="359" spans="1:18" outlineLevel="2">
      <c r="A359" s="211" t="s">
        <v>66</v>
      </c>
      <c r="B359" s="212" t="s">
        <v>388</v>
      </c>
      <c r="C359" s="212" t="s">
        <v>389</v>
      </c>
      <c r="D359" s="211" t="s">
        <v>385</v>
      </c>
      <c r="E359" s="212" t="s">
        <v>390</v>
      </c>
      <c r="F359" s="211" t="s">
        <v>387</v>
      </c>
      <c r="G359" s="212" t="s">
        <v>23</v>
      </c>
      <c r="H359" s="212" t="s">
        <v>1530</v>
      </c>
      <c r="I359" s="212">
        <v>201411</v>
      </c>
      <c r="J359" s="213">
        <v>8594.43</v>
      </c>
      <c r="K359" s="171">
        <f t="shared" si="39"/>
        <v>7</v>
      </c>
      <c r="L359" s="214">
        <v>2.23333E-3</v>
      </c>
      <c r="M359" s="213">
        <f t="shared" si="40"/>
        <v>134.36000000000001</v>
      </c>
      <c r="N359" s="213">
        <f t="shared" si="41"/>
        <v>230.33</v>
      </c>
      <c r="O359" s="14"/>
      <c r="P359" s="210" t="str">
        <f>VLOOKUP(C359,'WO Descriptions'!$A$5:$D$384,4,FALSE)</f>
        <v>Replacement and/or removal of existing protected steel or plastic (Lee's Summit - East Region)</v>
      </c>
      <c r="Q359" s="210"/>
      <c r="R359" s="210"/>
    </row>
    <row r="360" spans="1:18" outlineLevel="2">
      <c r="A360" s="211" t="s">
        <v>66</v>
      </c>
      <c r="B360" s="212" t="s">
        <v>388</v>
      </c>
      <c r="C360" s="212" t="s">
        <v>389</v>
      </c>
      <c r="D360" s="211" t="s">
        <v>385</v>
      </c>
      <c r="E360" s="212" t="s">
        <v>390</v>
      </c>
      <c r="F360" s="211" t="s">
        <v>387</v>
      </c>
      <c r="G360" s="212" t="s">
        <v>23</v>
      </c>
      <c r="H360" s="212" t="s">
        <v>1530</v>
      </c>
      <c r="I360" s="212">
        <v>201412</v>
      </c>
      <c r="J360" s="213">
        <v>24453.55</v>
      </c>
      <c r="K360" s="171">
        <f t="shared" si="39"/>
        <v>6</v>
      </c>
      <c r="L360" s="214">
        <v>2.23333E-3</v>
      </c>
      <c r="M360" s="213">
        <f t="shared" si="40"/>
        <v>327.68</v>
      </c>
      <c r="N360" s="213">
        <f t="shared" si="41"/>
        <v>655.35</v>
      </c>
      <c r="O360" s="14"/>
      <c r="P360" s="210" t="str">
        <f>VLOOKUP(C360,'WO Descriptions'!$A$5:$D$384,4,FALSE)</f>
        <v>Replacement and/or removal of existing protected steel or plastic (Lee's Summit - East Region)</v>
      </c>
      <c r="Q360" s="210"/>
      <c r="R360" s="210"/>
    </row>
    <row r="361" spans="1:18" outlineLevel="2">
      <c r="A361" s="14" t="s">
        <v>66</v>
      </c>
      <c r="B361" s="15" t="s">
        <v>388</v>
      </c>
      <c r="C361" s="15" t="s">
        <v>389</v>
      </c>
      <c r="D361" s="14" t="s">
        <v>385</v>
      </c>
      <c r="E361" s="15" t="s">
        <v>390</v>
      </c>
      <c r="F361" s="14" t="s">
        <v>387</v>
      </c>
      <c r="G361" s="15" t="s">
        <v>23</v>
      </c>
      <c r="H361" s="15" t="s">
        <v>1530</v>
      </c>
      <c r="I361" s="15">
        <v>201501</v>
      </c>
      <c r="J361" s="16">
        <v>11491.29</v>
      </c>
      <c r="K361" s="171">
        <f t="shared" si="39"/>
        <v>5</v>
      </c>
      <c r="L361" s="17">
        <v>2.23333E-3</v>
      </c>
      <c r="M361" s="16">
        <f t="shared" si="40"/>
        <v>128.32</v>
      </c>
      <c r="N361" s="16">
        <f t="shared" si="41"/>
        <v>307.97000000000003</v>
      </c>
      <c r="O361" s="14"/>
      <c r="P361" s="210" t="str">
        <f>VLOOKUP(C361,'WO Descriptions'!$A$5:$D$384,4,FALSE)</f>
        <v>Replacement and/or removal of existing protected steel or plastic (Lee's Summit - East Region)</v>
      </c>
      <c r="Q361" s="210"/>
      <c r="R361" s="210"/>
    </row>
    <row r="362" spans="1:18" outlineLevel="2">
      <c r="A362" s="14" t="s">
        <v>66</v>
      </c>
      <c r="B362" s="15" t="s">
        <v>388</v>
      </c>
      <c r="C362" s="15" t="s">
        <v>389</v>
      </c>
      <c r="D362" s="14" t="s">
        <v>385</v>
      </c>
      <c r="E362" s="15" t="s">
        <v>390</v>
      </c>
      <c r="F362" s="14" t="s">
        <v>387</v>
      </c>
      <c r="G362" s="15" t="s">
        <v>23</v>
      </c>
      <c r="H362" s="15" t="s">
        <v>1530</v>
      </c>
      <c r="I362" s="15">
        <v>201502</v>
      </c>
      <c r="J362" s="16">
        <v>21410.28</v>
      </c>
      <c r="K362" s="171">
        <f t="shared" si="39"/>
        <v>4</v>
      </c>
      <c r="L362" s="17">
        <v>2.23333E-3</v>
      </c>
      <c r="M362" s="16">
        <f t="shared" si="40"/>
        <v>191.26</v>
      </c>
      <c r="N362" s="16">
        <f t="shared" si="41"/>
        <v>573.79</v>
      </c>
      <c r="O362" s="14"/>
      <c r="P362" s="210" t="str">
        <f>VLOOKUP(C362,'WO Descriptions'!$A$5:$D$384,4,FALSE)</f>
        <v>Replacement and/or removal of existing protected steel or plastic (Lee's Summit - East Region)</v>
      </c>
      <c r="Q362" s="210"/>
      <c r="R362" s="210"/>
    </row>
    <row r="363" spans="1:18" outlineLevel="1">
      <c r="A363" s="223"/>
      <c r="B363" s="250"/>
      <c r="C363" s="254" t="s">
        <v>1860</v>
      </c>
      <c r="D363" s="223"/>
      <c r="E363" s="250"/>
      <c r="F363" s="223"/>
      <c r="G363" s="250"/>
      <c r="H363" s="250"/>
      <c r="I363" s="250"/>
      <c r="J363" s="251">
        <f>SUBTOTAL(9,J357:J362)</f>
        <v>139257.04999999999</v>
      </c>
      <c r="K363" s="252"/>
      <c r="L363" s="253"/>
      <c r="M363" s="251">
        <f>SUBTOTAL(9,M357:M362)</f>
        <v>2186.6999999999998</v>
      </c>
      <c r="N363" s="251">
        <f>SUBTOTAL(9,N357:N362)</f>
        <v>3732.0699999999997</v>
      </c>
      <c r="O363" s="223"/>
      <c r="P363" s="210"/>
      <c r="Q363" s="210" t="str">
        <f>VLOOKUP(C363,'Descriptions Sorted by WO '!$A$5:$S$977,18,FALSE)</f>
        <v>393.1009 (5) (a) (b)</v>
      </c>
      <c r="R363" s="210" t="str">
        <f>VLOOKUP(C363,'Descriptions Sorted by WO '!$A$5:$S$977,19,FALSE)</f>
        <v>A,B,C,I</v>
      </c>
    </row>
    <row r="364" spans="1:18" ht="165" outlineLevel="2">
      <c r="A364" s="14" t="s">
        <v>17</v>
      </c>
      <c r="B364" s="15" t="s">
        <v>391</v>
      </c>
      <c r="C364" s="15" t="s">
        <v>392</v>
      </c>
      <c r="D364" s="14" t="s">
        <v>393</v>
      </c>
      <c r="E364" s="15" t="s">
        <v>394</v>
      </c>
      <c r="F364" s="14" t="s">
        <v>137</v>
      </c>
      <c r="G364" s="15" t="s">
        <v>23</v>
      </c>
      <c r="H364" s="15" t="s">
        <v>1526</v>
      </c>
      <c r="I364" s="15">
        <v>201409</v>
      </c>
      <c r="J364" s="16">
        <v>-762.66</v>
      </c>
      <c r="K364" s="171">
        <f t="shared" ref="K364:K369" si="42">VLOOKUP(I364,$T$9:$U$23,2)</f>
        <v>9</v>
      </c>
      <c r="L364" s="17">
        <v>1.4833299999999999E-3</v>
      </c>
      <c r="M364" s="16">
        <f t="shared" ref="M364:M369" si="43">ROUND(J364*K364*L364,2)</f>
        <v>-10.18</v>
      </c>
      <c r="N364" s="16">
        <f t="shared" ref="N364:N369" si="44">ROUND(J364*L364*12,2)</f>
        <v>-13.58</v>
      </c>
      <c r="O364" s="14"/>
      <c r="P364" s="210" t="str">
        <f>VLOOKUP(C364,'WO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4" s="210"/>
      <c r="R364" s="210"/>
    </row>
    <row r="365" spans="1:18" ht="165" outlineLevel="2">
      <c r="A365" s="14" t="s">
        <v>17</v>
      </c>
      <c r="B365" s="15" t="s">
        <v>391</v>
      </c>
      <c r="C365" s="15" t="s">
        <v>392</v>
      </c>
      <c r="D365" s="14" t="s">
        <v>393</v>
      </c>
      <c r="E365" s="15" t="s">
        <v>394</v>
      </c>
      <c r="F365" s="14" t="s">
        <v>137</v>
      </c>
      <c r="G365" s="15" t="s">
        <v>23</v>
      </c>
      <c r="H365" s="15" t="s">
        <v>1526</v>
      </c>
      <c r="I365" s="15">
        <v>201410</v>
      </c>
      <c r="J365" s="16">
        <v>3963.65</v>
      </c>
      <c r="K365" s="171">
        <f t="shared" si="42"/>
        <v>8</v>
      </c>
      <c r="L365" s="17">
        <v>1.4833299999999999E-3</v>
      </c>
      <c r="M365" s="16">
        <f t="shared" si="43"/>
        <v>47.04</v>
      </c>
      <c r="N365" s="16">
        <f t="shared" si="44"/>
        <v>70.55</v>
      </c>
      <c r="O365" s="14"/>
      <c r="P365" s="210" t="str">
        <f>VLOOKUP(C365,'WO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5" s="210"/>
      <c r="R365" s="210"/>
    </row>
    <row r="366" spans="1:18" ht="165" outlineLevel="2">
      <c r="A366" s="14" t="s">
        <v>17</v>
      </c>
      <c r="B366" s="15" t="s">
        <v>391</v>
      </c>
      <c r="C366" s="15" t="s">
        <v>392</v>
      </c>
      <c r="D366" s="14" t="s">
        <v>393</v>
      </c>
      <c r="E366" s="15" t="s">
        <v>394</v>
      </c>
      <c r="F366" s="14" t="s">
        <v>137</v>
      </c>
      <c r="G366" s="15" t="s">
        <v>23</v>
      </c>
      <c r="H366" s="15" t="s">
        <v>1526</v>
      </c>
      <c r="I366" s="15">
        <v>201411</v>
      </c>
      <c r="J366" s="16">
        <v>5763.59</v>
      </c>
      <c r="K366" s="171">
        <f t="shared" si="42"/>
        <v>7</v>
      </c>
      <c r="L366" s="17">
        <v>1.4833299999999999E-3</v>
      </c>
      <c r="M366" s="16">
        <f t="shared" si="43"/>
        <v>59.85</v>
      </c>
      <c r="N366" s="16">
        <f t="shared" si="44"/>
        <v>102.59</v>
      </c>
      <c r="O366" s="14"/>
      <c r="P366" s="210" t="str">
        <f>VLOOKUP(C366,'WO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6" s="210"/>
      <c r="R366" s="210"/>
    </row>
    <row r="367" spans="1:18" ht="165" outlineLevel="2">
      <c r="A367" s="14" t="s">
        <v>17</v>
      </c>
      <c r="B367" s="15" t="s">
        <v>391</v>
      </c>
      <c r="C367" s="15" t="s">
        <v>392</v>
      </c>
      <c r="D367" s="14" t="s">
        <v>393</v>
      </c>
      <c r="E367" s="15" t="s">
        <v>394</v>
      </c>
      <c r="F367" s="14" t="s">
        <v>137</v>
      </c>
      <c r="G367" s="15" t="s">
        <v>23</v>
      </c>
      <c r="H367" s="15" t="s">
        <v>1526</v>
      </c>
      <c r="I367" s="15">
        <v>201412</v>
      </c>
      <c r="J367" s="16">
        <v>-583.21</v>
      </c>
      <c r="K367" s="171">
        <f t="shared" si="42"/>
        <v>6</v>
      </c>
      <c r="L367" s="17">
        <v>1.4833299999999999E-3</v>
      </c>
      <c r="M367" s="16">
        <f t="shared" si="43"/>
        <v>-5.19</v>
      </c>
      <c r="N367" s="16">
        <f t="shared" si="44"/>
        <v>-10.38</v>
      </c>
      <c r="O367" s="14"/>
      <c r="P367" s="210" t="str">
        <f>VLOOKUP(C367,'WO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7" s="210"/>
      <c r="R367" s="210"/>
    </row>
    <row r="368" spans="1:18" ht="165" outlineLevel="2">
      <c r="A368" s="14" t="s">
        <v>17</v>
      </c>
      <c r="B368" s="15" t="s">
        <v>391</v>
      </c>
      <c r="C368" s="15" t="s">
        <v>392</v>
      </c>
      <c r="D368" s="14" t="s">
        <v>393</v>
      </c>
      <c r="E368" s="15" t="s">
        <v>394</v>
      </c>
      <c r="F368" s="14" t="s">
        <v>137</v>
      </c>
      <c r="G368" s="15" t="s">
        <v>23</v>
      </c>
      <c r="H368" s="15" t="s">
        <v>1526</v>
      </c>
      <c r="I368" s="15">
        <v>201501</v>
      </c>
      <c r="J368" s="16">
        <v>-48.91</v>
      </c>
      <c r="K368" s="171">
        <f t="shared" si="42"/>
        <v>5</v>
      </c>
      <c r="L368" s="17">
        <v>1.4833299999999999E-3</v>
      </c>
      <c r="M368" s="16">
        <f t="shared" si="43"/>
        <v>-0.36</v>
      </c>
      <c r="N368" s="16">
        <f t="shared" si="44"/>
        <v>-0.87</v>
      </c>
      <c r="O368" s="14"/>
      <c r="P368" s="210" t="str">
        <f>VLOOKUP(C368,'WO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8" s="210"/>
      <c r="R368" s="210"/>
    </row>
    <row r="369" spans="1:18" ht="165" outlineLevel="2">
      <c r="A369" s="14" t="s">
        <v>17</v>
      </c>
      <c r="B369" s="15" t="s">
        <v>391</v>
      </c>
      <c r="C369" s="15" t="s">
        <v>392</v>
      </c>
      <c r="D369" s="14" t="s">
        <v>393</v>
      </c>
      <c r="E369" s="15" t="s">
        <v>394</v>
      </c>
      <c r="F369" s="14" t="s">
        <v>137</v>
      </c>
      <c r="G369" s="15" t="s">
        <v>23</v>
      </c>
      <c r="H369" s="15" t="s">
        <v>1526</v>
      </c>
      <c r="I369" s="15">
        <v>201502</v>
      </c>
      <c r="J369" s="16">
        <v>-125.25</v>
      </c>
      <c r="K369" s="171">
        <f t="shared" si="42"/>
        <v>4</v>
      </c>
      <c r="L369" s="17">
        <v>1.4833299999999999E-3</v>
      </c>
      <c r="M369" s="16">
        <f t="shared" si="43"/>
        <v>-0.74</v>
      </c>
      <c r="N369" s="16">
        <f t="shared" si="44"/>
        <v>-2.23</v>
      </c>
      <c r="O369" s="14"/>
      <c r="P369" s="210" t="str">
        <f>VLOOKUP(C369,'WO Descriptions'!$A$5:$D$384,4,FALSE)</f>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
      <c r="Q369" s="210"/>
      <c r="R369" s="210"/>
    </row>
    <row r="370" spans="1:18" outlineLevel="1">
      <c r="A370" s="223"/>
      <c r="B370" s="250"/>
      <c r="C370" s="254" t="s">
        <v>1861</v>
      </c>
      <c r="D370" s="223"/>
      <c r="E370" s="250"/>
      <c r="F370" s="223"/>
      <c r="G370" s="250"/>
      <c r="H370" s="250"/>
      <c r="I370" s="250"/>
      <c r="J370" s="251">
        <f>SUBTOTAL(9,J364:J369)</f>
        <v>8207.2099999999991</v>
      </c>
      <c r="K370" s="252"/>
      <c r="L370" s="253"/>
      <c r="M370" s="251">
        <f>SUBTOTAL(9,M364:M369)</f>
        <v>90.420000000000016</v>
      </c>
      <c r="N370" s="251">
        <f>SUBTOTAL(9,N364:N369)</f>
        <v>146.08000000000001</v>
      </c>
      <c r="O370" s="223"/>
      <c r="P370" s="210"/>
      <c r="Q370" s="210" t="str">
        <f>VLOOKUP(C370,'Descriptions Sorted by WO '!$A$5:$S$977,18,FALSE)</f>
        <v>393.1009 (5) (C)</v>
      </c>
      <c r="R370" s="210"/>
    </row>
    <row r="371" spans="1:18" ht="60" outlineLevel="2">
      <c r="A371" s="14" t="s">
        <v>17</v>
      </c>
      <c r="B371" s="15" t="s">
        <v>395</v>
      </c>
      <c r="C371" s="15" t="s">
        <v>396</v>
      </c>
      <c r="D371" s="14" t="s">
        <v>397</v>
      </c>
      <c r="E371" s="15" t="s">
        <v>49</v>
      </c>
      <c r="F371" s="14" t="s">
        <v>22</v>
      </c>
      <c r="G371" s="15" t="s">
        <v>23</v>
      </c>
      <c r="H371" s="15" t="s">
        <v>1525</v>
      </c>
      <c r="I371" s="15">
        <v>201409</v>
      </c>
      <c r="J371" s="16">
        <v>-5.66</v>
      </c>
      <c r="K371" s="171">
        <f>VLOOKUP(I371,$T$9:$U$23,2)</f>
        <v>9</v>
      </c>
      <c r="L371" s="17">
        <v>1.4833299999999999E-3</v>
      </c>
      <c r="M371" s="16">
        <f>ROUND(J371*K371*L371,2)</f>
        <v>-0.08</v>
      </c>
      <c r="N371" s="16">
        <f>ROUND(J371*L371*12,2)</f>
        <v>-0.1</v>
      </c>
      <c r="O371" s="14"/>
      <c r="P371" s="210" t="str">
        <f>VLOOKUP(C371,'WO Descriptions'!$A$5:$D$384,4,FALSE)</f>
        <v>Approved by: Galen Shoemaker on 01/14/2013,  Abandon 148' - 2&amp;quot; PBS (WO#: 29003) and replace with 165' - 2&amp;quot; PE to clear one (1) - #3 leak. Project Location: Mill and Cliborne; Pressure System: C-1; MOP: 39.5 psig; MAOP: 39.5 psig; Design: 58 psig; Test: 100 psig; ISRS $50.24/ft</v>
      </c>
      <c r="Q371" s="210"/>
      <c r="R371" s="210"/>
    </row>
    <row r="372" spans="1:18" outlineLevel="1">
      <c r="A372" s="223"/>
      <c r="B372" s="250"/>
      <c r="C372" s="254" t="s">
        <v>1862</v>
      </c>
      <c r="D372" s="223"/>
      <c r="E372" s="250"/>
      <c r="F372" s="223"/>
      <c r="G372" s="250"/>
      <c r="H372" s="250"/>
      <c r="I372" s="250"/>
      <c r="J372" s="251">
        <f>SUBTOTAL(9,J371:J371)</f>
        <v>-5.66</v>
      </c>
      <c r="K372" s="252"/>
      <c r="L372" s="253"/>
      <c r="M372" s="251">
        <f>SUBTOTAL(9,M371:M371)</f>
        <v>-0.08</v>
      </c>
      <c r="N372" s="251">
        <f>SUBTOTAL(9,N371:N371)</f>
        <v>-0.1</v>
      </c>
      <c r="O372" s="223"/>
      <c r="P372" s="210"/>
      <c r="Q372" s="210" t="str">
        <f>VLOOKUP(C372,'Descriptions Sorted by WO '!$A$5:$S$977,18,FALSE)</f>
        <v>393.1009 (5) (a) (b)</v>
      </c>
      <c r="R372" s="210" t="str">
        <f>VLOOKUP(C372,'Descriptions Sorted by WO '!$A$5:$S$977,19,FALSE)</f>
        <v>A,B,C</v>
      </c>
    </row>
    <row r="373" spans="1:18" ht="60" outlineLevel="2">
      <c r="A373" s="14" t="s">
        <v>17</v>
      </c>
      <c r="B373" s="15" t="s">
        <v>398</v>
      </c>
      <c r="C373" s="15" t="s">
        <v>399</v>
      </c>
      <c r="D373" s="14" t="s">
        <v>400</v>
      </c>
      <c r="E373" s="15" t="s">
        <v>104</v>
      </c>
      <c r="F373" s="14" t="s">
        <v>41</v>
      </c>
      <c r="G373" s="15" t="s">
        <v>23</v>
      </c>
      <c r="H373" s="15" t="s">
        <v>1526</v>
      </c>
      <c r="I373" s="15">
        <v>201409</v>
      </c>
      <c r="J373" s="16">
        <v>-13.72</v>
      </c>
      <c r="K373" s="171">
        <f>VLOOKUP(I373,$T$9:$U$23,2)</f>
        <v>9</v>
      </c>
      <c r="L373" s="17">
        <v>1.4833299999999999E-3</v>
      </c>
      <c r="M373" s="16">
        <f>ROUND(J373*K373*L373,2)</f>
        <v>-0.18</v>
      </c>
      <c r="N373" s="16">
        <f>ROUND(J373*L373*12,2)</f>
        <v>-0.24</v>
      </c>
      <c r="O373" s="14"/>
      <c r="P373" s="210" t="str">
        <f>VLOOKUP(C373,'WO Descriptions'!$A$5:$D$384,4,FALSE)</f>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
      <c r="Q373" s="210"/>
      <c r="R373" s="210"/>
    </row>
    <row r="374" spans="1:18" outlineLevel="1">
      <c r="A374" s="223"/>
      <c r="B374" s="250"/>
      <c r="C374" s="254" t="s">
        <v>1863</v>
      </c>
      <c r="D374" s="223"/>
      <c r="E374" s="250"/>
      <c r="F374" s="223"/>
      <c r="G374" s="250"/>
      <c r="H374" s="250"/>
      <c r="I374" s="250"/>
      <c r="J374" s="251">
        <f>SUBTOTAL(9,J373:J373)</f>
        <v>-13.72</v>
      </c>
      <c r="K374" s="252"/>
      <c r="L374" s="253"/>
      <c r="M374" s="251">
        <f>SUBTOTAL(9,M373:M373)</f>
        <v>-0.18</v>
      </c>
      <c r="N374" s="251">
        <f>SUBTOTAL(9,N373:N373)</f>
        <v>-0.24</v>
      </c>
      <c r="O374" s="223"/>
      <c r="P374" s="210"/>
      <c r="Q374" s="210" t="str">
        <f>VLOOKUP(C374,'Descriptions Sorted by WO '!$A$5:$S$977,18,FALSE)</f>
        <v>393.1009 (5) (C)</v>
      </c>
      <c r="R374" s="210"/>
    </row>
    <row r="375" spans="1:18" ht="105" outlineLevel="2">
      <c r="A375" s="14" t="s">
        <v>238</v>
      </c>
      <c r="B375" s="15" t="s">
        <v>401</v>
      </c>
      <c r="C375" s="15" t="s">
        <v>402</v>
      </c>
      <c r="D375" s="14" t="s">
        <v>403</v>
      </c>
      <c r="E375" s="15" t="s">
        <v>168</v>
      </c>
      <c r="F375" s="14" t="s">
        <v>169</v>
      </c>
      <c r="G375" s="15" t="s">
        <v>23</v>
      </c>
      <c r="H375" s="15" t="s">
        <v>1528</v>
      </c>
      <c r="I375" s="15">
        <v>201409</v>
      </c>
      <c r="J375" s="16">
        <v>-304.64</v>
      </c>
      <c r="K375" s="171">
        <f>VLOOKUP(I375,$T$9:$U$23,2)</f>
        <v>9</v>
      </c>
      <c r="L375" s="17">
        <v>2.3833299999999999E-3</v>
      </c>
      <c r="M375" s="16">
        <f>ROUND(J375*K375*L375,2)</f>
        <v>-6.53</v>
      </c>
      <c r="N375" s="16">
        <f>ROUND(J375*L375*12,2)</f>
        <v>-8.7100000000000009</v>
      </c>
      <c r="O375" s="14"/>
      <c r="P375" s="210" t="str">
        <f>VLOOKUP(C375,'WO Descriptions'!$A$5:$D$384,4,FALSE)</f>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
      <c r="Q375" s="210"/>
      <c r="R375" s="210"/>
    </row>
    <row r="376" spans="1:18" outlineLevel="1">
      <c r="A376" s="223"/>
      <c r="B376" s="250"/>
      <c r="C376" s="254" t="s">
        <v>1864</v>
      </c>
      <c r="D376" s="223"/>
      <c r="E376" s="250"/>
      <c r="F376" s="223"/>
      <c r="G376" s="250"/>
      <c r="H376" s="250"/>
      <c r="I376" s="250"/>
      <c r="J376" s="251">
        <f>SUBTOTAL(9,J375:J375)</f>
        <v>-304.64</v>
      </c>
      <c r="K376" s="252"/>
      <c r="L376" s="253"/>
      <c r="M376" s="251">
        <f>SUBTOTAL(9,M375:M375)</f>
        <v>-6.53</v>
      </c>
      <c r="N376" s="251">
        <f>SUBTOTAL(9,N375:N375)</f>
        <v>-8.7100000000000009</v>
      </c>
      <c r="O376" s="223"/>
      <c r="P376" s="210"/>
      <c r="Q376" s="210" t="str">
        <f>VLOOKUP(C376,'Descriptions Sorted by WO '!$A$5:$S$977,18,FALSE)</f>
        <v>393.1009 (5) (a) (b)</v>
      </c>
      <c r="R376" s="210" t="str">
        <f>VLOOKUP(C376,'Descriptions Sorted by WO '!$A$5:$S$977,19,FALSE)</f>
        <v>A,B</v>
      </c>
    </row>
    <row r="377" spans="1:18" ht="60" outlineLevel="2">
      <c r="A377" s="14" t="s">
        <v>17</v>
      </c>
      <c r="B377" s="15" t="s">
        <v>404</v>
      </c>
      <c r="C377" s="15" t="s">
        <v>405</v>
      </c>
      <c r="D377" s="14" t="s">
        <v>406</v>
      </c>
      <c r="E377" s="15" t="s">
        <v>58</v>
      </c>
      <c r="F377" s="14" t="s">
        <v>22</v>
      </c>
      <c r="G377" s="15" t="s">
        <v>23</v>
      </c>
      <c r="H377" s="15" t="s">
        <v>1525</v>
      </c>
      <c r="I377" s="15">
        <v>201409</v>
      </c>
      <c r="J377" s="16">
        <v>-346.31</v>
      </c>
      <c r="K377" s="171">
        <f>VLOOKUP(I377,$T$9:$U$23,2)</f>
        <v>9</v>
      </c>
      <c r="L377" s="17">
        <v>1.4833299999999999E-3</v>
      </c>
      <c r="M377" s="16">
        <f>ROUND(J377*K377*L377,2)</f>
        <v>-4.62</v>
      </c>
      <c r="N377" s="16">
        <f>ROUND(J377*L377*12,2)</f>
        <v>-6.16</v>
      </c>
      <c r="O377" s="14"/>
      <c r="P377" s="210" t="str">
        <f>VLOOKUP(C377,'WO Descriptions'!$A$5:$D$384,4,FALSE)</f>
        <v>Approved by: Galen Shoemaker on 02/18/2013,  Abandon 583' - 2in PBS (WO#: NONE) and replace with 585' - 2in PE to clear 3 - #3 Leaks (Leak No's: 09-0089, 12-0056, 13-0014). Project Location: Poplar and Tennessee; Pressure System: C-1; MOP: 1.50 psig; MAOP: 1.69 psig; Design: 58 psig; Test: 100 psig; ISRS $33.30/ft</v>
      </c>
      <c r="Q377" s="210"/>
      <c r="R377" s="210"/>
    </row>
    <row r="378" spans="1:18" outlineLevel="1">
      <c r="A378" s="223"/>
      <c r="B378" s="250"/>
      <c r="C378" s="254" t="s">
        <v>1865</v>
      </c>
      <c r="D378" s="223"/>
      <c r="E378" s="250"/>
      <c r="F378" s="223"/>
      <c r="G378" s="250"/>
      <c r="H378" s="250"/>
      <c r="I378" s="250"/>
      <c r="J378" s="251">
        <f>SUBTOTAL(9,J377:J377)</f>
        <v>-346.31</v>
      </c>
      <c r="K378" s="252"/>
      <c r="L378" s="253"/>
      <c r="M378" s="251">
        <f>SUBTOTAL(9,M377:M377)</f>
        <v>-4.62</v>
      </c>
      <c r="N378" s="251">
        <f>SUBTOTAL(9,N377:N377)</f>
        <v>-6.16</v>
      </c>
      <c r="O378" s="223"/>
      <c r="P378" s="210"/>
      <c r="Q378" s="210" t="str">
        <f>VLOOKUP(C378,'Descriptions Sorted by WO '!$A$5:$S$977,18,FALSE)</f>
        <v>393.1009 (5) (a) (b)</v>
      </c>
      <c r="R378" s="210" t="str">
        <f>VLOOKUP(C378,'Descriptions Sorted by WO '!$A$5:$S$977,19,FALSE)</f>
        <v>A,B,C</v>
      </c>
    </row>
    <row r="379" spans="1:18" ht="90" outlineLevel="2">
      <c r="A379" s="14" t="s">
        <v>17</v>
      </c>
      <c r="B379" s="15" t="s">
        <v>407</v>
      </c>
      <c r="C379" s="15" t="s">
        <v>408</v>
      </c>
      <c r="D379" s="14" t="s">
        <v>409</v>
      </c>
      <c r="E379" s="15" t="s">
        <v>53</v>
      </c>
      <c r="F379" s="14" t="s">
        <v>41</v>
      </c>
      <c r="G379" s="15" t="s">
        <v>23</v>
      </c>
      <c r="H379" s="15" t="s">
        <v>1526</v>
      </c>
      <c r="I379" s="15">
        <v>201409</v>
      </c>
      <c r="J379" s="16">
        <v>-191.38</v>
      </c>
      <c r="K379" s="171">
        <f>VLOOKUP(I379,$T$9:$U$23,2)</f>
        <v>9</v>
      </c>
      <c r="L379" s="17">
        <v>1.4833299999999999E-3</v>
      </c>
      <c r="M379" s="16">
        <f>ROUND(J379*K379*L379,2)</f>
        <v>-2.5499999999999998</v>
      </c>
      <c r="N379" s="16">
        <f>ROUND(J379*L379*12,2)</f>
        <v>-3.41</v>
      </c>
      <c r="O379" s="14"/>
      <c r="P379" s="210" t="str">
        <f>VLOOKUP(C379,'WO Descriptions'!$A$5:$D$384,4,FALSE)</f>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
      <c r="Q379" s="210"/>
      <c r="R379" s="210"/>
    </row>
    <row r="380" spans="1:18" outlineLevel="1">
      <c r="A380" s="223"/>
      <c r="B380" s="250"/>
      <c r="C380" s="254" t="s">
        <v>1866</v>
      </c>
      <c r="D380" s="223"/>
      <c r="E380" s="250"/>
      <c r="F380" s="223"/>
      <c r="G380" s="250"/>
      <c r="H380" s="250"/>
      <c r="I380" s="250"/>
      <c r="J380" s="251">
        <f>SUBTOTAL(9,J379:J379)</f>
        <v>-191.38</v>
      </c>
      <c r="K380" s="252"/>
      <c r="L380" s="253"/>
      <c r="M380" s="251">
        <f>SUBTOTAL(9,M379:M379)</f>
        <v>-2.5499999999999998</v>
      </c>
      <c r="N380" s="251">
        <f>SUBTOTAL(9,N379:N379)</f>
        <v>-3.41</v>
      </c>
      <c r="O380" s="223"/>
      <c r="P380" s="210"/>
      <c r="Q380" s="210" t="str">
        <f>VLOOKUP(C380,'Descriptions Sorted by WO '!$A$5:$S$977,18,FALSE)</f>
        <v>393.1009 (5) (C)</v>
      </c>
      <c r="R380" s="210"/>
    </row>
    <row r="381" spans="1:18" ht="45" outlineLevel="2">
      <c r="A381" s="14" t="s">
        <v>54</v>
      </c>
      <c r="B381" s="15" t="s">
        <v>410</v>
      </c>
      <c r="C381" s="15" t="s">
        <v>411</v>
      </c>
      <c r="D381" s="14" t="s">
        <v>412</v>
      </c>
      <c r="E381" s="15" t="s">
        <v>62</v>
      </c>
      <c r="F381" s="14" t="s">
        <v>22</v>
      </c>
      <c r="G381" s="15" t="s">
        <v>23</v>
      </c>
      <c r="H381" s="15" t="s">
        <v>1525</v>
      </c>
      <c r="I381" s="15">
        <v>201409</v>
      </c>
      <c r="J381" s="16">
        <v>-363.84</v>
      </c>
      <c r="K381" s="171">
        <f>VLOOKUP(I381,$T$9:$U$23,2)</f>
        <v>9</v>
      </c>
      <c r="L381" s="17">
        <v>1.4833299999999999E-3</v>
      </c>
      <c r="M381" s="16">
        <f>ROUND(J381*K381*L381,2)</f>
        <v>-4.8600000000000003</v>
      </c>
      <c r="N381" s="16">
        <f>ROUND(J381*L381*12,2)</f>
        <v>-6.48</v>
      </c>
      <c r="O381" s="14"/>
      <c r="P381" s="210" t="str">
        <f>VLOOKUP(C381,'WO Descriptions'!$A$5:$D$384,4,FALSE)</f>
        <v>Approved by: Ralph Janes on 10/30/2012,  Replace and abandon 340' - 3in PBS (unknown WO), 23' - 2in PE (WO# 10-6676), and 154' - 2in PCS (WO# 63-2399) with 500' - 2in PE main. The existing main has a history of leakage. Price per ft = $49.44  (ISRS)</v>
      </c>
      <c r="Q381" s="210"/>
      <c r="R381" s="210"/>
    </row>
    <row r="382" spans="1:18" outlineLevel="1">
      <c r="A382" s="223"/>
      <c r="B382" s="250"/>
      <c r="C382" s="254" t="s">
        <v>1867</v>
      </c>
      <c r="D382" s="223"/>
      <c r="E382" s="250"/>
      <c r="F382" s="223"/>
      <c r="G382" s="250"/>
      <c r="H382" s="250"/>
      <c r="I382" s="250"/>
      <c r="J382" s="251">
        <f>SUBTOTAL(9,J381:J381)</f>
        <v>-363.84</v>
      </c>
      <c r="K382" s="252"/>
      <c r="L382" s="253"/>
      <c r="M382" s="251">
        <f>SUBTOTAL(9,M381:M381)</f>
        <v>-4.8600000000000003</v>
      </c>
      <c r="N382" s="251">
        <f>SUBTOTAL(9,N381:N381)</f>
        <v>-6.48</v>
      </c>
      <c r="O382" s="223"/>
      <c r="P382" s="210"/>
      <c r="Q382" s="210" t="str">
        <f>VLOOKUP(C382,'Descriptions Sorted by WO '!$A$5:$S$977,18,FALSE)</f>
        <v>393.1009 (5) (a) (b)</v>
      </c>
      <c r="R382" s="210" t="str">
        <f>VLOOKUP(C382,'Descriptions Sorted by WO '!$A$5:$S$977,19,FALSE)</f>
        <v>A,B,C</v>
      </c>
    </row>
    <row r="383" spans="1:18" ht="45" outlineLevel="2">
      <c r="A383" s="14" t="s">
        <v>17</v>
      </c>
      <c r="B383" s="15" t="s">
        <v>413</v>
      </c>
      <c r="C383" s="15" t="s">
        <v>414</v>
      </c>
      <c r="D383" s="14" t="s">
        <v>415</v>
      </c>
      <c r="E383" s="15" t="s">
        <v>104</v>
      </c>
      <c r="F383" s="14" t="s">
        <v>41</v>
      </c>
      <c r="G383" s="15" t="s">
        <v>23</v>
      </c>
      <c r="H383" s="15" t="s">
        <v>1526</v>
      </c>
      <c r="I383" s="15">
        <v>201409</v>
      </c>
      <c r="J383" s="16">
        <v>-174.39</v>
      </c>
      <c r="K383" s="171">
        <f>VLOOKUP(I383,$T$9:$U$23,2)</f>
        <v>9</v>
      </c>
      <c r="L383" s="17">
        <v>1.4833299999999999E-3</v>
      </c>
      <c r="M383" s="16">
        <f>ROUND(J383*K383*L383,2)</f>
        <v>-2.33</v>
      </c>
      <c r="N383" s="16">
        <f>ROUND(J383*L383*12,2)</f>
        <v>-3.1</v>
      </c>
      <c r="O383" s="14"/>
      <c r="P383" s="210" t="str">
        <f>VLOOKUP(C383,'WO Descriptions'!$A$5:$D$384,4,FALSE)</f>
        <v>Approved by: Ralph Janes on 09/23/2013,  Main to abandon: 90' of 6" PCS from wo# 62-1425 and 108' of 2" PE from wo# 89-1285. Also, remove EV 704. Install 114' of 6" PCS on WO# 13-2741. Main relocation is due to "Main Street Drainage Improvements Phase 1" in Concordia, MO.</v>
      </c>
      <c r="Q383" s="210"/>
      <c r="R383" s="210"/>
    </row>
    <row r="384" spans="1:18" outlineLevel="1">
      <c r="A384" s="223"/>
      <c r="B384" s="250"/>
      <c r="C384" s="254" t="s">
        <v>1868</v>
      </c>
      <c r="D384" s="223"/>
      <c r="E384" s="250"/>
      <c r="F384" s="223"/>
      <c r="G384" s="250"/>
      <c r="H384" s="250"/>
      <c r="I384" s="250"/>
      <c r="J384" s="251">
        <f>SUBTOTAL(9,J383:J383)</f>
        <v>-174.39</v>
      </c>
      <c r="K384" s="252"/>
      <c r="L384" s="253"/>
      <c r="M384" s="251">
        <f>SUBTOTAL(9,M383:M383)</f>
        <v>-2.33</v>
      </c>
      <c r="N384" s="251">
        <f>SUBTOTAL(9,N383:N383)</f>
        <v>-3.1</v>
      </c>
      <c r="O384" s="223"/>
      <c r="P384" s="210"/>
      <c r="Q384" s="210" t="str">
        <f>VLOOKUP(C384,'Descriptions Sorted by WO '!$A$5:$S$977,18,FALSE)</f>
        <v>393.1009 (5) (C)</v>
      </c>
      <c r="R384" s="210"/>
    </row>
    <row r="385" spans="1:18" ht="60" outlineLevel="2">
      <c r="A385" s="14" t="s">
        <v>54</v>
      </c>
      <c r="B385" s="15" t="s">
        <v>416</v>
      </c>
      <c r="C385" s="15" t="s">
        <v>417</v>
      </c>
      <c r="D385" s="14" t="s">
        <v>418</v>
      </c>
      <c r="E385" s="15" t="s">
        <v>141</v>
      </c>
      <c r="F385" s="14" t="s">
        <v>142</v>
      </c>
      <c r="G385" s="15" t="s">
        <v>23</v>
      </c>
      <c r="H385" s="15" t="s">
        <v>1525</v>
      </c>
      <c r="I385" s="15">
        <v>201409</v>
      </c>
      <c r="J385" s="16">
        <v>679.2</v>
      </c>
      <c r="K385" s="171">
        <f>VLOOKUP(I385,$T$9:$U$23,2)</f>
        <v>9</v>
      </c>
      <c r="L385" s="17">
        <v>1.4833299999999999E-3</v>
      </c>
      <c r="M385" s="16">
        <f>ROUND(J385*K385*L385,2)</f>
        <v>9.07</v>
      </c>
      <c r="N385" s="16">
        <f>ROUND(J385*L385*12,2)</f>
        <v>12.09</v>
      </c>
      <c r="O385" s="14"/>
      <c r="P385" s="210" t="str">
        <f>VLOOKUP(C385,'WO Descriptions'!$A$5:$D$384,4,FALSE)</f>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
      <c r="Q385" s="210"/>
      <c r="R385" s="210"/>
    </row>
    <row r="386" spans="1:18" outlineLevel="1">
      <c r="A386" s="223"/>
      <c r="B386" s="250"/>
      <c r="C386" s="254" t="s">
        <v>1869</v>
      </c>
      <c r="D386" s="223"/>
      <c r="E386" s="250"/>
      <c r="F386" s="223"/>
      <c r="G386" s="250"/>
      <c r="H386" s="250"/>
      <c r="I386" s="250"/>
      <c r="J386" s="251">
        <f>SUBTOTAL(9,J385:J385)</f>
        <v>679.2</v>
      </c>
      <c r="K386" s="252"/>
      <c r="L386" s="253"/>
      <c r="M386" s="251">
        <f>SUBTOTAL(9,M385:M385)</f>
        <v>9.07</v>
      </c>
      <c r="N386" s="251">
        <f>SUBTOTAL(9,N385:N385)</f>
        <v>12.09</v>
      </c>
      <c r="O386" s="223"/>
      <c r="P386" s="210"/>
      <c r="Q386" s="210" t="str">
        <f>VLOOKUP(C386,'Descriptions Sorted by WO '!$A$5:$S$977,18,FALSE)</f>
        <v>393.1009 (5) (a) (b)</v>
      </c>
      <c r="R386" s="210" t="str">
        <f>VLOOKUP(C386,'Descriptions Sorted by WO '!$A$5:$S$977,19,FALSE)</f>
        <v>A,B,C,D,I</v>
      </c>
    </row>
    <row r="387" spans="1:18" ht="75" outlineLevel="2">
      <c r="A387" s="14" t="s">
        <v>54</v>
      </c>
      <c r="B387" s="15" t="s">
        <v>419</v>
      </c>
      <c r="C387" s="15" t="s">
        <v>420</v>
      </c>
      <c r="D387" s="14" t="s">
        <v>421</v>
      </c>
      <c r="E387" s="15" t="s">
        <v>32</v>
      </c>
      <c r="F387" s="14" t="s">
        <v>22</v>
      </c>
      <c r="G387" s="15" t="s">
        <v>23</v>
      </c>
      <c r="H387" s="15" t="s">
        <v>1525</v>
      </c>
      <c r="I387" s="15">
        <v>201409</v>
      </c>
      <c r="J387" s="16">
        <v>-1167.31</v>
      </c>
      <c r="K387" s="171">
        <f t="shared" ref="K387:K392" si="45">VLOOKUP(I387,$T$9:$U$23,2)</f>
        <v>9</v>
      </c>
      <c r="L387" s="17">
        <v>1.4833299999999999E-3</v>
      </c>
      <c r="M387" s="16">
        <f t="shared" ref="M387:M392" si="46">ROUND(J387*K387*L387,2)</f>
        <v>-15.58</v>
      </c>
      <c r="N387" s="16">
        <f t="shared" ref="N387:N392" si="47">ROUND(J387*L387*12,2)</f>
        <v>-20.78</v>
      </c>
      <c r="O387" s="14"/>
      <c r="P387" s="210" t="str">
        <f>VLOOKUP(C387,'WO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87" s="210"/>
      <c r="R387" s="210"/>
    </row>
    <row r="388" spans="1:18" ht="75" outlineLevel="2">
      <c r="A388" s="14" t="s">
        <v>54</v>
      </c>
      <c r="B388" s="15" t="s">
        <v>419</v>
      </c>
      <c r="C388" s="15" t="s">
        <v>420</v>
      </c>
      <c r="D388" s="14" t="s">
        <v>421</v>
      </c>
      <c r="E388" s="15" t="s">
        <v>32</v>
      </c>
      <c r="F388" s="14" t="s">
        <v>22</v>
      </c>
      <c r="G388" s="15" t="s">
        <v>23</v>
      </c>
      <c r="H388" s="15" t="s">
        <v>1525</v>
      </c>
      <c r="I388" s="15">
        <v>201410</v>
      </c>
      <c r="J388" s="16">
        <v>129.69</v>
      </c>
      <c r="K388" s="171">
        <f t="shared" si="45"/>
        <v>8</v>
      </c>
      <c r="L388" s="17">
        <v>1.4833299999999999E-3</v>
      </c>
      <c r="M388" s="16">
        <f t="shared" si="46"/>
        <v>1.54</v>
      </c>
      <c r="N388" s="16">
        <f t="shared" si="47"/>
        <v>2.31</v>
      </c>
      <c r="O388" s="14"/>
      <c r="P388" s="210" t="str">
        <f>VLOOKUP(C388,'WO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88" s="210"/>
      <c r="R388" s="210"/>
    </row>
    <row r="389" spans="1:18" ht="75" outlineLevel="2">
      <c r="A389" s="14" t="s">
        <v>54</v>
      </c>
      <c r="B389" s="15" t="s">
        <v>419</v>
      </c>
      <c r="C389" s="15" t="s">
        <v>420</v>
      </c>
      <c r="D389" s="14" t="s">
        <v>421</v>
      </c>
      <c r="E389" s="15" t="s">
        <v>32</v>
      </c>
      <c r="F389" s="14" t="s">
        <v>22</v>
      </c>
      <c r="G389" s="15" t="s">
        <v>23</v>
      </c>
      <c r="H389" s="15" t="s">
        <v>1525</v>
      </c>
      <c r="I389" s="15">
        <v>201411</v>
      </c>
      <c r="J389" s="16">
        <v>-3.53</v>
      </c>
      <c r="K389" s="171">
        <f t="shared" si="45"/>
        <v>7</v>
      </c>
      <c r="L389" s="17">
        <v>1.4833299999999999E-3</v>
      </c>
      <c r="M389" s="16">
        <f t="shared" si="46"/>
        <v>-0.04</v>
      </c>
      <c r="N389" s="16">
        <f t="shared" si="47"/>
        <v>-0.06</v>
      </c>
      <c r="O389" s="14"/>
      <c r="P389" s="210" t="str">
        <f>VLOOKUP(C389,'WO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89" s="210"/>
      <c r="R389" s="210"/>
    </row>
    <row r="390" spans="1:18" ht="75" outlineLevel="2">
      <c r="A390" s="14" t="s">
        <v>54</v>
      </c>
      <c r="B390" s="15" t="s">
        <v>419</v>
      </c>
      <c r="C390" s="15" t="s">
        <v>420</v>
      </c>
      <c r="D390" s="14" t="s">
        <v>421</v>
      </c>
      <c r="E390" s="15" t="s">
        <v>32</v>
      </c>
      <c r="F390" s="14" t="s">
        <v>22</v>
      </c>
      <c r="G390" s="15" t="s">
        <v>23</v>
      </c>
      <c r="H390" s="15" t="s">
        <v>1525</v>
      </c>
      <c r="I390" s="15">
        <v>201412</v>
      </c>
      <c r="J390" s="16">
        <v>-11.23</v>
      </c>
      <c r="K390" s="171">
        <f t="shared" si="45"/>
        <v>6</v>
      </c>
      <c r="L390" s="17">
        <v>1.4833299999999999E-3</v>
      </c>
      <c r="M390" s="16">
        <f t="shared" si="46"/>
        <v>-0.1</v>
      </c>
      <c r="N390" s="16">
        <f t="shared" si="47"/>
        <v>-0.2</v>
      </c>
      <c r="O390" s="14"/>
      <c r="P390" s="210" t="str">
        <f>VLOOKUP(C390,'WO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90" s="210"/>
      <c r="R390" s="210"/>
    </row>
    <row r="391" spans="1:18" ht="75" outlineLevel="2">
      <c r="A391" s="14" t="s">
        <v>54</v>
      </c>
      <c r="B391" s="15" t="s">
        <v>419</v>
      </c>
      <c r="C391" s="15" t="s">
        <v>420</v>
      </c>
      <c r="D391" s="14" t="s">
        <v>421</v>
      </c>
      <c r="E391" s="15" t="s">
        <v>32</v>
      </c>
      <c r="F391" s="14" t="s">
        <v>22</v>
      </c>
      <c r="G391" s="15" t="s">
        <v>23</v>
      </c>
      <c r="H391" s="15" t="s">
        <v>1525</v>
      </c>
      <c r="I391" s="15">
        <v>201501</v>
      </c>
      <c r="J391" s="16">
        <v>-0.52</v>
      </c>
      <c r="K391" s="171">
        <f t="shared" si="45"/>
        <v>5</v>
      </c>
      <c r="L391" s="17">
        <v>1.4833299999999999E-3</v>
      </c>
      <c r="M391" s="16">
        <f t="shared" si="46"/>
        <v>0</v>
      </c>
      <c r="N391" s="16">
        <f t="shared" si="47"/>
        <v>-0.01</v>
      </c>
      <c r="O391" s="14"/>
      <c r="P391" s="210" t="str">
        <f>VLOOKUP(C391,'WO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91" s="210"/>
      <c r="R391" s="210"/>
    </row>
    <row r="392" spans="1:18" ht="75" outlineLevel="2">
      <c r="A392" s="14" t="s">
        <v>54</v>
      </c>
      <c r="B392" s="15" t="s">
        <v>419</v>
      </c>
      <c r="C392" s="15" t="s">
        <v>420</v>
      </c>
      <c r="D392" s="14" t="s">
        <v>421</v>
      </c>
      <c r="E392" s="15" t="s">
        <v>32</v>
      </c>
      <c r="F392" s="14" t="s">
        <v>22</v>
      </c>
      <c r="G392" s="15" t="s">
        <v>23</v>
      </c>
      <c r="H392" s="15" t="s">
        <v>1525</v>
      </c>
      <c r="I392" s="15">
        <v>201502</v>
      </c>
      <c r="J392" s="16">
        <v>-1.1299999999999999</v>
      </c>
      <c r="K392" s="171">
        <f t="shared" si="45"/>
        <v>4</v>
      </c>
      <c r="L392" s="17">
        <v>1.4833299999999999E-3</v>
      </c>
      <c r="M392" s="16">
        <f t="shared" si="46"/>
        <v>-0.01</v>
      </c>
      <c r="N392" s="16">
        <f t="shared" si="47"/>
        <v>-0.02</v>
      </c>
      <c r="O392" s="14"/>
      <c r="P392" s="210" t="str">
        <f>VLOOKUP(C392,'WO Descriptions'!$A$5:$D$384,4,FALSE)</f>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
      <c r="Q392" s="210"/>
      <c r="R392" s="210"/>
    </row>
    <row r="393" spans="1:18" outlineLevel="1">
      <c r="A393" s="223"/>
      <c r="B393" s="250"/>
      <c r="C393" s="254" t="s">
        <v>1870</v>
      </c>
      <c r="D393" s="223"/>
      <c r="E393" s="250"/>
      <c r="F393" s="223"/>
      <c r="G393" s="250"/>
      <c r="H393" s="250"/>
      <c r="I393" s="250"/>
      <c r="J393" s="251">
        <f>SUBTOTAL(9,J387:J392)</f>
        <v>-1054.03</v>
      </c>
      <c r="K393" s="252"/>
      <c r="L393" s="253"/>
      <c r="M393" s="251">
        <f>SUBTOTAL(9,M387:M392)</f>
        <v>-14.189999999999998</v>
      </c>
      <c r="N393" s="251">
        <f>SUBTOTAL(9,N387:N392)</f>
        <v>-18.760000000000002</v>
      </c>
      <c r="O393" s="223"/>
      <c r="P393" s="210"/>
      <c r="Q393" s="210" t="str">
        <f>VLOOKUP(C393,'Descriptions Sorted by WO '!$A$5:$S$977,18,FALSE)</f>
        <v>393.1009 (5) (a) (b)</v>
      </c>
      <c r="R393" s="210" t="str">
        <f>VLOOKUP(C393,'Descriptions Sorted by WO '!$A$5:$S$977,19,FALSE)</f>
        <v>A,B,C</v>
      </c>
    </row>
    <row r="394" spans="1:18" ht="135" outlineLevel="2">
      <c r="A394" s="14" t="s">
        <v>17</v>
      </c>
      <c r="B394" s="15" t="s">
        <v>422</v>
      </c>
      <c r="C394" s="15" t="s">
        <v>423</v>
      </c>
      <c r="D394" s="14" t="s">
        <v>424</v>
      </c>
      <c r="E394" s="15" t="s">
        <v>246</v>
      </c>
      <c r="F394" s="14" t="s">
        <v>247</v>
      </c>
      <c r="G394" s="15" t="s">
        <v>23</v>
      </c>
      <c r="H394" s="15" t="s">
        <v>1525</v>
      </c>
      <c r="I394" s="15">
        <v>201409</v>
      </c>
      <c r="J394" s="16">
        <v>-418.81</v>
      </c>
      <c r="K394" s="171">
        <f>VLOOKUP(I394,$T$9:$U$23,2)</f>
        <v>9</v>
      </c>
      <c r="L394" s="17">
        <v>1.4833299999999999E-3</v>
      </c>
      <c r="M394" s="16">
        <f>ROUND(J394*K394*L394,2)</f>
        <v>-5.59</v>
      </c>
      <c r="N394" s="16">
        <f>ROUND(J394*L394*12,2)</f>
        <v>-7.45</v>
      </c>
      <c r="O394" s="14"/>
      <c r="P394" s="210" t="str">
        <f>VLOOKUP(C394,'WO Descriptions'!$A$5:$D$384,4,FALSE)</f>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
      <c r="Q394" s="210"/>
      <c r="R394" s="210"/>
    </row>
    <row r="395" spans="1:18" outlineLevel="1">
      <c r="A395" s="223"/>
      <c r="B395" s="250"/>
      <c r="C395" s="254" t="s">
        <v>1871</v>
      </c>
      <c r="D395" s="223"/>
      <c r="E395" s="250"/>
      <c r="F395" s="223"/>
      <c r="G395" s="250"/>
      <c r="H395" s="250"/>
      <c r="I395" s="250"/>
      <c r="J395" s="251">
        <f>SUBTOTAL(9,J394:J394)</f>
        <v>-418.81</v>
      </c>
      <c r="K395" s="252"/>
      <c r="L395" s="253"/>
      <c r="M395" s="251">
        <f>SUBTOTAL(9,M394:M394)</f>
        <v>-5.59</v>
      </c>
      <c r="N395" s="251">
        <f>SUBTOTAL(9,N394:N394)</f>
        <v>-7.45</v>
      </c>
      <c r="O395" s="223"/>
      <c r="P395" s="210"/>
      <c r="Q395" s="210" t="str">
        <f>VLOOKUP(C395,'Descriptions Sorted by WO '!$A$5:$S$977,18,FALSE)</f>
        <v>393.1009 (5) (a) (b)</v>
      </c>
      <c r="R395" s="210" t="str">
        <f>VLOOKUP(C395,'Descriptions Sorted by WO '!$A$5:$S$977,19,FALSE)</f>
        <v>A,B,G</v>
      </c>
    </row>
    <row r="396" spans="1:18" ht="30" outlineLevel="2">
      <c r="A396" s="14" t="s">
        <v>17</v>
      </c>
      <c r="B396" s="15" t="s">
        <v>425</v>
      </c>
      <c r="C396" s="15" t="s">
        <v>426</v>
      </c>
      <c r="D396" s="14" t="s">
        <v>427</v>
      </c>
      <c r="E396" s="15" t="s">
        <v>104</v>
      </c>
      <c r="F396" s="14" t="s">
        <v>41</v>
      </c>
      <c r="G396" s="15" t="s">
        <v>23</v>
      </c>
      <c r="H396" s="15" t="s">
        <v>1526</v>
      </c>
      <c r="I396" s="15">
        <v>201409</v>
      </c>
      <c r="J396" s="16">
        <v>1.99</v>
      </c>
      <c r="K396" s="171">
        <f>VLOOKUP(I396,$T$9:$U$23,2)</f>
        <v>9</v>
      </c>
      <c r="L396" s="17">
        <v>1.4833299999999999E-3</v>
      </c>
      <c r="M396" s="16">
        <f>ROUND(J396*K396*L396,2)</f>
        <v>0.03</v>
      </c>
      <c r="N396" s="16">
        <f>ROUND(J396*L396*12,2)</f>
        <v>0.04</v>
      </c>
      <c r="O396" s="14"/>
      <c r="P396" s="210" t="str">
        <f>VLOOKUP(C396,'WO Descriptions'!$A$5:$D$384,4,FALSE)</f>
        <v>Approved by: Ralph Janes on 10/09/2013,  Public Improvement Project: Country Lane Storm. Relocate 10' of 2in PE for a storm sewer installation. Main to retire: 8' - 2in PE (WO# 78-3732).</v>
      </c>
      <c r="Q396" s="210"/>
      <c r="R396" s="210"/>
    </row>
    <row r="397" spans="1:18" outlineLevel="1">
      <c r="A397" s="223"/>
      <c r="B397" s="250"/>
      <c r="C397" s="254" t="s">
        <v>1872</v>
      </c>
      <c r="D397" s="223"/>
      <c r="E397" s="250"/>
      <c r="F397" s="223"/>
      <c r="G397" s="250"/>
      <c r="H397" s="250"/>
      <c r="I397" s="250"/>
      <c r="J397" s="251">
        <f>SUBTOTAL(9,J396:J396)</f>
        <v>1.99</v>
      </c>
      <c r="K397" s="252"/>
      <c r="L397" s="253"/>
      <c r="M397" s="251">
        <f>SUBTOTAL(9,M396:M396)</f>
        <v>0.03</v>
      </c>
      <c r="N397" s="251">
        <f>SUBTOTAL(9,N396:N396)</f>
        <v>0.04</v>
      </c>
      <c r="O397" s="223"/>
      <c r="P397" s="210"/>
      <c r="Q397" s="210" t="str">
        <f>VLOOKUP(C397,'Descriptions Sorted by WO '!$A$5:$S$977,18,FALSE)</f>
        <v>393.1009 (5) (C)</v>
      </c>
      <c r="R397" s="210"/>
    </row>
    <row r="398" spans="1:18" ht="60" outlineLevel="2">
      <c r="A398" s="14" t="s">
        <v>17</v>
      </c>
      <c r="B398" s="15" t="s">
        <v>428</v>
      </c>
      <c r="C398" s="15" t="s">
        <v>429</v>
      </c>
      <c r="D398" s="14" t="s">
        <v>430</v>
      </c>
      <c r="E398" s="15" t="s">
        <v>32</v>
      </c>
      <c r="F398" s="14" t="s">
        <v>22</v>
      </c>
      <c r="G398" s="15" t="s">
        <v>23</v>
      </c>
      <c r="H398" s="15" t="s">
        <v>1525</v>
      </c>
      <c r="I398" s="15">
        <v>201409</v>
      </c>
      <c r="J398" s="16">
        <v>-61.26</v>
      </c>
      <c r="K398" s="171">
        <f>VLOOKUP(I398,$T$9:$U$23,2)</f>
        <v>9</v>
      </c>
      <c r="L398" s="17">
        <v>1.4833299999999999E-3</v>
      </c>
      <c r="M398" s="16">
        <f>ROUND(J398*K398*L398,2)</f>
        <v>-0.82</v>
      </c>
      <c r="N398" s="16">
        <f>ROUND(J398*L398*12,2)</f>
        <v>-1.0900000000000001</v>
      </c>
      <c r="O398" s="14"/>
      <c r="P398" s="210" t="str">
        <f>VLOOKUP(C398,'WO Descriptions'!$A$5:$D$384,4,FALSE)</f>
        <v>Approved by: Ken Thomas on 11/15/2013,  Abandon 314' - 2" PBS (WO#'s: 43781, 44486) and replace with 315' - 2" PE due to history of leakage and isolated bare steel. Project Location: Purdy West of Pine; Pressure System: S-1; MOP: 20 psig; MAOP: 20 psig; Design: 58 psig; Test: 100 psig; ISRS $35.77/ft</v>
      </c>
      <c r="Q398" s="210"/>
      <c r="R398" s="210"/>
    </row>
    <row r="399" spans="1:18" outlineLevel="1">
      <c r="A399" s="223"/>
      <c r="B399" s="250"/>
      <c r="C399" s="254" t="s">
        <v>1873</v>
      </c>
      <c r="D399" s="223"/>
      <c r="E399" s="250"/>
      <c r="F399" s="223"/>
      <c r="G399" s="250"/>
      <c r="H399" s="250"/>
      <c r="I399" s="250"/>
      <c r="J399" s="251">
        <f>SUBTOTAL(9,J398:J398)</f>
        <v>-61.26</v>
      </c>
      <c r="K399" s="252"/>
      <c r="L399" s="253"/>
      <c r="M399" s="251">
        <f>SUBTOTAL(9,M398:M398)</f>
        <v>-0.82</v>
      </c>
      <c r="N399" s="251">
        <f>SUBTOTAL(9,N398:N398)</f>
        <v>-1.0900000000000001</v>
      </c>
      <c r="O399" s="223"/>
      <c r="P399" s="210"/>
      <c r="Q399" s="210" t="str">
        <f>VLOOKUP(C399,'Descriptions Sorted by WO '!$A$5:$S$977,18,FALSE)</f>
        <v>393.1009 (5) (a) (b)</v>
      </c>
      <c r="R399" s="210" t="str">
        <f>VLOOKUP(C399,'Descriptions Sorted by WO '!$A$5:$S$977,19,FALSE)</f>
        <v>A,B,C</v>
      </c>
    </row>
    <row r="400" spans="1:18" ht="60" outlineLevel="2">
      <c r="A400" s="14" t="s">
        <v>17</v>
      </c>
      <c r="B400" s="15" t="s">
        <v>431</v>
      </c>
      <c r="C400" s="15" t="s">
        <v>432</v>
      </c>
      <c r="D400" s="14" t="s">
        <v>433</v>
      </c>
      <c r="E400" s="15" t="s">
        <v>258</v>
      </c>
      <c r="F400" s="14" t="s">
        <v>259</v>
      </c>
      <c r="G400" s="15" t="s">
        <v>23</v>
      </c>
      <c r="H400" s="15" t="s">
        <v>1525</v>
      </c>
      <c r="I400" s="15">
        <v>201409</v>
      </c>
      <c r="J400" s="16">
        <v>-175.94</v>
      </c>
      <c r="K400" s="171">
        <f>VLOOKUP(I400,$T$9:$U$23,2)</f>
        <v>9</v>
      </c>
      <c r="L400" s="17">
        <v>1.4833299999999999E-3</v>
      </c>
      <c r="M400" s="16">
        <f>ROUND(J400*K400*L400,2)</f>
        <v>-2.35</v>
      </c>
      <c r="N400" s="16">
        <f>ROUND(J400*L400*12,2)</f>
        <v>-3.13</v>
      </c>
      <c r="O400" s="14"/>
      <c r="P400" s="210" t="str">
        <f>VLOOKUP(C400,'WO Descriptions'!$A$5:$D$384,4,FALSE)</f>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
      <c r="Q400" s="210"/>
      <c r="R400" s="210"/>
    </row>
    <row r="401" spans="1:18" outlineLevel="1">
      <c r="A401" s="223"/>
      <c r="B401" s="250"/>
      <c r="C401" s="254" t="s">
        <v>1874</v>
      </c>
      <c r="D401" s="223"/>
      <c r="E401" s="250"/>
      <c r="F401" s="223"/>
      <c r="G401" s="250"/>
      <c r="H401" s="250"/>
      <c r="I401" s="250"/>
      <c r="J401" s="251">
        <f>SUBTOTAL(9,J400:J400)</f>
        <v>-175.94</v>
      </c>
      <c r="K401" s="252"/>
      <c r="L401" s="253"/>
      <c r="M401" s="251">
        <f>SUBTOTAL(9,M400:M400)</f>
        <v>-2.35</v>
      </c>
      <c r="N401" s="251">
        <f>SUBTOTAL(9,N400:N400)</f>
        <v>-3.13</v>
      </c>
      <c r="O401" s="223"/>
      <c r="P401" s="210"/>
      <c r="Q401" s="210" t="str">
        <f>VLOOKUP(C401,'Descriptions Sorted by WO '!$A$5:$S$977,18,FALSE)</f>
        <v>393.1009 (5) (a) (b)</v>
      </c>
      <c r="R401" s="210" t="str">
        <f>VLOOKUP(C401,'Descriptions Sorted by WO '!$A$5:$S$977,19,FALSE)</f>
        <v>A,B,G</v>
      </c>
    </row>
    <row r="402" spans="1:18" ht="60" outlineLevel="2">
      <c r="A402" s="14" t="s">
        <v>54</v>
      </c>
      <c r="B402" s="15" t="s">
        <v>434</v>
      </c>
      <c r="C402" s="15" t="s">
        <v>435</v>
      </c>
      <c r="D402" s="14" t="s">
        <v>436</v>
      </c>
      <c r="E402" s="15" t="s">
        <v>58</v>
      </c>
      <c r="F402" s="14" t="s">
        <v>22</v>
      </c>
      <c r="G402" s="15" t="s">
        <v>23</v>
      </c>
      <c r="H402" s="15" t="s">
        <v>1525</v>
      </c>
      <c r="I402" s="15">
        <v>201409</v>
      </c>
      <c r="J402" s="16">
        <v>-94.86</v>
      </c>
      <c r="K402" s="171">
        <f>VLOOKUP(I402,$T$9:$U$23,2)</f>
        <v>9</v>
      </c>
      <c r="L402" s="17">
        <v>1.4833299999999999E-3</v>
      </c>
      <c r="M402" s="16">
        <f>ROUND(J402*K402*L402,2)</f>
        <v>-1.27</v>
      </c>
      <c r="N402" s="16">
        <f>ROUND(J402*L402*12,2)</f>
        <v>-1.69</v>
      </c>
      <c r="O402" s="14"/>
      <c r="P402" s="210" t="str">
        <f>VLOOKUP(C402,'WO Descriptions'!$A$5:$D$384,4,FALSE)</f>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
      <c r="Q402" s="210"/>
      <c r="R402" s="210"/>
    </row>
    <row r="403" spans="1:18" outlineLevel="1">
      <c r="A403" s="223"/>
      <c r="B403" s="250"/>
      <c r="C403" s="254" t="s">
        <v>1875</v>
      </c>
      <c r="D403" s="223"/>
      <c r="E403" s="250"/>
      <c r="F403" s="223"/>
      <c r="G403" s="250"/>
      <c r="H403" s="250"/>
      <c r="I403" s="250"/>
      <c r="J403" s="251">
        <f>SUBTOTAL(9,J402:J402)</f>
        <v>-94.86</v>
      </c>
      <c r="K403" s="252"/>
      <c r="L403" s="253"/>
      <c r="M403" s="251">
        <f>SUBTOTAL(9,M402:M402)</f>
        <v>-1.27</v>
      </c>
      <c r="N403" s="251">
        <f>SUBTOTAL(9,N402:N402)</f>
        <v>-1.69</v>
      </c>
      <c r="O403" s="223"/>
      <c r="P403" s="210"/>
      <c r="Q403" s="210" t="str">
        <f>VLOOKUP(C403,'Descriptions Sorted by WO '!$A$5:$S$977,18,FALSE)</f>
        <v>393.1009 (5) (a) (b)</v>
      </c>
      <c r="R403" s="210" t="str">
        <f>VLOOKUP(C403,'Descriptions Sorted by WO '!$A$5:$S$977,19,FALSE)</f>
        <v>A,B,C</v>
      </c>
    </row>
    <row r="404" spans="1:18" ht="30" outlineLevel="2">
      <c r="A404" s="14" t="s">
        <v>17</v>
      </c>
      <c r="B404" s="15" t="s">
        <v>437</v>
      </c>
      <c r="C404" s="15" t="s">
        <v>438</v>
      </c>
      <c r="D404" s="14" t="s">
        <v>439</v>
      </c>
      <c r="E404" s="15" t="s">
        <v>440</v>
      </c>
      <c r="F404" s="14" t="s">
        <v>28</v>
      </c>
      <c r="G404" s="15" t="s">
        <v>23</v>
      </c>
      <c r="H404" s="15" t="s">
        <v>1525</v>
      </c>
      <c r="I404" s="15">
        <v>201409</v>
      </c>
      <c r="J404" s="16">
        <v>8.2100000000000009</v>
      </c>
      <c r="K404" s="171">
        <f>VLOOKUP(I404,$T$9:$U$23,2)</f>
        <v>9</v>
      </c>
      <c r="L404" s="17">
        <v>1.4833299999999999E-3</v>
      </c>
      <c r="M404" s="16">
        <f>ROUND(J404*K404*L404,2)</f>
        <v>0.11</v>
      </c>
      <c r="N404" s="16">
        <f>ROUND(J404*L404*12,2)</f>
        <v>0.15</v>
      </c>
      <c r="O404" s="14"/>
      <c r="P404" s="210" t="str">
        <f>VLOOKUP(C404,'WO Descriptions'!$A$5:$D$384,4,FALSE)</f>
        <v>Approved by: Kevin Driskell on 09/05/2013,  Replaced 62' of 2in PCS year 1981(WO# 81-0254) with 62'-2in PE due to leak.</v>
      </c>
      <c r="Q404" s="210"/>
      <c r="R404" s="210"/>
    </row>
    <row r="405" spans="1:18" outlineLevel="1">
      <c r="A405" s="223"/>
      <c r="B405" s="250"/>
      <c r="C405" s="254" t="s">
        <v>1876</v>
      </c>
      <c r="D405" s="223"/>
      <c r="E405" s="250"/>
      <c r="F405" s="223"/>
      <c r="G405" s="250"/>
      <c r="H405" s="250"/>
      <c r="I405" s="250"/>
      <c r="J405" s="251">
        <f>SUBTOTAL(9,J404:J404)</f>
        <v>8.2100000000000009</v>
      </c>
      <c r="K405" s="252"/>
      <c r="L405" s="253"/>
      <c r="M405" s="251">
        <f>SUBTOTAL(9,M404:M404)</f>
        <v>0.11</v>
      </c>
      <c r="N405" s="251">
        <f>SUBTOTAL(9,N404:N404)</f>
        <v>0.15</v>
      </c>
      <c r="O405" s="223"/>
      <c r="P405" s="210"/>
      <c r="Q405" s="210" t="str">
        <f>VLOOKUP(C405,'Descriptions Sorted by WO '!$A$5:$S$977,18,FALSE)</f>
        <v>393.1009 (5) (a) (b)</v>
      </c>
      <c r="R405" s="210" t="str">
        <f>VLOOKUP(C405,'Descriptions Sorted by WO '!$A$5:$S$977,19,FALSE)</f>
        <v>A,B</v>
      </c>
    </row>
    <row r="406" spans="1:18" ht="150" outlineLevel="2">
      <c r="A406" s="14" t="s">
        <v>54</v>
      </c>
      <c r="B406" s="15" t="s">
        <v>441</v>
      </c>
      <c r="C406" s="15" t="s">
        <v>442</v>
      </c>
      <c r="D406" s="14" t="s">
        <v>443</v>
      </c>
      <c r="E406" s="15" t="s">
        <v>141</v>
      </c>
      <c r="F406" s="14" t="s">
        <v>142</v>
      </c>
      <c r="G406" s="15" t="s">
        <v>23</v>
      </c>
      <c r="H406" s="15" t="s">
        <v>1525</v>
      </c>
      <c r="I406" s="15">
        <v>201409</v>
      </c>
      <c r="J406" s="16">
        <v>-15549.44</v>
      </c>
      <c r="K406" s="171">
        <f>VLOOKUP(I406,$T$9:$U$23,2)</f>
        <v>9</v>
      </c>
      <c r="L406" s="17">
        <v>1.4833299999999999E-3</v>
      </c>
      <c r="M406" s="16">
        <f>ROUND(J406*K406*L406,2)</f>
        <v>-207.58</v>
      </c>
      <c r="N406" s="16">
        <f>ROUND(J406*L406*12,2)</f>
        <v>-276.77999999999997</v>
      </c>
      <c r="O406" s="14"/>
      <c r="P406" s="210" t="str">
        <f>VLOOKUP(C406,'WO Descriptions'!$A$5:$D$384,4,FALSE)</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c r="Q406" s="210"/>
      <c r="R406" s="210"/>
    </row>
    <row r="407" spans="1:18" ht="150" outlineLevel="2">
      <c r="A407" s="14" t="s">
        <v>54</v>
      </c>
      <c r="B407" s="15" t="s">
        <v>441</v>
      </c>
      <c r="C407" s="15" t="s">
        <v>442</v>
      </c>
      <c r="D407" s="14" t="s">
        <v>443</v>
      </c>
      <c r="E407" s="15" t="s">
        <v>141</v>
      </c>
      <c r="F407" s="14" t="s">
        <v>142</v>
      </c>
      <c r="G407" s="15" t="s">
        <v>23</v>
      </c>
      <c r="H407" s="15" t="s">
        <v>1525</v>
      </c>
      <c r="I407" s="15">
        <v>201410</v>
      </c>
      <c r="J407" s="16">
        <v>0</v>
      </c>
      <c r="K407" s="171">
        <f>VLOOKUP(I407,$T$9:$U$23,2)</f>
        <v>8</v>
      </c>
      <c r="L407" s="17">
        <v>1.4833299999999999E-3</v>
      </c>
      <c r="M407" s="16">
        <f>ROUND(J407*K407*L407,2)</f>
        <v>0</v>
      </c>
      <c r="N407" s="16">
        <f>ROUND(J407*L407*12,2)</f>
        <v>0</v>
      </c>
      <c r="O407" s="14"/>
      <c r="P407" s="210" t="str">
        <f>VLOOKUP(C407,'WO Descriptions'!$A$5:$D$384,4,FALSE)</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c r="Q407" s="210"/>
      <c r="R407" s="210"/>
    </row>
    <row r="408" spans="1:18" ht="150" outlineLevel="2">
      <c r="A408" s="14" t="s">
        <v>54</v>
      </c>
      <c r="B408" s="15" t="s">
        <v>441</v>
      </c>
      <c r="C408" s="15" t="s">
        <v>442</v>
      </c>
      <c r="D408" s="14" t="s">
        <v>443</v>
      </c>
      <c r="E408" s="15" t="s">
        <v>141</v>
      </c>
      <c r="F408" s="14" t="s">
        <v>142</v>
      </c>
      <c r="G408" s="15" t="s">
        <v>23</v>
      </c>
      <c r="H408" s="15" t="s">
        <v>1525</v>
      </c>
      <c r="I408" s="15">
        <v>201501</v>
      </c>
      <c r="J408" s="16">
        <v>-9550.68</v>
      </c>
      <c r="K408" s="171">
        <f>VLOOKUP(I408,$T$9:$U$23,2)</f>
        <v>5</v>
      </c>
      <c r="L408" s="17">
        <v>1.4833299999999999E-3</v>
      </c>
      <c r="M408" s="16">
        <f>ROUND(J408*K408*L408,2)</f>
        <v>-70.83</v>
      </c>
      <c r="N408" s="16">
        <f>ROUND(J408*L408*12,2)</f>
        <v>-170</v>
      </c>
      <c r="O408" s="14"/>
      <c r="P408" s="210" t="str">
        <f>VLOOKUP(C408,'WO Descriptions'!$A$5:$D$384,4,FALSE)</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c r="Q408" s="210"/>
      <c r="R408" s="210"/>
    </row>
    <row r="409" spans="1:18" ht="150" outlineLevel="2">
      <c r="A409" s="14" t="s">
        <v>54</v>
      </c>
      <c r="B409" s="15" t="s">
        <v>441</v>
      </c>
      <c r="C409" s="15" t="s">
        <v>442</v>
      </c>
      <c r="D409" s="14" t="s">
        <v>443</v>
      </c>
      <c r="E409" s="15" t="s">
        <v>141</v>
      </c>
      <c r="F409" s="14" t="s">
        <v>142</v>
      </c>
      <c r="G409" s="15" t="s">
        <v>23</v>
      </c>
      <c r="H409" s="15" t="s">
        <v>1525</v>
      </c>
      <c r="I409" s="15">
        <v>201502</v>
      </c>
      <c r="J409" s="16">
        <v>84.58</v>
      </c>
      <c r="K409" s="171">
        <f>VLOOKUP(I409,$T$9:$U$23,2)</f>
        <v>4</v>
      </c>
      <c r="L409" s="17">
        <v>1.4833299999999999E-3</v>
      </c>
      <c r="M409" s="16">
        <f>ROUND(J409*K409*L409,2)</f>
        <v>0.5</v>
      </c>
      <c r="N409" s="16">
        <f>ROUND(J409*L409*12,2)</f>
        <v>1.51</v>
      </c>
      <c r="O409" s="14"/>
      <c r="P409" s="210" t="str">
        <f>VLOOKUP(C409,'WO Descriptions'!$A$5:$D$384,4,FALSE)</f>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
      <c r="Q409" s="210"/>
      <c r="R409" s="210"/>
    </row>
    <row r="410" spans="1:18" outlineLevel="1">
      <c r="A410" s="223"/>
      <c r="B410" s="250"/>
      <c r="C410" s="254" t="s">
        <v>1877</v>
      </c>
      <c r="D410" s="223"/>
      <c r="E410" s="250"/>
      <c r="F410" s="223"/>
      <c r="G410" s="250"/>
      <c r="H410" s="250"/>
      <c r="I410" s="250"/>
      <c r="J410" s="251">
        <f>SUBTOTAL(9,J406:J409)</f>
        <v>-25015.54</v>
      </c>
      <c r="K410" s="252"/>
      <c r="L410" s="253"/>
      <c r="M410" s="251">
        <f>SUBTOTAL(9,M406:M409)</f>
        <v>-277.91000000000003</v>
      </c>
      <c r="N410" s="251">
        <f>SUBTOTAL(9,N406:N409)</f>
        <v>-445.27</v>
      </c>
      <c r="O410" s="223"/>
      <c r="P410" s="210"/>
      <c r="Q410" s="210" t="str">
        <f>VLOOKUP(C410,'Descriptions Sorted by WO '!$A$5:$S$977,18,FALSE)</f>
        <v>393.1009 (5) (a) (b)</v>
      </c>
      <c r="R410" s="210" t="str">
        <f>VLOOKUP(C410,'Descriptions Sorted by WO '!$A$5:$S$977,19,FALSE)</f>
        <v>A,B,C,D,I</v>
      </c>
    </row>
    <row r="411" spans="1:18" ht="30" outlineLevel="2">
      <c r="A411" s="14" t="s">
        <v>54</v>
      </c>
      <c r="B411" s="15" t="s">
        <v>444</v>
      </c>
      <c r="C411" s="15" t="s">
        <v>445</v>
      </c>
      <c r="D411" s="14" t="s">
        <v>446</v>
      </c>
      <c r="E411" s="15" t="s">
        <v>62</v>
      </c>
      <c r="F411" s="14" t="s">
        <v>22</v>
      </c>
      <c r="G411" s="15" t="s">
        <v>23</v>
      </c>
      <c r="H411" s="15" t="s">
        <v>1525</v>
      </c>
      <c r="I411" s="15">
        <v>201409</v>
      </c>
      <c r="J411" s="16">
        <v>-148.77000000000001</v>
      </c>
      <c r="K411" s="171">
        <f>VLOOKUP(I411,$T$9:$U$23,2)</f>
        <v>9</v>
      </c>
      <c r="L411" s="17">
        <v>1.4833299999999999E-3</v>
      </c>
      <c r="M411" s="16">
        <f>ROUND(J411*K411*L411,2)</f>
        <v>-1.99</v>
      </c>
      <c r="N411" s="16">
        <f>ROUND(J411*L411*12,2)</f>
        <v>-2.65</v>
      </c>
      <c r="O411" s="14"/>
      <c r="P411" s="210" t="str">
        <f>VLOOKUP(C411,'WO Descriptions'!$A$5:$D$384,4,FALSE)</f>
        <v>Approved by: Ralph Janes on 01/30/2014,  Replace and retire 333' - 2" pbs main (Unknown wo) and 265' - 2" pcs main (wo 671296) by installing 600' - 2" pe main due to leakage.  (ISRS)</v>
      </c>
      <c r="Q411" s="210"/>
      <c r="R411" s="210"/>
    </row>
    <row r="412" spans="1:18" outlineLevel="1">
      <c r="A412" s="223"/>
      <c r="B412" s="250"/>
      <c r="C412" s="254" t="s">
        <v>1878</v>
      </c>
      <c r="D412" s="223"/>
      <c r="E412" s="250"/>
      <c r="F412" s="223"/>
      <c r="G412" s="250"/>
      <c r="H412" s="250"/>
      <c r="I412" s="250"/>
      <c r="J412" s="251">
        <f>SUBTOTAL(9,J411:J411)</f>
        <v>-148.77000000000001</v>
      </c>
      <c r="K412" s="252"/>
      <c r="L412" s="253"/>
      <c r="M412" s="251">
        <f>SUBTOTAL(9,M411:M411)</f>
        <v>-1.99</v>
      </c>
      <c r="N412" s="251">
        <f>SUBTOTAL(9,N411:N411)</f>
        <v>-2.65</v>
      </c>
      <c r="O412" s="223"/>
      <c r="P412" s="210"/>
      <c r="Q412" s="210" t="str">
        <f>VLOOKUP(C412,'Descriptions Sorted by WO '!$A$5:$S$977,18,FALSE)</f>
        <v>393.1009 (5) (a) (b)</v>
      </c>
      <c r="R412" s="210" t="str">
        <f>VLOOKUP(C412,'Descriptions Sorted by WO '!$A$5:$S$977,19,FALSE)</f>
        <v>A,B,C</v>
      </c>
    </row>
    <row r="413" spans="1:18" ht="90" outlineLevel="2">
      <c r="A413" s="14" t="s">
        <v>17</v>
      </c>
      <c r="B413" s="15" t="s">
        <v>447</v>
      </c>
      <c r="C413" s="15" t="s">
        <v>448</v>
      </c>
      <c r="D413" s="14" t="s">
        <v>449</v>
      </c>
      <c r="E413" s="15" t="s">
        <v>296</v>
      </c>
      <c r="F413" s="14" t="s">
        <v>28</v>
      </c>
      <c r="G413" s="15" t="s">
        <v>23</v>
      </c>
      <c r="H413" s="15" t="s">
        <v>1525</v>
      </c>
      <c r="I413" s="15">
        <v>201409</v>
      </c>
      <c r="J413" s="16">
        <v>-625.21</v>
      </c>
      <c r="K413" s="171">
        <f>VLOOKUP(I413,$T$9:$U$23,2)</f>
        <v>9</v>
      </c>
      <c r="L413" s="17">
        <v>1.4833299999999999E-3</v>
      </c>
      <c r="M413" s="16">
        <f>ROUND(J413*K413*L413,2)</f>
        <v>-8.35</v>
      </c>
      <c r="N413" s="16">
        <f>ROUND(J413*L413*12,2)</f>
        <v>-11.13</v>
      </c>
      <c r="O413" s="14"/>
      <c r="P413" s="210" t="str">
        <f>VLOOKUP(C413,'WO Descriptions'!$A$5:$D$384,4,FALSE)</f>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
      <c r="Q413" s="210"/>
      <c r="R413" s="210"/>
    </row>
    <row r="414" spans="1:18" outlineLevel="1">
      <c r="A414" s="223"/>
      <c r="B414" s="250"/>
      <c r="C414" s="254" t="s">
        <v>1879</v>
      </c>
      <c r="D414" s="223"/>
      <c r="E414" s="250"/>
      <c r="F414" s="223"/>
      <c r="G414" s="250"/>
      <c r="H414" s="250"/>
      <c r="I414" s="250"/>
      <c r="J414" s="251">
        <f>SUBTOTAL(9,J413:J413)</f>
        <v>-625.21</v>
      </c>
      <c r="K414" s="252"/>
      <c r="L414" s="253"/>
      <c r="M414" s="251">
        <f>SUBTOTAL(9,M413:M413)</f>
        <v>-8.35</v>
      </c>
      <c r="N414" s="251">
        <f>SUBTOTAL(9,N413:N413)</f>
        <v>-11.13</v>
      </c>
      <c r="O414" s="223"/>
      <c r="P414" s="210"/>
      <c r="Q414" s="210" t="str">
        <f>VLOOKUP(C414,'Descriptions Sorted by WO '!$A$5:$S$977,18,FALSE)</f>
        <v>393.1009 (5) (a) (b)</v>
      </c>
      <c r="R414" s="210" t="str">
        <f>VLOOKUP(C414,'Descriptions Sorted by WO '!$A$5:$S$977,19,FALSE)</f>
        <v>A,B</v>
      </c>
    </row>
    <row r="415" spans="1:18" ht="30" outlineLevel="2">
      <c r="A415" s="14" t="s">
        <v>17</v>
      </c>
      <c r="B415" s="15" t="s">
        <v>450</v>
      </c>
      <c r="C415" s="15" t="s">
        <v>451</v>
      </c>
      <c r="D415" s="14" t="s">
        <v>452</v>
      </c>
      <c r="E415" s="15" t="s">
        <v>45</v>
      </c>
      <c r="F415" s="14" t="s">
        <v>22</v>
      </c>
      <c r="G415" s="15" t="s">
        <v>23</v>
      </c>
      <c r="H415" s="15" t="s">
        <v>1525</v>
      </c>
      <c r="I415" s="15">
        <v>201409</v>
      </c>
      <c r="J415" s="16">
        <v>-5.2</v>
      </c>
      <c r="K415" s="171">
        <f>VLOOKUP(I415,$T$9:$U$23,2)</f>
        <v>9</v>
      </c>
      <c r="L415" s="17">
        <v>1.4833299999999999E-3</v>
      </c>
      <c r="M415" s="16">
        <f>ROUND(J415*K415*L415,2)</f>
        <v>-7.0000000000000007E-2</v>
      </c>
      <c r="N415" s="16">
        <f>ROUND(J415*L415*12,2)</f>
        <v>-0.09</v>
      </c>
      <c r="O415" s="14"/>
      <c r="P415" s="210" t="str">
        <f>VLOOKUP(C415,'WO Descriptions'!$A$5:$D$384,4,FALSE)</f>
        <v>Approved by: Gary Williams on 12/16/2013,  LAY 12'-2" PCS ALONG E 92ND ST-EAST OF TENNESSEE AVE.; IN ORDER TO REPAIR LEAK. INSTALL 2" PCS STEEL YOKE.</v>
      </c>
      <c r="Q415" s="210"/>
      <c r="R415" s="210"/>
    </row>
    <row r="416" spans="1:18" outlineLevel="1">
      <c r="A416" s="223"/>
      <c r="B416" s="250"/>
      <c r="C416" s="254" t="s">
        <v>1880</v>
      </c>
      <c r="D416" s="223"/>
      <c r="E416" s="250"/>
      <c r="F416" s="223"/>
      <c r="G416" s="250"/>
      <c r="H416" s="250"/>
      <c r="I416" s="250"/>
      <c r="J416" s="251">
        <f>SUBTOTAL(9,J415:J415)</f>
        <v>-5.2</v>
      </c>
      <c r="K416" s="252"/>
      <c r="L416" s="253"/>
      <c r="M416" s="251">
        <f>SUBTOTAL(9,M415:M415)</f>
        <v>-7.0000000000000007E-2</v>
      </c>
      <c r="N416" s="251">
        <f>SUBTOTAL(9,N415:N415)</f>
        <v>-0.09</v>
      </c>
      <c r="O416" s="223"/>
      <c r="P416" s="210"/>
      <c r="Q416" s="210" t="str">
        <f>VLOOKUP(C416,'Descriptions Sorted by WO '!$A$5:$S$977,18,FALSE)</f>
        <v>393.1009 (5) (a) (b)</v>
      </c>
      <c r="R416" s="210" t="str">
        <f>VLOOKUP(C416,'Descriptions Sorted by WO '!$A$5:$S$977,19,FALSE)</f>
        <v>A,B,C</v>
      </c>
    </row>
    <row r="417" spans="1:18" ht="75" outlineLevel="2">
      <c r="A417" s="14" t="s">
        <v>54</v>
      </c>
      <c r="B417" s="15" t="s">
        <v>453</v>
      </c>
      <c r="C417" s="15" t="s">
        <v>454</v>
      </c>
      <c r="D417" s="14" t="s">
        <v>455</v>
      </c>
      <c r="E417" s="15" t="s">
        <v>62</v>
      </c>
      <c r="F417" s="14" t="s">
        <v>22</v>
      </c>
      <c r="G417" s="15" t="s">
        <v>23</v>
      </c>
      <c r="H417" s="15" t="s">
        <v>1525</v>
      </c>
      <c r="I417" s="15">
        <v>201409</v>
      </c>
      <c r="J417" s="16">
        <v>-184.89</v>
      </c>
      <c r="K417" s="171">
        <f t="shared" ref="K417:K422" si="48">VLOOKUP(I417,$T$9:$U$23,2)</f>
        <v>9</v>
      </c>
      <c r="L417" s="17">
        <v>1.4833299999999999E-3</v>
      </c>
      <c r="M417" s="16">
        <f t="shared" ref="M417:M422" si="49">ROUND(J417*K417*L417,2)</f>
        <v>-2.4700000000000002</v>
      </c>
      <c r="N417" s="16">
        <f t="shared" ref="N417:N422" si="50">ROUND(J417*L417*12,2)</f>
        <v>-3.29</v>
      </c>
      <c r="O417" s="14"/>
      <c r="P417" s="210" t="str">
        <f>VLOOKUP(C417,'WO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17" s="210"/>
      <c r="R417" s="210"/>
    </row>
    <row r="418" spans="1:18" ht="75" outlineLevel="2">
      <c r="A418" s="14" t="s">
        <v>54</v>
      </c>
      <c r="B418" s="15" t="s">
        <v>453</v>
      </c>
      <c r="C418" s="15" t="s">
        <v>454</v>
      </c>
      <c r="D418" s="14" t="s">
        <v>455</v>
      </c>
      <c r="E418" s="15" t="s">
        <v>62</v>
      </c>
      <c r="F418" s="14" t="s">
        <v>22</v>
      </c>
      <c r="G418" s="15" t="s">
        <v>23</v>
      </c>
      <c r="H418" s="15" t="s">
        <v>1525</v>
      </c>
      <c r="I418" s="15">
        <v>201410</v>
      </c>
      <c r="J418" s="16">
        <v>1085.5999999999999</v>
      </c>
      <c r="K418" s="171">
        <f t="shared" si="48"/>
        <v>8</v>
      </c>
      <c r="L418" s="17">
        <v>1.4833299999999999E-3</v>
      </c>
      <c r="M418" s="16">
        <f t="shared" si="49"/>
        <v>12.88</v>
      </c>
      <c r="N418" s="16">
        <f t="shared" si="50"/>
        <v>19.32</v>
      </c>
      <c r="O418" s="14"/>
      <c r="P418" s="210" t="str">
        <f>VLOOKUP(C418,'WO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18" s="210"/>
      <c r="R418" s="210"/>
    </row>
    <row r="419" spans="1:18" ht="75" outlineLevel="2">
      <c r="A419" s="14" t="s">
        <v>54</v>
      </c>
      <c r="B419" s="15" t="s">
        <v>453</v>
      </c>
      <c r="C419" s="15" t="s">
        <v>454</v>
      </c>
      <c r="D419" s="14" t="s">
        <v>455</v>
      </c>
      <c r="E419" s="15" t="s">
        <v>62</v>
      </c>
      <c r="F419" s="14" t="s">
        <v>22</v>
      </c>
      <c r="G419" s="15" t="s">
        <v>23</v>
      </c>
      <c r="H419" s="15" t="s">
        <v>1525</v>
      </c>
      <c r="I419" s="15">
        <v>201411</v>
      </c>
      <c r="J419" s="16">
        <v>-29.65</v>
      </c>
      <c r="K419" s="171">
        <f t="shared" si="48"/>
        <v>7</v>
      </c>
      <c r="L419" s="17">
        <v>1.4833299999999999E-3</v>
      </c>
      <c r="M419" s="16">
        <f t="shared" si="49"/>
        <v>-0.31</v>
      </c>
      <c r="N419" s="16">
        <f t="shared" si="50"/>
        <v>-0.53</v>
      </c>
      <c r="O419" s="14"/>
      <c r="P419" s="210" t="str">
        <f>VLOOKUP(C419,'WO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19" s="210"/>
      <c r="R419" s="210"/>
    </row>
    <row r="420" spans="1:18" ht="75" outlineLevel="2">
      <c r="A420" s="14" t="s">
        <v>54</v>
      </c>
      <c r="B420" s="15" t="s">
        <v>453</v>
      </c>
      <c r="C420" s="15" t="s">
        <v>454</v>
      </c>
      <c r="D420" s="14" t="s">
        <v>455</v>
      </c>
      <c r="E420" s="15" t="s">
        <v>62</v>
      </c>
      <c r="F420" s="14" t="s">
        <v>22</v>
      </c>
      <c r="G420" s="15" t="s">
        <v>23</v>
      </c>
      <c r="H420" s="15" t="s">
        <v>1525</v>
      </c>
      <c r="I420" s="15">
        <v>201412</v>
      </c>
      <c r="J420" s="16">
        <v>-93.8</v>
      </c>
      <c r="K420" s="171">
        <f t="shared" si="48"/>
        <v>6</v>
      </c>
      <c r="L420" s="17">
        <v>1.4833299999999999E-3</v>
      </c>
      <c r="M420" s="16">
        <f t="shared" si="49"/>
        <v>-0.83</v>
      </c>
      <c r="N420" s="16">
        <f t="shared" si="50"/>
        <v>-1.67</v>
      </c>
      <c r="O420" s="14"/>
      <c r="P420" s="210" t="str">
        <f>VLOOKUP(C420,'WO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20" s="210"/>
      <c r="R420" s="210"/>
    </row>
    <row r="421" spans="1:18" ht="75" outlineLevel="2">
      <c r="A421" s="14" t="s">
        <v>54</v>
      </c>
      <c r="B421" s="15" t="s">
        <v>453</v>
      </c>
      <c r="C421" s="15" t="s">
        <v>454</v>
      </c>
      <c r="D421" s="14" t="s">
        <v>455</v>
      </c>
      <c r="E421" s="15" t="s">
        <v>62</v>
      </c>
      <c r="F421" s="14" t="s">
        <v>22</v>
      </c>
      <c r="G421" s="15" t="s">
        <v>23</v>
      </c>
      <c r="H421" s="15" t="s">
        <v>1525</v>
      </c>
      <c r="I421" s="15">
        <v>201501</v>
      </c>
      <c r="J421" s="16">
        <v>-4.4000000000000004</v>
      </c>
      <c r="K421" s="171">
        <f t="shared" si="48"/>
        <v>5</v>
      </c>
      <c r="L421" s="17">
        <v>1.4833299999999999E-3</v>
      </c>
      <c r="M421" s="16">
        <f t="shared" si="49"/>
        <v>-0.03</v>
      </c>
      <c r="N421" s="16">
        <f t="shared" si="50"/>
        <v>-0.08</v>
      </c>
      <c r="O421" s="14"/>
      <c r="P421" s="210" t="str">
        <f>VLOOKUP(C421,'WO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21" s="210"/>
      <c r="R421" s="210"/>
    </row>
    <row r="422" spans="1:18" ht="75" outlineLevel="2">
      <c r="A422" s="14" t="s">
        <v>54</v>
      </c>
      <c r="B422" s="15" t="s">
        <v>453</v>
      </c>
      <c r="C422" s="15" t="s">
        <v>454</v>
      </c>
      <c r="D422" s="14" t="s">
        <v>455</v>
      </c>
      <c r="E422" s="15" t="s">
        <v>62</v>
      </c>
      <c r="F422" s="14" t="s">
        <v>22</v>
      </c>
      <c r="G422" s="15" t="s">
        <v>23</v>
      </c>
      <c r="H422" s="15" t="s">
        <v>1525</v>
      </c>
      <c r="I422" s="15">
        <v>201502</v>
      </c>
      <c r="J422" s="16">
        <v>-9.2899999999999991</v>
      </c>
      <c r="K422" s="171">
        <f t="shared" si="48"/>
        <v>4</v>
      </c>
      <c r="L422" s="17">
        <v>1.4833299999999999E-3</v>
      </c>
      <c r="M422" s="16">
        <f t="shared" si="49"/>
        <v>-0.06</v>
      </c>
      <c r="N422" s="16">
        <f t="shared" si="50"/>
        <v>-0.17</v>
      </c>
      <c r="O422" s="14"/>
      <c r="P422" s="210" t="str">
        <f>VLOOKUP(C422,'WO Descriptions'!$A$5:$D$384,4,FALSE)</f>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
      <c r="Q422" s="210"/>
      <c r="R422" s="210"/>
    </row>
    <row r="423" spans="1:18" outlineLevel="1">
      <c r="A423" s="223"/>
      <c r="B423" s="250"/>
      <c r="C423" s="254" t="s">
        <v>1881</v>
      </c>
      <c r="D423" s="223"/>
      <c r="E423" s="250"/>
      <c r="F423" s="223"/>
      <c r="G423" s="250"/>
      <c r="H423" s="250"/>
      <c r="I423" s="250"/>
      <c r="J423" s="251">
        <f>SUBTOTAL(9,J417:J422)</f>
        <v>763.57</v>
      </c>
      <c r="K423" s="252"/>
      <c r="L423" s="253"/>
      <c r="M423" s="251">
        <f>SUBTOTAL(9,M417:M422)</f>
        <v>9.18</v>
      </c>
      <c r="N423" s="251">
        <f>SUBTOTAL(9,N417:N422)</f>
        <v>13.580000000000002</v>
      </c>
      <c r="O423" s="223"/>
      <c r="P423" s="210"/>
      <c r="Q423" s="210" t="str">
        <f>VLOOKUP(C423,'Descriptions Sorted by WO '!$A$5:$S$977,18,FALSE)</f>
        <v>393.1009 (5) (a) (b)</v>
      </c>
      <c r="R423" s="210" t="str">
        <f>VLOOKUP(C423,'Descriptions Sorted by WO '!$A$5:$S$977,19,FALSE)</f>
        <v>A,B,C</v>
      </c>
    </row>
    <row r="424" spans="1:18" ht="45" outlineLevel="2">
      <c r="A424" s="14" t="s">
        <v>17</v>
      </c>
      <c r="B424" s="15" t="s">
        <v>456</v>
      </c>
      <c r="C424" s="15" t="s">
        <v>457</v>
      </c>
      <c r="D424" s="14" t="s">
        <v>458</v>
      </c>
      <c r="E424" s="15" t="s">
        <v>21</v>
      </c>
      <c r="F424" s="14" t="s">
        <v>22</v>
      </c>
      <c r="G424" s="15" t="s">
        <v>23</v>
      </c>
      <c r="H424" s="15" t="s">
        <v>1525</v>
      </c>
      <c r="I424" s="15">
        <v>201409</v>
      </c>
      <c r="J424" s="16">
        <v>-591.12</v>
      </c>
      <c r="K424" s="171">
        <f>VLOOKUP(I424,$T$9:$U$23,2)</f>
        <v>9</v>
      </c>
      <c r="L424" s="17">
        <v>1.4833299999999999E-3</v>
      </c>
      <c r="M424" s="16">
        <f>ROUND(J424*K424*L424,2)</f>
        <v>-7.89</v>
      </c>
      <c r="N424" s="16">
        <f>ROUND(J424*L424*12,2)</f>
        <v>-10.52</v>
      </c>
      <c r="O424" s="14"/>
      <c r="P424" s="210" t="str">
        <f>VLOOKUP(C424,'WO Descriptions'!$A$5:$D$384,4,FALSE)</f>
        <v>Approved by: Kevin Driskell on 12/31/2013,  ISRS. To abandon 60' of 1.5" CU main and replace with 70' of 2" TF main. Main is on the C-3 pressure system with a MOP=25psig and MAOP=25psig. See attached sheet for size, length, type, and work orders of main to be retired.</v>
      </c>
      <c r="Q424" s="210"/>
      <c r="R424" s="210"/>
    </row>
    <row r="425" spans="1:18" outlineLevel="1">
      <c r="A425" s="223"/>
      <c r="B425" s="250"/>
      <c r="C425" s="254" t="s">
        <v>1882</v>
      </c>
      <c r="D425" s="223"/>
      <c r="E425" s="250"/>
      <c r="F425" s="223"/>
      <c r="G425" s="250"/>
      <c r="H425" s="250"/>
      <c r="I425" s="250"/>
      <c r="J425" s="251">
        <f>SUBTOTAL(9,J424:J424)</f>
        <v>-591.12</v>
      </c>
      <c r="K425" s="252"/>
      <c r="L425" s="253"/>
      <c r="M425" s="251">
        <f>SUBTOTAL(9,M424:M424)</f>
        <v>-7.89</v>
      </c>
      <c r="N425" s="251">
        <f>SUBTOTAL(9,N424:N424)</f>
        <v>-10.52</v>
      </c>
      <c r="O425" s="223"/>
      <c r="P425" s="210"/>
      <c r="Q425" s="210" t="str">
        <f>VLOOKUP(C425,'Descriptions Sorted by WO '!$A$5:$S$977,18,FALSE)</f>
        <v>393.1009 (5) (a) (b)</v>
      </c>
      <c r="R425" s="210" t="str">
        <f>VLOOKUP(C425,'Descriptions Sorted by WO '!$A$5:$S$977,19,FALSE)</f>
        <v>A,B,C</v>
      </c>
    </row>
    <row r="426" spans="1:18" ht="45" outlineLevel="2">
      <c r="A426" s="14" t="s">
        <v>54</v>
      </c>
      <c r="B426" s="15" t="s">
        <v>459</v>
      </c>
      <c r="C426" s="15" t="s">
        <v>460</v>
      </c>
      <c r="D426" s="14" t="s">
        <v>461</v>
      </c>
      <c r="E426" s="15" t="s">
        <v>462</v>
      </c>
      <c r="F426" s="14" t="s">
        <v>142</v>
      </c>
      <c r="G426" s="15" t="s">
        <v>23</v>
      </c>
      <c r="H426" s="15" t="s">
        <v>1525</v>
      </c>
      <c r="I426" s="15">
        <v>201409</v>
      </c>
      <c r="J426" s="16">
        <v>-771.19</v>
      </c>
      <c r="K426" s="171">
        <f>VLOOKUP(I426,$T$9:$U$23,2)</f>
        <v>9</v>
      </c>
      <c r="L426" s="17">
        <v>1.4833299999999999E-3</v>
      </c>
      <c r="M426" s="16">
        <f>ROUND(J426*K426*L426,2)</f>
        <v>-10.3</v>
      </c>
      <c r="N426" s="16">
        <f>ROUND(J426*L426*12,2)</f>
        <v>-13.73</v>
      </c>
      <c r="O426" s="14"/>
      <c r="P426" s="210" t="str">
        <f>VLOOKUP(C426,'WO Descriptions'!$A$5:$D$384,4,FALSE)</f>
        <v>Approved by: Gary Williams on 11/07/2013,  Replace 4in CI with 4in PE 620' due to leaks and condition of gas main. Original work order #B1P38. Pressure system C-001. Retire 600'-4in CI, year 1922.</v>
      </c>
      <c r="Q426" s="210"/>
      <c r="R426" s="210"/>
    </row>
    <row r="427" spans="1:18" outlineLevel="1">
      <c r="A427" s="223"/>
      <c r="B427" s="250"/>
      <c r="C427" s="254" t="s">
        <v>1883</v>
      </c>
      <c r="D427" s="223"/>
      <c r="E427" s="250"/>
      <c r="F427" s="223"/>
      <c r="G427" s="250"/>
      <c r="H427" s="250"/>
      <c r="I427" s="250"/>
      <c r="J427" s="251">
        <f>SUBTOTAL(9,J426:J426)</f>
        <v>-771.19</v>
      </c>
      <c r="K427" s="252"/>
      <c r="L427" s="253"/>
      <c r="M427" s="251">
        <f>SUBTOTAL(9,M426:M426)</f>
        <v>-10.3</v>
      </c>
      <c r="N427" s="251">
        <f>SUBTOTAL(9,N426:N426)</f>
        <v>-13.73</v>
      </c>
      <c r="O427" s="223"/>
      <c r="P427" s="210"/>
      <c r="Q427" s="210" t="str">
        <f>VLOOKUP(C427,'Descriptions Sorted by WO '!$A$5:$S$977,18,FALSE)</f>
        <v>393.1009 (5) (a) (b)</v>
      </c>
      <c r="R427" s="210" t="str">
        <f>VLOOKUP(C427,'Descriptions Sorted by WO '!$A$5:$S$977,19,FALSE)</f>
        <v>A,B,C,D,I</v>
      </c>
    </row>
    <row r="428" spans="1:18" ht="45" outlineLevel="2">
      <c r="A428" s="14" t="s">
        <v>66</v>
      </c>
      <c r="B428" s="15" t="s">
        <v>463</v>
      </c>
      <c r="C428" s="15" t="s">
        <v>464</v>
      </c>
      <c r="D428" s="14" t="s">
        <v>465</v>
      </c>
      <c r="E428" s="15" t="s">
        <v>466</v>
      </c>
      <c r="F428" s="14" t="s">
        <v>467</v>
      </c>
      <c r="G428" s="15" t="s">
        <v>23</v>
      </c>
      <c r="H428" s="15" t="s">
        <v>1527</v>
      </c>
      <c r="I428" s="15">
        <v>201409</v>
      </c>
      <c r="J428" s="16">
        <v>-442.33</v>
      </c>
      <c r="K428" s="171">
        <f>VLOOKUP(I428,$T$9:$U$23,2)</f>
        <v>9</v>
      </c>
      <c r="L428" s="17">
        <v>2.23333E-3</v>
      </c>
      <c r="M428" s="16">
        <f>ROUND(J428*K428*L428,2)</f>
        <v>-8.89</v>
      </c>
      <c r="N428" s="16">
        <f>ROUND(J428*L428*12,2)</f>
        <v>-11.85</v>
      </c>
      <c r="O428" s="14"/>
      <c r="P428" s="210" t="str">
        <f>VLOOKUP(C428,'WO Descriptions'!$A$5:$D$384,4,FALSE)</f>
        <v>Approved by: Kevin Driskell on 09/18/2013,  REPLACING - 14ft-1in cs and 482ft-1-1/4 pe service with 100ft - 4in th film to first cut, 430ft- 4in pe service line  due to commercial account adding addtional load (20,000 cfh). ECONOMIC EVALUATION WILL COVER COST OF PROJECT.</v>
      </c>
      <c r="Q428" s="210"/>
      <c r="R428" s="210"/>
    </row>
    <row r="429" spans="1:18" outlineLevel="1">
      <c r="A429" s="223"/>
      <c r="B429" s="250"/>
      <c r="C429" s="254" t="s">
        <v>1884</v>
      </c>
      <c r="D429" s="223"/>
      <c r="E429" s="250"/>
      <c r="F429" s="223"/>
      <c r="G429" s="250"/>
      <c r="H429" s="250"/>
      <c r="I429" s="250"/>
      <c r="J429" s="251">
        <f>SUBTOTAL(9,J428:J428)</f>
        <v>-442.33</v>
      </c>
      <c r="K429" s="252"/>
      <c r="L429" s="253"/>
      <c r="M429" s="251">
        <f>SUBTOTAL(9,M428:M428)</f>
        <v>-8.89</v>
      </c>
      <c r="N429" s="251">
        <f>SUBTOTAL(9,N428:N428)</f>
        <v>-11.85</v>
      </c>
      <c r="O429" s="223"/>
      <c r="P429" s="210"/>
      <c r="Q429" s="210" t="str">
        <f>VLOOKUP(C429,'Descriptions Sorted by WO '!$A$5:$S$977,18,FALSE)</f>
        <v>393.1009 (5) (a) (b)</v>
      </c>
      <c r="R429" s="210" t="str">
        <f>VLOOKUP(C429,'Descriptions Sorted by WO '!$A$5:$S$977,19,FALSE)</f>
        <v>A,B,D</v>
      </c>
    </row>
    <row r="430" spans="1:18" ht="60" outlineLevel="2">
      <c r="A430" s="14" t="s">
        <v>54</v>
      </c>
      <c r="B430" s="15" t="s">
        <v>468</v>
      </c>
      <c r="C430" s="15" t="s">
        <v>469</v>
      </c>
      <c r="D430" s="14" t="s">
        <v>470</v>
      </c>
      <c r="E430" s="15" t="s">
        <v>136</v>
      </c>
      <c r="F430" s="14" t="s">
        <v>137</v>
      </c>
      <c r="G430" s="15" t="s">
        <v>23</v>
      </c>
      <c r="H430" s="15" t="s">
        <v>1526</v>
      </c>
      <c r="I430" s="15">
        <v>201409</v>
      </c>
      <c r="J430" s="16">
        <v>-992.83</v>
      </c>
      <c r="K430" s="171">
        <f>VLOOKUP(I430,$T$9:$U$23,2)</f>
        <v>9</v>
      </c>
      <c r="L430" s="17">
        <v>1.4833299999999999E-3</v>
      </c>
      <c r="M430" s="16">
        <f>ROUND(J430*K430*L430,2)</f>
        <v>-13.25</v>
      </c>
      <c r="N430" s="16">
        <f>ROUND(J430*L430*12,2)</f>
        <v>-17.670000000000002</v>
      </c>
      <c r="O430" s="14"/>
      <c r="P430" s="210" t="str">
        <f>VLOOKUP(C430,'WO Descriptions'!$A$5:$D$384,4,FALSE)</f>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
      <c r="Q430" s="210"/>
      <c r="R430" s="210"/>
    </row>
    <row r="431" spans="1:18" outlineLevel="1">
      <c r="A431" s="223"/>
      <c r="B431" s="250"/>
      <c r="C431" s="254" t="s">
        <v>1885</v>
      </c>
      <c r="D431" s="223"/>
      <c r="E431" s="250"/>
      <c r="F431" s="223"/>
      <c r="G431" s="250"/>
      <c r="H431" s="250"/>
      <c r="I431" s="250"/>
      <c r="J431" s="251">
        <f>SUBTOTAL(9,J430:J430)</f>
        <v>-992.83</v>
      </c>
      <c r="K431" s="252"/>
      <c r="L431" s="253"/>
      <c r="M431" s="251">
        <f>SUBTOTAL(9,M430:M430)</f>
        <v>-13.25</v>
      </c>
      <c r="N431" s="251">
        <f>SUBTOTAL(9,N430:N430)</f>
        <v>-17.670000000000002</v>
      </c>
      <c r="O431" s="223"/>
      <c r="P431" s="210"/>
      <c r="Q431" s="210" t="str">
        <f>VLOOKUP(C431,'Descriptions Sorted by WO '!$A$5:$S$977,18,FALSE)</f>
        <v>393.1009 (5) (C)</v>
      </c>
      <c r="R431" s="210"/>
    </row>
    <row r="432" spans="1:18" ht="30" outlineLevel="2">
      <c r="A432" s="14" t="s">
        <v>17</v>
      </c>
      <c r="B432" s="15" t="s">
        <v>471</v>
      </c>
      <c r="C432" s="15" t="s">
        <v>472</v>
      </c>
      <c r="D432" s="14" t="s">
        <v>473</v>
      </c>
      <c r="E432" s="15" t="s">
        <v>27</v>
      </c>
      <c r="F432" s="14" t="s">
        <v>28</v>
      </c>
      <c r="G432" s="15" t="s">
        <v>23</v>
      </c>
      <c r="H432" s="15" t="s">
        <v>1525</v>
      </c>
      <c r="I432" s="15">
        <v>201409</v>
      </c>
      <c r="J432" s="16">
        <v>-48.87</v>
      </c>
      <c r="K432" s="171">
        <f>VLOOKUP(I432,$T$9:$U$23,2)</f>
        <v>9</v>
      </c>
      <c r="L432" s="17">
        <v>1.4833299999999999E-3</v>
      </c>
      <c r="M432" s="16">
        <f>ROUND(J432*K432*L432,2)</f>
        <v>-0.65</v>
      </c>
      <c r="N432" s="16">
        <f>ROUND(J432*L432*12,2)</f>
        <v>-0.87</v>
      </c>
      <c r="O432" s="14"/>
      <c r="P432" s="210" t="str">
        <f>VLOOKUP(C432,'WO Descriptions'!$A$5:$D$384,4,FALSE)</f>
        <v>Approved by: Ralph Janes on 09/19/2013,  Move drip for odorant tank and tie 8in PCS to 4in PCS down stream with 4' of 4in thin film. Main to abandon: 2' of 4in PCS from wo# A7311A.</v>
      </c>
      <c r="Q432" s="210"/>
      <c r="R432" s="210"/>
    </row>
    <row r="433" spans="1:18" outlineLevel="1">
      <c r="A433" s="223"/>
      <c r="B433" s="250"/>
      <c r="C433" s="254" t="s">
        <v>1886</v>
      </c>
      <c r="D433" s="223"/>
      <c r="E433" s="250"/>
      <c r="F433" s="223"/>
      <c r="G433" s="250"/>
      <c r="H433" s="250"/>
      <c r="I433" s="250"/>
      <c r="J433" s="251">
        <f>SUBTOTAL(9,J432:J432)</f>
        <v>-48.87</v>
      </c>
      <c r="K433" s="252"/>
      <c r="L433" s="253"/>
      <c r="M433" s="251">
        <f>SUBTOTAL(9,M432:M432)</f>
        <v>-0.65</v>
      </c>
      <c r="N433" s="251">
        <f>SUBTOTAL(9,N432:N432)</f>
        <v>-0.87</v>
      </c>
      <c r="O433" s="223"/>
      <c r="P433" s="210"/>
      <c r="Q433" s="210" t="str">
        <f>VLOOKUP(C433,'Descriptions Sorted by WO '!$A$5:$S$977,18,FALSE)</f>
        <v>393.1009 (5) (a) (b)</v>
      </c>
      <c r="R433" s="210" t="str">
        <f>VLOOKUP(C433,'Descriptions Sorted by WO '!$A$5:$S$977,19,FALSE)</f>
        <v>A,B</v>
      </c>
    </row>
    <row r="434" spans="1:18" ht="90" outlineLevel="2">
      <c r="A434" s="14" t="s">
        <v>17</v>
      </c>
      <c r="B434" s="15" t="s">
        <v>474</v>
      </c>
      <c r="C434" s="15" t="s">
        <v>475</v>
      </c>
      <c r="D434" s="14" t="s">
        <v>476</v>
      </c>
      <c r="E434" s="15" t="s">
        <v>40</v>
      </c>
      <c r="F434" s="14" t="s">
        <v>41</v>
      </c>
      <c r="G434" s="15" t="s">
        <v>23</v>
      </c>
      <c r="H434" s="15" t="s">
        <v>1526</v>
      </c>
      <c r="I434" s="15">
        <v>201409</v>
      </c>
      <c r="J434" s="16">
        <v>-659.04</v>
      </c>
      <c r="K434" s="171">
        <f>VLOOKUP(I434,$T$9:$U$23,2)</f>
        <v>9</v>
      </c>
      <c r="L434" s="17">
        <v>1.4833299999999999E-3</v>
      </c>
      <c r="M434" s="16">
        <f>ROUND(J434*K434*L434,2)</f>
        <v>-8.8000000000000007</v>
      </c>
      <c r="N434" s="16">
        <f>ROUND(J434*L434*12,2)</f>
        <v>-11.73</v>
      </c>
      <c r="O434" s="14"/>
      <c r="P434" s="210" t="str">
        <f>VLOOKUP(C434,'WO Descriptions'!$A$5:$D$384,4,FALSE)</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c r="Q434" s="210"/>
      <c r="R434" s="210"/>
    </row>
    <row r="435" spans="1:18" ht="90" outlineLevel="2">
      <c r="A435" s="14" t="s">
        <v>17</v>
      </c>
      <c r="B435" s="15" t="s">
        <v>474</v>
      </c>
      <c r="C435" s="15" t="s">
        <v>475</v>
      </c>
      <c r="D435" s="14" t="s">
        <v>476</v>
      </c>
      <c r="E435" s="15" t="s">
        <v>40</v>
      </c>
      <c r="F435" s="14" t="s">
        <v>41</v>
      </c>
      <c r="G435" s="15" t="s">
        <v>23</v>
      </c>
      <c r="H435" s="15" t="s">
        <v>1526</v>
      </c>
      <c r="I435" s="15">
        <v>201410</v>
      </c>
      <c r="J435" s="16">
        <v>0</v>
      </c>
      <c r="K435" s="171">
        <f>VLOOKUP(I435,$T$9:$U$23,2)</f>
        <v>8</v>
      </c>
      <c r="L435" s="17">
        <v>1.4833299999999999E-3</v>
      </c>
      <c r="M435" s="16">
        <f>ROUND(J435*K435*L435,2)</f>
        <v>0</v>
      </c>
      <c r="N435" s="16">
        <f>ROUND(J435*L435*12,2)</f>
        <v>0</v>
      </c>
      <c r="O435" s="14"/>
      <c r="P435" s="210" t="str">
        <f>VLOOKUP(C435,'WO Descriptions'!$A$5:$D$384,4,FALSE)</f>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
      <c r="Q435" s="210"/>
      <c r="R435" s="210"/>
    </row>
    <row r="436" spans="1:18" outlineLevel="1">
      <c r="A436" s="223"/>
      <c r="B436" s="250"/>
      <c r="C436" s="254" t="s">
        <v>1887</v>
      </c>
      <c r="D436" s="223"/>
      <c r="E436" s="250"/>
      <c r="F436" s="223"/>
      <c r="G436" s="250"/>
      <c r="H436" s="250"/>
      <c r="I436" s="250"/>
      <c r="J436" s="251">
        <f>SUBTOTAL(9,J434:J435)</f>
        <v>-659.04</v>
      </c>
      <c r="K436" s="252"/>
      <c r="L436" s="253"/>
      <c r="M436" s="251">
        <f>SUBTOTAL(9,M434:M435)</f>
        <v>-8.8000000000000007</v>
      </c>
      <c r="N436" s="251">
        <f>SUBTOTAL(9,N434:N435)</f>
        <v>-11.73</v>
      </c>
      <c r="O436" s="223"/>
      <c r="P436" s="210"/>
      <c r="Q436" s="210" t="str">
        <f>VLOOKUP(C436,'Descriptions Sorted by WO '!$A$5:$S$977,18,FALSE)</f>
        <v>393.1009 (5) (C)</v>
      </c>
      <c r="R436" s="210"/>
    </row>
    <row r="437" spans="1:18" ht="60" outlineLevel="2">
      <c r="A437" s="14" t="s">
        <v>17</v>
      </c>
      <c r="B437" s="15" t="s">
        <v>477</v>
      </c>
      <c r="C437" s="15" t="s">
        <v>478</v>
      </c>
      <c r="D437" s="14" t="s">
        <v>479</v>
      </c>
      <c r="E437" s="15" t="s">
        <v>440</v>
      </c>
      <c r="F437" s="14" t="s">
        <v>28</v>
      </c>
      <c r="G437" s="15" t="s">
        <v>23</v>
      </c>
      <c r="H437" s="15" t="s">
        <v>1525</v>
      </c>
      <c r="I437" s="15">
        <v>201409</v>
      </c>
      <c r="J437" s="16">
        <v>-15.86</v>
      </c>
      <c r="K437" s="171">
        <f>VLOOKUP(I437,$T$9:$U$23,2)</f>
        <v>9</v>
      </c>
      <c r="L437" s="17">
        <v>1.4833299999999999E-3</v>
      </c>
      <c r="M437" s="16">
        <f>ROUND(J437*K437*L437,2)</f>
        <v>-0.21</v>
      </c>
      <c r="N437" s="16">
        <f>ROUND(J437*L437*12,2)</f>
        <v>-0.28000000000000003</v>
      </c>
      <c r="O437" s="14"/>
      <c r="P437" s="210" t="str">
        <f>VLOOKUP(C437,'WO Descriptions'!$A$5:$D$384,4,FALSE)</f>
        <v>Approved by: Kevin Driskell on 02/20/2014,  RELOCATE 4'-2" PLEXCO DUE TO WATER DEPARTMENT SHUTTING OFF BALL VALVE IN ERROR.  MGE DIDN'T WANT WATER DEPARTMENT TO ACCIDENTALLY DO THIS AGAIN; SO REMOVED 3-WAY TEE &amp; BALL VALVE.  ABANDONED 3'-2" PE (98-8159).</v>
      </c>
      <c r="Q437" s="210"/>
      <c r="R437" s="210"/>
    </row>
    <row r="438" spans="1:18" outlineLevel="1">
      <c r="A438" s="223"/>
      <c r="B438" s="250"/>
      <c r="C438" s="254" t="s">
        <v>1888</v>
      </c>
      <c r="D438" s="223"/>
      <c r="E438" s="250"/>
      <c r="F438" s="223"/>
      <c r="G438" s="250"/>
      <c r="H438" s="250"/>
      <c r="I438" s="250"/>
      <c r="J438" s="251">
        <f>SUBTOTAL(9,J437:J437)</f>
        <v>-15.86</v>
      </c>
      <c r="K438" s="252"/>
      <c r="L438" s="253"/>
      <c r="M438" s="251">
        <f>SUBTOTAL(9,M437:M437)</f>
        <v>-0.21</v>
      </c>
      <c r="N438" s="251">
        <f>SUBTOTAL(9,N437:N437)</f>
        <v>-0.28000000000000003</v>
      </c>
      <c r="O438" s="223"/>
      <c r="P438" s="210"/>
      <c r="Q438" s="210" t="str">
        <f>VLOOKUP(C438,'Descriptions Sorted by WO '!$A$5:$S$977,18,FALSE)</f>
        <v>393.1009 (5) (a) (b)</v>
      </c>
      <c r="R438" s="210" t="str">
        <f>VLOOKUP(C438,'Descriptions Sorted by WO '!$A$5:$S$977,19,FALSE)</f>
        <v>A,B</v>
      </c>
    </row>
    <row r="439" spans="1:18" ht="45" outlineLevel="2">
      <c r="A439" s="14" t="s">
        <v>17</v>
      </c>
      <c r="B439" s="15" t="s">
        <v>480</v>
      </c>
      <c r="C439" s="15" t="s">
        <v>481</v>
      </c>
      <c r="D439" s="14" t="s">
        <v>482</v>
      </c>
      <c r="E439" s="15" t="s">
        <v>141</v>
      </c>
      <c r="F439" s="14" t="s">
        <v>142</v>
      </c>
      <c r="G439" s="15" t="s">
        <v>23</v>
      </c>
      <c r="H439" s="15" t="s">
        <v>1525</v>
      </c>
      <c r="I439" s="15">
        <v>201409</v>
      </c>
      <c r="J439" s="16">
        <v>-482.88</v>
      </c>
      <c r="K439" s="171">
        <f t="shared" ref="K439:K444" si="51">VLOOKUP(I439,$T$9:$U$23,2)</f>
        <v>9</v>
      </c>
      <c r="L439" s="17">
        <v>1.4833299999999999E-3</v>
      </c>
      <c r="M439" s="16">
        <f t="shared" ref="M439:M444" si="52">ROUND(J439*K439*L439,2)</f>
        <v>-6.45</v>
      </c>
      <c r="N439" s="16">
        <f t="shared" ref="N439:N444" si="53">ROUND(J439*L439*12,2)</f>
        <v>-8.6</v>
      </c>
      <c r="O439" s="14"/>
      <c r="P439" s="210" t="str">
        <f>VLOOKUP(C439,'WO Descriptions'!$A$5:$D$384,4,FALSE)</f>
        <v>Approved by: Gary Williams on 12/02/2013,  AOR.  Replace 40'-6in CI with 6in PE.  13' of CI was exposed at 2551 Chelsea.  Tie-over two services and replace one service (2553 Chelsea).Retire 35'-6in CI, B30P88; 5'-6in CI, B18P103.</v>
      </c>
      <c r="Q439" s="210"/>
      <c r="R439" s="210"/>
    </row>
    <row r="440" spans="1:18" ht="45" outlineLevel="2">
      <c r="A440" s="14" t="s">
        <v>17</v>
      </c>
      <c r="B440" s="15" t="s">
        <v>480</v>
      </c>
      <c r="C440" s="15" t="s">
        <v>481</v>
      </c>
      <c r="D440" s="14" t="s">
        <v>482</v>
      </c>
      <c r="E440" s="15" t="s">
        <v>141</v>
      </c>
      <c r="F440" s="14" t="s">
        <v>142</v>
      </c>
      <c r="G440" s="15" t="s">
        <v>23</v>
      </c>
      <c r="H440" s="15" t="s">
        <v>1525</v>
      </c>
      <c r="I440" s="15">
        <v>201410</v>
      </c>
      <c r="J440" s="16">
        <v>307.39</v>
      </c>
      <c r="K440" s="171">
        <f t="shared" si="51"/>
        <v>8</v>
      </c>
      <c r="L440" s="17">
        <v>1.4833299999999999E-3</v>
      </c>
      <c r="M440" s="16">
        <f t="shared" si="52"/>
        <v>3.65</v>
      </c>
      <c r="N440" s="16">
        <f t="shared" si="53"/>
        <v>5.47</v>
      </c>
      <c r="O440" s="14"/>
      <c r="P440" s="210" t="str">
        <f>VLOOKUP(C440,'WO Descriptions'!$A$5:$D$384,4,FALSE)</f>
        <v>Approved by: Gary Williams on 12/02/2013,  AOR.  Replace 40'-6in CI with 6in PE.  13' of CI was exposed at 2551 Chelsea.  Tie-over two services and replace one service (2553 Chelsea).Retire 35'-6in CI, B30P88; 5'-6in CI, B18P103.</v>
      </c>
      <c r="Q440" s="210"/>
      <c r="R440" s="210"/>
    </row>
    <row r="441" spans="1:18" ht="45" outlineLevel="2">
      <c r="A441" s="14" t="s">
        <v>17</v>
      </c>
      <c r="B441" s="15" t="s">
        <v>480</v>
      </c>
      <c r="C441" s="15" t="s">
        <v>481</v>
      </c>
      <c r="D441" s="14" t="s">
        <v>482</v>
      </c>
      <c r="E441" s="15" t="s">
        <v>141</v>
      </c>
      <c r="F441" s="14" t="s">
        <v>142</v>
      </c>
      <c r="G441" s="15" t="s">
        <v>23</v>
      </c>
      <c r="H441" s="15" t="s">
        <v>1525</v>
      </c>
      <c r="I441" s="15">
        <v>201411</v>
      </c>
      <c r="J441" s="16">
        <v>-143.49</v>
      </c>
      <c r="K441" s="171">
        <f t="shared" si="51"/>
        <v>7</v>
      </c>
      <c r="L441" s="17">
        <v>1.4833299999999999E-3</v>
      </c>
      <c r="M441" s="16">
        <f t="shared" si="52"/>
        <v>-1.49</v>
      </c>
      <c r="N441" s="16">
        <f t="shared" si="53"/>
        <v>-2.5499999999999998</v>
      </c>
      <c r="O441" s="14"/>
      <c r="P441" s="210" t="str">
        <f>VLOOKUP(C441,'WO Descriptions'!$A$5:$D$384,4,FALSE)</f>
        <v>Approved by: Gary Williams on 12/02/2013,  AOR.  Replace 40'-6in CI with 6in PE.  13' of CI was exposed at 2551 Chelsea.  Tie-over two services and replace one service (2553 Chelsea).Retire 35'-6in CI, B30P88; 5'-6in CI, B18P103.</v>
      </c>
      <c r="Q441" s="210"/>
      <c r="R441" s="210"/>
    </row>
    <row r="442" spans="1:18" ht="45" outlineLevel="2">
      <c r="A442" s="14" t="s">
        <v>17</v>
      </c>
      <c r="B442" s="15" t="s">
        <v>480</v>
      </c>
      <c r="C442" s="15" t="s">
        <v>481</v>
      </c>
      <c r="D442" s="14" t="s">
        <v>482</v>
      </c>
      <c r="E442" s="15" t="s">
        <v>141</v>
      </c>
      <c r="F442" s="14" t="s">
        <v>142</v>
      </c>
      <c r="G442" s="15" t="s">
        <v>23</v>
      </c>
      <c r="H442" s="15" t="s">
        <v>1525</v>
      </c>
      <c r="I442" s="15">
        <v>201412</v>
      </c>
      <c r="J442" s="16">
        <v>-12.75</v>
      </c>
      <c r="K442" s="171">
        <f t="shared" si="51"/>
        <v>6</v>
      </c>
      <c r="L442" s="17">
        <v>1.4833299999999999E-3</v>
      </c>
      <c r="M442" s="16">
        <f t="shared" si="52"/>
        <v>-0.11</v>
      </c>
      <c r="N442" s="16">
        <f t="shared" si="53"/>
        <v>-0.23</v>
      </c>
      <c r="O442" s="14"/>
      <c r="P442" s="210" t="str">
        <f>VLOOKUP(C442,'WO Descriptions'!$A$5:$D$384,4,FALSE)</f>
        <v>Approved by: Gary Williams on 12/02/2013,  AOR.  Replace 40'-6in CI with 6in PE.  13' of CI was exposed at 2551 Chelsea.  Tie-over two services and replace one service (2553 Chelsea).Retire 35'-6in CI, B30P88; 5'-6in CI, B18P103.</v>
      </c>
      <c r="Q442" s="210"/>
      <c r="R442" s="210"/>
    </row>
    <row r="443" spans="1:18" ht="45" outlineLevel="2">
      <c r="A443" s="14" t="s">
        <v>17</v>
      </c>
      <c r="B443" s="15" t="s">
        <v>480</v>
      </c>
      <c r="C443" s="15" t="s">
        <v>481</v>
      </c>
      <c r="D443" s="14" t="s">
        <v>482</v>
      </c>
      <c r="E443" s="15" t="s">
        <v>141</v>
      </c>
      <c r="F443" s="14" t="s">
        <v>142</v>
      </c>
      <c r="G443" s="15" t="s">
        <v>23</v>
      </c>
      <c r="H443" s="15" t="s">
        <v>1525</v>
      </c>
      <c r="I443" s="15">
        <v>201501</v>
      </c>
      <c r="J443" s="16">
        <v>-10.74</v>
      </c>
      <c r="K443" s="171">
        <f t="shared" si="51"/>
        <v>5</v>
      </c>
      <c r="L443" s="17">
        <v>1.4833299999999999E-3</v>
      </c>
      <c r="M443" s="16">
        <f t="shared" si="52"/>
        <v>-0.08</v>
      </c>
      <c r="N443" s="16">
        <f t="shared" si="53"/>
        <v>-0.19</v>
      </c>
      <c r="O443" s="14"/>
      <c r="P443" s="210" t="str">
        <f>VLOOKUP(C443,'WO Descriptions'!$A$5:$D$384,4,FALSE)</f>
        <v>Approved by: Gary Williams on 12/02/2013,  AOR.  Replace 40'-6in CI with 6in PE.  13' of CI was exposed at 2551 Chelsea.  Tie-over two services and replace one service (2553 Chelsea).Retire 35'-6in CI, B30P88; 5'-6in CI, B18P103.</v>
      </c>
      <c r="Q443" s="210"/>
      <c r="R443" s="210"/>
    </row>
    <row r="444" spans="1:18" ht="45" outlineLevel="2">
      <c r="A444" s="14" t="s">
        <v>17</v>
      </c>
      <c r="B444" s="15" t="s">
        <v>480</v>
      </c>
      <c r="C444" s="15" t="s">
        <v>481</v>
      </c>
      <c r="D444" s="14" t="s">
        <v>482</v>
      </c>
      <c r="E444" s="15" t="s">
        <v>141</v>
      </c>
      <c r="F444" s="14" t="s">
        <v>142</v>
      </c>
      <c r="G444" s="15" t="s">
        <v>23</v>
      </c>
      <c r="H444" s="15" t="s">
        <v>1525</v>
      </c>
      <c r="I444" s="15">
        <v>201502</v>
      </c>
      <c r="J444" s="16">
        <v>-2.95</v>
      </c>
      <c r="K444" s="171">
        <f t="shared" si="51"/>
        <v>4</v>
      </c>
      <c r="L444" s="17">
        <v>1.4833299999999999E-3</v>
      </c>
      <c r="M444" s="16">
        <f t="shared" si="52"/>
        <v>-0.02</v>
      </c>
      <c r="N444" s="16">
        <f t="shared" si="53"/>
        <v>-0.05</v>
      </c>
      <c r="O444" s="14"/>
      <c r="P444" s="210" t="str">
        <f>VLOOKUP(C444,'WO Descriptions'!$A$5:$D$384,4,FALSE)</f>
        <v>Approved by: Gary Williams on 12/02/2013,  AOR.  Replace 40'-6in CI with 6in PE.  13' of CI was exposed at 2551 Chelsea.  Tie-over two services and replace one service (2553 Chelsea).Retire 35'-6in CI, B30P88; 5'-6in CI, B18P103.</v>
      </c>
      <c r="Q444" s="210"/>
      <c r="R444" s="210"/>
    </row>
    <row r="445" spans="1:18" outlineLevel="1">
      <c r="A445" s="223"/>
      <c r="B445" s="250"/>
      <c r="C445" s="254" t="s">
        <v>1889</v>
      </c>
      <c r="D445" s="223"/>
      <c r="E445" s="250"/>
      <c r="F445" s="223"/>
      <c r="G445" s="250"/>
      <c r="H445" s="250"/>
      <c r="I445" s="250"/>
      <c r="J445" s="251">
        <f>SUBTOTAL(9,J439:J444)</f>
        <v>-345.42</v>
      </c>
      <c r="K445" s="252"/>
      <c r="L445" s="253"/>
      <c r="M445" s="251">
        <f>SUBTOTAL(9,M439:M444)</f>
        <v>-4.5</v>
      </c>
      <c r="N445" s="251">
        <f>SUBTOTAL(9,N439:N444)</f>
        <v>-6.15</v>
      </c>
      <c r="O445" s="223"/>
      <c r="P445" s="210"/>
      <c r="Q445" s="210" t="str">
        <f>VLOOKUP(C445,'Descriptions Sorted by WO '!$A$5:$S$977,18,FALSE)</f>
        <v>393.1009 (5) (a) (b)</v>
      </c>
      <c r="R445" s="210" t="str">
        <f>VLOOKUP(C445,'Descriptions Sorted by WO '!$A$5:$S$977,19,FALSE)</f>
        <v>A,B,C,D,I</v>
      </c>
    </row>
    <row r="446" spans="1:18" ht="120" outlineLevel="2">
      <c r="A446" s="14" t="s">
        <v>17</v>
      </c>
      <c r="B446" s="15" t="s">
        <v>483</v>
      </c>
      <c r="C446" s="15" t="s">
        <v>484</v>
      </c>
      <c r="D446" s="14" t="s">
        <v>485</v>
      </c>
      <c r="E446" s="15" t="s">
        <v>324</v>
      </c>
      <c r="F446" s="14" t="s">
        <v>325</v>
      </c>
      <c r="G446" s="15" t="s">
        <v>23</v>
      </c>
      <c r="H446" s="15" t="s">
        <v>1525</v>
      </c>
      <c r="I446" s="15">
        <v>201409</v>
      </c>
      <c r="J446" s="16">
        <v>-297.13</v>
      </c>
      <c r="K446" s="171">
        <f>VLOOKUP(I446,$T$9:$U$23,2)</f>
        <v>9</v>
      </c>
      <c r="L446" s="17">
        <v>1.4833299999999999E-3</v>
      </c>
      <c r="M446" s="16">
        <f>ROUND(J446*K446*L446,2)</f>
        <v>-3.97</v>
      </c>
      <c r="N446" s="16">
        <f>ROUND(J446*L446*12,2)</f>
        <v>-5.29</v>
      </c>
      <c r="O446" s="14"/>
      <c r="P446" s="210" t="str">
        <f>VLOOKUP(C446,'WO Descriptions'!$A$5:$D$384,4,FALSE)</f>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
      <c r="Q446" s="210"/>
      <c r="R446" s="210"/>
    </row>
    <row r="447" spans="1:18" outlineLevel="1">
      <c r="A447" s="223"/>
      <c r="B447" s="250"/>
      <c r="C447" s="254" t="s">
        <v>1890</v>
      </c>
      <c r="D447" s="223"/>
      <c r="E447" s="250"/>
      <c r="F447" s="223"/>
      <c r="G447" s="250"/>
      <c r="H447" s="250"/>
      <c r="I447" s="250"/>
      <c r="J447" s="251">
        <f>SUBTOTAL(9,J446:J446)</f>
        <v>-297.13</v>
      </c>
      <c r="K447" s="252"/>
      <c r="L447" s="253"/>
      <c r="M447" s="251">
        <f>SUBTOTAL(9,M446:M446)</f>
        <v>-3.97</v>
      </c>
      <c r="N447" s="251">
        <f>SUBTOTAL(9,N446:N446)</f>
        <v>-5.29</v>
      </c>
      <c r="O447" s="223"/>
      <c r="P447" s="210"/>
      <c r="Q447" s="210" t="str">
        <f>VLOOKUP(C447,'Descriptions Sorted by WO '!$A$5:$S$977,18,FALSE)</f>
        <v>393.1009 (5) (a), (b)</v>
      </c>
      <c r="R447" s="210" t="str">
        <f>VLOOKUP(C447,'Descriptions Sorted by WO '!$A$5:$S$977,19,FALSE)</f>
        <v>A, B, E</v>
      </c>
    </row>
    <row r="448" spans="1:18" ht="45" outlineLevel="2">
      <c r="A448" s="14" t="s">
        <v>17</v>
      </c>
      <c r="B448" s="15" t="s">
        <v>486</v>
      </c>
      <c r="C448" s="15" t="s">
        <v>487</v>
      </c>
      <c r="D448" s="14" t="s">
        <v>488</v>
      </c>
      <c r="E448" s="15" t="s">
        <v>141</v>
      </c>
      <c r="F448" s="14" t="s">
        <v>142</v>
      </c>
      <c r="G448" s="15" t="s">
        <v>23</v>
      </c>
      <c r="H448" s="15" t="s">
        <v>1525</v>
      </c>
      <c r="I448" s="15">
        <v>201409</v>
      </c>
      <c r="J448" s="16">
        <v>-374.06</v>
      </c>
      <c r="K448" s="171">
        <f>VLOOKUP(I448,$T$9:$U$23,2)</f>
        <v>9</v>
      </c>
      <c r="L448" s="17">
        <v>1.4833299999999999E-3</v>
      </c>
      <c r="M448" s="16">
        <f>ROUND(J448*K448*L448,2)</f>
        <v>-4.99</v>
      </c>
      <c r="N448" s="16">
        <f>ROUND(J448*L448*12,2)</f>
        <v>-6.66</v>
      </c>
      <c r="O448" s="14"/>
      <c r="P448" s="210" t="str">
        <f>VLOOKUP(C448,'WO Descriptions'!$A$5:$D$384,4,FALSE)</f>
        <v>Approved by: Gary Williams on 01/10/2014,  AOR.  This work order must be completed by March 16, 2014.  Replace 40'-6in CI due to parallel excavation.  AOR location: 12' SNC of E 52nd Street.  No services to tie-over.  Retire 44'-6in CI, WO A2610, year 1930.</v>
      </c>
      <c r="Q448" s="210"/>
      <c r="R448" s="210"/>
    </row>
    <row r="449" spans="1:18" outlineLevel="1">
      <c r="A449" s="223"/>
      <c r="B449" s="250"/>
      <c r="C449" s="254" t="s">
        <v>1891</v>
      </c>
      <c r="D449" s="223"/>
      <c r="E449" s="250"/>
      <c r="F449" s="223"/>
      <c r="G449" s="250"/>
      <c r="H449" s="250"/>
      <c r="I449" s="250"/>
      <c r="J449" s="251">
        <f>SUBTOTAL(9,J448:J448)</f>
        <v>-374.06</v>
      </c>
      <c r="K449" s="252"/>
      <c r="L449" s="253"/>
      <c r="M449" s="251">
        <f>SUBTOTAL(9,M448:M448)</f>
        <v>-4.99</v>
      </c>
      <c r="N449" s="251">
        <f>SUBTOTAL(9,N448:N448)</f>
        <v>-6.66</v>
      </c>
      <c r="O449" s="223"/>
      <c r="P449" s="210"/>
      <c r="Q449" s="210" t="str">
        <f>VLOOKUP(C449,'Descriptions Sorted by WO '!$A$5:$S$977,18,FALSE)</f>
        <v>393.1009 (5) (a) (b)</v>
      </c>
      <c r="R449" s="210" t="str">
        <f>VLOOKUP(C449,'Descriptions Sorted by WO '!$A$5:$S$977,19,FALSE)</f>
        <v>A,B,C,D,I</v>
      </c>
    </row>
    <row r="450" spans="1:18" ht="30" outlineLevel="2">
      <c r="A450" s="211" t="s">
        <v>66</v>
      </c>
      <c r="B450" s="212" t="s">
        <v>489</v>
      </c>
      <c r="C450" s="212" t="s">
        <v>490</v>
      </c>
      <c r="D450" s="211" t="s">
        <v>491</v>
      </c>
      <c r="E450" s="212" t="s">
        <v>492</v>
      </c>
      <c r="F450" s="211" t="s">
        <v>378</v>
      </c>
      <c r="G450" s="212" t="s">
        <v>23</v>
      </c>
      <c r="H450" s="212" t="s">
        <v>1530</v>
      </c>
      <c r="I450" s="212">
        <v>201409</v>
      </c>
      <c r="J450" s="213">
        <v>-2416.5500000000002</v>
      </c>
      <c r="K450" s="171">
        <f>VLOOKUP(I450,$T$9:$U$23,2)</f>
        <v>9</v>
      </c>
      <c r="L450" s="214">
        <v>2.23333E-3</v>
      </c>
      <c r="M450" s="213">
        <f>ROUND(J450*K450*L450,2)</f>
        <v>-48.57</v>
      </c>
      <c r="N450" s="213">
        <f>ROUND(J450*L450*12,2)</f>
        <v>-64.760000000000005</v>
      </c>
      <c r="O450" s="14"/>
      <c r="P450" s="210" t="str">
        <f>VLOOKUP(C450,'WO Descriptions'!$A$5:$D$384,4,FALSE)</f>
        <v>Service/Yard Line Replacement (SLRP): Contract Crew.  Service/yard line replacement - Material Charges Only  (Kansas City - Central Region)</v>
      </c>
      <c r="Q450" s="210"/>
      <c r="R450" s="210"/>
    </row>
    <row r="451" spans="1:18" ht="30" outlineLevel="2">
      <c r="A451" s="211" t="s">
        <v>66</v>
      </c>
      <c r="B451" s="212" t="s">
        <v>489</v>
      </c>
      <c r="C451" s="212" t="s">
        <v>490</v>
      </c>
      <c r="D451" s="211" t="s">
        <v>491</v>
      </c>
      <c r="E451" s="212" t="s">
        <v>492</v>
      </c>
      <c r="F451" s="211" t="s">
        <v>378</v>
      </c>
      <c r="G451" s="212" t="s">
        <v>23</v>
      </c>
      <c r="H451" s="212" t="s">
        <v>1530</v>
      </c>
      <c r="I451" s="212">
        <v>201411</v>
      </c>
      <c r="J451" s="213">
        <v>2182.83</v>
      </c>
      <c r="K451" s="171">
        <f>VLOOKUP(I451,$T$9:$U$23,2)</f>
        <v>7</v>
      </c>
      <c r="L451" s="214">
        <v>2.23333E-3</v>
      </c>
      <c r="M451" s="213">
        <f>ROUND(J451*K451*L451,2)</f>
        <v>34.119999999999997</v>
      </c>
      <c r="N451" s="213">
        <f>ROUND(J451*L451*12,2)</f>
        <v>58.5</v>
      </c>
      <c r="O451" s="14"/>
      <c r="P451" s="210" t="str">
        <f>VLOOKUP(C451,'WO Descriptions'!$A$5:$D$384,4,FALSE)</f>
        <v>Service/Yard Line Replacement (SLRP): Contract Crew.  Service/yard line replacement - Material Charges Only  (Kansas City - Central Region)</v>
      </c>
      <c r="Q451" s="210"/>
      <c r="R451" s="210"/>
    </row>
    <row r="452" spans="1:18" ht="30" outlineLevel="2">
      <c r="A452" s="211" t="s">
        <v>66</v>
      </c>
      <c r="B452" s="212" t="s">
        <v>489</v>
      </c>
      <c r="C452" s="212" t="s">
        <v>490</v>
      </c>
      <c r="D452" s="211" t="s">
        <v>491</v>
      </c>
      <c r="E452" s="212" t="s">
        <v>492</v>
      </c>
      <c r="F452" s="211" t="s">
        <v>378</v>
      </c>
      <c r="G452" s="212" t="s">
        <v>23</v>
      </c>
      <c r="H452" s="212" t="s">
        <v>1530</v>
      </c>
      <c r="I452" s="212">
        <v>201412</v>
      </c>
      <c r="J452" s="213">
        <v>-341.38</v>
      </c>
      <c r="K452" s="171">
        <f>VLOOKUP(I452,$T$9:$U$23,2)</f>
        <v>6</v>
      </c>
      <c r="L452" s="214">
        <v>2.23333E-3</v>
      </c>
      <c r="M452" s="213">
        <f>ROUND(J452*K452*L452,2)</f>
        <v>-4.57</v>
      </c>
      <c r="N452" s="213">
        <f>ROUND(J452*L452*12,2)</f>
        <v>-9.15</v>
      </c>
      <c r="O452" s="14"/>
      <c r="P452" s="210" t="str">
        <f>VLOOKUP(C452,'WO Descriptions'!$A$5:$D$384,4,FALSE)</f>
        <v>Service/Yard Line Replacement (SLRP): Contract Crew.  Service/yard line replacement - Material Charges Only  (Kansas City - Central Region)</v>
      </c>
      <c r="Q452" s="210"/>
      <c r="R452" s="210"/>
    </row>
    <row r="453" spans="1:18" ht="30" outlineLevel="2">
      <c r="A453" s="14" t="s">
        <v>66</v>
      </c>
      <c r="B453" s="15" t="s">
        <v>489</v>
      </c>
      <c r="C453" s="15" t="s">
        <v>490</v>
      </c>
      <c r="D453" s="14" t="s">
        <v>491</v>
      </c>
      <c r="E453" s="15" t="s">
        <v>492</v>
      </c>
      <c r="F453" s="14" t="s">
        <v>378</v>
      </c>
      <c r="G453" s="15" t="s">
        <v>23</v>
      </c>
      <c r="H453" s="15" t="s">
        <v>1530</v>
      </c>
      <c r="I453" s="15">
        <v>201501</v>
      </c>
      <c r="J453" s="16">
        <v>-23.83</v>
      </c>
      <c r="K453" s="171">
        <f>VLOOKUP(I453,$T$9:$U$23,2)</f>
        <v>5</v>
      </c>
      <c r="L453" s="17">
        <v>2.23333E-3</v>
      </c>
      <c r="M453" s="16">
        <f>ROUND(J453*K453*L453,2)</f>
        <v>-0.27</v>
      </c>
      <c r="N453" s="16">
        <f>ROUND(J453*L453*12,2)</f>
        <v>-0.64</v>
      </c>
      <c r="O453" s="14"/>
      <c r="P453" s="210" t="str">
        <f>VLOOKUP(C453,'WO Descriptions'!$A$5:$D$384,4,FALSE)</f>
        <v>Service/Yard Line Replacement (SLRP): Contract Crew.  Service/yard line replacement - Material Charges Only  (Kansas City - Central Region)</v>
      </c>
      <c r="Q453" s="210"/>
      <c r="R453" s="210"/>
    </row>
    <row r="454" spans="1:18" ht="30" outlineLevel="2">
      <c r="A454" s="14" t="s">
        <v>66</v>
      </c>
      <c r="B454" s="15" t="s">
        <v>489</v>
      </c>
      <c r="C454" s="15" t="s">
        <v>490</v>
      </c>
      <c r="D454" s="14" t="s">
        <v>491</v>
      </c>
      <c r="E454" s="15" t="s">
        <v>492</v>
      </c>
      <c r="F454" s="14" t="s">
        <v>378</v>
      </c>
      <c r="G454" s="15" t="s">
        <v>23</v>
      </c>
      <c r="H454" s="15" t="s">
        <v>1530</v>
      </c>
      <c r="I454" s="15">
        <v>201502</v>
      </c>
      <c r="J454" s="16">
        <v>-72.19</v>
      </c>
      <c r="K454" s="171">
        <f>VLOOKUP(I454,$T$9:$U$23,2)</f>
        <v>4</v>
      </c>
      <c r="L454" s="17">
        <v>2.23333E-3</v>
      </c>
      <c r="M454" s="16">
        <f>ROUND(J454*K454*L454,2)</f>
        <v>-0.64</v>
      </c>
      <c r="N454" s="16">
        <f>ROUND(J454*L454*12,2)</f>
        <v>-1.93</v>
      </c>
      <c r="O454" s="14"/>
      <c r="P454" s="210" t="str">
        <f>VLOOKUP(C454,'WO Descriptions'!$A$5:$D$384,4,FALSE)</f>
        <v>Service/Yard Line Replacement (SLRP): Contract Crew.  Service/yard line replacement - Material Charges Only  (Kansas City - Central Region)</v>
      </c>
      <c r="Q454" s="210"/>
      <c r="R454" s="210"/>
    </row>
    <row r="455" spans="1:18" outlineLevel="1">
      <c r="A455" s="223"/>
      <c r="B455" s="250"/>
      <c r="C455" s="254" t="s">
        <v>1892</v>
      </c>
      <c r="D455" s="223"/>
      <c r="E455" s="250"/>
      <c r="F455" s="223"/>
      <c r="G455" s="250"/>
      <c r="H455" s="250"/>
      <c r="I455" s="250"/>
      <c r="J455" s="251">
        <f>SUBTOTAL(9,J450:J454)</f>
        <v>-671.12000000000035</v>
      </c>
      <c r="K455" s="252"/>
      <c r="L455" s="253"/>
      <c r="M455" s="251">
        <f>SUBTOTAL(9,M450:M454)</f>
        <v>-19.930000000000003</v>
      </c>
      <c r="N455" s="251">
        <f>SUBTOTAL(9,N450:N454)</f>
        <v>-17.980000000000004</v>
      </c>
      <c r="O455" s="223"/>
      <c r="P455" s="210"/>
      <c r="Q455" s="210" t="str">
        <f>VLOOKUP(C455,'Descriptions Sorted by WO '!$A$5:$S$977,18,FALSE)</f>
        <v>393.1009 (5) (a) (b)</v>
      </c>
      <c r="R455" s="210" t="str">
        <f>VLOOKUP(C455,'Descriptions Sorted by WO '!$A$5:$S$977,19,FALSE)</f>
        <v>A,B,C,I</v>
      </c>
    </row>
    <row r="456" spans="1:18" ht="30" outlineLevel="2">
      <c r="A456" s="211" t="s">
        <v>1584</v>
      </c>
      <c r="B456" s="212" t="s">
        <v>1605</v>
      </c>
      <c r="C456" s="212" t="s">
        <v>1606</v>
      </c>
      <c r="D456" s="211" t="s">
        <v>1607</v>
      </c>
      <c r="E456" s="212" t="s">
        <v>1608</v>
      </c>
      <c r="F456" s="211" t="s">
        <v>1590</v>
      </c>
      <c r="G456" s="212" t="s">
        <v>23</v>
      </c>
      <c r="H456" s="212" t="s">
        <v>1530</v>
      </c>
      <c r="I456" s="212">
        <v>201409</v>
      </c>
      <c r="J456" s="213">
        <v>14022.68</v>
      </c>
      <c r="K456" s="171">
        <f>VLOOKUP(I456,$T$9:$U$23,2)</f>
        <v>9</v>
      </c>
      <c r="L456" s="214">
        <v>2.0333333000000001E-3</v>
      </c>
      <c r="M456" s="213">
        <f>ROUND(J456*K456*L456,2)</f>
        <v>256.62</v>
      </c>
      <c r="N456" s="213">
        <f>ROUND(J456*L456*12,2)</f>
        <v>342.15</v>
      </c>
      <c r="O456" s="14"/>
      <c r="P456" s="210" t="str">
        <f>VLOOKUP(C456,'WO Descriptions'!$A$5:$D$384,4,FALSE)</f>
        <v>Service/Yard Line Replacement (SLRP): Company Crew.  Rebuild meter/regulator setting (exclude regulator) (Kansas City - Central Region).</v>
      </c>
      <c r="Q456" s="210"/>
      <c r="R456" s="210"/>
    </row>
    <row r="457" spans="1:18" ht="30" outlineLevel="2">
      <c r="A457" s="211" t="s">
        <v>1584</v>
      </c>
      <c r="B457" s="212" t="s">
        <v>1605</v>
      </c>
      <c r="C457" s="212" t="s">
        <v>1606</v>
      </c>
      <c r="D457" s="211" t="s">
        <v>1607</v>
      </c>
      <c r="E457" s="212" t="s">
        <v>1608</v>
      </c>
      <c r="F457" s="211" t="s">
        <v>1590</v>
      </c>
      <c r="G457" s="212" t="s">
        <v>23</v>
      </c>
      <c r="H457" s="212" t="s">
        <v>1530</v>
      </c>
      <c r="I457" s="212">
        <v>201410</v>
      </c>
      <c r="J457" s="213">
        <v>18008.71</v>
      </c>
      <c r="K457" s="171">
        <f>VLOOKUP(I457,$T$9:$U$23,2)</f>
        <v>8</v>
      </c>
      <c r="L457" s="214">
        <v>2.0333333000000001E-3</v>
      </c>
      <c r="M457" s="213">
        <f>ROUND(J457*K457*L457,2)</f>
        <v>292.94</v>
      </c>
      <c r="N457" s="213">
        <f>ROUND(J457*L457*12,2)</f>
        <v>439.41</v>
      </c>
      <c r="O457" s="14"/>
      <c r="P457" s="210" t="str">
        <f>VLOOKUP(C457,'WO Descriptions'!$A$5:$D$384,4,FALSE)</f>
        <v>Service/Yard Line Replacement (SLRP): Company Crew.  Rebuild meter/regulator setting (exclude regulator) (Kansas City - Central Region).</v>
      </c>
      <c r="Q457" s="210"/>
      <c r="R457" s="210"/>
    </row>
    <row r="458" spans="1:18" ht="30" outlineLevel="2">
      <c r="A458" s="211" t="s">
        <v>1584</v>
      </c>
      <c r="B458" s="212" t="s">
        <v>1605</v>
      </c>
      <c r="C458" s="212" t="s">
        <v>1606</v>
      </c>
      <c r="D458" s="211" t="s">
        <v>1607</v>
      </c>
      <c r="E458" s="212" t="s">
        <v>1608</v>
      </c>
      <c r="F458" s="211" t="s">
        <v>1590</v>
      </c>
      <c r="G458" s="212" t="s">
        <v>23</v>
      </c>
      <c r="H458" s="212" t="s">
        <v>1530</v>
      </c>
      <c r="I458" s="212">
        <v>201411</v>
      </c>
      <c r="J458" s="213">
        <v>13521.65</v>
      </c>
      <c r="K458" s="171">
        <f>VLOOKUP(I458,$T$9:$U$23,2)</f>
        <v>7</v>
      </c>
      <c r="L458" s="214">
        <v>2.0333333000000001E-3</v>
      </c>
      <c r="M458" s="213">
        <f>ROUND(J458*K458*L458,2)</f>
        <v>192.46</v>
      </c>
      <c r="N458" s="213">
        <f>ROUND(J458*L458*12,2)</f>
        <v>329.93</v>
      </c>
      <c r="O458" s="14"/>
      <c r="P458" s="210" t="str">
        <f>VLOOKUP(C458,'WO Descriptions'!$A$5:$D$384,4,FALSE)</f>
        <v>Service/Yard Line Replacement (SLRP): Company Crew.  Rebuild meter/regulator setting (exclude regulator) (Kansas City - Central Region).</v>
      </c>
      <c r="Q458" s="210"/>
      <c r="R458" s="210"/>
    </row>
    <row r="459" spans="1:18" ht="30" outlineLevel="2">
      <c r="A459" s="211" t="s">
        <v>1584</v>
      </c>
      <c r="B459" s="212" t="s">
        <v>1605</v>
      </c>
      <c r="C459" s="212" t="s">
        <v>1606</v>
      </c>
      <c r="D459" s="211" t="s">
        <v>1607</v>
      </c>
      <c r="E459" s="212" t="s">
        <v>1608</v>
      </c>
      <c r="F459" s="211" t="s">
        <v>1590</v>
      </c>
      <c r="G459" s="212" t="s">
        <v>23</v>
      </c>
      <c r="H459" s="212" t="s">
        <v>1530</v>
      </c>
      <c r="I459" s="212">
        <v>201412</v>
      </c>
      <c r="J459" s="213">
        <v>11008.76</v>
      </c>
      <c r="K459" s="171">
        <f>VLOOKUP(I459,$T$9:$U$23,2)</f>
        <v>6</v>
      </c>
      <c r="L459" s="214">
        <v>2.0333333000000001E-3</v>
      </c>
      <c r="M459" s="213">
        <f>ROUND(J459*K459*L459,2)</f>
        <v>134.31</v>
      </c>
      <c r="N459" s="213">
        <f>ROUND(J459*L459*12,2)</f>
        <v>268.61</v>
      </c>
      <c r="O459" s="14"/>
      <c r="P459" s="210" t="str">
        <f>VLOOKUP(C459,'WO Descriptions'!$A$5:$D$384,4,FALSE)</f>
        <v>Service/Yard Line Replacement (SLRP): Company Crew.  Rebuild meter/regulator setting (exclude regulator) (Kansas City - Central Region).</v>
      </c>
      <c r="Q459" s="210"/>
      <c r="R459" s="210"/>
    </row>
    <row r="460" spans="1:18" ht="30" outlineLevel="2">
      <c r="A460" s="14" t="s">
        <v>1584</v>
      </c>
      <c r="B460" s="15" t="s">
        <v>1605</v>
      </c>
      <c r="C460" s="15" t="s">
        <v>1606</v>
      </c>
      <c r="D460" s="14" t="s">
        <v>1607</v>
      </c>
      <c r="E460" s="15" t="s">
        <v>1608</v>
      </c>
      <c r="F460" s="14" t="s">
        <v>1590</v>
      </c>
      <c r="G460" s="15" t="s">
        <v>23</v>
      </c>
      <c r="H460" s="15" t="s">
        <v>1530</v>
      </c>
      <c r="I460" s="15">
        <v>201501</v>
      </c>
      <c r="J460" s="16">
        <v>9477.2199999999993</v>
      </c>
      <c r="K460" s="171">
        <f>VLOOKUP(I460,$T$9:$U$23,2)</f>
        <v>5</v>
      </c>
      <c r="L460" s="17">
        <v>2.0333333000000001E-3</v>
      </c>
      <c r="M460" s="16">
        <f>ROUND(J460*K460*L460,2)</f>
        <v>96.35</v>
      </c>
      <c r="N460" s="16">
        <f>ROUND(J460*L460*12,2)</f>
        <v>231.24</v>
      </c>
      <c r="O460" s="14"/>
      <c r="P460" s="210" t="str">
        <f>VLOOKUP(C460,'WO Descriptions'!$A$5:$D$384,4,FALSE)</f>
        <v>Service/Yard Line Replacement (SLRP): Company Crew.  Rebuild meter/regulator setting (exclude regulator) (Kansas City - Central Region).</v>
      </c>
      <c r="Q460" s="210"/>
      <c r="R460" s="210"/>
    </row>
    <row r="461" spans="1:18" outlineLevel="1">
      <c r="A461" s="223"/>
      <c r="B461" s="250"/>
      <c r="C461" s="254" t="s">
        <v>1893</v>
      </c>
      <c r="D461" s="223"/>
      <c r="E461" s="250"/>
      <c r="F461" s="223"/>
      <c r="G461" s="250"/>
      <c r="H461" s="250"/>
      <c r="I461" s="250"/>
      <c r="J461" s="251">
        <f>SUBTOTAL(9,J456:J460)</f>
        <v>66039.02</v>
      </c>
      <c r="K461" s="252"/>
      <c r="L461" s="253"/>
      <c r="M461" s="251">
        <f>SUBTOTAL(9,M456:M460)</f>
        <v>972.68</v>
      </c>
      <c r="N461" s="251">
        <f>SUBTOTAL(9,N456:N460)</f>
        <v>1611.34</v>
      </c>
      <c r="O461" s="223"/>
      <c r="P461" s="210"/>
      <c r="Q461" s="210" t="str">
        <f>VLOOKUP(C461,'Descriptions Sorted by WO '!$A$5:$S$977,18,FALSE)</f>
        <v>393.1009 (5) (a) (b)</v>
      </c>
      <c r="R461" s="210" t="str">
        <f>VLOOKUP(C461,'Descriptions Sorted by WO '!$A$5:$S$977,19,FALSE)</f>
        <v>A,B,C,I</v>
      </c>
    </row>
    <row r="462" spans="1:18" ht="45" outlineLevel="2">
      <c r="A462" s="14" t="s">
        <v>17</v>
      </c>
      <c r="B462" s="15" t="s">
        <v>493</v>
      </c>
      <c r="C462" s="15" t="s">
        <v>494</v>
      </c>
      <c r="D462" s="14" t="s">
        <v>495</v>
      </c>
      <c r="E462" s="15" t="s">
        <v>62</v>
      </c>
      <c r="F462" s="14" t="s">
        <v>22</v>
      </c>
      <c r="G462" s="15" t="s">
        <v>23</v>
      </c>
      <c r="H462" s="15" t="s">
        <v>1525</v>
      </c>
      <c r="I462" s="15">
        <v>201409</v>
      </c>
      <c r="J462" s="16">
        <v>-24.13</v>
      </c>
      <c r="K462" s="171">
        <f>VLOOKUP(I462,$T$9:$U$23,2)</f>
        <v>9</v>
      </c>
      <c r="L462" s="17">
        <v>1.4833299999999999E-3</v>
      </c>
      <c r="M462" s="16">
        <f>ROUND(J462*K462*L462,2)</f>
        <v>-0.32</v>
      </c>
      <c r="N462" s="16">
        <f>ROUND(J462*L462*12,2)</f>
        <v>-0.43</v>
      </c>
      <c r="O462" s="14"/>
      <c r="P462" s="210" t="str">
        <f>VLOOKUP(C462,'WO Descriptions'!$A$5:$D$384,4,FALSE)</f>
        <v>Approved by: Ralph Janes on 05/01/2013,  Replace and abandon 75' of 2&amp;quot; PBS (NONE WO) with 75' of 2&amp;quot; PE on WO# 13-2654. The existing main was leaking under 2nd Street (MO Hwy 58). ISRS</v>
      </c>
      <c r="Q462" s="210"/>
      <c r="R462" s="210"/>
    </row>
    <row r="463" spans="1:18" outlineLevel="1">
      <c r="A463" s="223"/>
      <c r="B463" s="250"/>
      <c r="C463" s="254" t="s">
        <v>1894</v>
      </c>
      <c r="D463" s="223"/>
      <c r="E463" s="250"/>
      <c r="F463" s="223"/>
      <c r="G463" s="250"/>
      <c r="H463" s="250"/>
      <c r="I463" s="250"/>
      <c r="J463" s="251">
        <f>SUBTOTAL(9,J462:J462)</f>
        <v>-24.13</v>
      </c>
      <c r="K463" s="252"/>
      <c r="L463" s="253"/>
      <c r="M463" s="251">
        <f>SUBTOTAL(9,M462:M462)</f>
        <v>-0.32</v>
      </c>
      <c r="N463" s="251">
        <f>SUBTOTAL(9,N462:N462)</f>
        <v>-0.43</v>
      </c>
      <c r="O463" s="223"/>
      <c r="P463" s="210"/>
      <c r="Q463" s="210" t="str">
        <f>VLOOKUP(C463,'Descriptions Sorted by WO '!$A$5:$S$977,18,FALSE)</f>
        <v>393.1009 (5) (a) (b)</v>
      </c>
      <c r="R463" s="210" t="str">
        <f>VLOOKUP(C463,'Descriptions Sorted by WO '!$A$5:$S$977,19,FALSE)</f>
        <v>A,B,C</v>
      </c>
    </row>
    <row r="464" spans="1:18" ht="30" outlineLevel="2">
      <c r="A464" s="211" t="s">
        <v>66</v>
      </c>
      <c r="B464" s="212" t="s">
        <v>496</v>
      </c>
      <c r="C464" s="212" t="s">
        <v>497</v>
      </c>
      <c r="D464" s="211" t="s">
        <v>376</v>
      </c>
      <c r="E464" s="212" t="s">
        <v>498</v>
      </c>
      <c r="F464" s="211" t="s">
        <v>378</v>
      </c>
      <c r="G464" s="212" t="s">
        <v>23</v>
      </c>
      <c r="H464" s="212" t="s">
        <v>1530</v>
      </c>
      <c r="I464" s="212">
        <v>201409</v>
      </c>
      <c r="J464" s="213">
        <v>55968.13</v>
      </c>
      <c r="K464" s="171">
        <f t="shared" ref="K464:K469" si="54">VLOOKUP(I464,$T$9:$U$23,2)</f>
        <v>9</v>
      </c>
      <c r="L464" s="214">
        <v>2.23333E-3</v>
      </c>
      <c r="M464" s="213">
        <f t="shared" ref="M464:M469" si="55">ROUND(J464*K464*L464,2)</f>
        <v>1124.96</v>
      </c>
      <c r="N464" s="213">
        <f t="shared" ref="N464:N469" si="56">ROUND(J464*L464*12,2)</f>
        <v>1499.94</v>
      </c>
      <c r="O464" s="14"/>
      <c r="P464" s="210" t="str">
        <f>VLOOKUP(C464,'WO Descriptions'!$A$5:$D$384,4,FALSE)</f>
        <v>Service/Yard Line Replacement (SLRP): Contract Crew.  Service/yard line replacement - Material Charges Only  (Lee's Summit - East Region)</v>
      </c>
      <c r="Q464" s="210"/>
      <c r="R464" s="210"/>
    </row>
    <row r="465" spans="1:18" ht="30" outlineLevel="2">
      <c r="A465" s="211" t="s">
        <v>66</v>
      </c>
      <c r="B465" s="212" t="s">
        <v>496</v>
      </c>
      <c r="C465" s="212" t="s">
        <v>497</v>
      </c>
      <c r="D465" s="211" t="s">
        <v>376</v>
      </c>
      <c r="E465" s="212" t="s">
        <v>498</v>
      </c>
      <c r="F465" s="211" t="s">
        <v>378</v>
      </c>
      <c r="G465" s="212" t="s">
        <v>23</v>
      </c>
      <c r="H465" s="212" t="s">
        <v>1530</v>
      </c>
      <c r="I465" s="212">
        <v>201410</v>
      </c>
      <c r="J465" s="213">
        <v>86678.53</v>
      </c>
      <c r="K465" s="171">
        <f t="shared" si="54"/>
        <v>8</v>
      </c>
      <c r="L465" s="214">
        <v>2.23333E-3</v>
      </c>
      <c r="M465" s="213">
        <f t="shared" si="55"/>
        <v>1548.65</v>
      </c>
      <c r="N465" s="213">
        <f t="shared" si="56"/>
        <v>2322.98</v>
      </c>
      <c r="O465" s="14"/>
      <c r="P465" s="210" t="str">
        <f>VLOOKUP(C465,'WO Descriptions'!$A$5:$D$384,4,FALSE)</f>
        <v>Service/Yard Line Replacement (SLRP): Contract Crew.  Service/yard line replacement - Material Charges Only  (Lee's Summit - East Region)</v>
      </c>
      <c r="Q465" s="210"/>
      <c r="R465" s="210"/>
    </row>
    <row r="466" spans="1:18" ht="30" outlineLevel="2">
      <c r="A466" s="211" t="s">
        <v>66</v>
      </c>
      <c r="B466" s="212" t="s">
        <v>496</v>
      </c>
      <c r="C466" s="212" t="s">
        <v>497</v>
      </c>
      <c r="D466" s="211" t="s">
        <v>376</v>
      </c>
      <c r="E466" s="212" t="s">
        <v>498</v>
      </c>
      <c r="F466" s="211" t="s">
        <v>378</v>
      </c>
      <c r="G466" s="212" t="s">
        <v>23</v>
      </c>
      <c r="H466" s="212" t="s">
        <v>1530</v>
      </c>
      <c r="I466" s="212">
        <v>201411</v>
      </c>
      <c r="J466" s="213">
        <v>467</v>
      </c>
      <c r="K466" s="171">
        <f t="shared" si="54"/>
        <v>7</v>
      </c>
      <c r="L466" s="214">
        <v>2.23333E-3</v>
      </c>
      <c r="M466" s="213">
        <f t="shared" si="55"/>
        <v>7.3</v>
      </c>
      <c r="N466" s="213">
        <f t="shared" si="56"/>
        <v>12.52</v>
      </c>
      <c r="O466" s="14"/>
      <c r="P466" s="210" t="str">
        <f>VLOOKUP(C466,'WO Descriptions'!$A$5:$D$384,4,FALSE)</f>
        <v>Service/Yard Line Replacement (SLRP): Contract Crew.  Service/yard line replacement - Material Charges Only  (Lee's Summit - East Region)</v>
      </c>
      <c r="Q466" s="210"/>
      <c r="R466" s="210"/>
    </row>
    <row r="467" spans="1:18" ht="30" outlineLevel="2">
      <c r="A467" s="211" t="s">
        <v>66</v>
      </c>
      <c r="B467" s="212" t="s">
        <v>496</v>
      </c>
      <c r="C467" s="212" t="s">
        <v>497</v>
      </c>
      <c r="D467" s="211" t="s">
        <v>376</v>
      </c>
      <c r="E467" s="212" t="s">
        <v>498</v>
      </c>
      <c r="F467" s="211" t="s">
        <v>378</v>
      </c>
      <c r="G467" s="212" t="s">
        <v>23</v>
      </c>
      <c r="H467" s="212" t="s">
        <v>1530</v>
      </c>
      <c r="I467" s="212">
        <v>201412</v>
      </c>
      <c r="J467" s="213">
        <v>44688.62</v>
      </c>
      <c r="K467" s="171">
        <f t="shared" si="54"/>
        <v>6</v>
      </c>
      <c r="L467" s="214">
        <v>2.23333E-3</v>
      </c>
      <c r="M467" s="213">
        <f t="shared" si="55"/>
        <v>598.83000000000004</v>
      </c>
      <c r="N467" s="213">
        <f t="shared" si="56"/>
        <v>1197.6500000000001</v>
      </c>
      <c r="O467" s="14"/>
      <c r="P467" s="210" t="str">
        <f>VLOOKUP(C467,'WO Descriptions'!$A$5:$D$384,4,FALSE)</f>
        <v>Service/Yard Line Replacement (SLRP): Contract Crew.  Service/yard line replacement - Material Charges Only  (Lee's Summit - East Region)</v>
      </c>
      <c r="Q467" s="210"/>
      <c r="R467" s="210"/>
    </row>
    <row r="468" spans="1:18" ht="30" outlineLevel="2">
      <c r="A468" s="14" t="s">
        <v>66</v>
      </c>
      <c r="B468" s="15" t="s">
        <v>496</v>
      </c>
      <c r="C468" s="15" t="s">
        <v>497</v>
      </c>
      <c r="D468" s="14" t="s">
        <v>376</v>
      </c>
      <c r="E468" s="15" t="s">
        <v>498</v>
      </c>
      <c r="F468" s="14" t="s">
        <v>378</v>
      </c>
      <c r="G468" s="15" t="s">
        <v>23</v>
      </c>
      <c r="H468" s="15" t="s">
        <v>1530</v>
      </c>
      <c r="I468" s="15">
        <v>201501</v>
      </c>
      <c r="J468" s="16">
        <v>44122.37</v>
      </c>
      <c r="K468" s="171">
        <f t="shared" si="54"/>
        <v>5</v>
      </c>
      <c r="L468" s="17">
        <v>2.23333E-3</v>
      </c>
      <c r="M468" s="16">
        <f t="shared" si="55"/>
        <v>492.7</v>
      </c>
      <c r="N468" s="16">
        <f t="shared" si="56"/>
        <v>1182.48</v>
      </c>
      <c r="O468" s="14"/>
      <c r="P468" s="210" t="str">
        <f>VLOOKUP(C468,'WO Descriptions'!$A$5:$D$384,4,FALSE)</f>
        <v>Service/Yard Line Replacement (SLRP): Contract Crew.  Service/yard line replacement - Material Charges Only  (Lee's Summit - East Region)</v>
      </c>
      <c r="Q468" s="210"/>
      <c r="R468" s="210"/>
    </row>
    <row r="469" spans="1:18" ht="30" outlineLevel="2">
      <c r="A469" s="14" t="s">
        <v>66</v>
      </c>
      <c r="B469" s="15" t="s">
        <v>496</v>
      </c>
      <c r="C469" s="15" t="s">
        <v>497</v>
      </c>
      <c r="D469" s="14" t="s">
        <v>376</v>
      </c>
      <c r="E469" s="15" t="s">
        <v>498</v>
      </c>
      <c r="F469" s="14" t="s">
        <v>378</v>
      </c>
      <c r="G469" s="15" t="s">
        <v>23</v>
      </c>
      <c r="H469" s="15" t="s">
        <v>1530</v>
      </c>
      <c r="I469" s="15">
        <v>201502</v>
      </c>
      <c r="J469" s="16">
        <v>49045.33</v>
      </c>
      <c r="K469" s="171">
        <f t="shared" si="54"/>
        <v>4</v>
      </c>
      <c r="L469" s="17">
        <v>2.23333E-3</v>
      </c>
      <c r="M469" s="16">
        <f t="shared" si="55"/>
        <v>438.14</v>
      </c>
      <c r="N469" s="16">
        <f t="shared" si="56"/>
        <v>1314.41</v>
      </c>
      <c r="O469" s="14"/>
      <c r="P469" s="210" t="str">
        <f>VLOOKUP(C469,'WO Descriptions'!$A$5:$D$384,4,FALSE)</f>
        <v>Service/Yard Line Replacement (SLRP): Contract Crew.  Service/yard line replacement - Material Charges Only  (Lee's Summit - East Region)</v>
      </c>
      <c r="Q469" s="210"/>
      <c r="R469" s="210"/>
    </row>
    <row r="470" spans="1:18" outlineLevel="1">
      <c r="A470" s="223"/>
      <c r="B470" s="250"/>
      <c r="C470" s="254" t="s">
        <v>1895</v>
      </c>
      <c r="D470" s="223"/>
      <c r="E470" s="250"/>
      <c r="F470" s="223"/>
      <c r="G470" s="250"/>
      <c r="H470" s="250"/>
      <c r="I470" s="250"/>
      <c r="J470" s="251">
        <f>SUBTOTAL(9,J464:J469)</f>
        <v>280969.98</v>
      </c>
      <c r="K470" s="252"/>
      <c r="L470" s="253"/>
      <c r="M470" s="251">
        <f>SUBTOTAL(9,M464:M469)</f>
        <v>4210.58</v>
      </c>
      <c r="N470" s="251">
        <f>SUBTOTAL(9,N464:N469)</f>
        <v>7529.98</v>
      </c>
      <c r="O470" s="223"/>
      <c r="P470" s="210"/>
      <c r="Q470" s="210" t="str">
        <f>VLOOKUP(C470,'Descriptions Sorted by WO '!$A$5:$S$977,18,FALSE)</f>
        <v>393.1009 (5) (a) (b)</v>
      </c>
      <c r="R470" s="210" t="str">
        <f>VLOOKUP(C470,'Descriptions Sorted by WO '!$A$5:$S$977,19,FALSE)</f>
        <v>A,B,C,I</v>
      </c>
    </row>
    <row r="471" spans="1:18" outlineLevel="2">
      <c r="A471" s="211" t="s">
        <v>66</v>
      </c>
      <c r="B471" s="212" t="s">
        <v>499</v>
      </c>
      <c r="C471" s="212" t="s">
        <v>500</v>
      </c>
      <c r="D471" s="211" t="s">
        <v>385</v>
      </c>
      <c r="E471" s="212" t="s">
        <v>501</v>
      </c>
      <c r="F471" s="211" t="s">
        <v>387</v>
      </c>
      <c r="G471" s="212" t="s">
        <v>23</v>
      </c>
      <c r="H471" s="212" t="s">
        <v>1530</v>
      </c>
      <c r="I471" s="212">
        <v>201409</v>
      </c>
      <c r="J471" s="213">
        <v>26046.38</v>
      </c>
      <c r="K471" s="171">
        <f t="shared" ref="K471:K476" si="57">VLOOKUP(I471,$T$9:$U$23,2)</f>
        <v>9</v>
      </c>
      <c r="L471" s="214">
        <v>2.23333E-3</v>
      </c>
      <c r="M471" s="213">
        <f t="shared" ref="M471:M476" si="58">ROUND(J471*K471*L471,2)</f>
        <v>523.53</v>
      </c>
      <c r="N471" s="213">
        <f t="shared" ref="N471:N476" si="59">ROUND(J471*L471*12,2)</f>
        <v>698.04</v>
      </c>
      <c r="O471" s="14"/>
      <c r="P471" s="210" t="str">
        <f>VLOOKUP(C471,'WO Descriptions'!$A$5:$D$384,4,FALSE)</f>
        <v>Replacement and/or removal of existing protected steel or plastic (Joplin - South Region)</v>
      </c>
      <c r="Q471" s="210"/>
      <c r="R471" s="210"/>
    </row>
    <row r="472" spans="1:18" outlineLevel="2">
      <c r="A472" s="211" t="s">
        <v>66</v>
      </c>
      <c r="B472" s="212" t="s">
        <v>499</v>
      </c>
      <c r="C472" s="212" t="s">
        <v>500</v>
      </c>
      <c r="D472" s="211" t="s">
        <v>385</v>
      </c>
      <c r="E472" s="212" t="s">
        <v>501</v>
      </c>
      <c r="F472" s="211" t="s">
        <v>387</v>
      </c>
      <c r="G472" s="212" t="s">
        <v>23</v>
      </c>
      <c r="H472" s="212" t="s">
        <v>1530</v>
      </c>
      <c r="I472" s="212">
        <v>201410</v>
      </c>
      <c r="J472" s="213">
        <v>41073.32</v>
      </c>
      <c r="K472" s="171">
        <f t="shared" si="57"/>
        <v>8</v>
      </c>
      <c r="L472" s="214">
        <v>2.23333E-3</v>
      </c>
      <c r="M472" s="213">
        <f t="shared" si="58"/>
        <v>733.84</v>
      </c>
      <c r="N472" s="213">
        <f t="shared" si="59"/>
        <v>1100.76</v>
      </c>
      <c r="O472" s="14"/>
      <c r="P472" s="210" t="str">
        <f>VLOOKUP(C472,'WO Descriptions'!$A$5:$D$384,4,FALSE)</f>
        <v>Replacement and/or removal of existing protected steel or plastic (Joplin - South Region)</v>
      </c>
      <c r="Q472" s="210"/>
      <c r="R472" s="210"/>
    </row>
    <row r="473" spans="1:18" outlineLevel="2">
      <c r="A473" s="211" t="s">
        <v>66</v>
      </c>
      <c r="B473" s="212" t="s">
        <v>499</v>
      </c>
      <c r="C473" s="212" t="s">
        <v>500</v>
      </c>
      <c r="D473" s="211" t="s">
        <v>385</v>
      </c>
      <c r="E473" s="212" t="s">
        <v>501</v>
      </c>
      <c r="F473" s="211" t="s">
        <v>387</v>
      </c>
      <c r="G473" s="212" t="s">
        <v>23</v>
      </c>
      <c r="H473" s="212" t="s">
        <v>1530</v>
      </c>
      <c r="I473" s="212">
        <v>201411</v>
      </c>
      <c r="J473" s="213">
        <v>14235.91</v>
      </c>
      <c r="K473" s="171">
        <f t="shared" si="57"/>
        <v>7</v>
      </c>
      <c r="L473" s="214">
        <v>2.23333E-3</v>
      </c>
      <c r="M473" s="213">
        <f t="shared" si="58"/>
        <v>222.55</v>
      </c>
      <c r="N473" s="213">
        <f t="shared" si="59"/>
        <v>381.52</v>
      </c>
      <c r="O473" s="14"/>
      <c r="P473" s="210" t="str">
        <f>VLOOKUP(C473,'WO Descriptions'!$A$5:$D$384,4,FALSE)</f>
        <v>Replacement and/or removal of existing protected steel or plastic (Joplin - South Region)</v>
      </c>
      <c r="Q473" s="210"/>
      <c r="R473" s="210"/>
    </row>
    <row r="474" spans="1:18" outlineLevel="2">
      <c r="A474" s="211" t="s">
        <v>66</v>
      </c>
      <c r="B474" s="212" t="s">
        <v>499</v>
      </c>
      <c r="C474" s="212" t="s">
        <v>500</v>
      </c>
      <c r="D474" s="211" t="s">
        <v>385</v>
      </c>
      <c r="E474" s="212" t="s">
        <v>501</v>
      </c>
      <c r="F474" s="211" t="s">
        <v>387</v>
      </c>
      <c r="G474" s="212" t="s">
        <v>23</v>
      </c>
      <c r="H474" s="212" t="s">
        <v>1530</v>
      </c>
      <c r="I474" s="212">
        <v>201412</v>
      </c>
      <c r="J474" s="213">
        <v>-1460.39</v>
      </c>
      <c r="K474" s="171">
        <f t="shared" si="57"/>
        <v>6</v>
      </c>
      <c r="L474" s="214">
        <v>2.23333E-3</v>
      </c>
      <c r="M474" s="213">
        <f t="shared" si="58"/>
        <v>-19.57</v>
      </c>
      <c r="N474" s="213">
        <f t="shared" si="59"/>
        <v>-39.14</v>
      </c>
      <c r="O474" s="14"/>
      <c r="P474" s="210" t="str">
        <f>VLOOKUP(C474,'WO Descriptions'!$A$5:$D$384,4,FALSE)</f>
        <v>Replacement and/or removal of existing protected steel or plastic (Joplin - South Region)</v>
      </c>
      <c r="Q474" s="210"/>
      <c r="R474" s="210"/>
    </row>
    <row r="475" spans="1:18" outlineLevel="2">
      <c r="A475" s="14" t="s">
        <v>66</v>
      </c>
      <c r="B475" s="15" t="s">
        <v>499</v>
      </c>
      <c r="C475" s="15" t="s">
        <v>500</v>
      </c>
      <c r="D475" s="14" t="s">
        <v>385</v>
      </c>
      <c r="E475" s="15" t="s">
        <v>501</v>
      </c>
      <c r="F475" s="14" t="s">
        <v>387</v>
      </c>
      <c r="G475" s="15" t="s">
        <v>23</v>
      </c>
      <c r="H475" s="15" t="s">
        <v>1530</v>
      </c>
      <c r="I475" s="15">
        <v>201501</v>
      </c>
      <c r="J475" s="16">
        <v>10676.26</v>
      </c>
      <c r="K475" s="171">
        <f t="shared" si="57"/>
        <v>5</v>
      </c>
      <c r="L475" s="17">
        <v>2.23333E-3</v>
      </c>
      <c r="M475" s="16">
        <f t="shared" si="58"/>
        <v>119.22</v>
      </c>
      <c r="N475" s="16">
        <f t="shared" si="59"/>
        <v>286.12</v>
      </c>
      <c r="O475" s="14"/>
      <c r="P475" s="210" t="str">
        <f>VLOOKUP(C475,'WO Descriptions'!$A$5:$D$384,4,FALSE)</f>
        <v>Replacement and/or removal of existing protected steel or plastic (Joplin - South Region)</v>
      </c>
      <c r="Q475" s="210"/>
      <c r="R475" s="210"/>
    </row>
    <row r="476" spans="1:18" outlineLevel="2">
      <c r="A476" s="14" t="s">
        <v>66</v>
      </c>
      <c r="B476" s="15" t="s">
        <v>499</v>
      </c>
      <c r="C476" s="15" t="s">
        <v>500</v>
      </c>
      <c r="D476" s="14" t="s">
        <v>385</v>
      </c>
      <c r="E476" s="15" t="s">
        <v>501</v>
      </c>
      <c r="F476" s="14" t="s">
        <v>387</v>
      </c>
      <c r="G476" s="15" t="s">
        <v>23</v>
      </c>
      <c r="H476" s="15" t="s">
        <v>1530</v>
      </c>
      <c r="I476" s="15">
        <v>201502</v>
      </c>
      <c r="J476" s="16">
        <v>20994.25</v>
      </c>
      <c r="K476" s="171">
        <f t="shared" si="57"/>
        <v>4</v>
      </c>
      <c r="L476" s="17">
        <v>2.23333E-3</v>
      </c>
      <c r="M476" s="16">
        <f t="shared" si="58"/>
        <v>187.55</v>
      </c>
      <c r="N476" s="16">
        <f t="shared" si="59"/>
        <v>562.65</v>
      </c>
      <c r="O476" s="14"/>
      <c r="P476" s="210" t="str">
        <f>VLOOKUP(C476,'WO Descriptions'!$A$5:$D$384,4,FALSE)</f>
        <v>Replacement and/or removal of existing protected steel or plastic (Joplin - South Region)</v>
      </c>
      <c r="Q476" s="210"/>
      <c r="R476" s="210"/>
    </row>
    <row r="477" spans="1:18" outlineLevel="1">
      <c r="A477" s="223"/>
      <c r="B477" s="250"/>
      <c r="C477" s="254" t="s">
        <v>1896</v>
      </c>
      <c r="D477" s="223"/>
      <c r="E477" s="250"/>
      <c r="F477" s="223"/>
      <c r="G477" s="250"/>
      <c r="H477" s="250"/>
      <c r="I477" s="250"/>
      <c r="J477" s="251">
        <f>SUBTOTAL(9,J471:J476)</f>
        <v>111565.73</v>
      </c>
      <c r="K477" s="252"/>
      <c r="L477" s="253"/>
      <c r="M477" s="251">
        <f>SUBTOTAL(9,M471:M476)</f>
        <v>1767.12</v>
      </c>
      <c r="N477" s="251">
        <f>SUBTOTAL(9,N471:N476)</f>
        <v>2989.95</v>
      </c>
      <c r="O477" s="223"/>
      <c r="P477" s="210"/>
      <c r="Q477" s="210" t="str">
        <f>VLOOKUP(C477,'Descriptions Sorted by WO '!$A$5:$S$977,18,FALSE)</f>
        <v>393.1009 (5) (a) (b)</v>
      </c>
      <c r="R477" s="210" t="str">
        <f>VLOOKUP(C477,'Descriptions Sorted by WO '!$A$5:$S$977,19,FALSE)</f>
        <v>A,B,C,I</v>
      </c>
    </row>
    <row r="478" spans="1:18" ht="60" outlineLevel="2">
      <c r="A478" s="14" t="s">
        <v>17</v>
      </c>
      <c r="B478" s="15" t="s">
        <v>502</v>
      </c>
      <c r="C478" s="15" t="s">
        <v>503</v>
      </c>
      <c r="D478" s="14" t="s">
        <v>504</v>
      </c>
      <c r="E478" s="15" t="s">
        <v>40</v>
      </c>
      <c r="F478" s="14" t="s">
        <v>41</v>
      </c>
      <c r="G478" s="15" t="s">
        <v>23</v>
      </c>
      <c r="H478" s="15" t="s">
        <v>1526</v>
      </c>
      <c r="I478" s="15">
        <v>201409</v>
      </c>
      <c r="J478" s="16">
        <v>-28.62</v>
      </c>
      <c r="K478" s="171">
        <f>VLOOKUP(I478,$T$9:$U$23,2)</f>
        <v>9</v>
      </c>
      <c r="L478" s="17">
        <v>1.4833299999999999E-3</v>
      </c>
      <c r="M478" s="16">
        <f>ROUND(J478*K478*L478,2)</f>
        <v>-0.38</v>
      </c>
      <c r="N478" s="16">
        <f>ROUND(J478*L478*12,2)</f>
        <v>-0.51</v>
      </c>
      <c r="O478" s="14"/>
      <c r="P478" s="210" t="str">
        <f>VLOOKUP(C478,'WO Descriptions'!$A$5:$D$384,4,FALSE)</f>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
      <c r="Q478" s="210"/>
      <c r="R478" s="210"/>
    </row>
    <row r="479" spans="1:18" outlineLevel="1">
      <c r="A479" s="223"/>
      <c r="B479" s="250"/>
      <c r="C479" s="254" t="s">
        <v>1897</v>
      </c>
      <c r="D479" s="223"/>
      <c r="E479" s="250"/>
      <c r="F479" s="223"/>
      <c r="G479" s="250"/>
      <c r="H479" s="250"/>
      <c r="I479" s="250"/>
      <c r="J479" s="251">
        <f>SUBTOTAL(9,J478:J478)</f>
        <v>-28.62</v>
      </c>
      <c r="K479" s="252"/>
      <c r="L479" s="253"/>
      <c r="M479" s="251">
        <f>SUBTOTAL(9,M478:M478)</f>
        <v>-0.38</v>
      </c>
      <c r="N479" s="251">
        <f>SUBTOTAL(9,N478:N478)</f>
        <v>-0.51</v>
      </c>
      <c r="O479" s="223"/>
      <c r="P479" s="210"/>
      <c r="Q479" s="210" t="str">
        <f>VLOOKUP(C479,'Descriptions Sorted by WO '!$A$5:$S$977,18,FALSE)</f>
        <v>393.1009 (5) (C)</v>
      </c>
      <c r="R479" s="210"/>
    </row>
    <row r="480" spans="1:18" ht="90" outlineLevel="2">
      <c r="A480" s="14" t="s">
        <v>17</v>
      </c>
      <c r="B480" s="15" t="s">
        <v>505</v>
      </c>
      <c r="C480" s="15" t="s">
        <v>506</v>
      </c>
      <c r="D480" s="14" t="s">
        <v>507</v>
      </c>
      <c r="E480" s="15" t="s">
        <v>104</v>
      </c>
      <c r="F480" s="14" t="s">
        <v>41</v>
      </c>
      <c r="G480" s="15" t="s">
        <v>23</v>
      </c>
      <c r="H480" s="15" t="s">
        <v>1526</v>
      </c>
      <c r="I480" s="15">
        <v>201409</v>
      </c>
      <c r="J480" s="16">
        <v>-27.17</v>
      </c>
      <c r="K480" s="171">
        <f>VLOOKUP(I480,$T$9:$U$23,2)</f>
        <v>9</v>
      </c>
      <c r="L480" s="17">
        <v>1.4833299999999999E-3</v>
      </c>
      <c r="M480" s="16">
        <f>ROUND(J480*K480*L480,2)</f>
        <v>-0.36</v>
      </c>
      <c r="N480" s="16">
        <f>ROUND(J480*L480*12,2)</f>
        <v>-0.48</v>
      </c>
      <c r="O480" s="14"/>
      <c r="P480" s="210" t="str">
        <f>VLOOKUP(C480,'WO Descriptions'!$A$5:$D$384,4,FALSE)</f>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
      <c r="Q480" s="210"/>
      <c r="R480" s="210"/>
    </row>
    <row r="481" spans="1:18" outlineLevel="1">
      <c r="A481" s="223"/>
      <c r="B481" s="250"/>
      <c r="C481" s="254" t="s">
        <v>1898</v>
      </c>
      <c r="D481" s="223"/>
      <c r="E481" s="250"/>
      <c r="F481" s="223"/>
      <c r="G481" s="250"/>
      <c r="H481" s="250"/>
      <c r="I481" s="250"/>
      <c r="J481" s="251">
        <f>SUBTOTAL(9,J480:J480)</f>
        <v>-27.17</v>
      </c>
      <c r="K481" s="252"/>
      <c r="L481" s="253"/>
      <c r="M481" s="251">
        <f>SUBTOTAL(9,M480:M480)</f>
        <v>-0.36</v>
      </c>
      <c r="N481" s="251">
        <f>SUBTOTAL(9,N480:N480)</f>
        <v>-0.48</v>
      </c>
      <c r="O481" s="223"/>
      <c r="P481" s="210"/>
      <c r="Q481" s="210" t="str">
        <f>VLOOKUP(C481,'Descriptions Sorted by WO '!$A$5:$S$977,18,FALSE)</f>
        <v>393.1009 (5) (C)</v>
      </c>
      <c r="R481" s="210"/>
    </row>
    <row r="482" spans="1:18" ht="90" outlineLevel="2">
      <c r="A482" s="14" t="s">
        <v>17</v>
      </c>
      <c r="B482" s="15" t="s">
        <v>508</v>
      </c>
      <c r="C482" s="15" t="s">
        <v>509</v>
      </c>
      <c r="D482" s="14" t="s">
        <v>510</v>
      </c>
      <c r="E482" s="15" t="s">
        <v>27</v>
      </c>
      <c r="F482" s="14" t="s">
        <v>28</v>
      </c>
      <c r="G482" s="15" t="s">
        <v>23</v>
      </c>
      <c r="H482" s="15" t="s">
        <v>1525</v>
      </c>
      <c r="I482" s="15">
        <v>201409</v>
      </c>
      <c r="J482" s="16">
        <v>-147.01</v>
      </c>
      <c r="K482" s="171">
        <f>VLOOKUP(I482,$T$9:$U$23,2)</f>
        <v>9</v>
      </c>
      <c r="L482" s="17">
        <v>1.4833299999999999E-3</v>
      </c>
      <c r="M482" s="16">
        <f>ROUND(J482*K482*L482,2)</f>
        <v>-1.96</v>
      </c>
      <c r="N482" s="16">
        <f>ROUND(J482*L482*12,2)</f>
        <v>-2.62</v>
      </c>
      <c r="O482" s="14"/>
      <c r="P482" s="210" t="str">
        <f>VLOOKUP(C482,'WO Descriptions'!$A$5:$D$384,4,FALSE)</f>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
      <c r="Q482" s="210"/>
      <c r="R482" s="210"/>
    </row>
    <row r="483" spans="1:18" outlineLevel="1">
      <c r="A483" s="223"/>
      <c r="B483" s="250"/>
      <c r="C483" s="254" t="s">
        <v>1899</v>
      </c>
      <c r="D483" s="223"/>
      <c r="E483" s="250"/>
      <c r="F483" s="223"/>
      <c r="G483" s="250"/>
      <c r="H483" s="250"/>
      <c r="I483" s="250"/>
      <c r="J483" s="251">
        <f>SUBTOTAL(9,J482:J482)</f>
        <v>-147.01</v>
      </c>
      <c r="K483" s="252"/>
      <c r="L483" s="253"/>
      <c r="M483" s="251">
        <f>SUBTOTAL(9,M482:M482)</f>
        <v>-1.96</v>
      </c>
      <c r="N483" s="251">
        <f>SUBTOTAL(9,N482:N482)</f>
        <v>-2.62</v>
      </c>
      <c r="O483" s="223"/>
      <c r="P483" s="210"/>
      <c r="Q483" s="210" t="str">
        <f>VLOOKUP(C483,'Descriptions Sorted by WO '!$A$5:$S$977,18,FALSE)</f>
        <v>393.1009 (5) (a) (b)</v>
      </c>
      <c r="R483" s="210" t="str">
        <f>VLOOKUP(C483,'Descriptions Sorted by WO '!$A$5:$S$977,19,FALSE)</f>
        <v>A,B</v>
      </c>
    </row>
    <row r="484" spans="1:18" ht="105" outlineLevel="2">
      <c r="A484" s="14" t="s">
        <v>17</v>
      </c>
      <c r="B484" s="15" t="s">
        <v>511</v>
      </c>
      <c r="C484" s="15" t="s">
        <v>512</v>
      </c>
      <c r="D484" s="14" t="s">
        <v>513</v>
      </c>
      <c r="E484" s="15" t="s">
        <v>324</v>
      </c>
      <c r="F484" s="14" t="s">
        <v>325</v>
      </c>
      <c r="G484" s="15" t="s">
        <v>23</v>
      </c>
      <c r="H484" s="15" t="s">
        <v>1525</v>
      </c>
      <c r="I484" s="15">
        <v>201409</v>
      </c>
      <c r="J484" s="16">
        <v>-818.02</v>
      </c>
      <c r="K484" s="171">
        <f>VLOOKUP(I484,$T$9:$U$23,2)</f>
        <v>9</v>
      </c>
      <c r="L484" s="17">
        <v>1.4833299999999999E-3</v>
      </c>
      <c r="M484" s="16">
        <f>ROUND(J484*K484*L484,2)</f>
        <v>-10.92</v>
      </c>
      <c r="N484" s="16">
        <f>ROUND(J484*L484*12,2)</f>
        <v>-14.56</v>
      </c>
      <c r="O484" s="14"/>
      <c r="P484" s="210" t="str">
        <f>VLOOKUP(C484,'WO Descriptions'!$A$5:$D$384,4,FALSE)</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c r="Q484" s="210"/>
      <c r="R484" s="210"/>
    </row>
    <row r="485" spans="1:18" ht="105" outlineLevel="2">
      <c r="A485" s="14" t="s">
        <v>17</v>
      </c>
      <c r="B485" s="15" t="s">
        <v>511</v>
      </c>
      <c r="C485" s="15" t="s">
        <v>512</v>
      </c>
      <c r="D485" s="14" t="s">
        <v>513</v>
      </c>
      <c r="E485" s="15" t="s">
        <v>324</v>
      </c>
      <c r="F485" s="14" t="s">
        <v>325</v>
      </c>
      <c r="G485" s="15" t="s">
        <v>23</v>
      </c>
      <c r="H485" s="15" t="s">
        <v>1525</v>
      </c>
      <c r="I485" s="15">
        <v>201410</v>
      </c>
      <c r="J485" s="16">
        <v>-2800</v>
      </c>
      <c r="K485" s="171">
        <f>VLOOKUP(I485,$T$9:$U$23,2)</f>
        <v>8</v>
      </c>
      <c r="L485" s="17">
        <v>1.4833299999999999E-3</v>
      </c>
      <c r="M485" s="16">
        <f>ROUND(J485*K485*L485,2)</f>
        <v>-33.229999999999997</v>
      </c>
      <c r="N485" s="16">
        <f>ROUND(J485*L485*12,2)</f>
        <v>-49.84</v>
      </c>
      <c r="O485" s="14"/>
      <c r="P485" s="210" t="str">
        <f>VLOOKUP(C485,'WO Descriptions'!$A$5:$D$384,4,FALSE)</f>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
      <c r="Q485" s="210"/>
      <c r="R485" s="210"/>
    </row>
    <row r="486" spans="1:18" outlineLevel="1">
      <c r="A486" s="223"/>
      <c r="B486" s="250"/>
      <c r="C486" s="254" t="s">
        <v>1900</v>
      </c>
      <c r="D486" s="223"/>
      <c r="E486" s="250"/>
      <c r="F486" s="223"/>
      <c r="G486" s="250"/>
      <c r="H486" s="250"/>
      <c r="I486" s="250"/>
      <c r="J486" s="251">
        <f>SUBTOTAL(9,J484:J485)</f>
        <v>-3618.02</v>
      </c>
      <c r="K486" s="252"/>
      <c r="L486" s="253"/>
      <c r="M486" s="251">
        <f>SUBTOTAL(9,M484:M485)</f>
        <v>-44.15</v>
      </c>
      <c r="N486" s="251">
        <f>SUBTOTAL(9,N484:N485)</f>
        <v>-64.400000000000006</v>
      </c>
      <c r="O486" s="223"/>
      <c r="P486" s="210"/>
      <c r="Q486" s="210" t="str">
        <f>VLOOKUP(C486,'Descriptions Sorted by WO '!$A$5:$S$977,18,FALSE)</f>
        <v>393.1009 (5) (a), (b)</v>
      </c>
      <c r="R486" s="210" t="str">
        <f>VLOOKUP(C486,'Descriptions Sorted by WO '!$A$5:$S$977,19,FALSE)</f>
        <v>A, B, E</v>
      </c>
    </row>
    <row r="487" spans="1:18" ht="75" outlineLevel="2">
      <c r="A487" s="14" t="s">
        <v>17</v>
      </c>
      <c r="B487" s="15" t="s">
        <v>514</v>
      </c>
      <c r="C487" s="15" t="s">
        <v>515</v>
      </c>
      <c r="D487" s="14" t="s">
        <v>516</v>
      </c>
      <c r="E487" s="15" t="s">
        <v>49</v>
      </c>
      <c r="F487" s="14" t="s">
        <v>22</v>
      </c>
      <c r="G487" s="15" t="s">
        <v>23</v>
      </c>
      <c r="H487" s="15" t="s">
        <v>1525</v>
      </c>
      <c r="I487" s="15">
        <v>201409</v>
      </c>
      <c r="J487" s="16">
        <v>-46.01</v>
      </c>
      <c r="K487" s="171">
        <f>VLOOKUP(I487,$T$9:$U$23,2)</f>
        <v>9</v>
      </c>
      <c r="L487" s="17">
        <v>1.4833299999999999E-3</v>
      </c>
      <c r="M487" s="16">
        <f>ROUND(J487*K487*L487,2)</f>
        <v>-0.61</v>
      </c>
      <c r="N487" s="16">
        <f>ROUND(J487*L487*12,2)</f>
        <v>-0.82</v>
      </c>
      <c r="O487" s="14"/>
      <c r="P487" s="210" t="str">
        <f>VLOOKUP(C487,'WO Descriptions'!$A$5:$D$384,4,FALSE)</f>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
      <c r="Q487" s="210"/>
      <c r="R487" s="210"/>
    </row>
    <row r="488" spans="1:18" outlineLevel="1">
      <c r="A488" s="223"/>
      <c r="B488" s="250"/>
      <c r="C488" s="254" t="s">
        <v>1901</v>
      </c>
      <c r="D488" s="223"/>
      <c r="E488" s="250"/>
      <c r="F488" s="223"/>
      <c r="G488" s="250"/>
      <c r="H488" s="250"/>
      <c r="I488" s="250"/>
      <c r="J488" s="251">
        <f>SUBTOTAL(9,J487:J487)</f>
        <v>-46.01</v>
      </c>
      <c r="K488" s="252"/>
      <c r="L488" s="253"/>
      <c r="M488" s="251">
        <f>SUBTOTAL(9,M487:M487)</f>
        <v>-0.61</v>
      </c>
      <c r="N488" s="251">
        <f>SUBTOTAL(9,N487:N487)</f>
        <v>-0.82</v>
      </c>
      <c r="O488" s="223"/>
      <c r="P488" s="210"/>
      <c r="Q488" s="210" t="str">
        <f>VLOOKUP(C488,'Descriptions Sorted by WO '!$A$5:$S$977,18,FALSE)</f>
        <v>393.1009 (5) (a) (b)</v>
      </c>
      <c r="R488" s="210" t="str">
        <f>VLOOKUP(C488,'Descriptions Sorted by WO '!$A$5:$S$977,19,FALSE)</f>
        <v>A,B,C</v>
      </c>
    </row>
    <row r="489" spans="1:18" ht="105" outlineLevel="2">
      <c r="A489" s="14" t="s">
        <v>17</v>
      </c>
      <c r="B489" s="15" t="s">
        <v>517</v>
      </c>
      <c r="C489" s="15" t="s">
        <v>518</v>
      </c>
      <c r="D489" s="14" t="s">
        <v>519</v>
      </c>
      <c r="E489" s="15" t="s">
        <v>125</v>
      </c>
      <c r="F489" s="14" t="s">
        <v>126</v>
      </c>
      <c r="G489" s="15" t="s">
        <v>23</v>
      </c>
      <c r="H489" s="15" t="s">
        <v>1525</v>
      </c>
      <c r="I489" s="15">
        <v>201409</v>
      </c>
      <c r="J489" s="16">
        <v>-94.11</v>
      </c>
      <c r="K489" s="171">
        <f>VLOOKUP(I489,$T$9:$U$23,2)</f>
        <v>9</v>
      </c>
      <c r="L489" s="17">
        <v>1.4833299999999999E-3</v>
      </c>
      <c r="M489" s="16">
        <f>ROUND(J489*K489*L489,2)</f>
        <v>-1.26</v>
      </c>
      <c r="N489" s="16">
        <f>ROUND(J489*L489*12,2)</f>
        <v>-1.68</v>
      </c>
      <c r="O489" s="14"/>
      <c r="P489" s="210" t="str">
        <f>VLOOKUP(C489,'WO Descriptions'!$A$5:$D$384,4,FALSE)</f>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
      <c r="Q489" s="210"/>
      <c r="R489" s="210"/>
    </row>
    <row r="490" spans="1:18" outlineLevel="1">
      <c r="A490" s="223"/>
      <c r="B490" s="250"/>
      <c r="C490" s="254" t="s">
        <v>1902</v>
      </c>
      <c r="D490" s="223"/>
      <c r="E490" s="250"/>
      <c r="F490" s="223"/>
      <c r="G490" s="250"/>
      <c r="H490" s="250"/>
      <c r="I490" s="250"/>
      <c r="J490" s="251">
        <f>SUBTOTAL(9,J489:J489)</f>
        <v>-94.11</v>
      </c>
      <c r="K490" s="252"/>
      <c r="L490" s="253"/>
      <c r="M490" s="251">
        <f>SUBTOTAL(9,M489:M489)</f>
        <v>-1.26</v>
      </c>
      <c r="N490" s="251">
        <f>SUBTOTAL(9,N489:N489)</f>
        <v>-1.68</v>
      </c>
      <c r="O490" s="223"/>
      <c r="P490" s="210"/>
      <c r="Q490" s="210" t="str">
        <f>VLOOKUP(C490,'Descriptions Sorted by WO '!$A$5:$S$977,18,FALSE)</f>
        <v>393.1009 (5) (a), (b)</v>
      </c>
      <c r="R490" s="210" t="str">
        <f>VLOOKUP(C490,'Descriptions Sorted by WO '!$A$5:$S$977,19,FALSE)</f>
        <v>A, B, E</v>
      </c>
    </row>
    <row r="491" spans="1:18" ht="105" outlineLevel="2">
      <c r="A491" s="14" t="s">
        <v>17</v>
      </c>
      <c r="B491" s="15" t="s">
        <v>520</v>
      </c>
      <c r="C491" s="15" t="s">
        <v>521</v>
      </c>
      <c r="D491" s="14" t="s">
        <v>522</v>
      </c>
      <c r="E491" s="15" t="s">
        <v>125</v>
      </c>
      <c r="F491" s="14" t="s">
        <v>126</v>
      </c>
      <c r="G491" s="15" t="s">
        <v>23</v>
      </c>
      <c r="H491" s="15" t="s">
        <v>1525</v>
      </c>
      <c r="I491" s="15">
        <v>201409</v>
      </c>
      <c r="J491" s="16">
        <v>-89.47</v>
      </c>
      <c r="K491" s="171">
        <f>VLOOKUP(I491,$T$9:$U$23,2)</f>
        <v>9</v>
      </c>
      <c r="L491" s="17">
        <v>1.4833299999999999E-3</v>
      </c>
      <c r="M491" s="16">
        <f>ROUND(J491*K491*L491,2)</f>
        <v>-1.19</v>
      </c>
      <c r="N491" s="16">
        <f>ROUND(J491*L491*12,2)</f>
        <v>-1.59</v>
      </c>
      <c r="O491" s="14"/>
      <c r="P491" s="210" t="str">
        <f>VLOOKUP(C491,'WO Descriptions'!$A$5:$D$384,4,FALSE)</f>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
      <c r="Q491" s="210"/>
      <c r="R491" s="210"/>
    </row>
    <row r="492" spans="1:18" outlineLevel="1">
      <c r="A492" s="223"/>
      <c r="B492" s="250"/>
      <c r="C492" s="254" t="s">
        <v>1903</v>
      </c>
      <c r="D492" s="223"/>
      <c r="E492" s="250"/>
      <c r="F492" s="223"/>
      <c r="G492" s="250"/>
      <c r="H492" s="250"/>
      <c r="I492" s="250"/>
      <c r="J492" s="251">
        <f>SUBTOTAL(9,J491:J491)</f>
        <v>-89.47</v>
      </c>
      <c r="K492" s="252"/>
      <c r="L492" s="253"/>
      <c r="M492" s="251">
        <f>SUBTOTAL(9,M491:M491)</f>
        <v>-1.19</v>
      </c>
      <c r="N492" s="251">
        <f>SUBTOTAL(9,N491:N491)</f>
        <v>-1.59</v>
      </c>
      <c r="O492" s="223"/>
      <c r="P492" s="210"/>
      <c r="Q492" s="210" t="str">
        <f>VLOOKUP(C492,'Descriptions Sorted by WO '!$A$5:$S$977,18,FALSE)</f>
        <v>393.1009 (5) (a), (b)</v>
      </c>
      <c r="R492" s="210" t="str">
        <f>VLOOKUP(C492,'Descriptions Sorted by WO '!$A$5:$S$977,19,FALSE)</f>
        <v>A, B, E</v>
      </c>
    </row>
    <row r="493" spans="1:18" ht="45" outlineLevel="2">
      <c r="A493" s="14" t="s">
        <v>17</v>
      </c>
      <c r="B493" s="15" t="s">
        <v>523</v>
      </c>
      <c r="C493" s="15" t="s">
        <v>524</v>
      </c>
      <c r="D493" s="14" t="s">
        <v>525</v>
      </c>
      <c r="E493" s="15" t="s">
        <v>141</v>
      </c>
      <c r="F493" s="14" t="s">
        <v>142</v>
      </c>
      <c r="G493" s="15" t="s">
        <v>23</v>
      </c>
      <c r="H493" s="15" t="s">
        <v>1525</v>
      </c>
      <c r="I493" s="15">
        <v>201409</v>
      </c>
      <c r="J493" s="16">
        <v>-54.19</v>
      </c>
      <c r="K493" s="171">
        <f>VLOOKUP(I493,$T$9:$U$23,2)</f>
        <v>9</v>
      </c>
      <c r="L493" s="17">
        <v>1.4833299999999999E-3</v>
      </c>
      <c r="M493" s="16">
        <f>ROUND(J493*K493*L493,2)</f>
        <v>-0.72</v>
      </c>
      <c r="N493" s="16">
        <f>ROUND(J493*L493*12,2)</f>
        <v>-0.96</v>
      </c>
      <c r="O493" s="14"/>
      <c r="P493" s="210" t="str">
        <f>VLOOKUP(C493,'WO Descriptions'!$A$5:$D$384,4,FALSE)</f>
        <v>Approved by: Kevin Driskell on 07/26/2013,  AOR.  Replace 30' of 6in CI with 6in PE due to angle of repose.  Six feet of pipe was exposed at 7027 Agnes. Digtrack ticket TL130990228.  This job must be completed by Oct. 9, 2013.  COST PER FOOT $784.60</v>
      </c>
      <c r="Q493" s="210"/>
      <c r="R493" s="210"/>
    </row>
    <row r="494" spans="1:18" outlineLevel="1">
      <c r="A494" s="223"/>
      <c r="B494" s="250"/>
      <c r="C494" s="254" t="s">
        <v>1904</v>
      </c>
      <c r="D494" s="223"/>
      <c r="E494" s="250"/>
      <c r="F494" s="223"/>
      <c r="G494" s="250"/>
      <c r="H494" s="250"/>
      <c r="I494" s="250"/>
      <c r="J494" s="251">
        <f>SUBTOTAL(9,J493:J493)</f>
        <v>-54.19</v>
      </c>
      <c r="K494" s="252"/>
      <c r="L494" s="253"/>
      <c r="M494" s="251">
        <f>SUBTOTAL(9,M493:M493)</f>
        <v>-0.72</v>
      </c>
      <c r="N494" s="251">
        <f>SUBTOTAL(9,N493:N493)</f>
        <v>-0.96</v>
      </c>
      <c r="O494" s="223"/>
      <c r="P494" s="210"/>
      <c r="Q494" s="210" t="str">
        <f>VLOOKUP(C494,'Descriptions Sorted by WO '!$A$5:$S$977,18,FALSE)</f>
        <v>393.1009 (5) (a) (b)</v>
      </c>
      <c r="R494" s="210" t="str">
        <f>VLOOKUP(C494,'Descriptions Sorted by WO '!$A$5:$S$977,19,FALSE)</f>
        <v>A,B,C,D,I</v>
      </c>
    </row>
    <row r="495" spans="1:18" ht="105" outlineLevel="2">
      <c r="A495" s="14" t="s">
        <v>17</v>
      </c>
      <c r="B495" s="15" t="s">
        <v>526</v>
      </c>
      <c r="C495" s="15" t="s">
        <v>527</v>
      </c>
      <c r="D495" s="14" t="s">
        <v>528</v>
      </c>
      <c r="E495" s="15" t="s">
        <v>53</v>
      </c>
      <c r="F495" s="14" t="s">
        <v>41</v>
      </c>
      <c r="G495" s="15" t="s">
        <v>23</v>
      </c>
      <c r="H495" s="15" t="s">
        <v>1526</v>
      </c>
      <c r="I495" s="15">
        <v>201409</v>
      </c>
      <c r="J495" s="16">
        <v>-4837.0200000000004</v>
      </c>
      <c r="K495" s="171">
        <f>VLOOKUP(I495,$T$9:$U$23,2)</f>
        <v>9</v>
      </c>
      <c r="L495" s="17">
        <v>1.4833299999999999E-3</v>
      </c>
      <c r="M495" s="16">
        <f>ROUND(J495*K495*L495,2)</f>
        <v>-64.569999999999993</v>
      </c>
      <c r="N495" s="16">
        <f>ROUND(J495*L495*12,2)</f>
        <v>-86.1</v>
      </c>
      <c r="O495" s="14"/>
      <c r="P495" s="210" t="str">
        <f>VLOOKUP(C495,'WO Descriptions'!$A$5:$D$384,4,FALSE)</f>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
      <c r="Q495" s="210"/>
      <c r="R495" s="210"/>
    </row>
    <row r="496" spans="1:18" outlineLevel="1">
      <c r="A496" s="223"/>
      <c r="B496" s="250"/>
      <c r="C496" s="254" t="s">
        <v>1905</v>
      </c>
      <c r="D496" s="223"/>
      <c r="E496" s="250"/>
      <c r="F496" s="223"/>
      <c r="G496" s="250"/>
      <c r="H496" s="250"/>
      <c r="I496" s="250"/>
      <c r="J496" s="251">
        <f>SUBTOTAL(9,J495:J495)</f>
        <v>-4837.0200000000004</v>
      </c>
      <c r="K496" s="252"/>
      <c r="L496" s="253"/>
      <c r="M496" s="251">
        <f>SUBTOTAL(9,M495:M495)</f>
        <v>-64.569999999999993</v>
      </c>
      <c r="N496" s="251">
        <f>SUBTOTAL(9,N495:N495)</f>
        <v>-86.1</v>
      </c>
      <c r="O496" s="223"/>
      <c r="P496" s="210"/>
      <c r="Q496" s="210" t="str">
        <f>VLOOKUP(C496,'Descriptions Sorted by WO '!$A$5:$S$977,18,FALSE)</f>
        <v>393.1009 (5) (C)</v>
      </c>
      <c r="R496" s="210"/>
    </row>
    <row r="497" spans="1:18" ht="60" outlineLevel="2">
      <c r="A497" s="14" t="s">
        <v>17</v>
      </c>
      <c r="B497" s="15" t="s">
        <v>529</v>
      </c>
      <c r="C497" s="15" t="s">
        <v>530</v>
      </c>
      <c r="D497" s="14" t="s">
        <v>531</v>
      </c>
      <c r="E497" s="15" t="s">
        <v>141</v>
      </c>
      <c r="F497" s="14" t="s">
        <v>142</v>
      </c>
      <c r="G497" s="15" t="s">
        <v>23</v>
      </c>
      <c r="H497" s="15" t="s">
        <v>1525</v>
      </c>
      <c r="I497" s="15">
        <v>201409</v>
      </c>
      <c r="J497" s="16">
        <v>-450.77</v>
      </c>
      <c r="K497" s="171">
        <f>VLOOKUP(I497,$T$9:$U$23,2)</f>
        <v>9</v>
      </c>
      <c r="L497" s="17">
        <v>1.4833299999999999E-3</v>
      </c>
      <c r="M497" s="16">
        <f>ROUND(J497*K497*L497,2)</f>
        <v>-6.02</v>
      </c>
      <c r="N497" s="16">
        <f>ROUND(J497*L497*12,2)</f>
        <v>-8.02</v>
      </c>
      <c r="O497" s="14"/>
      <c r="P497" s="210" t="str">
        <f>VLOOKUP(C497,'WO Descriptions'!$A$5:$D$384,4,FALSE)</f>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
      <c r="Q497" s="210"/>
      <c r="R497" s="210"/>
    </row>
    <row r="498" spans="1:18" outlineLevel="1">
      <c r="A498" s="223"/>
      <c r="B498" s="250"/>
      <c r="C498" s="254" t="s">
        <v>1906</v>
      </c>
      <c r="D498" s="223"/>
      <c r="E498" s="250"/>
      <c r="F498" s="223"/>
      <c r="G498" s="250"/>
      <c r="H498" s="250"/>
      <c r="I498" s="250"/>
      <c r="J498" s="251">
        <f>SUBTOTAL(9,J497:J497)</f>
        <v>-450.77</v>
      </c>
      <c r="K498" s="252"/>
      <c r="L498" s="253"/>
      <c r="M498" s="251">
        <f>SUBTOTAL(9,M497:M497)</f>
        <v>-6.02</v>
      </c>
      <c r="N498" s="251">
        <f>SUBTOTAL(9,N497:N497)</f>
        <v>-8.02</v>
      </c>
      <c r="O498" s="223"/>
      <c r="P498" s="210"/>
      <c r="Q498" s="210" t="str">
        <f>VLOOKUP(C498,'Descriptions Sorted by WO '!$A$5:$S$977,18,FALSE)</f>
        <v>393.1009 (5) (a) (b)</v>
      </c>
      <c r="R498" s="210" t="str">
        <f>VLOOKUP(C498,'Descriptions Sorted by WO '!$A$5:$S$977,19,FALSE)</f>
        <v>A,B,C,D,I</v>
      </c>
    </row>
    <row r="499" spans="1:18" ht="135" outlineLevel="2">
      <c r="A499" s="14" t="s">
        <v>17</v>
      </c>
      <c r="B499" s="15" t="s">
        <v>532</v>
      </c>
      <c r="C499" s="15" t="s">
        <v>533</v>
      </c>
      <c r="D499" s="14" t="s">
        <v>534</v>
      </c>
      <c r="E499" s="15" t="s">
        <v>535</v>
      </c>
      <c r="F499" s="14" t="s">
        <v>536</v>
      </c>
      <c r="G499" s="15" t="s">
        <v>23</v>
      </c>
      <c r="H499" s="15" t="s">
        <v>1525</v>
      </c>
      <c r="I499" s="15">
        <v>201409</v>
      </c>
      <c r="J499" s="16">
        <v>-650.67999999999995</v>
      </c>
      <c r="K499" s="171">
        <f>VLOOKUP(I499,$T$9:$U$23,2)</f>
        <v>9</v>
      </c>
      <c r="L499" s="17">
        <v>1.4833299999999999E-3</v>
      </c>
      <c r="M499" s="16">
        <f>ROUND(J499*K499*L499,2)</f>
        <v>-8.69</v>
      </c>
      <c r="N499" s="16">
        <f>ROUND(J499*L499*12,2)</f>
        <v>-11.58</v>
      </c>
      <c r="O499" s="14"/>
      <c r="P499" s="210" t="str">
        <f>VLOOKUP(C499,'WO Descriptions'!$A$5:$D$384,4,FALSE)</f>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
      <c r="Q499" s="210"/>
      <c r="R499" s="210"/>
    </row>
    <row r="500" spans="1:18" outlineLevel="1">
      <c r="A500" s="223"/>
      <c r="B500" s="250"/>
      <c r="C500" s="254" t="s">
        <v>1907</v>
      </c>
      <c r="D500" s="223"/>
      <c r="E500" s="250"/>
      <c r="F500" s="223"/>
      <c r="G500" s="250"/>
      <c r="H500" s="250"/>
      <c r="I500" s="250"/>
      <c r="J500" s="251">
        <f>SUBTOTAL(9,J499:J499)</f>
        <v>-650.67999999999995</v>
      </c>
      <c r="K500" s="252"/>
      <c r="L500" s="253"/>
      <c r="M500" s="251">
        <f>SUBTOTAL(9,M499:M499)</f>
        <v>-8.69</v>
      </c>
      <c r="N500" s="251">
        <f>SUBTOTAL(9,N499:N499)</f>
        <v>-11.58</v>
      </c>
      <c r="O500" s="223"/>
      <c r="P500" s="210"/>
      <c r="Q500" s="210" t="str">
        <f>VLOOKUP(C500,'Descriptions Sorted by WO '!$A$5:$S$977,18,FALSE)</f>
        <v>393.1009 (5) (a), (b)</v>
      </c>
      <c r="R500" s="210" t="str">
        <f>VLOOKUP(C500,'Descriptions Sorted by WO '!$A$5:$S$977,19,FALSE)</f>
        <v>A, B, E</v>
      </c>
    </row>
    <row r="501" spans="1:18" ht="60" outlineLevel="2">
      <c r="A501" s="14" t="s">
        <v>17</v>
      </c>
      <c r="B501" s="15" t="s">
        <v>537</v>
      </c>
      <c r="C501" s="15" t="s">
        <v>538</v>
      </c>
      <c r="D501" s="14" t="s">
        <v>539</v>
      </c>
      <c r="E501" s="15" t="s">
        <v>53</v>
      </c>
      <c r="F501" s="14" t="s">
        <v>41</v>
      </c>
      <c r="G501" s="15" t="s">
        <v>23</v>
      </c>
      <c r="H501" s="15" t="s">
        <v>1526</v>
      </c>
      <c r="I501" s="15">
        <v>201409</v>
      </c>
      <c r="J501" s="16">
        <v>-295.94</v>
      </c>
      <c r="K501" s="171">
        <f>VLOOKUP(I501,$T$9:$U$23,2)</f>
        <v>9</v>
      </c>
      <c r="L501" s="17">
        <v>1.4833299999999999E-3</v>
      </c>
      <c r="M501" s="16">
        <f>ROUND(J501*K501*L501,2)</f>
        <v>-3.95</v>
      </c>
      <c r="N501" s="16">
        <f>ROUND(J501*L501*12,2)</f>
        <v>-5.27</v>
      </c>
      <c r="O501" s="14"/>
      <c r="P501" s="210" t="str">
        <f>VLOOKUP(C501,'WO Descriptions'!$A$5:$D$384,4,FALSE)</f>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
      <c r="Q501" s="210"/>
      <c r="R501" s="210"/>
    </row>
    <row r="502" spans="1:18" outlineLevel="1">
      <c r="A502" s="223"/>
      <c r="B502" s="250"/>
      <c r="C502" s="254" t="s">
        <v>1908</v>
      </c>
      <c r="D502" s="223"/>
      <c r="E502" s="250"/>
      <c r="F502" s="223"/>
      <c r="G502" s="250"/>
      <c r="H502" s="250"/>
      <c r="I502" s="250"/>
      <c r="J502" s="251">
        <f>SUBTOTAL(9,J501:J501)</f>
        <v>-295.94</v>
      </c>
      <c r="K502" s="252"/>
      <c r="L502" s="253"/>
      <c r="M502" s="251">
        <f>SUBTOTAL(9,M501:M501)</f>
        <v>-3.95</v>
      </c>
      <c r="N502" s="251">
        <f>SUBTOTAL(9,N501:N501)</f>
        <v>-5.27</v>
      </c>
      <c r="O502" s="223"/>
      <c r="P502" s="210"/>
      <c r="Q502" s="210" t="str">
        <f>VLOOKUP(C502,'Descriptions Sorted by WO '!$A$5:$S$977,18,FALSE)</f>
        <v>393.1009 (5) (C)</v>
      </c>
      <c r="R502" s="210"/>
    </row>
    <row r="503" spans="1:18" ht="60" outlineLevel="2">
      <c r="A503" s="14" t="s">
        <v>17</v>
      </c>
      <c r="B503" s="15" t="s">
        <v>540</v>
      </c>
      <c r="C503" s="15" t="s">
        <v>541</v>
      </c>
      <c r="D503" s="14" t="s">
        <v>542</v>
      </c>
      <c r="E503" s="15" t="s">
        <v>216</v>
      </c>
      <c r="F503" s="14" t="s">
        <v>22</v>
      </c>
      <c r="G503" s="15" t="s">
        <v>23</v>
      </c>
      <c r="H503" s="15" t="s">
        <v>1525</v>
      </c>
      <c r="I503" s="15">
        <v>201409</v>
      </c>
      <c r="J503" s="16">
        <v>-127.22</v>
      </c>
      <c r="K503" s="171">
        <f>VLOOKUP(I503,$T$9:$U$23,2)</f>
        <v>9</v>
      </c>
      <c r="L503" s="17">
        <v>1.4833299999999999E-3</v>
      </c>
      <c r="M503" s="16">
        <f>ROUND(J503*K503*L503,2)</f>
        <v>-1.7</v>
      </c>
      <c r="N503" s="16">
        <f>ROUND(J503*L503*12,2)</f>
        <v>-2.2599999999999998</v>
      </c>
      <c r="O503" s="14"/>
      <c r="P503" s="210" t="str">
        <f>VLOOKUP(C503,'WO Descriptions'!$A$5:$D$384,4,FALSE)</f>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
      <c r="Q503" s="210"/>
      <c r="R503" s="210"/>
    </row>
    <row r="504" spans="1:18" outlineLevel="1">
      <c r="A504" s="223"/>
      <c r="B504" s="250"/>
      <c r="C504" s="254" t="s">
        <v>1909</v>
      </c>
      <c r="D504" s="223"/>
      <c r="E504" s="250"/>
      <c r="F504" s="223"/>
      <c r="G504" s="250"/>
      <c r="H504" s="250"/>
      <c r="I504" s="250"/>
      <c r="J504" s="251">
        <f>SUBTOTAL(9,J503:J503)</f>
        <v>-127.22</v>
      </c>
      <c r="K504" s="252"/>
      <c r="L504" s="253"/>
      <c r="M504" s="251">
        <f>SUBTOTAL(9,M503:M503)</f>
        <v>-1.7</v>
      </c>
      <c r="N504" s="251">
        <f>SUBTOTAL(9,N503:N503)</f>
        <v>-2.2599999999999998</v>
      </c>
      <c r="O504" s="223"/>
      <c r="P504" s="210"/>
      <c r="Q504" s="210" t="str">
        <f>VLOOKUP(C504,'Descriptions Sorted by WO '!$A$5:$S$977,18,FALSE)</f>
        <v>393.1009 (5) (a) (b)</v>
      </c>
      <c r="R504" s="210" t="str">
        <f>VLOOKUP(C504,'Descriptions Sorted by WO '!$A$5:$S$977,19,FALSE)</f>
        <v>A,B,C</v>
      </c>
    </row>
    <row r="505" spans="1:18" ht="30" outlineLevel="2">
      <c r="A505" s="14" t="s">
        <v>54</v>
      </c>
      <c r="B505" s="15" t="s">
        <v>543</v>
      </c>
      <c r="C505" s="15" t="s">
        <v>544</v>
      </c>
      <c r="D505" s="14" t="s">
        <v>545</v>
      </c>
      <c r="E505" s="15" t="s">
        <v>62</v>
      </c>
      <c r="F505" s="14" t="s">
        <v>22</v>
      </c>
      <c r="G505" s="15" t="s">
        <v>23</v>
      </c>
      <c r="H505" s="15" t="s">
        <v>1525</v>
      </c>
      <c r="I505" s="15">
        <v>201411</v>
      </c>
      <c r="J505" s="16">
        <v>26447.34</v>
      </c>
      <c r="K505" s="171">
        <f>VLOOKUP(I505,$T$9:$U$23,2)</f>
        <v>7</v>
      </c>
      <c r="L505" s="17">
        <v>1.4833299999999999E-3</v>
      </c>
      <c r="M505" s="16">
        <f>ROUND(J505*K505*L505,2)</f>
        <v>274.61</v>
      </c>
      <c r="N505" s="16">
        <f>ROUND(J505*L505*12,2)</f>
        <v>470.76</v>
      </c>
      <c r="O505" s="14"/>
      <c r="P505" s="210" t="str">
        <f>VLOOKUP(C505,'WO Descriptions'!$A$5:$D$384,4,FALSE)</f>
        <v>Approved by: Ralph Janes on 03/11/2014,  Replace and abandon 732' - 2" pbs main (Unknown) by installing 730' - 2" pe main due to leakage under pavement. (ISRS)</v>
      </c>
      <c r="Q505" s="210"/>
      <c r="R505" s="210"/>
    </row>
    <row r="506" spans="1:18" ht="30" outlineLevel="2">
      <c r="A506" s="14" t="s">
        <v>54</v>
      </c>
      <c r="B506" s="15" t="s">
        <v>543</v>
      </c>
      <c r="C506" s="15" t="s">
        <v>544</v>
      </c>
      <c r="D506" s="14" t="s">
        <v>545</v>
      </c>
      <c r="E506" s="15" t="s">
        <v>62</v>
      </c>
      <c r="F506" s="14" t="s">
        <v>22</v>
      </c>
      <c r="G506" s="15" t="s">
        <v>23</v>
      </c>
      <c r="H506" s="15" t="s">
        <v>1525</v>
      </c>
      <c r="I506" s="15">
        <v>201412</v>
      </c>
      <c r="J506" s="16">
        <v>-151.33000000000001</v>
      </c>
      <c r="K506" s="171">
        <f>VLOOKUP(I506,$T$9:$U$23,2)</f>
        <v>6</v>
      </c>
      <c r="L506" s="17">
        <v>1.4833299999999999E-3</v>
      </c>
      <c r="M506" s="16">
        <f>ROUND(J506*K506*L506,2)</f>
        <v>-1.35</v>
      </c>
      <c r="N506" s="16">
        <f>ROUND(J506*L506*12,2)</f>
        <v>-2.69</v>
      </c>
      <c r="O506" s="14"/>
      <c r="P506" s="210" t="str">
        <f>VLOOKUP(C506,'WO Descriptions'!$A$5:$D$384,4,FALSE)</f>
        <v>Approved by: Ralph Janes on 03/11/2014,  Replace and abandon 732' - 2" pbs main (Unknown) by installing 730' - 2" pe main due to leakage under pavement. (ISRS)</v>
      </c>
      <c r="Q506" s="210"/>
      <c r="R506" s="210"/>
    </row>
    <row r="507" spans="1:18" ht="30" outlineLevel="2">
      <c r="A507" s="14" t="s">
        <v>54</v>
      </c>
      <c r="B507" s="15" t="s">
        <v>543</v>
      </c>
      <c r="C507" s="15" t="s">
        <v>544</v>
      </c>
      <c r="D507" s="14" t="s">
        <v>545</v>
      </c>
      <c r="E507" s="15" t="s">
        <v>62</v>
      </c>
      <c r="F507" s="14" t="s">
        <v>22</v>
      </c>
      <c r="G507" s="15" t="s">
        <v>23</v>
      </c>
      <c r="H507" s="15" t="s">
        <v>1525</v>
      </c>
      <c r="I507" s="15">
        <v>201501</v>
      </c>
      <c r="J507" s="16">
        <v>3264.89</v>
      </c>
      <c r="K507" s="171">
        <f>VLOOKUP(I507,$T$9:$U$23,2)</f>
        <v>5</v>
      </c>
      <c r="L507" s="17">
        <v>1.4833299999999999E-3</v>
      </c>
      <c r="M507" s="16">
        <f>ROUND(J507*K507*L507,2)</f>
        <v>24.21</v>
      </c>
      <c r="N507" s="16">
        <f>ROUND(J507*L507*12,2)</f>
        <v>58.11</v>
      </c>
      <c r="O507" s="14"/>
      <c r="P507" s="210" t="str">
        <f>VLOOKUP(C507,'WO Descriptions'!$A$5:$D$384,4,FALSE)</f>
        <v>Approved by: Ralph Janes on 03/11/2014,  Replace and abandon 732' - 2" pbs main (Unknown) by installing 730' - 2" pe main due to leakage under pavement. (ISRS)</v>
      </c>
      <c r="Q507" s="210"/>
      <c r="R507" s="210"/>
    </row>
    <row r="508" spans="1:18" ht="30" outlineLevel="2">
      <c r="A508" s="14" t="s">
        <v>54</v>
      </c>
      <c r="B508" s="15" t="s">
        <v>543</v>
      </c>
      <c r="C508" s="15" t="s">
        <v>544</v>
      </c>
      <c r="D508" s="14" t="s">
        <v>545</v>
      </c>
      <c r="E508" s="15" t="s">
        <v>62</v>
      </c>
      <c r="F508" s="14" t="s">
        <v>22</v>
      </c>
      <c r="G508" s="15" t="s">
        <v>23</v>
      </c>
      <c r="H508" s="15" t="s">
        <v>1525</v>
      </c>
      <c r="I508" s="15">
        <v>201502</v>
      </c>
      <c r="J508" s="16">
        <v>-42.42</v>
      </c>
      <c r="K508" s="171">
        <f>VLOOKUP(I508,$T$9:$U$23,2)</f>
        <v>4</v>
      </c>
      <c r="L508" s="17">
        <v>1.4833299999999999E-3</v>
      </c>
      <c r="M508" s="16">
        <f>ROUND(J508*K508*L508,2)</f>
        <v>-0.25</v>
      </c>
      <c r="N508" s="16">
        <f>ROUND(J508*L508*12,2)</f>
        <v>-0.76</v>
      </c>
      <c r="O508" s="14"/>
      <c r="P508" s="210" t="str">
        <f>VLOOKUP(C508,'WO Descriptions'!$A$5:$D$384,4,FALSE)</f>
        <v>Approved by: Ralph Janes on 03/11/2014,  Replace and abandon 732' - 2" pbs main (Unknown) by installing 730' - 2" pe main due to leakage under pavement. (ISRS)</v>
      </c>
      <c r="Q508" s="210"/>
      <c r="R508" s="210"/>
    </row>
    <row r="509" spans="1:18" outlineLevel="1">
      <c r="A509" s="223"/>
      <c r="B509" s="250"/>
      <c r="C509" s="254" t="s">
        <v>1910</v>
      </c>
      <c r="D509" s="223"/>
      <c r="E509" s="250"/>
      <c r="F509" s="223"/>
      <c r="G509" s="250"/>
      <c r="H509" s="250"/>
      <c r="I509" s="250"/>
      <c r="J509" s="251">
        <f>SUBTOTAL(9,J505:J508)</f>
        <v>29518.48</v>
      </c>
      <c r="K509" s="252"/>
      <c r="L509" s="253"/>
      <c r="M509" s="251">
        <f>SUBTOTAL(9,M505:M508)</f>
        <v>297.21999999999997</v>
      </c>
      <c r="N509" s="251">
        <f>SUBTOTAL(9,N505:N508)</f>
        <v>525.41999999999996</v>
      </c>
      <c r="O509" s="223"/>
      <c r="P509" s="210"/>
      <c r="Q509" s="210" t="str">
        <f>VLOOKUP(C509,'Descriptions Sorted by WO '!$A$5:$S$977,18,FALSE)</f>
        <v>393.1009 (5) (a) (b)</v>
      </c>
      <c r="R509" s="210" t="str">
        <f>VLOOKUP(C509,'Descriptions Sorted by WO '!$A$5:$S$977,19,FALSE)</f>
        <v>A,B,C</v>
      </c>
    </row>
    <row r="510" spans="1:18" ht="45" outlineLevel="2">
      <c r="A510" s="14" t="s">
        <v>54</v>
      </c>
      <c r="B510" s="15" t="s">
        <v>546</v>
      </c>
      <c r="C510" s="15" t="s">
        <v>547</v>
      </c>
      <c r="D510" s="14" t="s">
        <v>548</v>
      </c>
      <c r="E510" s="15" t="s">
        <v>141</v>
      </c>
      <c r="F510" s="14" t="s">
        <v>142</v>
      </c>
      <c r="G510" s="15" t="s">
        <v>23</v>
      </c>
      <c r="H510" s="15" t="s">
        <v>1525</v>
      </c>
      <c r="I510" s="15">
        <v>201409</v>
      </c>
      <c r="J510" s="16">
        <v>-1572.84</v>
      </c>
      <c r="K510" s="171">
        <f>VLOOKUP(I510,$T$9:$U$23,2)</f>
        <v>9</v>
      </c>
      <c r="L510" s="17">
        <v>1.4833299999999999E-3</v>
      </c>
      <c r="M510" s="16">
        <f>ROUND(J510*K510*L510,2)</f>
        <v>-21</v>
      </c>
      <c r="N510" s="16">
        <f>ROUND(J510*L510*12,2)</f>
        <v>-28</v>
      </c>
      <c r="O510" s="14"/>
      <c r="P510" s="210" t="str">
        <f>VLOOKUP(C510,'WO Descriptions'!$A$5:$D$384,4,FALSE)</f>
        <v>Approved by: Gary Williams on 03/12/2014,  AOR.  Replace 555'-4in CI with 4in PE due to angle of repose.  Bell joint was exposed 12' NNCB of 13th and Askew.  Tie over 8 services.  Replace 3 services.  This job must be completed by June 9, 2014.  COST PER FOOT $64.36</v>
      </c>
      <c r="Q510" s="210"/>
      <c r="R510" s="210"/>
    </row>
    <row r="511" spans="1:18" outlineLevel="1">
      <c r="A511" s="223"/>
      <c r="B511" s="250"/>
      <c r="C511" s="254" t="s">
        <v>1911</v>
      </c>
      <c r="D511" s="223"/>
      <c r="E511" s="250"/>
      <c r="F511" s="223"/>
      <c r="G511" s="250"/>
      <c r="H511" s="250"/>
      <c r="I511" s="250"/>
      <c r="J511" s="251">
        <f>SUBTOTAL(9,J510:J510)</f>
        <v>-1572.84</v>
      </c>
      <c r="K511" s="252"/>
      <c r="L511" s="253"/>
      <c r="M511" s="251">
        <f>SUBTOTAL(9,M510:M510)</f>
        <v>-21</v>
      </c>
      <c r="N511" s="251">
        <f>SUBTOTAL(9,N510:N510)</f>
        <v>-28</v>
      </c>
      <c r="O511" s="223"/>
      <c r="P511" s="210"/>
      <c r="Q511" s="210" t="str">
        <f>VLOOKUP(C511,'Descriptions Sorted by WO '!$A$5:$S$977,18,FALSE)</f>
        <v>393.1009 (5) (a) (b)</v>
      </c>
      <c r="R511" s="210" t="str">
        <f>VLOOKUP(C511,'Descriptions Sorted by WO '!$A$5:$S$977,19,FALSE)</f>
        <v>A,B,C,D,I</v>
      </c>
    </row>
    <row r="512" spans="1:18" ht="195" outlineLevel="2">
      <c r="A512" s="14" t="s">
        <v>54</v>
      </c>
      <c r="B512" s="15" t="s">
        <v>549</v>
      </c>
      <c r="C512" s="15" t="s">
        <v>550</v>
      </c>
      <c r="D512" s="14" t="s">
        <v>551</v>
      </c>
      <c r="E512" s="15" t="s">
        <v>136</v>
      </c>
      <c r="F512" s="14" t="s">
        <v>137</v>
      </c>
      <c r="G512" s="15" t="s">
        <v>23</v>
      </c>
      <c r="H512" s="15" t="s">
        <v>1526</v>
      </c>
      <c r="I512" s="15">
        <v>201409</v>
      </c>
      <c r="J512" s="16">
        <v>-3150.43</v>
      </c>
      <c r="K512" s="171">
        <f>VLOOKUP(I512,$T$9:$U$23,2)</f>
        <v>9</v>
      </c>
      <c r="L512" s="17">
        <v>1.4833299999999999E-3</v>
      </c>
      <c r="M512" s="16">
        <f>ROUND(J512*K512*L512,2)</f>
        <v>-42.06</v>
      </c>
      <c r="N512" s="16">
        <f>ROUND(J512*L512*12,2)</f>
        <v>-56.08</v>
      </c>
      <c r="O512" s="14"/>
      <c r="P512" s="210" t="str">
        <f>VLOOKUP(C512,'WO Descriptions'!$A$5:$D$384,4,FALSE)</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c r="Q512" s="210"/>
      <c r="R512" s="210"/>
    </row>
    <row r="513" spans="1:18" ht="195" outlineLevel="2">
      <c r="A513" s="14" t="s">
        <v>54</v>
      </c>
      <c r="B513" s="15" t="s">
        <v>549</v>
      </c>
      <c r="C513" s="15" t="s">
        <v>550</v>
      </c>
      <c r="D513" s="14" t="s">
        <v>551</v>
      </c>
      <c r="E513" s="15" t="s">
        <v>136</v>
      </c>
      <c r="F513" s="14" t="s">
        <v>137</v>
      </c>
      <c r="G513" s="15" t="s">
        <v>23</v>
      </c>
      <c r="H513" s="15" t="s">
        <v>1526</v>
      </c>
      <c r="I513" s="15">
        <v>201410</v>
      </c>
      <c r="J513" s="16">
        <v>0</v>
      </c>
      <c r="K513" s="171">
        <f>VLOOKUP(I513,$T$9:$U$23,2)</f>
        <v>8</v>
      </c>
      <c r="L513" s="17">
        <v>1.4833299999999999E-3</v>
      </c>
      <c r="M513" s="16">
        <f>ROUND(J513*K513*L513,2)</f>
        <v>0</v>
      </c>
      <c r="N513" s="16">
        <f>ROUND(J513*L513*12,2)</f>
        <v>0</v>
      </c>
      <c r="O513" s="14"/>
      <c r="P513" s="210" t="str">
        <f>VLOOKUP(C513,'WO Descriptions'!$A$5:$D$384,4,FALSE)</f>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
      <c r="Q513" s="210"/>
      <c r="R513" s="210"/>
    </row>
    <row r="514" spans="1:18" outlineLevel="1">
      <c r="A514" s="223"/>
      <c r="B514" s="250"/>
      <c r="C514" s="254" t="s">
        <v>1912</v>
      </c>
      <c r="D514" s="223"/>
      <c r="E514" s="250"/>
      <c r="F514" s="223"/>
      <c r="G514" s="250"/>
      <c r="H514" s="250"/>
      <c r="I514" s="250"/>
      <c r="J514" s="251">
        <f>SUBTOTAL(9,J512:J513)</f>
        <v>-3150.43</v>
      </c>
      <c r="K514" s="252"/>
      <c r="L514" s="253"/>
      <c r="M514" s="251">
        <f>SUBTOTAL(9,M512:M513)</f>
        <v>-42.06</v>
      </c>
      <c r="N514" s="251">
        <f>SUBTOTAL(9,N512:N513)</f>
        <v>-56.08</v>
      </c>
      <c r="O514" s="223"/>
      <c r="P514" s="210"/>
      <c r="Q514" s="210" t="str">
        <f>VLOOKUP(C514,'Descriptions Sorted by WO '!$A$5:$S$977,18,FALSE)</f>
        <v>393.1009 (5) (C)</v>
      </c>
      <c r="R514" s="210"/>
    </row>
    <row r="515" spans="1:18" ht="90" outlineLevel="2">
      <c r="A515" s="14" t="s">
        <v>17</v>
      </c>
      <c r="B515" s="15" t="s">
        <v>552</v>
      </c>
      <c r="C515" s="15" t="s">
        <v>553</v>
      </c>
      <c r="D515" s="14" t="s">
        <v>554</v>
      </c>
      <c r="E515" s="15" t="s">
        <v>62</v>
      </c>
      <c r="F515" s="14" t="s">
        <v>22</v>
      </c>
      <c r="G515" s="15" t="s">
        <v>23</v>
      </c>
      <c r="H515" s="15" t="s">
        <v>1525</v>
      </c>
      <c r="I515" s="15">
        <v>201409</v>
      </c>
      <c r="J515" s="16">
        <v>-1309.6400000000001</v>
      </c>
      <c r="K515" s="171">
        <f t="shared" ref="K515:K520" si="60">VLOOKUP(I515,$T$9:$U$23,2)</f>
        <v>9</v>
      </c>
      <c r="L515" s="17">
        <v>1.4833299999999999E-3</v>
      </c>
      <c r="M515" s="16">
        <f t="shared" ref="M515:M520" si="61">ROUND(J515*K515*L515,2)</f>
        <v>-17.48</v>
      </c>
      <c r="N515" s="16">
        <f t="shared" ref="N515:N520" si="62">ROUND(J515*L515*12,2)</f>
        <v>-23.31</v>
      </c>
      <c r="O515" s="14"/>
      <c r="P515" s="210" t="str">
        <f>VLOOKUP(C515,'WO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15" s="210"/>
      <c r="R515" s="210"/>
    </row>
    <row r="516" spans="1:18" ht="90" outlineLevel="2">
      <c r="A516" s="14" t="s">
        <v>17</v>
      </c>
      <c r="B516" s="15" t="s">
        <v>552</v>
      </c>
      <c r="C516" s="15" t="s">
        <v>553</v>
      </c>
      <c r="D516" s="14" t="s">
        <v>554</v>
      </c>
      <c r="E516" s="15" t="s">
        <v>62</v>
      </c>
      <c r="F516" s="14" t="s">
        <v>22</v>
      </c>
      <c r="G516" s="15" t="s">
        <v>23</v>
      </c>
      <c r="H516" s="15" t="s">
        <v>1525</v>
      </c>
      <c r="I516" s="15">
        <v>201410</v>
      </c>
      <c r="J516" s="16">
        <v>48053.65</v>
      </c>
      <c r="K516" s="171">
        <f t="shared" si="60"/>
        <v>8</v>
      </c>
      <c r="L516" s="17">
        <v>1.4833299999999999E-3</v>
      </c>
      <c r="M516" s="16">
        <f t="shared" si="61"/>
        <v>570.24</v>
      </c>
      <c r="N516" s="16">
        <f t="shared" si="62"/>
        <v>855.35</v>
      </c>
      <c r="O516" s="14"/>
      <c r="P516" s="210" t="str">
        <f>VLOOKUP(C516,'WO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16" s="210"/>
      <c r="R516" s="210"/>
    </row>
    <row r="517" spans="1:18" ht="90" outlineLevel="2">
      <c r="A517" s="14" t="s">
        <v>17</v>
      </c>
      <c r="B517" s="15" t="s">
        <v>552</v>
      </c>
      <c r="C517" s="15" t="s">
        <v>553</v>
      </c>
      <c r="D517" s="14" t="s">
        <v>554</v>
      </c>
      <c r="E517" s="15" t="s">
        <v>62</v>
      </c>
      <c r="F517" s="14" t="s">
        <v>22</v>
      </c>
      <c r="G517" s="15" t="s">
        <v>23</v>
      </c>
      <c r="H517" s="15" t="s">
        <v>1525</v>
      </c>
      <c r="I517" s="15">
        <v>201411</v>
      </c>
      <c r="J517" s="16">
        <v>-5700.68</v>
      </c>
      <c r="K517" s="171">
        <f t="shared" si="60"/>
        <v>7</v>
      </c>
      <c r="L517" s="17">
        <v>1.4833299999999999E-3</v>
      </c>
      <c r="M517" s="16">
        <f t="shared" si="61"/>
        <v>-59.19</v>
      </c>
      <c r="N517" s="16">
        <f t="shared" si="62"/>
        <v>-101.47</v>
      </c>
      <c r="O517" s="14"/>
      <c r="P517" s="210" t="str">
        <f>VLOOKUP(C517,'WO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17" s="210"/>
      <c r="R517" s="210"/>
    </row>
    <row r="518" spans="1:18" ht="90" outlineLevel="2">
      <c r="A518" s="14" t="s">
        <v>17</v>
      </c>
      <c r="B518" s="15" t="s">
        <v>552</v>
      </c>
      <c r="C518" s="15" t="s">
        <v>553</v>
      </c>
      <c r="D518" s="14" t="s">
        <v>554</v>
      </c>
      <c r="E518" s="15" t="s">
        <v>62</v>
      </c>
      <c r="F518" s="14" t="s">
        <v>22</v>
      </c>
      <c r="G518" s="15" t="s">
        <v>23</v>
      </c>
      <c r="H518" s="15" t="s">
        <v>1525</v>
      </c>
      <c r="I518" s="15">
        <v>201412</v>
      </c>
      <c r="J518" s="16">
        <v>2866.12</v>
      </c>
      <c r="K518" s="171">
        <f t="shared" si="60"/>
        <v>6</v>
      </c>
      <c r="L518" s="17">
        <v>1.4833299999999999E-3</v>
      </c>
      <c r="M518" s="16">
        <f t="shared" si="61"/>
        <v>25.51</v>
      </c>
      <c r="N518" s="16">
        <f t="shared" si="62"/>
        <v>51.02</v>
      </c>
      <c r="O518" s="14"/>
      <c r="P518" s="210" t="str">
        <f>VLOOKUP(C518,'WO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18" s="210"/>
      <c r="R518" s="210"/>
    </row>
    <row r="519" spans="1:18" ht="90" outlineLevel="2">
      <c r="A519" s="14" t="s">
        <v>17</v>
      </c>
      <c r="B519" s="15" t="s">
        <v>552</v>
      </c>
      <c r="C519" s="15" t="s">
        <v>553</v>
      </c>
      <c r="D519" s="14" t="s">
        <v>554</v>
      </c>
      <c r="E519" s="15" t="s">
        <v>62</v>
      </c>
      <c r="F519" s="14" t="s">
        <v>22</v>
      </c>
      <c r="G519" s="15" t="s">
        <v>23</v>
      </c>
      <c r="H519" s="15" t="s">
        <v>1525</v>
      </c>
      <c r="I519" s="15">
        <v>201501</v>
      </c>
      <c r="J519" s="16">
        <v>-1070.2</v>
      </c>
      <c r="K519" s="171">
        <f t="shared" si="60"/>
        <v>5</v>
      </c>
      <c r="L519" s="17">
        <v>1.4833299999999999E-3</v>
      </c>
      <c r="M519" s="16">
        <f t="shared" si="61"/>
        <v>-7.94</v>
      </c>
      <c r="N519" s="16">
        <f t="shared" si="62"/>
        <v>-19.05</v>
      </c>
      <c r="O519" s="14"/>
      <c r="P519" s="210" t="str">
        <f>VLOOKUP(C519,'WO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19" s="210"/>
      <c r="R519" s="210"/>
    </row>
    <row r="520" spans="1:18" ht="90" outlineLevel="2">
      <c r="A520" s="14" t="s">
        <v>17</v>
      </c>
      <c r="B520" s="15" t="s">
        <v>552</v>
      </c>
      <c r="C520" s="15" t="s">
        <v>553</v>
      </c>
      <c r="D520" s="14" t="s">
        <v>554</v>
      </c>
      <c r="E520" s="15" t="s">
        <v>62</v>
      </c>
      <c r="F520" s="14" t="s">
        <v>22</v>
      </c>
      <c r="G520" s="15" t="s">
        <v>23</v>
      </c>
      <c r="H520" s="15" t="s">
        <v>1525</v>
      </c>
      <c r="I520" s="15">
        <v>201502</v>
      </c>
      <c r="J520" s="16">
        <v>-1612.64</v>
      </c>
      <c r="K520" s="171">
        <f t="shared" si="60"/>
        <v>4</v>
      </c>
      <c r="L520" s="17">
        <v>1.4833299999999999E-3</v>
      </c>
      <c r="M520" s="16">
        <f t="shared" si="61"/>
        <v>-9.57</v>
      </c>
      <c r="N520" s="16">
        <f t="shared" si="62"/>
        <v>-28.7</v>
      </c>
      <c r="O520" s="14"/>
      <c r="P520" s="210" t="str">
        <f>VLOOKUP(C520,'WO Descriptions'!$A$5:$D$384,4,FALSE)</f>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v>
      </c>
      <c r="Q520" s="210"/>
      <c r="R520" s="210"/>
    </row>
    <row r="521" spans="1:18" outlineLevel="1">
      <c r="A521" s="223"/>
      <c r="B521" s="250"/>
      <c r="C521" s="254" t="s">
        <v>1913</v>
      </c>
      <c r="D521" s="223"/>
      <c r="E521" s="250"/>
      <c r="F521" s="223"/>
      <c r="G521" s="250"/>
      <c r="H521" s="250"/>
      <c r="I521" s="250"/>
      <c r="J521" s="251">
        <f>SUBTOTAL(9,J515:J520)</f>
        <v>41226.610000000008</v>
      </c>
      <c r="K521" s="252"/>
      <c r="L521" s="253"/>
      <c r="M521" s="251">
        <f>SUBTOTAL(9,M515:M520)</f>
        <v>501.57000000000005</v>
      </c>
      <c r="N521" s="251">
        <f>SUBTOTAL(9,N515:N520)</f>
        <v>733.84</v>
      </c>
      <c r="O521" s="223"/>
      <c r="P521" s="210"/>
      <c r="Q521" s="210" t="str">
        <f>VLOOKUP(C521,'Descriptions Sorted by WO '!$A$5:$S$977,18,FALSE)</f>
        <v>393.1009 (5) (a) (b)</v>
      </c>
      <c r="R521" s="210" t="str">
        <f>VLOOKUP(C521,'Descriptions Sorted by WO '!$A$5:$S$977,19,FALSE)</f>
        <v>A,B,C</v>
      </c>
    </row>
    <row r="522" spans="1:18" ht="60" outlineLevel="2">
      <c r="A522" s="14" t="s">
        <v>17</v>
      </c>
      <c r="B522" s="15" t="s">
        <v>555</v>
      </c>
      <c r="C522" s="15" t="s">
        <v>556</v>
      </c>
      <c r="D522" s="14" t="s">
        <v>557</v>
      </c>
      <c r="E522" s="15" t="s">
        <v>141</v>
      </c>
      <c r="F522" s="14" t="s">
        <v>142</v>
      </c>
      <c r="G522" s="15" t="s">
        <v>23</v>
      </c>
      <c r="H522" s="15" t="s">
        <v>1525</v>
      </c>
      <c r="I522" s="15">
        <v>201409</v>
      </c>
      <c r="J522" s="16">
        <v>-399.68</v>
      </c>
      <c r="K522" s="171">
        <f>VLOOKUP(I522,$T$9:$U$23,2)</f>
        <v>9</v>
      </c>
      <c r="L522" s="17">
        <v>1.4833299999999999E-3</v>
      </c>
      <c r="M522" s="16">
        <f>ROUND(J522*K522*L522,2)</f>
        <v>-5.34</v>
      </c>
      <c r="N522" s="16">
        <f>ROUND(J522*L522*12,2)</f>
        <v>-7.11</v>
      </c>
      <c r="O522" s="14"/>
      <c r="P522" s="210" t="str">
        <f>VLOOKUP(C522,'WO Descriptions'!$A$5:$D$384,4,FALSE)</f>
        <v>Approved by: Gary Williams on 03/17/2014,  AOR.  Replace 8in CI with 50'-8in thin film.  Parallel excavation from 256' SSCB to 281' SSCB of 57th.  Bell joint was exposed 277' SSCB of 57th and 6' EECB of Troost.  This job must be completed by May 15, 2014.  Retire 50'-8in CI, N37P44, year 1921.</v>
      </c>
      <c r="Q522" s="210"/>
      <c r="R522" s="210"/>
    </row>
    <row r="523" spans="1:18" outlineLevel="1">
      <c r="A523" s="223"/>
      <c r="B523" s="250"/>
      <c r="C523" s="254" t="s">
        <v>1914</v>
      </c>
      <c r="D523" s="223"/>
      <c r="E523" s="250"/>
      <c r="F523" s="223"/>
      <c r="G523" s="250"/>
      <c r="H523" s="250"/>
      <c r="I523" s="250"/>
      <c r="J523" s="251">
        <f>SUBTOTAL(9,J522:J522)</f>
        <v>-399.68</v>
      </c>
      <c r="K523" s="252"/>
      <c r="L523" s="253"/>
      <c r="M523" s="251">
        <f>SUBTOTAL(9,M522:M522)</f>
        <v>-5.34</v>
      </c>
      <c r="N523" s="251">
        <f>SUBTOTAL(9,N522:N522)</f>
        <v>-7.11</v>
      </c>
      <c r="O523" s="223"/>
      <c r="P523" s="210"/>
      <c r="Q523" s="210" t="str">
        <f>VLOOKUP(C523,'Descriptions Sorted by WO '!$A$5:$S$977,18,FALSE)</f>
        <v>393.1009 (5) (a) (b)</v>
      </c>
      <c r="R523" s="210" t="str">
        <f>VLOOKUP(C523,'Descriptions Sorted by WO '!$A$5:$S$977,19,FALSE)</f>
        <v>A,B,C,D,I</v>
      </c>
    </row>
    <row r="524" spans="1:18" ht="45" outlineLevel="2">
      <c r="A524" s="14" t="s">
        <v>54</v>
      </c>
      <c r="B524" s="15" t="s">
        <v>558</v>
      </c>
      <c r="C524" s="15" t="s">
        <v>559</v>
      </c>
      <c r="D524" s="14" t="s">
        <v>560</v>
      </c>
      <c r="E524" s="15" t="s">
        <v>36</v>
      </c>
      <c r="F524" s="14" t="s">
        <v>22</v>
      </c>
      <c r="G524" s="15" t="s">
        <v>23</v>
      </c>
      <c r="H524" s="15" t="s">
        <v>1525</v>
      </c>
      <c r="I524" s="15">
        <v>201409</v>
      </c>
      <c r="J524" s="16">
        <v>-480.27</v>
      </c>
      <c r="K524" s="171">
        <f>VLOOKUP(I524,$T$9:$U$23,2)</f>
        <v>9</v>
      </c>
      <c r="L524" s="17">
        <v>1.4833299999999999E-3</v>
      </c>
      <c r="M524" s="16">
        <f>ROUND(J524*K524*L524,2)</f>
        <v>-6.41</v>
      </c>
      <c r="N524" s="16">
        <f>ROUND(J524*L524*12,2)</f>
        <v>-8.5500000000000007</v>
      </c>
      <c r="O524" s="14"/>
      <c r="P524" s="210" t="str">
        <f>VLOOKUP(C524,'WO Descriptions'!$A$5:$D$384,4,FALSE)</f>
        <v>Approved by: Gary Williams on 03/17/2014,  To lay 558' of 4"PE main to replace 558' of 4" bare steel main due to down project. Also replace 180'of 2" cs with 2"PE. Cost per foot:$34.36. ID:C-O1: MOP :14oz MAOP:21oz Design MAOP:14oz Pressure Test: 100 PSIG.</v>
      </c>
      <c r="Q524" s="210"/>
      <c r="R524" s="210"/>
    </row>
    <row r="525" spans="1:18" outlineLevel="1">
      <c r="A525" s="223"/>
      <c r="B525" s="250"/>
      <c r="C525" s="254" t="s">
        <v>1915</v>
      </c>
      <c r="D525" s="223"/>
      <c r="E525" s="250"/>
      <c r="F525" s="223"/>
      <c r="G525" s="250"/>
      <c r="H525" s="250"/>
      <c r="I525" s="250"/>
      <c r="J525" s="251">
        <f>SUBTOTAL(9,J524:J524)</f>
        <v>-480.27</v>
      </c>
      <c r="K525" s="252"/>
      <c r="L525" s="253"/>
      <c r="M525" s="251">
        <f>SUBTOTAL(9,M524:M524)</f>
        <v>-6.41</v>
      </c>
      <c r="N525" s="251">
        <f>SUBTOTAL(9,N524:N524)</f>
        <v>-8.5500000000000007</v>
      </c>
      <c r="O525" s="223"/>
      <c r="P525" s="210"/>
      <c r="Q525" s="210" t="str">
        <f>VLOOKUP(C525,'Descriptions Sorted by WO '!$A$5:$S$977,18,FALSE)</f>
        <v>393.1009 (5) (a) (b)</v>
      </c>
      <c r="R525" s="210" t="str">
        <f>VLOOKUP(C525,'Descriptions Sorted by WO '!$A$5:$S$977,19,FALSE)</f>
        <v>A,B,C</v>
      </c>
    </row>
    <row r="526" spans="1:18" ht="75" outlineLevel="2">
      <c r="A526" s="14" t="s">
        <v>54</v>
      </c>
      <c r="B526" s="15" t="s">
        <v>561</v>
      </c>
      <c r="C526" s="15" t="s">
        <v>562</v>
      </c>
      <c r="D526" s="14" t="s">
        <v>563</v>
      </c>
      <c r="E526" s="15" t="s">
        <v>58</v>
      </c>
      <c r="F526" s="14" t="s">
        <v>22</v>
      </c>
      <c r="G526" s="15" t="s">
        <v>23</v>
      </c>
      <c r="H526" s="15" t="s">
        <v>1525</v>
      </c>
      <c r="I526" s="15">
        <v>201409</v>
      </c>
      <c r="J526" s="16">
        <v>-363.06</v>
      </c>
      <c r="K526" s="171">
        <f>VLOOKUP(I526,$T$9:$U$23,2)</f>
        <v>9</v>
      </c>
      <c r="L526" s="17">
        <v>1.4833299999999999E-3</v>
      </c>
      <c r="M526" s="16">
        <f>ROUND(J526*K526*L526,2)</f>
        <v>-4.8499999999999996</v>
      </c>
      <c r="N526" s="16">
        <f>ROUND(J526*L526*12,2)</f>
        <v>-6.46</v>
      </c>
      <c r="O526" s="14"/>
      <c r="P526" s="210" t="str">
        <f>VLOOKUP(C526,'WO Descriptions'!$A$5:$D$384,4,FALSE)</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c r="Q526" s="210"/>
      <c r="R526" s="210"/>
    </row>
    <row r="527" spans="1:18" ht="75" outlineLevel="2">
      <c r="A527" s="14" t="s">
        <v>54</v>
      </c>
      <c r="B527" s="15" t="s">
        <v>561</v>
      </c>
      <c r="C527" s="15" t="s">
        <v>562</v>
      </c>
      <c r="D527" s="14" t="s">
        <v>563</v>
      </c>
      <c r="E527" s="15" t="s">
        <v>58</v>
      </c>
      <c r="F527" s="14" t="s">
        <v>22</v>
      </c>
      <c r="G527" s="15" t="s">
        <v>23</v>
      </c>
      <c r="H527" s="15" t="s">
        <v>1525</v>
      </c>
      <c r="I527" s="15">
        <v>201410</v>
      </c>
      <c r="J527" s="16">
        <v>0</v>
      </c>
      <c r="K527" s="171">
        <f>VLOOKUP(I527,$T$9:$U$23,2)</f>
        <v>8</v>
      </c>
      <c r="L527" s="17">
        <v>1.4833299999999999E-3</v>
      </c>
      <c r="M527" s="16">
        <f>ROUND(J527*K527*L527,2)</f>
        <v>0</v>
      </c>
      <c r="N527" s="16">
        <f>ROUND(J527*L527*12,2)</f>
        <v>0</v>
      </c>
      <c r="O527" s="14"/>
      <c r="P527" s="210" t="str">
        <f>VLOOKUP(C527,'WO Descriptions'!$A$5:$D$384,4,FALSE)</f>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
      <c r="Q527" s="210"/>
      <c r="R527" s="210"/>
    </row>
    <row r="528" spans="1:18" outlineLevel="1">
      <c r="A528" s="223"/>
      <c r="B528" s="250"/>
      <c r="C528" s="254" t="s">
        <v>1916</v>
      </c>
      <c r="D528" s="223"/>
      <c r="E528" s="250"/>
      <c r="F528" s="223"/>
      <c r="G528" s="250"/>
      <c r="H528" s="250"/>
      <c r="I528" s="250"/>
      <c r="J528" s="251">
        <f>SUBTOTAL(9,J526:J527)</f>
        <v>-363.06</v>
      </c>
      <c r="K528" s="252"/>
      <c r="L528" s="253"/>
      <c r="M528" s="251">
        <f>SUBTOTAL(9,M526:M527)</f>
        <v>-4.8499999999999996</v>
      </c>
      <c r="N528" s="251">
        <f>SUBTOTAL(9,N526:N527)</f>
        <v>-6.46</v>
      </c>
      <c r="O528" s="223"/>
      <c r="P528" s="210"/>
      <c r="Q528" s="210" t="str">
        <f>VLOOKUP(C528,'Descriptions Sorted by WO '!$A$5:$S$977,18,FALSE)</f>
        <v>393.1009 (5) (a) (b)</v>
      </c>
      <c r="R528" s="210" t="str">
        <f>VLOOKUP(C528,'Descriptions Sorted by WO '!$A$5:$S$977,19,FALSE)</f>
        <v>A,B,C</v>
      </c>
    </row>
    <row r="529" spans="1:18" ht="105" outlineLevel="2">
      <c r="A529" s="211" t="s">
        <v>238</v>
      </c>
      <c r="B529" s="212" t="s">
        <v>1099</v>
      </c>
      <c r="C529" s="212" t="s">
        <v>1100</v>
      </c>
      <c r="D529" s="211" t="s">
        <v>1101</v>
      </c>
      <c r="E529" s="212" t="s">
        <v>104</v>
      </c>
      <c r="F529" s="211" t="s">
        <v>41</v>
      </c>
      <c r="G529" s="212" t="s">
        <v>23</v>
      </c>
      <c r="H529" s="212" t="s">
        <v>1526</v>
      </c>
      <c r="I529" s="212">
        <v>201410</v>
      </c>
      <c r="J529" s="213">
        <v>162833.78</v>
      </c>
      <c r="K529" s="171">
        <f>VLOOKUP(I529,$T$9:$U$23,2)</f>
        <v>8</v>
      </c>
      <c r="L529" s="214">
        <v>2.3833299999999999E-3</v>
      </c>
      <c r="M529" s="213">
        <f>ROUND(J529*K529*L529,2)</f>
        <v>3104.69</v>
      </c>
      <c r="N529" s="213">
        <f>ROUND(J529*L529*12,2)</f>
        <v>4657.04</v>
      </c>
      <c r="O529" s="211"/>
      <c r="P529" s="210" t="str">
        <f>VLOOKUP(C529,'WO Descriptions'!$A$5:$D$384,4,FALSE)</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529" s="210"/>
      <c r="R529" s="210"/>
    </row>
    <row r="530" spans="1:18" ht="105" outlineLevel="2">
      <c r="A530" s="211" t="s">
        <v>238</v>
      </c>
      <c r="B530" s="212" t="s">
        <v>1099</v>
      </c>
      <c r="C530" s="212" t="s">
        <v>1100</v>
      </c>
      <c r="D530" s="211" t="s">
        <v>1101</v>
      </c>
      <c r="E530" s="212" t="s">
        <v>104</v>
      </c>
      <c r="F530" s="211" t="s">
        <v>41</v>
      </c>
      <c r="G530" s="212" t="s">
        <v>23</v>
      </c>
      <c r="H530" s="212" t="s">
        <v>1526</v>
      </c>
      <c r="I530" s="212">
        <v>201411</v>
      </c>
      <c r="J530" s="213">
        <v>-831.58</v>
      </c>
      <c r="K530" s="171">
        <f>VLOOKUP(I530,$T$9:$U$23,2)</f>
        <v>7</v>
      </c>
      <c r="L530" s="214">
        <v>2.3833299999999999E-3</v>
      </c>
      <c r="M530" s="213">
        <f>ROUND(J530*K530*L530,2)</f>
        <v>-13.87</v>
      </c>
      <c r="N530" s="213">
        <f>ROUND(J530*L530*12,2)</f>
        <v>-23.78</v>
      </c>
      <c r="O530" s="211"/>
      <c r="P530" s="210" t="str">
        <f>VLOOKUP(C530,'WO Descriptions'!$A$5:$D$384,4,FALSE)</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530" s="210"/>
      <c r="R530" s="210"/>
    </row>
    <row r="531" spans="1:18" ht="105" outlineLevel="2">
      <c r="A531" s="211" t="s">
        <v>238</v>
      </c>
      <c r="B531" s="212" t="s">
        <v>1099</v>
      </c>
      <c r="C531" s="212" t="s">
        <v>1100</v>
      </c>
      <c r="D531" s="211" t="s">
        <v>1101</v>
      </c>
      <c r="E531" s="212" t="s">
        <v>104</v>
      </c>
      <c r="F531" s="211" t="s">
        <v>41</v>
      </c>
      <c r="G531" s="212" t="s">
        <v>23</v>
      </c>
      <c r="H531" s="212" t="s">
        <v>1526</v>
      </c>
      <c r="I531" s="212">
        <v>201412</v>
      </c>
      <c r="J531" s="213">
        <v>2739.95</v>
      </c>
      <c r="K531" s="171">
        <f>VLOOKUP(I531,$T$9:$U$23,2)</f>
        <v>6</v>
      </c>
      <c r="L531" s="214">
        <v>2.3833299999999999E-3</v>
      </c>
      <c r="M531" s="213">
        <f>ROUND(J531*K531*L531,2)</f>
        <v>39.18</v>
      </c>
      <c r="N531" s="213">
        <f>ROUND(J531*L531*12,2)</f>
        <v>78.36</v>
      </c>
      <c r="O531" s="211"/>
      <c r="P531" s="210" t="str">
        <f>VLOOKUP(C531,'WO Descriptions'!$A$5:$D$384,4,FALSE)</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531" s="210"/>
      <c r="R531" s="210"/>
    </row>
    <row r="532" spans="1:18" ht="105" outlineLevel="2">
      <c r="A532" s="14" t="s">
        <v>238</v>
      </c>
      <c r="B532" s="15" t="s">
        <v>1099</v>
      </c>
      <c r="C532" s="15" t="s">
        <v>1100</v>
      </c>
      <c r="D532" s="14" t="s">
        <v>1101</v>
      </c>
      <c r="E532" s="15" t="s">
        <v>104</v>
      </c>
      <c r="F532" s="14" t="s">
        <v>41</v>
      </c>
      <c r="G532" s="15" t="s">
        <v>23</v>
      </c>
      <c r="H532" s="15" t="s">
        <v>1526</v>
      </c>
      <c r="I532" s="15">
        <v>201501</v>
      </c>
      <c r="J532" s="16">
        <v>-1320.23</v>
      </c>
      <c r="K532" s="171">
        <f>VLOOKUP(I532,$T$9:$U$23,2)</f>
        <v>5</v>
      </c>
      <c r="L532" s="17">
        <v>2.3833299999999999E-3</v>
      </c>
      <c r="M532" s="16">
        <f>ROUND(J532*K532*L532,2)</f>
        <v>-15.73</v>
      </c>
      <c r="N532" s="16">
        <f>ROUND(J532*L532*12,2)</f>
        <v>-37.76</v>
      </c>
      <c r="O532" s="14"/>
      <c r="P532" s="210" t="str">
        <f>VLOOKUP(C532,'WO Descriptions'!$A$5:$D$384,4,FALSE)</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532" s="210"/>
      <c r="R532" s="210"/>
    </row>
    <row r="533" spans="1:18" ht="105" outlineLevel="2">
      <c r="A533" s="14" t="s">
        <v>238</v>
      </c>
      <c r="B533" s="15" t="s">
        <v>1099</v>
      </c>
      <c r="C533" s="15" t="s">
        <v>1100</v>
      </c>
      <c r="D533" s="14" t="s">
        <v>1101</v>
      </c>
      <c r="E533" s="15" t="s">
        <v>104</v>
      </c>
      <c r="F533" s="14" t="s">
        <v>41</v>
      </c>
      <c r="G533" s="15" t="s">
        <v>23</v>
      </c>
      <c r="H533" s="15" t="s">
        <v>1526</v>
      </c>
      <c r="I533" s="15">
        <v>201502</v>
      </c>
      <c r="J533" s="16">
        <v>-38.49</v>
      </c>
      <c r="K533" s="171">
        <f>VLOOKUP(I533,$T$9:$U$23,2)</f>
        <v>4</v>
      </c>
      <c r="L533" s="17">
        <v>2.3833299999999999E-3</v>
      </c>
      <c r="M533" s="16">
        <f>ROUND(J533*K533*L533,2)</f>
        <v>-0.37</v>
      </c>
      <c r="N533" s="16">
        <f>ROUND(J533*L533*12,2)</f>
        <v>-1.1000000000000001</v>
      </c>
      <c r="O533" s="14"/>
      <c r="P533" s="210" t="str">
        <f>VLOOKUP(C533,'WO Descriptions'!$A$5:$D$384,4,FALSE)</f>
        <v>Approved by: Rob Hack on 08/15/2013,  Build a double run 8" regulator station at LS Rd and 52nd Street as part of the Lee's Summit Road Improvements (40 Hwy to Anderson) public improvement project. The 12" Grain Valley lateral (pressure system C-225: MOP = 125 psig, MAOP = 245 psig) terminates at Lee's Summit road, feeding the 8" and 16" C-100 pressure system (MOP = 125 psig, MAOP = 155 psig). Currently there is no regulator station at this location - just SCADA monitoring. We are replacing the 8" and 16" lines with a single 20" line (on WO# 13-2520) and will build DRS 100 on WO# 13-2618 to separate the two systems.</v>
      </c>
      <c r="Q533" s="210"/>
      <c r="R533" s="210"/>
    </row>
    <row r="534" spans="1:18" outlineLevel="1">
      <c r="A534" s="223"/>
      <c r="B534" s="250"/>
      <c r="C534" s="254" t="s">
        <v>1917</v>
      </c>
      <c r="D534" s="223"/>
      <c r="E534" s="250"/>
      <c r="F534" s="223"/>
      <c r="G534" s="250"/>
      <c r="H534" s="250"/>
      <c r="I534" s="250"/>
      <c r="J534" s="251">
        <f>SUBTOTAL(9,J529:J533)</f>
        <v>163383.43000000002</v>
      </c>
      <c r="K534" s="252"/>
      <c r="L534" s="253"/>
      <c r="M534" s="251">
        <f>SUBTOTAL(9,M529:M533)</f>
        <v>3113.9</v>
      </c>
      <c r="N534" s="251">
        <f>SUBTOTAL(9,N529:N533)</f>
        <v>4672.7599999999993</v>
      </c>
      <c r="O534" s="223"/>
      <c r="P534" s="210"/>
      <c r="Q534" s="210" t="str">
        <f>VLOOKUP(C534,'Descriptions Sorted by WO '!$A$5:$S$977,18,FALSE)</f>
        <v>393.1009 (5) (C)</v>
      </c>
      <c r="R534" s="210"/>
    </row>
    <row r="535" spans="1:18" ht="30" outlineLevel="2">
      <c r="A535" s="14" t="s">
        <v>17</v>
      </c>
      <c r="B535" s="15" t="s">
        <v>564</v>
      </c>
      <c r="C535" s="15" t="s">
        <v>565</v>
      </c>
      <c r="D535" s="14" t="s">
        <v>566</v>
      </c>
      <c r="E535" s="15" t="s">
        <v>567</v>
      </c>
      <c r="F535" s="14" t="s">
        <v>137</v>
      </c>
      <c r="G535" s="15" t="s">
        <v>23</v>
      </c>
      <c r="H535" s="15" t="s">
        <v>1526</v>
      </c>
      <c r="I535" s="15">
        <v>201409</v>
      </c>
      <c r="J535" s="16">
        <v>13.59</v>
      </c>
      <c r="K535" s="171">
        <f>VLOOKUP(I535,$T$9:$U$23,2)</f>
        <v>9</v>
      </c>
      <c r="L535" s="17">
        <v>1.4833299999999999E-3</v>
      </c>
      <c r="M535" s="16">
        <f>ROUND(J535*K535*L535,2)</f>
        <v>0.18</v>
      </c>
      <c r="N535" s="16">
        <f>ROUND(J535*L535*12,2)</f>
        <v>0.24</v>
      </c>
      <c r="O535" s="14"/>
      <c r="P535" s="210" t="str">
        <f>VLOOKUP(C535,'WO Descriptions'!$A$5:$D$384,4,FALSE)</f>
        <v>Approved by: Kevin Driskell on 12/31/2013,  ISRS LAY 15'-3" TF STEEL TO GO AROUND SEWER MAIN.  TWO WAY FEED.  ABANDON 8'-3" BS (B26P90)</v>
      </c>
      <c r="Q535" s="210"/>
      <c r="R535" s="210"/>
    </row>
    <row r="536" spans="1:18" outlineLevel="1">
      <c r="A536" s="223"/>
      <c r="B536" s="250"/>
      <c r="C536" s="254" t="s">
        <v>1918</v>
      </c>
      <c r="D536" s="223"/>
      <c r="E536" s="250"/>
      <c r="F536" s="223"/>
      <c r="G536" s="250"/>
      <c r="H536" s="250"/>
      <c r="I536" s="250"/>
      <c r="J536" s="251">
        <f>SUBTOTAL(9,J535:J535)</f>
        <v>13.59</v>
      </c>
      <c r="K536" s="252"/>
      <c r="L536" s="253"/>
      <c r="M536" s="251">
        <f>SUBTOTAL(9,M535:M535)</f>
        <v>0.18</v>
      </c>
      <c r="N536" s="251">
        <f>SUBTOTAL(9,N535:N535)</f>
        <v>0.24</v>
      </c>
      <c r="O536" s="223"/>
      <c r="P536" s="210"/>
      <c r="Q536" s="210" t="str">
        <f>VLOOKUP(C536,'Descriptions Sorted by WO '!$A$5:$S$977,18,FALSE)</f>
        <v>393.1009 (5) (C)</v>
      </c>
      <c r="R536" s="210"/>
    </row>
    <row r="537" spans="1:18" ht="105" outlineLevel="2">
      <c r="A537" s="14" t="s">
        <v>17</v>
      </c>
      <c r="B537" s="15" t="s">
        <v>568</v>
      </c>
      <c r="C537" s="15" t="s">
        <v>569</v>
      </c>
      <c r="D537" s="14" t="s">
        <v>570</v>
      </c>
      <c r="E537" s="15" t="s">
        <v>324</v>
      </c>
      <c r="F537" s="14" t="s">
        <v>325</v>
      </c>
      <c r="G537" s="15" t="s">
        <v>23</v>
      </c>
      <c r="H537" s="15" t="s">
        <v>1525</v>
      </c>
      <c r="I537" s="15">
        <v>201409</v>
      </c>
      <c r="J537" s="16">
        <v>-124.35</v>
      </c>
      <c r="K537" s="171">
        <f>VLOOKUP(I537,$T$9:$U$23,2)</f>
        <v>9</v>
      </c>
      <c r="L537" s="17">
        <v>1.4833299999999999E-3</v>
      </c>
      <c r="M537" s="16">
        <f>ROUND(J537*K537*L537,2)</f>
        <v>-1.66</v>
      </c>
      <c r="N537" s="16">
        <f>ROUND(J537*L537*12,2)</f>
        <v>-2.21</v>
      </c>
      <c r="O537" s="14"/>
      <c r="P537" s="210" t="str">
        <f>VLOOKUP(C537,'WO Descriptions'!$A$5:$D$384,4,FALSE)</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c r="Q537" s="210"/>
      <c r="R537" s="210"/>
    </row>
    <row r="538" spans="1:18" ht="105" outlineLevel="2">
      <c r="A538" s="14" t="s">
        <v>17</v>
      </c>
      <c r="B538" s="15" t="s">
        <v>568</v>
      </c>
      <c r="C538" s="15" t="s">
        <v>569</v>
      </c>
      <c r="D538" s="14" t="s">
        <v>570</v>
      </c>
      <c r="E538" s="15" t="s">
        <v>324</v>
      </c>
      <c r="F538" s="14" t="s">
        <v>325</v>
      </c>
      <c r="G538" s="15" t="s">
        <v>23</v>
      </c>
      <c r="H538" s="15" t="s">
        <v>1525</v>
      </c>
      <c r="I538" s="15">
        <v>201502</v>
      </c>
      <c r="J538" s="16">
        <v>391.21</v>
      </c>
      <c r="K538" s="171">
        <f>VLOOKUP(I538,$T$9:$U$23,2)</f>
        <v>4</v>
      </c>
      <c r="L538" s="17">
        <v>1.4833299999999999E-3</v>
      </c>
      <c r="M538" s="16">
        <f>ROUND(J538*K538*L538,2)</f>
        <v>2.3199999999999998</v>
      </c>
      <c r="N538" s="16">
        <f>ROUND(J538*L538*12,2)</f>
        <v>6.96</v>
      </c>
      <c r="O538" s="14"/>
      <c r="P538" s="210" t="str">
        <f>VLOOKUP(C538,'WO Descriptions'!$A$5:$D$384,4,FALSE)</f>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
      <c r="Q538" s="210"/>
      <c r="R538" s="210"/>
    </row>
    <row r="539" spans="1:18" outlineLevel="1">
      <c r="A539" s="223"/>
      <c r="B539" s="250"/>
      <c r="C539" s="254" t="s">
        <v>1919</v>
      </c>
      <c r="D539" s="223"/>
      <c r="E539" s="250"/>
      <c r="F539" s="223"/>
      <c r="G539" s="250"/>
      <c r="H539" s="250"/>
      <c r="I539" s="250"/>
      <c r="J539" s="251">
        <f>SUBTOTAL(9,J537:J538)</f>
        <v>266.86</v>
      </c>
      <c r="K539" s="252"/>
      <c r="L539" s="253"/>
      <c r="M539" s="251">
        <f>SUBTOTAL(9,M537:M538)</f>
        <v>0.65999999999999992</v>
      </c>
      <c r="N539" s="251">
        <f>SUBTOTAL(9,N537:N538)</f>
        <v>4.75</v>
      </c>
      <c r="O539" s="223"/>
      <c r="P539" s="210"/>
      <c r="Q539" s="210" t="str">
        <f>VLOOKUP(C539,'Descriptions Sorted by WO '!$A$5:$S$977,18,FALSE)</f>
        <v>393.1009 (5) (a), (b)</v>
      </c>
      <c r="R539" s="210" t="str">
        <f>VLOOKUP(C539,'Descriptions Sorted by WO '!$A$5:$S$977,19,FALSE)</f>
        <v>A, B, E</v>
      </c>
    </row>
    <row r="540" spans="1:18" ht="30" outlineLevel="2">
      <c r="A540" s="14" t="s">
        <v>17</v>
      </c>
      <c r="B540" s="15" t="s">
        <v>571</v>
      </c>
      <c r="C540" s="15" t="s">
        <v>572</v>
      </c>
      <c r="D540" s="14" t="s">
        <v>573</v>
      </c>
      <c r="E540" s="15" t="s">
        <v>574</v>
      </c>
      <c r="F540" s="14" t="s">
        <v>28</v>
      </c>
      <c r="G540" s="15" t="s">
        <v>23</v>
      </c>
      <c r="H540" s="15" t="s">
        <v>1525</v>
      </c>
      <c r="I540" s="15">
        <v>201409</v>
      </c>
      <c r="J540" s="16">
        <v>-89.13</v>
      </c>
      <c r="K540" s="171">
        <f>VLOOKUP(I540,$T$9:$U$23,2)</f>
        <v>9</v>
      </c>
      <c r="L540" s="17">
        <v>1.4833299999999999E-3</v>
      </c>
      <c r="M540" s="16">
        <f>ROUND(J540*K540*L540,2)</f>
        <v>-1.19</v>
      </c>
      <c r="N540" s="16">
        <f>ROUND(J540*L540*12,2)</f>
        <v>-1.59</v>
      </c>
      <c r="O540" s="14"/>
      <c r="P540" s="210" t="str">
        <f>VLOOKUP(C540,'WO Descriptions'!$A$5:$D$384,4,FALSE)</f>
        <v>Approved by: Ralph Janes on 02/05/2014,  Replace and retire 50' - 2" pcs main (A9142B) which is leaking with 50' - 2" pe.</v>
      </c>
      <c r="Q540" s="210"/>
      <c r="R540" s="210"/>
    </row>
    <row r="541" spans="1:18" outlineLevel="1">
      <c r="A541" s="223"/>
      <c r="B541" s="250"/>
      <c r="C541" s="254" t="s">
        <v>1920</v>
      </c>
      <c r="D541" s="223"/>
      <c r="E541" s="250"/>
      <c r="F541" s="223"/>
      <c r="G541" s="250"/>
      <c r="H541" s="250"/>
      <c r="I541" s="250"/>
      <c r="J541" s="251">
        <f>SUBTOTAL(9,J540:J540)</f>
        <v>-89.13</v>
      </c>
      <c r="K541" s="252"/>
      <c r="L541" s="253"/>
      <c r="M541" s="251">
        <f>SUBTOTAL(9,M540:M540)</f>
        <v>-1.19</v>
      </c>
      <c r="N541" s="251">
        <f>SUBTOTAL(9,N540:N540)</f>
        <v>-1.59</v>
      </c>
      <c r="O541" s="223"/>
      <c r="P541" s="210"/>
      <c r="Q541" s="210" t="str">
        <f>VLOOKUP(C541,'Descriptions Sorted by WO '!$A$5:$S$977,18,FALSE)</f>
        <v>393.1009 (5) (a) (b)</v>
      </c>
      <c r="R541" s="210" t="str">
        <f>VLOOKUP(C541,'Descriptions Sorted by WO '!$A$5:$S$977,19,FALSE)</f>
        <v>A,B</v>
      </c>
    </row>
    <row r="542" spans="1:18" ht="60" outlineLevel="2">
      <c r="A542" s="14" t="s">
        <v>17</v>
      </c>
      <c r="B542" s="15" t="s">
        <v>575</v>
      </c>
      <c r="C542" s="15" t="s">
        <v>576</v>
      </c>
      <c r="D542" s="14" t="s">
        <v>577</v>
      </c>
      <c r="E542" s="15" t="s">
        <v>462</v>
      </c>
      <c r="F542" s="14" t="s">
        <v>142</v>
      </c>
      <c r="G542" s="15" t="s">
        <v>23</v>
      </c>
      <c r="H542" s="15" t="s">
        <v>1525</v>
      </c>
      <c r="I542" s="15">
        <v>201409</v>
      </c>
      <c r="J542" s="16">
        <v>-34.44</v>
      </c>
      <c r="K542" s="171">
        <f>VLOOKUP(I542,$T$9:$U$23,2)</f>
        <v>9</v>
      </c>
      <c r="L542" s="17">
        <v>1.4833299999999999E-3</v>
      </c>
      <c r="M542" s="16">
        <f>ROUND(J542*K542*L542,2)</f>
        <v>-0.46</v>
      </c>
      <c r="N542" s="16">
        <f>ROUND(J542*L542*12,2)</f>
        <v>-0.61</v>
      </c>
      <c r="O542" s="14"/>
      <c r="P542" s="210" t="str">
        <f>VLOOKUP(C542,'WO Descriptions'!$A$5:$D$384,4,FALSE)</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c r="Q542" s="210"/>
      <c r="R542" s="210"/>
    </row>
    <row r="543" spans="1:18" ht="60" outlineLevel="2">
      <c r="A543" s="14" t="s">
        <v>54</v>
      </c>
      <c r="B543" s="15" t="s">
        <v>575</v>
      </c>
      <c r="C543" s="15" t="s">
        <v>576</v>
      </c>
      <c r="D543" s="14" t="s">
        <v>577</v>
      </c>
      <c r="E543" s="15" t="s">
        <v>462</v>
      </c>
      <c r="F543" s="14" t="s">
        <v>142</v>
      </c>
      <c r="G543" s="15" t="s">
        <v>23</v>
      </c>
      <c r="H543" s="15" t="s">
        <v>1525</v>
      </c>
      <c r="I543" s="15">
        <v>201409</v>
      </c>
      <c r="J543" s="16">
        <v>-1935.85</v>
      </c>
      <c r="K543" s="171">
        <f>VLOOKUP(I543,$T$9:$U$23,2)</f>
        <v>9</v>
      </c>
      <c r="L543" s="17">
        <v>1.4833299999999999E-3</v>
      </c>
      <c r="M543" s="16">
        <f>ROUND(J543*K543*L543,2)</f>
        <v>-25.84</v>
      </c>
      <c r="N543" s="16">
        <f>ROUND(J543*L543*12,2)</f>
        <v>-34.46</v>
      </c>
      <c r="O543" s="14"/>
      <c r="P543" s="210" t="str">
        <f>VLOOKUP(C543,'WO Descriptions'!$A$5:$D$384,4,FALSE)</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c r="Q543" s="210"/>
      <c r="R543" s="210"/>
    </row>
    <row r="544" spans="1:18" ht="60" outlineLevel="2">
      <c r="A544" s="14" t="s">
        <v>17</v>
      </c>
      <c r="B544" s="15" t="s">
        <v>575</v>
      </c>
      <c r="C544" s="15" t="s">
        <v>576</v>
      </c>
      <c r="D544" s="14" t="s">
        <v>577</v>
      </c>
      <c r="E544" s="15" t="s">
        <v>462</v>
      </c>
      <c r="F544" s="14" t="s">
        <v>142</v>
      </c>
      <c r="G544" s="15" t="s">
        <v>23</v>
      </c>
      <c r="H544" s="15" t="s">
        <v>1525</v>
      </c>
      <c r="I544" s="15">
        <v>201410</v>
      </c>
      <c r="J544" s="16">
        <v>-0.05</v>
      </c>
      <c r="K544" s="171">
        <f>VLOOKUP(I544,$T$9:$U$23,2)</f>
        <v>8</v>
      </c>
      <c r="L544" s="17">
        <v>1.4833299999999999E-3</v>
      </c>
      <c r="M544" s="16">
        <f>ROUND(J544*K544*L544,2)</f>
        <v>0</v>
      </c>
      <c r="N544" s="16">
        <f>ROUND(J544*L544*12,2)</f>
        <v>0</v>
      </c>
      <c r="O544" s="14"/>
      <c r="P544" s="210" t="str">
        <f>VLOOKUP(C544,'WO Descriptions'!$A$5:$D$384,4,FALSE)</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c r="Q544" s="210"/>
      <c r="R544" s="210"/>
    </row>
    <row r="545" spans="1:18" ht="60" outlineLevel="2">
      <c r="A545" s="14" t="s">
        <v>54</v>
      </c>
      <c r="B545" s="15" t="s">
        <v>575</v>
      </c>
      <c r="C545" s="15" t="s">
        <v>576</v>
      </c>
      <c r="D545" s="14" t="s">
        <v>577</v>
      </c>
      <c r="E545" s="15" t="s">
        <v>462</v>
      </c>
      <c r="F545" s="14" t="s">
        <v>142</v>
      </c>
      <c r="G545" s="15" t="s">
        <v>23</v>
      </c>
      <c r="H545" s="15" t="s">
        <v>1525</v>
      </c>
      <c r="I545" s="15">
        <v>201410</v>
      </c>
      <c r="J545" s="16">
        <v>0.05</v>
      </c>
      <c r="K545" s="171">
        <f>VLOOKUP(I545,$T$9:$U$23,2)</f>
        <v>8</v>
      </c>
      <c r="L545" s="17">
        <v>1.4833299999999999E-3</v>
      </c>
      <c r="M545" s="16">
        <f>ROUND(J545*K545*L545,2)</f>
        <v>0</v>
      </c>
      <c r="N545" s="16">
        <f>ROUND(J545*L545*12,2)</f>
        <v>0</v>
      </c>
      <c r="O545" s="14"/>
      <c r="P545" s="210" t="str">
        <f>VLOOKUP(C545,'WO Descriptions'!$A$5:$D$384,4,FALSE)</f>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
      <c r="Q545" s="210"/>
      <c r="R545" s="210"/>
    </row>
    <row r="546" spans="1:18" outlineLevel="1">
      <c r="A546" s="223"/>
      <c r="B546" s="250"/>
      <c r="C546" s="254" t="s">
        <v>1921</v>
      </c>
      <c r="D546" s="223"/>
      <c r="E546" s="250"/>
      <c r="F546" s="223"/>
      <c r="G546" s="250"/>
      <c r="H546" s="250"/>
      <c r="I546" s="250"/>
      <c r="J546" s="251">
        <f>SUBTOTAL(9,J542:J545)</f>
        <v>-1970.29</v>
      </c>
      <c r="K546" s="252"/>
      <c r="L546" s="253"/>
      <c r="M546" s="251">
        <f>SUBTOTAL(9,M542:M545)</f>
        <v>-26.3</v>
      </c>
      <c r="N546" s="251">
        <f>SUBTOTAL(9,N542:N545)</f>
        <v>-35.07</v>
      </c>
      <c r="O546" s="223"/>
      <c r="P546" s="210"/>
      <c r="Q546" s="210" t="str">
        <f>VLOOKUP(C546,'Descriptions Sorted by WO '!$A$5:$S$977,18,FALSE)</f>
        <v>393.1009 (5) (a) (b)</v>
      </c>
      <c r="R546" s="210" t="str">
        <f>VLOOKUP(C546,'Descriptions Sorted by WO '!$A$5:$S$977,19,FALSE)</f>
        <v>A,B,C,D,I</v>
      </c>
    </row>
    <row r="547" spans="1:18" ht="60" outlineLevel="2">
      <c r="A547" s="14" t="s">
        <v>54</v>
      </c>
      <c r="B547" s="15" t="s">
        <v>578</v>
      </c>
      <c r="C547" s="15" t="s">
        <v>579</v>
      </c>
      <c r="D547" s="14" t="s">
        <v>580</v>
      </c>
      <c r="E547" s="15" t="s">
        <v>136</v>
      </c>
      <c r="F547" s="14" t="s">
        <v>137</v>
      </c>
      <c r="G547" s="15" t="s">
        <v>23</v>
      </c>
      <c r="H547" s="15" t="s">
        <v>1526</v>
      </c>
      <c r="I547" s="15">
        <v>201409</v>
      </c>
      <c r="J547" s="16">
        <v>-19.86</v>
      </c>
      <c r="K547" s="171">
        <f>VLOOKUP(I547,$T$9:$U$23,2)</f>
        <v>9</v>
      </c>
      <c r="L547" s="17">
        <v>1.4833299999999999E-3</v>
      </c>
      <c r="M547" s="16">
        <f>ROUND(J547*K547*L547,2)</f>
        <v>-0.27</v>
      </c>
      <c r="N547" s="16">
        <f>ROUND(J547*L547*12,2)</f>
        <v>-0.35</v>
      </c>
      <c r="O547" s="14"/>
      <c r="P547" s="210" t="str">
        <f>VLOOKUP(C547,'WO Descriptions'!$A$5:$D$384,4,FALSE)</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c r="Q547" s="210"/>
      <c r="R547" s="210"/>
    </row>
    <row r="548" spans="1:18" ht="60" outlineLevel="2">
      <c r="A548" s="14" t="s">
        <v>54</v>
      </c>
      <c r="B548" s="15" t="s">
        <v>578</v>
      </c>
      <c r="C548" s="15" t="s">
        <v>579</v>
      </c>
      <c r="D548" s="14" t="s">
        <v>580</v>
      </c>
      <c r="E548" s="15" t="s">
        <v>136</v>
      </c>
      <c r="F548" s="14" t="s">
        <v>137</v>
      </c>
      <c r="G548" s="15" t="s">
        <v>23</v>
      </c>
      <c r="H548" s="15" t="s">
        <v>1526</v>
      </c>
      <c r="I548" s="15">
        <v>201501</v>
      </c>
      <c r="J548" s="16">
        <v>643.61</v>
      </c>
      <c r="K548" s="171">
        <f>VLOOKUP(I548,$T$9:$U$23,2)</f>
        <v>5</v>
      </c>
      <c r="L548" s="17">
        <v>1.4833299999999999E-3</v>
      </c>
      <c r="M548" s="16">
        <f>ROUND(J548*K548*L548,2)</f>
        <v>4.7699999999999996</v>
      </c>
      <c r="N548" s="16">
        <f>ROUND(J548*L548*12,2)</f>
        <v>11.46</v>
      </c>
      <c r="O548" s="14"/>
      <c r="P548" s="210" t="str">
        <f>VLOOKUP(C548,'WO Descriptions'!$A$5:$D$384,4,FALSE)</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c r="Q548" s="210"/>
      <c r="R548" s="210"/>
    </row>
    <row r="549" spans="1:18" ht="60" outlineLevel="2">
      <c r="A549" s="14" t="s">
        <v>54</v>
      </c>
      <c r="B549" s="15" t="s">
        <v>578</v>
      </c>
      <c r="C549" s="15" t="s">
        <v>579</v>
      </c>
      <c r="D549" s="14" t="s">
        <v>580</v>
      </c>
      <c r="E549" s="15" t="s">
        <v>136</v>
      </c>
      <c r="F549" s="14" t="s">
        <v>137</v>
      </c>
      <c r="G549" s="15" t="s">
        <v>23</v>
      </c>
      <c r="H549" s="15" t="s">
        <v>1526</v>
      </c>
      <c r="I549" s="15">
        <v>201502</v>
      </c>
      <c r="J549" s="16">
        <v>479.37</v>
      </c>
      <c r="K549" s="171">
        <f>VLOOKUP(I549,$T$9:$U$23,2)</f>
        <v>4</v>
      </c>
      <c r="L549" s="17">
        <v>1.4833299999999999E-3</v>
      </c>
      <c r="M549" s="16">
        <f>ROUND(J549*K549*L549,2)</f>
        <v>2.84</v>
      </c>
      <c r="N549" s="16">
        <f>ROUND(J549*L549*12,2)</f>
        <v>8.5299999999999994</v>
      </c>
      <c r="O549" s="14"/>
      <c r="P549" s="210" t="str">
        <f>VLOOKUP(C549,'WO Descriptions'!$A$5:$D$384,4,FALSE)</f>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
      <c r="Q549" s="210"/>
      <c r="R549" s="210"/>
    </row>
    <row r="550" spans="1:18" outlineLevel="1">
      <c r="A550" s="223"/>
      <c r="B550" s="250"/>
      <c r="C550" s="254" t="s">
        <v>1922</v>
      </c>
      <c r="D550" s="223"/>
      <c r="E550" s="250"/>
      <c r="F550" s="223"/>
      <c r="G550" s="250"/>
      <c r="H550" s="250"/>
      <c r="I550" s="250"/>
      <c r="J550" s="251">
        <f>SUBTOTAL(9,J547:J549)</f>
        <v>1103.1199999999999</v>
      </c>
      <c r="K550" s="252"/>
      <c r="L550" s="253"/>
      <c r="M550" s="251">
        <f>SUBTOTAL(9,M547:M549)</f>
        <v>7.34</v>
      </c>
      <c r="N550" s="251">
        <f>SUBTOTAL(9,N547:N549)</f>
        <v>19.64</v>
      </c>
      <c r="O550" s="223"/>
      <c r="P550" s="210"/>
      <c r="Q550" s="210" t="str">
        <f>VLOOKUP(C550,'Descriptions Sorted by WO '!$A$5:$S$977,18,FALSE)</f>
        <v>393.1009 (5) (C)</v>
      </c>
      <c r="R550" s="210"/>
    </row>
    <row r="551" spans="1:18" ht="150" outlineLevel="2">
      <c r="A551" s="14" t="s">
        <v>54</v>
      </c>
      <c r="B551" s="15" t="s">
        <v>581</v>
      </c>
      <c r="C551" s="15" t="s">
        <v>582</v>
      </c>
      <c r="D551" s="14" t="s">
        <v>583</v>
      </c>
      <c r="E551" s="15" t="s">
        <v>104</v>
      </c>
      <c r="F551" s="14" t="s">
        <v>41</v>
      </c>
      <c r="G551" s="15" t="s">
        <v>23</v>
      </c>
      <c r="H551" s="15" t="s">
        <v>1526</v>
      </c>
      <c r="I551" s="15">
        <v>201409</v>
      </c>
      <c r="J551" s="16">
        <v>97223.13</v>
      </c>
      <c r="K551" s="171">
        <f t="shared" ref="K551:K559" si="63">VLOOKUP(I551,$T$9:$U$23,2)</f>
        <v>9</v>
      </c>
      <c r="L551" s="17">
        <v>1.4833299999999999E-3</v>
      </c>
      <c r="M551" s="16">
        <f t="shared" ref="M551:M559" si="64">ROUND(J551*K551*L551,2)</f>
        <v>1297.93</v>
      </c>
      <c r="N551" s="16">
        <f t="shared" ref="N551:N559" si="65">ROUND(J551*L551*12,2)</f>
        <v>1730.57</v>
      </c>
      <c r="O551" s="14"/>
      <c r="P551" s="210" t="str">
        <f>VLOOKUP(C551,'WO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1" s="210"/>
      <c r="R551" s="210"/>
    </row>
    <row r="552" spans="1:18" ht="150" outlineLevel="2">
      <c r="A552" s="14" t="s">
        <v>54</v>
      </c>
      <c r="B552" s="15" t="s">
        <v>581</v>
      </c>
      <c r="C552" s="15" t="s">
        <v>582</v>
      </c>
      <c r="D552" s="14" t="s">
        <v>583</v>
      </c>
      <c r="E552" s="15" t="s">
        <v>104</v>
      </c>
      <c r="F552" s="14" t="s">
        <v>41</v>
      </c>
      <c r="G552" s="15" t="s">
        <v>23</v>
      </c>
      <c r="H552" s="15" t="s">
        <v>1526</v>
      </c>
      <c r="I552" s="15">
        <v>201410</v>
      </c>
      <c r="J552" s="16">
        <v>5658.63</v>
      </c>
      <c r="K552" s="171">
        <f t="shared" si="63"/>
        <v>8</v>
      </c>
      <c r="L552" s="17">
        <v>1.4833299999999999E-3</v>
      </c>
      <c r="M552" s="16">
        <f t="shared" si="64"/>
        <v>67.150000000000006</v>
      </c>
      <c r="N552" s="16">
        <f t="shared" si="65"/>
        <v>100.72</v>
      </c>
      <c r="O552" s="14"/>
      <c r="P552" s="210" t="str">
        <f>VLOOKUP(C552,'WO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2" s="210"/>
      <c r="R552" s="210"/>
    </row>
    <row r="553" spans="1:18" ht="150" outlineLevel="2">
      <c r="A553" s="14" t="s">
        <v>54</v>
      </c>
      <c r="B553" s="15" t="s">
        <v>581</v>
      </c>
      <c r="C553" s="15" t="s">
        <v>582</v>
      </c>
      <c r="D553" s="14" t="s">
        <v>583</v>
      </c>
      <c r="E553" s="15" t="s">
        <v>104</v>
      </c>
      <c r="F553" s="14" t="s">
        <v>41</v>
      </c>
      <c r="G553" s="15" t="s">
        <v>23</v>
      </c>
      <c r="H553" s="15" t="s">
        <v>1526</v>
      </c>
      <c r="I553" s="15">
        <v>201411</v>
      </c>
      <c r="J553" s="16">
        <v>-154.51</v>
      </c>
      <c r="K553" s="171">
        <f t="shared" si="63"/>
        <v>7</v>
      </c>
      <c r="L553" s="17">
        <v>1.4833299999999999E-3</v>
      </c>
      <c r="M553" s="16">
        <f t="shared" si="64"/>
        <v>-1.6</v>
      </c>
      <c r="N553" s="16">
        <f t="shared" si="65"/>
        <v>-2.75</v>
      </c>
      <c r="O553" s="14"/>
      <c r="P553" s="210" t="str">
        <f>VLOOKUP(C553,'WO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3" s="210"/>
      <c r="R553" s="210"/>
    </row>
    <row r="554" spans="1:18" ht="150" outlineLevel="2">
      <c r="A554" s="14" t="s">
        <v>17</v>
      </c>
      <c r="B554" s="15" t="s">
        <v>581</v>
      </c>
      <c r="C554" s="15" t="s">
        <v>582</v>
      </c>
      <c r="D554" s="14" t="s">
        <v>583</v>
      </c>
      <c r="E554" s="15" t="s">
        <v>104</v>
      </c>
      <c r="F554" s="14" t="s">
        <v>41</v>
      </c>
      <c r="G554" s="15" t="s">
        <v>23</v>
      </c>
      <c r="H554" s="15" t="s">
        <v>1526</v>
      </c>
      <c r="I554" s="15">
        <v>201412</v>
      </c>
      <c r="J554" s="16">
        <v>1337.3</v>
      </c>
      <c r="K554" s="171">
        <f t="shared" si="63"/>
        <v>6</v>
      </c>
      <c r="L554" s="17">
        <v>1.4833299999999999E-3</v>
      </c>
      <c r="M554" s="16">
        <f t="shared" si="64"/>
        <v>11.9</v>
      </c>
      <c r="N554" s="16">
        <f t="shared" si="65"/>
        <v>23.8</v>
      </c>
      <c r="O554" s="14"/>
      <c r="P554" s="210" t="str">
        <f>VLOOKUP(C554,'WO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4" s="210"/>
      <c r="R554" s="210"/>
    </row>
    <row r="555" spans="1:18" ht="150" outlineLevel="2">
      <c r="A555" s="14" t="s">
        <v>54</v>
      </c>
      <c r="B555" s="15" t="s">
        <v>581</v>
      </c>
      <c r="C555" s="15" t="s">
        <v>582</v>
      </c>
      <c r="D555" s="14" t="s">
        <v>583</v>
      </c>
      <c r="E555" s="15" t="s">
        <v>104</v>
      </c>
      <c r="F555" s="14" t="s">
        <v>41</v>
      </c>
      <c r="G555" s="15" t="s">
        <v>23</v>
      </c>
      <c r="H555" s="15" t="s">
        <v>1526</v>
      </c>
      <c r="I555" s="15">
        <v>201412</v>
      </c>
      <c r="J555" s="16">
        <v>-1826.47</v>
      </c>
      <c r="K555" s="171">
        <f t="shared" si="63"/>
        <v>6</v>
      </c>
      <c r="L555" s="17">
        <v>1.4833299999999999E-3</v>
      </c>
      <c r="M555" s="16">
        <f t="shared" si="64"/>
        <v>-16.260000000000002</v>
      </c>
      <c r="N555" s="16">
        <f t="shared" si="65"/>
        <v>-32.51</v>
      </c>
      <c r="O555" s="14"/>
      <c r="P555" s="210" t="str">
        <f>VLOOKUP(C555,'WO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5" s="210"/>
      <c r="R555" s="210"/>
    </row>
    <row r="556" spans="1:18" ht="150" outlineLevel="2">
      <c r="A556" s="14" t="s">
        <v>17</v>
      </c>
      <c r="B556" s="15" t="s">
        <v>581</v>
      </c>
      <c r="C556" s="15" t="s">
        <v>582</v>
      </c>
      <c r="D556" s="14" t="s">
        <v>583</v>
      </c>
      <c r="E556" s="15" t="s">
        <v>104</v>
      </c>
      <c r="F556" s="14" t="s">
        <v>41</v>
      </c>
      <c r="G556" s="15" t="s">
        <v>23</v>
      </c>
      <c r="H556" s="15" t="s">
        <v>1526</v>
      </c>
      <c r="I556" s="15">
        <v>201501</v>
      </c>
      <c r="J556" s="16">
        <v>-0.3</v>
      </c>
      <c r="K556" s="171">
        <f t="shared" si="63"/>
        <v>5</v>
      </c>
      <c r="L556" s="17">
        <v>1.4833299999999999E-3</v>
      </c>
      <c r="M556" s="16">
        <f t="shared" si="64"/>
        <v>0</v>
      </c>
      <c r="N556" s="16">
        <f t="shared" si="65"/>
        <v>-0.01</v>
      </c>
      <c r="O556" s="14"/>
      <c r="P556" s="210" t="str">
        <f>VLOOKUP(C556,'WO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6" s="210"/>
      <c r="R556" s="210"/>
    </row>
    <row r="557" spans="1:18" ht="150" outlineLevel="2">
      <c r="A557" s="14" t="s">
        <v>54</v>
      </c>
      <c r="B557" s="15" t="s">
        <v>581</v>
      </c>
      <c r="C557" s="15" t="s">
        <v>582</v>
      </c>
      <c r="D557" s="14" t="s">
        <v>583</v>
      </c>
      <c r="E557" s="15" t="s">
        <v>104</v>
      </c>
      <c r="F557" s="14" t="s">
        <v>41</v>
      </c>
      <c r="G557" s="15" t="s">
        <v>23</v>
      </c>
      <c r="H557" s="15" t="s">
        <v>1526</v>
      </c>
      <c r="I557" s="15">
        <v>201501</v>
      </c>
      <c r="J557" s="16">
        <v>-22.4</v>
      </c>
      <c r="K557" s="171">
        <f t="shared" si="63"/>
        <v>5</v>
      </c>
      <c r="L557" s="17">
        <v>1.4833299999999999E-3</v>
      </c>
      <c r="M557" s="16">
        <f t="shared" si="64"/>
        <v>-0.17</v>
      </c>
      <c r="N557" s="16">
        <f t="shared" si="65"/>
        <v>-0.4</v>
      </c>
      <c r="O557" s="14"/>
      <c r="P557" s="210" t="str">
        <f>VLOOKUP(C557,'WO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7" s="210"/>
      <c r="R557" s="210"/>
    </row>
    <row r="558" spans="1:18" ht="150" outlineLevel="2">
      <c r="A558" s="14" t="s">
        <v>17</v>
      </c>
      <c r="B558" s="15" t="s">
        <v>581</v>
      </c>
      <c r="C558" s="15" t="s">
        <v>582</v>
      </c>
      <c r="D558" s="14" t="s">
        <v>583</v>
      </c>
      <c r="E558" s="15" t="s">
        <v>104</v>
      </c>
      <c r="F558" s="14" t="s">
        <v>41</v>
      </c>
      <c r="G558" s="15" t="s">
        <v>23</v>
      </c>
      <c r="H558" s="15" t="s">
        <v>1526</v>
      </c>
      <c r="I558" s="15">
        <v>201502</v>
      </c>
      <c r="J558" s="16">
        <v>-0.65</v>
      </c>
      <c r="K558" s="171">
        <f t="shared" si="63"/>
        <v>4</v>
      </c>
      <c r="L558" s="17">
        <v>1.4833299999999999E-3</v>
      </c>
      <c r="M558" s="16">
        <f t="shared" si="64"/>
        <v>0</v>
      </c>
      <c r="N558" s="16">
        <f t="shared" si="65"/>
        <v>-0.01</v>
      </c>
      <c r="O558" s="14"/>
      <c r="P558" s="210" t="str">
        <f>VLOOKUP(C558,'WO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8" s="210"/>
      <c r="R558" s="210"/>
    </row>
    <row r="559" spans="1:18" ht="150" outlineLevel="2">
      <c r="A559" s="14" t="s">
        <v>54</v>
      </c>
      <c r="B559" s="15" t="s">
        <v>581</v>
      </c>
      <c r="C559" s="15" t="s">
        <v>582</v>
      </c>
      <c r="D559" s="14" t="s">
        <v>583</v>
      </c>
      <c r="E559" s="15" t="s">
        <v>104</v>
      </c>
      <c r="F559" s="14" t="s">
        <v>41</v>
      </c>
      <c r="G559" s="15" t="s">
        <v>23</v>
      </c>
      <c r="H559" s="15" t="s">
        <v>1526</v>
      </c>
      <c r="I559" s="15">
        <v>201502</v>
      </c>
      <c r="J559" s="16">
        <v>-47.83</v>
      </c>
      <c r="K559" s="171">
        <f t="shared" si="63"/>
        <v>4</v>
      </c>
      <c r="L559" s="17">
        <v>1.4833299999999999E-3</v>
      </c>
      <c r="M559" s="16">
        <f t="shared" si="64"/>
        <v>-0.28000000000000003</v>
      </c>
      <c r="N559" s="16">
        <f t="shared" si="65"/>
        <v>-0.85</v>
      </c>
      <c r="O559" s="14"/>
      <c r="P559" s="210" t="str">
        <f>VLOOKUP(C559,'WO Descriptions'!$A$5:$D$384,4,FALSE)</f>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
      <c r="Q559" s="210"/>
      <c r="R559" s="210"/>
    </row>
    <row r="560" spans="1:18" outlineLevel="1">
      <c r="A560" s="223"/>
      <c r="B560" s="250"/>
      <c r="C560" s="254" t="s">
        <v>1923</v>
      </c>
      <c r="D560" s="223"/>
      <c r="E560" s="250"/>
      <c r="F560" s="223"/>
      <c r="G560" s="250"/>
      <c r="H560" s="250"/>
      <c r="I560" s="250"/>
      <c r="J560" s="251">
        <f>SUBTOTAL(9,J551:J559)</f>
        <v>102166.90000000002</v>
      </c>
      <c r="K560" s="252"/>
      <c r="L560" s="253"/>
      <c r="M560" s="251">
        <f>SUBTOTAL(9,M551:M559)</f>
        <v>1358.6700000000003</v>
      </c>
      <c r="N560" s="251">
        <f>SUBTOTAL(9,N551:N559)</f>
        <v>1818.56</v>
      </c>
      <c r="O560" s="223"/>
      <c r="P560" s="210"/>
      <c r="Q560" s="210" t="str">
        <f>VLOOKUP(C560,'Descriptions Sorted by WO '!$A$5:$S$977,18,FALSE)</f>
        <v>393.1009 (5) (C)</v>
      </c>
      <c r="R560" s="210"/>
    </row>
    <row r="561" spans="1:18" ht="180" outlineLevel="2">
      <c r="A561" s="14" t="s">
        <v>17</v>
      </c>
      <c r="B561" s="15" t="s">
        <v>584</v>
      </c>
      <c r="C561" s="15" t="s">
        <v>585</v>
      </c>
      <c r="D561" s="14" t="s">
        <v>586</v>
      </c>
      <c r="E561" s="15" t="s">
        <v>62</v>
      </c>
      <c r="F561" s="14" t="s">
        <v>22</v>
      </c>
      <c r="G561" s="15" t="s">
        <v>23</v>
      </c>
      <c r="H561" s="15" t="s">
        <v>1525</v>
      </c>
      <c r="I561" s="15">
        <v>201409</v>
      </c>
      <c r="J561" s="16">
        <v>-7974.11</v>
      </c>
      <c r="K561" s="171">
        <f>VLOOKUP(I561,$T$9:$U$23,2)</f>
        <v>9</v>
      </c>
      <c r="L561" s="17">
        <v>1.4833299999999999E-3</v>
      </c>
      <c r="M561" s="16">
        <f>ROUND(J561*K561*L561,2)</f>
        <v>-106.45</v>
      </c>
      <c r="N561" s="16">
        <f>ROUND(J561*L561*12,2)</f>
        <v>-141.94</v>
      </c>
      <c r="O561" s="14"/>
      <c r="P561" s="210" t="str">
        <f>VLOOKUP(C561,'WO Descriptions'!$A$5:$D$384,4,FALSE)</f>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
      <c r="Q561" s="210"/>
      <c r="R561" s="210"/>
    </row>
    <row r="562" spans="1:18" outlineLevel="1">
      <c r="A562" s="223"/>
      <c r="B562" s="250"/>
      <c r="C562" s="254" t="s">
        <v>1924</v>
      </c>
      <c r="D562" s="223"/>
      <c r="E562" s="250"/>
      <c r="F562" s="223"/>
      <c r="G562" s="250"/>
      <c r="H562" s="250"/>
      <c r="I562" s="250"/>
      <c r="J562" s="251">
        <f>SUBTOTAL(9,J561:J561)</f>
        <v>-7974.11</v>
      </c>
      <c r="K562" s="252"/>
      <c r="L562" s="253"/>
      <c r="M562" s="251">
        <f>SUBTOTAL(9,M561:M561)</f>
        <v>-106.45</v>
      </c>
      <c r="N562" s="251">
        <f>SUBTOTAL(9,N561:N561)</f>
        <v>-141.94</v>
      </c>
      <c r="O562" s="223"/>
      <c r="P562" s="210"/>
      <c r="Q562" s="210" t="str">
        <f>VLOOKUP(C562,'Descriptions Sorted by WO '!$A$5:$S$977,18,FALSE)</f>
        <v>393.1009 (5) (a) (b)</v>
      </c>
      <c r="R562" s="210" t="str">
        <f>VLOOKUP(C562,'Descriptions Sorted by WO '!$A$5:$S$977,19,FALSE)</f>
        <v>A,B,C</v>
      </c>
    </row>
    <row r="563" spans="1:18" outlineLevel="2">
      <c r="A563" s="211" t="s">
        <v>66</v>
      </c>
      <c r="B563" s="212" t="s">
        <v>1027</v>
      </c>
      <c r="C563" s="212" t="s">
        <v>1028</v>
      </c>
      <c r="D563" s="211" t="s">
        <v>194</v>
      </c>
      <c r="E563" s="212" t="s">
        <v>1029</v>
      </c>
      <c r="F563" s="211" t="s">
        <v>196</v>
      </c>
      <c r="G563" s="212" t="s">
        <v>23</v>
      </c>
      <c r="H563" s="212" t="s">
        <v>1530</v>
      </c>
      <c r="I563" s="212">
        <v>201412</v>
      </c>
      <c r="J563" s="213">
        <v>463.42</v>
      </c>
      <c r="K563" s="171">
        <f>VLOOKUP(I563,$T$9:$U$23,2)</f>
        <v>6</v>
      </c>
      <c r="L563" s="214">
        <v>2.23333E-3</v>
      </c>
      <c r="M563" s="213">
        <f>ROUND(J563*K563*L563,2)</f>
        <v>6.21</v>
      </c>
      <c r="N563" s="213">
        <f>ROUND(J563*L563*12,2)</f>
        <v>12.42</v>
      </c>
      <c r="O563" s="14"/>
      <c r="P563" s="210" t="str">
        <f>VLOOKUP(C563,'WO Descriptions'!$A$5:$D$384,4,FALSE)</f>
        <v>Line Locates - Service Line Replacements Only (Lee's Summit - South Region)</v>
      </c>
      <c r="Q563" s="210"/>
      <c r="R563" s="210"/>
    </row>
    <row r="564" spans="1:18" outlineLevel="1">
      <c r="A564" s="256"/>
      <c r="B564" s="257"/>
      <c r="C564" s="260" t="s">
        <v>1925</v>
      </c>
      <c r="D564" s="256"/>
      <c r="E564" s="257"/>
      <c r="F564" s="256"/>
      <c r="G564" s="257"/>
      <c r="H564" s="257"/>
      <c r="I564" s="257"/>
      <c r="J564" s="258">
        <f>SUBTOTAL(9,J563:J563)</f>
        <v>463.42</v>
      </c>
      <c r="K564" s="252"/>
      <c r="L564" s="259"/>
      <c r="M564" s="258">
        <f>SUBTOTAL(9,M563:M563)</f>
        <v>6.21</v>
      </c>
      <c r="N564" s="258">
        <f>SUBTOTAL(9,N563:N563)</f>
        <v>12.42</v>
      </c>
      <c r="O564" s="223"/>
      <c r="P564" s="210"/>
      <c r="Q564" s="210" t="str">
        <f>VLOOKUP(C564,'Descriptions Sorted by WO '!$A$5:$S$977,18,FALSE)</f>
        <v>393.1009 (5) (a) (b)</v>
      </c>
      <c r="R564" s="210" t="str">
        <f>VLOOKUP(C564,'Descriptions Sorted by WO '!$A$5:$S$977,19,FALSE)</f>
        <v>A,B,C,I</v>
      </c>
    </row>
    <row r="565" spans="1:18" ht="30" outlineLevel="2">
      <c r="A565" s="211" t="s">
        <v>66</v>
      </c>
      <c r="B565" s="212" t="s">
        <v>587</v>
      </c>
      <c r="C565" s="212" t="s">
        <v>588</v>
      </c>
      <c r="D565" s="211" t="s">
        <v>589</v>
      </c>
      <c r="E565" s="212" t="s">
        <v>590</v>
      </c>
      <c r="F565" s="211" t="s">
        <v>591</v>
      </c>
      <c r="G565" s="212" t="s">
        <v>23</v>
      </c>
      <c r="H565" s="212" t="s">
        <v>1530</v>
      </c>
      <c r="I565" s="212">
        <v>201409</v>
      </c>
      <c r="J565" s="213">
        <v>-3.04</v>
      </c>
      <c r="K565" s="171">
        <f>VLOOKUP(I565,$T$9:$U$23,2)</f>
        <v>9</v>
      </c>
      <c r="L565" s="214">
        <v>2.23333E-3</v>
      </c>
      <c r="M565" s="213">
        <f>ROUND(J565*K565*L565,2)</f>
        <v>-0.06</v>
      </c>
      <c r="N565" s="213">
        <f>ROUND(J565*L565*12,2)</f>
        <v>-0.08</v>
      </c>
      <c r="O565" s="14"/>
      <c r="P565" s="210" t="str">
        <f>VLOOKUP(C565,'WO Descriptions'!$A$5:$D$384,4,FALSE)</f>
        <v>Service/Yard Line Replacement (SLRP): Company Crew.  Block by Block - Planned replacement of all unprotected steel or copper in a single block.  (Monett - South Region)</v>
      </c>
      <c r="Q565" s="210"/>
      <c r="R565" s="210"/>
    </row>
    <row r="566" spans="1:18" outlineLevel="1">
      <c r="A566" s="256"/>
      <c r="B566" s="257"/>
      <c r="C566" s="260" t="s">
        <v>1926</v>
      </c>
      <c r="D566" s="256"/>
      <c r="E566" s="257"/>
      <c r="F566" s="256"/>
      <c r="G566" s="257"/>
      <c r="H566" s="257"/>
      <c r="I566" s="257"/>
      <c r="J566" s="258">
        <f>SUBTOTAL(9,J565:J565)</f>
        <v>-3.04</v>
      </c>
      <c r="K566" s="252"/>
      <c r="L566" s="259"/>
      <c r="M566" s="258">
        <f>SUBTOTAL(9,M565:M565)</f>
        <v>-0.06</v>
      </c>
      <c r="N566" s="258">
        <f>SUBTOTAL(9,N565:N565)</f>
        <v>-0.08</v>
      </c>
      <c r="O566" s="223"/>
      <c r="P566" s="210"/>
      <c r="Q566" s="210" t="str">
        <f>VLOOKUP(C566,'Descriptions Sorted by WO '!$A$5:$S$977,18,FALSE)</f>
        <v>393.1009 (5) (a) (b)</v>
      </c>
      <c r="R566" s="210" t="str">
        <f>VLOOKUP(C566,'Descriptions Sorted by WO '!$A$5:$S$977,19,FALSE)</f>
        <v>A,B,C,I</v>
      </c>
    </row>
    <row r="567" spans="1:18" ht="30" outlineLevel="2">
      <c r="A567" s="211" t="s">
        <v>1584</v>
      </c>
      <c r="B567" s="212" t="s">
        <v>1609</v>
      </c>
      <c r="C567" s="212" t="s">
        <v>1610</v>
      </c>
      <c r="D567" s="211" t="s">
        <v>1588</v>
      </c>
      <c r="E567" s="212" t="s">
        <v>1611</v>
      </c>
      <c r="F567" s="211" t="s">
        <v>1590</v>
      </c>
      <c r="G567" s="212" t="s">
        <v>23</v>
      </c>
      <c r="H567" s="212" t="s">
        <v>1530</v>
      </c>
      <c r="I567" s="212">
        <v>201409</v>
      </c>
      <c r="J567" s="213">
        <v>-5.08</v>
      </c>
      <c r="K567" s="171">
        <f>VLOOKUP(I567,$T$9:$U$23,2)</f>
        <v>9</v>
      </c>
      <c r="L567" s="214">
        <v>2.0333333000000001E-3</v>
      </c>
      <c r="M567" s="213">
        <f>ROUND(J567*K567*L567,2)</f>
        <v>-0.09</v>
      </c>
      <c r="N567" s="213">
        <f>ROUND(J567*L567*12,2)</f>
        <v>-0.12</v>
      </c>
      <c r="O567" s="14"/>
      <c r="P567" s="210" t="str">
        <f>VLOOKUP(C567,'WO Descriptions'!$A$5:$D$384,4,FALSE)</f>
        <v>Service/Yard Line Replacement (SLRP): Company Crew.  Rebuild meter/regulator setting (exclude regulator) (St Joseph)</v>
      </c>
      <c r="Q567" s="210"/>
      <c r="R567" s="210"/>
    </row>
    <row r="568" spans="1:18" outlineLevel="1">
      <c r="A568" s="256"/>
      <c r="B568" s="257"/>
      <c r="C568" s="260" t="s">
        <v>1927</v>
      </c>
      <c r="D568" s="256"/>
      <c r="E568" s="257"/>
      <c r="F568" s="256"/>
      <c r="G568" s="257"/>
      <c r="H568" s="257"/>
      <c r="I568" s="257"/>
      <c r="J568" s="258">
        <f>SUBTOTAL(9,J567:J567)</f>
        <v>-5.08</v>
      </c>
      <c r="K568" s="252"/>
      <c r="L568" s="259"/>
      <c r="M568" s="258">
        <f>SUBTOTAL(9,M567:M567)</f>
        <v>-0.09</v>
      </c>
      <c r="N568" s="258">
        <f>SUBTOTAL(9,N567:N567)</f>
        <v>-0.12</v>
      </c>
      <c r="O568" s="223"/>
      <c r="P568" s="210"/>
      <c r="Q568" s="210" t="str">
        <f>VLOOKUP(C568,'Descriptions Sorted by WO '!$A$5:$S$977,18,FALSE)</f>
        <v>393.1009 (5) (a) (b)</v>
      </c>
      <c r="R568" s="210" t="str">
        <f>VLOOKUP(C568,'Descriptions Sorted by WO '!$A$5:$S$977,19,FALSE)</f>
        <v>A,B,C,I</v>
      </c>
    </row>
    <row r="569" spans="1:18" ht="30" outlineLevel="2">
      <c r="A569" s="211" t="s">
        <v>66</v>
      </c>
      <c r="B569" s="212" t="s">
        <v>592</v>
      </c>
      <c r="C569" s="212" t="s">
        <v>593</v>
      </c>
      <c r="D569" s="211" t="s">
        <v>381</v>
      </c>
      <c r="E569" s="212" t="s">
        <v>594</v>
      </c>
      <c r="F569" s="211" t="s">
        <v>212</v>
      </c>
      <c r="G569" s="212" t="s">
        <v>23</v>
      </c>
      <c r="H569" s="212" t="s">
        <v>1530</v>
      </c>
      <c r="I569" s="212">
        <v>201409</v>
      </c>
      <c r="J569" s="213">
        <v>-383.88</v>
      </c>
      <c r="K569" s="171">
        <f>VLOOKUP(I569,$T$9:$U$23,2)</f>
        <v>9</v>
      </c>
      <c r="L569" s="214">
        <v>2.23333E-3</v>
      </c>
      <c r="M569" s="213">
        <f>ROUND(J569*K569*L569,2)</f>
        <v>-7.72</v>
      </c>
      <c r="N569" s="213">
        <f>ROUND(J569*L569*12,2)</f>
        <v>-10.29</v>
      </c>
      <c r="O569" s="14"/>
      <c r="P569" s="210" t="str">
        <f>VLOOKUP(C569,'WO Descriptions'!$A$5:$D$384,4,FALSE)</f>
        <v>Service/Yard Line Replacement (SLRP): Contract Crew.  Immediate response - replacement single unprotected steel or copper  (Monett - South Region)</v>
      </c>
      <c r="Q569" s="210"/>
      <c r="R569" s="210"/>
    </row>
    <row r="570" spans="1:18" outlineLevel="1">
      <c r="A570" s="256"/>
      <c r="B570" s="257"/>
      <c r="C570" s="260" t="s">
        <v>1928</v>
      </c>
      <c r="D570" s="256"/>
      <c r="E570" s="257"/>
      <c r="F570" s="256"/>
      <c r="G570" s="257"/>
      <c r="H570" s="257"/>
      <c r="I570" s="257"/>
      <c r="J570" s="258">
        <f>SUBTOTAL(9,J569:J569)</f>
        <v>-383.88</v>
      </c>
      <c r="K570" s="252"/>
      <c r="L570" s="259"/>
      <c r="M570" s="258">
        <f>SUBTOTAL(9,M569:M569)</f>
        <v>-7.72</v>
      </c>
      <c r="N570" s="258">
        <f>SUBTOTAL(9,N569:N569)</f>
        <v>-10.29</v>
      </c>
      <c r="O570" s="223"/>
      <c r="P570" s="210"/>
      <c r="Q570" s="210" t="str">
        <f>VLOOKUP(C570,'Descriptions Sorted by WO '!$A$5:$S$977,18,FALSE)</f>
        <v>393.1009 (5) (a) (b)</v>
      </c>
      <c r="R570" s="210" t="str">
        <f>VLOOKUP(C570,'Descriptions Sorted by WO '!$A$5:$S$977,19,FALSE)</f>
        <v>A,B,C,I</v>
      </c>
    </row>
    <row r="571" spans="1:18" ht="30" outlineLevel="2">
      <c r="A571" s="211" t="s">
        <v>66</v>
      </c>
      <c r="B571" s="212" t="s">
        <v>595</v>
      </c>
      <c r="C571" s="212" t="s">
        <v>596</v>
      </c>
      <c r="D571" s="211" t="s">
        <v>597</v>
      </c>
      <c r="E571" s="212" t="s">
        <v>598</v>
      </c>
      <c r="F571" s="211" t="s">
        <v>212</v>
      </c>
      <c r="G571" s="212" t="s">
        <v>23</v>
      </c>
      <c r="H571" s="212" t="s">
        <v>1530</v>
      </c>
      <c r="I571" s="212">
        <v>201409</v>
      </c>
      <c r="J571" s="213">
        <v>260099.33</v>
      </c>
      <c r="K571" s="171">
        <f t="shared" ref="K571:K576" si="66">VLOOKUP(I571,$T$9:$U$23,2)</f>
        <v>9</v>
      </c>
      <c r="L571" s="214">
        <v>2.23333E-3</v>
      </c>
      <c r="M571" s="213">
        <f t="shared" ref="M571:M576" si="67">ROUND(J571*K571*L571,2)</f>
        <v>5227.99</v>
      </c>
      <c r="N571" s="213">
        <f t="shared" ref="N571:N576" si="68">ROUND(J571*L571*12,2)</f>
        <v>6970.65</v>
      </c>
      <c r="O571" s="14"/>
      <c r="P571" s="210" t="str">
        <f>VLOOKUP(C571,'WO Descriptions'!$A$5:$D$384,4,FALSE)</f>
        <v>Service/Yard Line Replacement (SLRP): Contract Crew.  Immediate response - replacement single unprotected steel or copper  (Lee's Summit - East Region)</v>
      </c>
      <c r="Q571" s="210"/>
      <c r="R571" s="210"/>
    </row>
    <row r="572" spans="1:18" ht="30" outlineLevel="2">
      <c r="A572" s="211" t="s">
        <v>66</v>
      </c>
      <c r="B572" s="212" t="s">
        <v>595</v>
      </c>
      <c r="C572" s="212" t="s">
        <v>596</v>
      </c>
      <c r="D572" s="211" t="s">
        <v>597</v>
      </c>
      <c r="E572" s="212" t="s">
        <v>598</v>
      </c>
      <c r="F572" s="211" t="s">
        <v>212</v>
      </c>
      <c r="G572" s="212" t="s">
        <v>23</v>
      </c>
      <c r="H572" s="212" t="s">
        <v>1530</v>
      </c>
      <c r="I572" s="212">
        <v>201410</v>
      </c>
      <c r="J572" s="213">
        <v>100421.51</v>
      </c>
      <c r="K572" s="171">
        <f t="shared" si="66"/>
        <v>8</v>
      </c>
      <c r="L572" s="214">
        <v>2.23333E-3</v>
      </c>
      <c r="M572" s="213">
        <f t="shared" si="67"/>
        <v>1794.19</v>
      </c>
      <c r="N572" s="213">
        <f t="shared" si="68"/>
        <v>2691.29</v>
      </c>
      <c r="O572" s="14"/>
      <c r="P572" s="210" t="str">
        <f>VLOOKUP(C572,'WO Descriptions'!$A$5:$D$384,4,FALSE)</f>
        <v>Service/Yard Line Replacement (SLRP): Contract Crew.  Immediate response - replacement single unprotected steel or copper  (Lee's Summit - East Region)</v>
      </c>
      <c r="Q572" s="210"/>
      <c r="R572" s="210"/>
    </row>
    <row r="573" spans="1:18" ht="30" outlineLevel="2">
      <c r="A573" s="211" t="s">
        <v>66</v>
      </c>
      <c r="B573" s="212" t="s">
        <v>595</v>
      </c>
      <c r="C573" s="212" t="s">
        <v>596</v>
      </c>
      <c r="D573" s="211" t="s">
        <v>597</v>
      </c>
      <c r="E573" s="212" t="s">
        <v>598</v>
      </c>
      <c r="F573" s="211" t="s">
        <v>212</v>
      </c>
      <c r="G573" s="212" t="s">
        <v>23</v>
      </c>
      <c r="H573" s="212" t="s">
        <v>1530</v>
      </c>
      <c r="I573" s="212">
        <v>201411</v>
      </c>
      <c r="J573" s="213">
        <v>46466.6</v>
      </c>
      <c r="K573" s="171">
        <f t="shared" si="66"/>
        <v>7</v>
      </c>
      <c r="L573" s="214">
        <v>2.23333E-3</v>
      </c>
      <c r="M573" s="213">
        <f t="shared" si="67"/>
        <v>726.43</v>
      </c>
      <c r="N573" s="213">
        <f t="shared" si="68"/>
        <v>1245.3</v>
      </c>
      <c r="O573" s="14"/>
      <c r="P573" s="210" t="str">
        <f>VLOOKUP(C573,'WO Descriptions'!$A$5:$D$384,4,FALSE)</f>
        <v>Service/Yard Line Replacement (SLRP): Contract Crew.  Immediate response - replacement single unprotected steel or copper  (Lee's Summit - East Region)</v>
      </c>
      <c r="Q573" s="210"/>
      <c r="R573" s="210"/>
    </row>
    <row r="574" spans="1:18" ht="30" outlineLevel="2">
      <c r="A574" s="211" t="s">
        <v>66</v>
      </c>
      <c r="B574" s="212" t="s">
        <v>595</v>
      </c>
      <c r="C574" s="212" t="s">
        <v>596</v>
      </c>
      <c r="D574" s="211" t="s">
        <v>597</v>
      </c>
      <c r="E574" s="212" t="s">
        <v>598</v>
      </c>
      <c r="F574" s="211" t="s">
        <v>212</v>
      </c>
      <c r="G574" s="212" t="s">
        <v>23</v>
      </c>
      <c r="H574" s="212" t="s">
        <v>1530</v>
      </c>
      <c r="I574" s="212">
        <v>201412</v>
      </c>
      <c r="J574" s="213">
        <v>24356.41</v>
      </c>
      <c r="K574" s="171">
        <f t="shared" si="66"/>
        <v>6</v>
      </c>
      <c r="L574" s="214">
        <v>2.23333E-3</v>
      </c>
      <c r="M574" s="213">
        <f t="shared" si="67"/>
        <v>326.38</v>
      </c>
      <c r="N574" s="213">
        <f t="shared" si="68"/>
        <v>652.75</v>
      </c>
      <c r="O574" s="14"/>
      <c r="P574" s="210" t="str">
        <f>VLOOKUP(C574,'WO Descriptions'!$A$5:$D$384,4,FALSE)</f>
        <v>Service/Yard Line Replacement (SLRP): Contract Crew.  Immediate response - replacement single unprotected steel or copper  (Lee's Summit - East Region)</v>
      </c>
      <c r="Q574" s="210"/>
      <c r="R574" s="210"/>
    </row>
    <row r="575" spans="1:18" ht="30" outlineLevel="2">
      <c r="A575" s="14" t="s">
        <v>66</v>
      </c>
      <c r="B575" s="15" t="s">
        <v>595</v>
      </c>
      <c r="C575" s="15" t="s">
        <v>596</v>
      </c>
      <c r="D575" s="14" t="s">
        <v>597</v>
      </c>
      <c r="E575" s="15" t="s">
        <v>598</v>
      </c>
      <c r="F575" s="14" t="s">
        <v>212</v>
      </c>
      <c r="G575" s="15" t="s">
        <v>23</v>
      </c>
      <c r="H575" s="15" t="s">
        <v>1530</v>
      </c>
      <c r="I575" s="15">
        <v>201501</v>
      </c>
      <c r="J575" s="16">
        <v>-6763.69</v>
      </c>
      <c r="K575" s="171">
        <f t="shared" si="66"/>
        <v>5</v>
      </c>
      <c r="L575" s="17">
        <v>2.23333E-3</v>
      </c>
      <c r="M575" s="16">
        <f t="shared" si="67"/>
        <v>-75.53</v>
      </c>
      <c r="N575" s="16">
        <f t="shared" si="68"/>
        <v>-181.27</v>
      </c>
      <c r="O575" s="14"/>
      <c r="P575" s="210" t="str">
        <f>VLOOKUP(C575,'WO Descriptions'!$A$5:$D$384,4,FALSE)</f>
        <v>Service/Yard Line Replacement (SLRP): Contract Crew.  Immediate response - replacement single unprotected steel or copper  (Lee's Summit - East Region)</v>
      </c>
      <c r="Q575" s="210"/>
      <c r="R575" s="210"/>
    </row>
    <row r="576" spans="1:18" ht="30" outlineLevel="2">
      <c r="A576" s="14" t="s">
        <v>66</v>
      </c>
      <c r="B576" s="15" t="s">
        <v>595</v>
      </c>
      <c r="C576" s="15" t="s">
        <v>596</v>
      </c>
      <c r="D576" s="14" t="s">
        <v>597</v>
      </c>
      <c r="E576" s="15" t="s">
        <v>598</v>
      </c>
      <c r="F576" s="14" t="s">
        <v>212</v>
      </c>
      <c r="G576" s="15" t="s">
        <v>23</v>
      </c>
      <c r="H576" s="15" t="s">
        <v>1530</v>
      </c>
      <c r="I576" s="15">
        <v>201502</v>
      </c>
      <c r="J576" s="16">
        <v>69364.84</v>
      </c>
      <c r="K576" s="171">
        <f t="shared" si="66"/>
        <v>4</v>
      </c>
      <c r="L576" s="17">
        <v>2.23333E-3</v>
      </c>
      <c r="M576" s="16">
        <f t="shared" si="67"/>
        <v>619.66</v>
      </c>
      <c r="N576" s="16">
        <f t="shared" si="68"/>
        <v>1858.97</v>
      </c>
      <c r="O576" s="14"/>
      <c r="P576" s="210" t="str">
        <f>VLOOKUP(C576,'WO Descriptions'!$A$5:$D$384,4,FALSE)</f>
        <v>Service/Yard Line Replacement (SLRP): Contract Crew.  Immediate response - replacement single unprotected steel or copper  (Lee's Summit - East Region)</v>
      </c>
      <c r="Q576" s="210"/>
      <c r="R576" s="210"/>
    </row>
    <row r="577" spans="1:18" outlineLevel="1">
      <c r="A577" s="223"/>
      <c r="B577" s="250"/>
      <c r="C577" s="254" t="s">
        <v>1929</v>
      </c>
      <c r="D577" s="223"/>
      <c r="E577" s="250"/>
      <c r="F577" s="223"/>
      <c r="G577" s="250"/>
      <c r="H577" s="250"/>
      <c r="I577" s="250"/>
      <c r="J577" s="251">
        <f>SUBTOTAL(9,J571:J576)</f>
        <v>493944.99999999988</v>
      </c>
      <c r="K577" s="252"/>
      <c r="L577" s="253"/>
      <c r="M577" s="251">
        <f>SUBTOTAL(9,M571:M576)</f>
        <v>8619.1200000000008</v>
      </c>
      <c r="N577" s="251">
        <f>SUBTOTAL(9,N571:N576)</f>
        <v>13237.689999999997</v>
      </c>
      <c r="O577" s="223"/>
      <c r="P577" s="210"/>
      <c r="Q577" s="210" t="str">
        <f>VLOOKUP(C577,'Descriptions Sorted by WO '!$A$5:$S$977,18,FALSE)</f>
        <v>393.1009 (5) (a) (b)</v>
      </c>
      <c r="R577" s="210" t="str">
        <f>VLOOKUP(C577,'Descriptions Sorted by WO '!$A$5:$S$977,19,FALSE)</f>
        <v>A,B,C,I</v>
      </c>
    </row>
    <row r="578" spans="1:18" outlineLevel="2">
      <c r="A578" s="211" t="s">
        <v>66</v>
      </c>
      <c r="B578" s="212" t="s">
        <v>599</v>
      </c>
      <c r="C578" s="212" t="s">
        <v>600</v>
      </c>
      <c r="D578" s="211" t="s">
        <v>385</v>
      </c>
      <c r="E578" s="212" t="s">
        <v>601</v>
      </c>
      <c r="F578" s="211" t="s">
        <v>387</v>
      </c>
      <c r="G578" s="212" t="s">
        <v>23</v>
      </c>
      <c r="H578" s="212" t="s">
        <v>1530</v>
      </c>
      <c r="I578" s="212">
        <v>201409</v>
      </c>
      <c r="J578" s="213">
        <v>3438.85</v>
      </c>
      <c r="K578" s="171">
        <f t="shared" ref="K578:K583" si="69">VLOOKUP(I578,$T$9:$U$23,2)</f>
        <v>9</v>
      </c>
      <c r="L578" s="214">
        <v>2.23333E-3</v>
      </c>
      <c r="M578" s="213">
        <f t="shared" ref="M578:M583" si="70">ROUND(J578*K578*L578,2)</f>
        <v>69.12</v>
      </c>
      <c r="N578" s="213">
        <f t="shared" ref="N578:N583" si="71">ROUND(J578*L578*12,2)</f>
        <v>92.16</v>
      </c>
      <c r="O578" s="14"/>
      <c r="P578" s="210" t="str">
        <f>VLOOKUP(C578,'WO Descriptions'!$A$5:$D$384,4,FALSE)</f>
        <v>Replacement and/or removal of existing protected steel or plastic (St. Joseph)</v>
      </c>
      <c r="Q578" s="210"/>
      <c r="R578" s="210"/>
    </row>
    <row r="579" spans="1:18" outlineLevel="2">
      <c r="A579" s="211" t="s">
        <v>66</v>
      </c>
      <c r="B579" s="212" t="s">
        <v>599</v>
      </c>
      <c r="C579" s="212" t="s">
        <v>600</v>
      </c>
      <c r="D579" s="211" t="s">
        <v>385</v>
      </c>
      <c r="E579" s="212" t="s">
        <v>601</v>
      </c>
      <c r="F579" s="211" t="s">
        <v>387</v>
      </c>
      <c r="G579" s="212" t="s">
        <v>23</v>
      </c>
      <c r="H579" s="212" t="s">
        <v>1530</v>
      </c>
      <c r="I579" s="212">
        <v>201410</v>
      </c>
      <c r="J579" s="213">
        <v>5829.85</v>
      </c>
      <c r="K579" s="171">
        <f t="shared" si="69"/>
        <v>8</v>
      </c>
      <c r="L579" s="214">
        <v>2.23333E-3</v>
      </c>
      <c r="M579" s="213">
        <f t="shared" si="70"/>
        <v>104.16</v>
      </c>
      <c r="N579" s="213">
        <f t="shared" si="71"/>
        <v>156.24</v>
      </c>
      <c r="O579" s="14"/>
      <c r="P579" s="210" t="str">
        <f>VLOOKUP(C579,'WO Descriptions'!$A$5:$D$384,4,FALSE)</f>
        <v>Replacement and/or removal of existing protected steel or plastic (St. Joseph)</v>
      </c>
      <c r="Q579" s="210"/>
      <c r="R579" s="210"/>
    </row>
    <row r="580" spans="1:18" outlineLevel="2">
      <c r="A580" s="211" t="s">
        <v>66</v>
      </c>
      <c r="B580" s="212" t="s">
        <v>599</v>
      </c>
      <c r="C580" s="212" t="s">
        <v>600</v>
      </c>
      <c r="D580" s="211" t="s">
        <v>385</v>
      </c>
      <c r="E580" s="212" t="s">
        <v>601</v>
      </c>
      <c r="F580" s="211" t="s">
        <v>387</v>
      </c>
      <c r="G580" s="212" t="s">
        <v>23</v>
      </c>
      <c r="H580" s="212" t="s">
        <v>1530</v>
      </c>
      <c r="I580" s="212">
        <v>201411</v>
      </c>
      <c r="J580" s="213">
        <v>5494.87</v>
      </c>
      <c r="K580" s="171">
        <f t="shared" si="69"/>
        <v>7</v>
      </c>
      <c r="L580" s="214">
        <v>2.23333E-3</v>
      </c>
      <c r="M580" s="213">
        <f t="shared" si="70"/>
        <v>85.9</v>
      </c>
      <c r="N580" s="213">
        <f t="shared" si="71"/>
        <v>147.26</v>
      </c>
      <c r="O580" s="14"/>
      <c r="P580" s="210" t="str">
        <f>VLOOKUP(C580,'WO Descriptions'!$A$5:$D$384,4,FALSE)</f>
        <v>Replacement and/or removal of existing protected steel or plastic (St. Joseph)</v>
      </c>
      <c r="Q580" s="210"/>
      <c r="R580" s="210"/>
    </row>
    <row r="581" spans="1:18" outlineLevel="2">
      <c r="A581" s="211" t="s">
        <v>66</v>
      </c>
      <c r="B581" s="212" t="s">
        <v>599</v>
      </c>
      <c r="C581" s="212" t="s">
        <v>600</v>
      </c>
      <c r="D581" s="211" t="s">
        <v>385</v>
      </c>
      <c r="E581" s="212" t="s">
        <v>601</v>
      </c>
      <c r="F581" s="211" t="s">
        <v>387</v>
      </c>
      <c r="G581" s="212" t="s">
        <v>23</v>
      </c>
      <c r="H581" s="212" t="s">
        <v>1530</v>
      </c>
      <c r="I581" s="212">
        <v>201412</v>
      </c>
      <c r="J581" s="213">
        <v>5423.03</v>
      </c>
      <c r="K581" s="171">
        <f t="shared" si="69"/>
        <v>6</v>
      </c>
      <c r="L581" s="214">
        <v>2.23333E-3</v>
      </c>
      <c r="M581" s="213">
        <f t="shared" si="70"/>
        <v>72.67</v>
      </c>
      <c r="N581" s="213">
        <f t="shared" si="71"/>
        <v>145.34</v>
      </c>
      <c r="O581" s="14"/>
      <c r="P581" s="210" t="str">
        <f>VLOOKUP(C581,'WO Descriptions'!$A$5:$D$384,4,FALSE)</f>
        <v>Replacement and/or removal of existing protected steel or plastic (St. Joseph)</v>
      </c>
      <c r="Q581" s="210"/>
      <c r="R581" s="210"/>
    </row>
    <row r="582" spans="1:18" outlineLevel="2">
      <c r="A582" s="14" t="s">
        <v>66</v>
      </c>
      <c r="B582" s="15" t="s">
        <v>599</v>
      </c>
      <c r="C582" s="15" t="s">
        <v>600</v>
      </c>
      <c r="D582" s="14" t="s">
        <v>385</v>
      </c>
      <c r="E582" s="15" t="s">
        <v>601</v>
      </c>
      <c r="F582" s="14" t="s">
        <v>387</v>
      </c>
      <c r="G582" s="15" t="s">
        <v>23</v>
      </c>
      <c r="H582" s="15" t="s">
        <v>1530</v>
      </c>
      <c r="I582" s="15">
        <v>201501</v>
      </c>
      <c r="J582" s="16">
        <v>12791.08</v>
      </c>
      <c r="K582" s="171">
        <f t="shared" si="69"/>
        <v>5</v>
      </c>
      <c r="L582" s="17">
        <v>2.23333E-3</v>
      </c>
      <c r="M582" s="16">
        <f t="shared" si="70"/>
        <v>142.83000000000001</v>
      </c>
      <c r="N582" s="16">
        <f t="shared" si="71"/>
        <v>342.8</v>
      </c>
      <c r="O582" s="14"/>
      <c r="P582" s="210" t="str">
        <f>VLOOKUP(C582,'WO Descriptions'!$A$5:$D$384,4,FALSE)</f>
        <v>Replacement and/or removal of existing protected steel or plastic (St. Joseph)</v>
      </c>
      <c r="Q582" s="210"/>
      <c r="R582" s="210"/>
    </row>
    <row r="583" spans="1:18" outlineLevel="2">
      <c r="A583" s="14" t="s">
        <v>66</v>
      </c>
      <c r="B583" s="15" t="s">
        <v>599</v>
      </c>
      <c r="C583" s="15" t="s">
        <v>600</v>
      </c>
      <c r="D583" s="14" t="s">
        <v>385</v>
      </c>
      <c r="E583" s="15" t="s">
        <v>601</v>
      </c>
      <c r="F583" s="14" t="s">
        <v>387</v>
      </c>
      <c r="G583" s="15" t="s">
        <v>23</v>
      </c>
      <c r="H583" s="15" t="s">
        <v>1530</v>
      </c>
      <c r="I583" s="15">
        <v>201502</v>
      </c>
      <c r="J583" s="16">
        <v>-3148.9</v>
      </c>
      <c r="K583" s="171">
        <f t="shared" si="69"/>
        <v>4</v>
      </c>
      <c r="L583" s="17">
        <v>2.23333E-3</v>
      </c>
      <c r="M583" s="16">
        <f t="shared" si="70"/>
        <v>-28.13</v>
      </c>
      <c r="N583" s="16">
        <f t="shared" si="71"/>
        <v>-84.39</v>
      </c>
      <c r="O583" s="14"/>
      <c r="P583" s="210" t="str">
        <f>VLOOKUP(C583,'WO Descriptions'!$A$5:$D$384,4,FALSE)</f>
        <v>Replacement and/or removal of existing protected steel or plastic (St. Joseph)</v>
      </c>
      <c r="Q583" s="210"/>
      <c r="R583" s="210"/>
    </row>
    <row r="584" spans="1:18" outlineLevel="1">
      <c r="A584" s="223"/>
      <c r="B584" s="250"/>
      <c r="C584" s="254" t="s">
        <v>1930</v>
      </c>
      <c r="D584" s="223"/>
      <c r="E584" s="250"/>
      <c r="F584" s="223"/>
      <c r="G584" s="250"/>
      <c r="H584" s="250"/>
      <c r="I584" s="250"/>
      <c r="J584" s="251">
        <f>SUBTOTAL(9,J578:J583)</f>
        <v>29828.78</v>
      </c>
      <c r="K584" s="252"/>
      <c r="L584" s="253"/>
      <c r="M584" s="251">
        <f>SUBTOTAL(9,M578:M583)</f>
        <v>446.55000000000007</v>
      </c>
      <c r="N584" s="251">
        <f>SUBTOTAL(9,N578:N583)</f>
        <v>799.41</v>
      </c>
      <c r="O584" s="223"/>
      <c r="P584" s="210"/>
      <c r="Q584" s="210" t="str">
        <f>VLOOKUP(C584,'Descriptions Sorted by WO '!$A$5:$S$977,18,FALSE)</f>
        <v>393.1009 (5) (a) (b)</v>
      </c>
      <c r="R584" s="210" t="str">
        <f>VLOOKUP(C584,'Descriptions Sorted by WO '!$A$5:$S$977,19,FALSE)</f>
        <v>A,B,C,I</v>
      </c>
    </row>
    <row r="585" spans="1:18" ht="75" outlineLevel="2">
      <c r="A585" s="14" t="s">
        <v>17</v>
      </c>
      <c r="B585" s="15" t="s">
        <v>602</v>
      </c>
      <c r="C585" s="15" t="s">
        <v>603</v>
      </c>
      <c r="D585" s="14" t="s">
        <v>604</v>
      </c>
      <c r="E585" s="15" t="s">
        <v>58</v>
      </c>
      <c r="F585" s="14" t="s">
        <v>22</v>
      </c>
      <c r="G585" s="15" t="s">
        <v>23</v>
      </c>
      <c r="H585" s="15" t="s">
        <v>1525</v>
      </c>
      <c r="I585" s="15">
        <v>201409</v>
      </c>
      <c r="J585" s="16">
        <v>50.89</v>
      </c>
      <c r="K585" s="171">
        <f>VLOOKUP(I585,$T$9:$U$23,2)</f>
        <v>9</v>
      </c>
      <c r="L585" s="17">
        <v>1.4833299999999999E-3</v>
      </c>
      <c r="M585" s="16">
        <f>ROUND(J585*K585*L585,2)</f>
        <v>0.68</v>
      </c>
      <c r="N585" s="16">
        <f>ROUND(J585*L585*12,2)</f>
        <v>0.91</v>
      </c>
      <c r="O585" s="14"/>
      <c r="P585" s="210" t="str">
        <f>VLOOKUP(C585,'WO Descriptions'!$A$5:$D$384,4,FALSE)</f>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
      <c r="Q585" s="210"/>
      <c r="R585" s="210"/>
    </row>
    <row r="586" spans="1:18" outlineLevel="1">
      <c r="A586" s="223"/>
      <c r="B586" s="250"/>
      <c r="C586" s="254" t="s">
        <v>1931</v>
      </c>
      <c r="D586" s="223"/>
      <c r="E586" s="250"/>
      <c r="F586" s="223"/>
      <c r="G586" s="250"/>
      <c r="H586" s="250"/>
      <c r="I586" s="250"/>
      <c r="J586" s="251">
        <f>SUBTOTAL(9,J585:J585)</f>
        <v>50.89</v>
      </c>
      <c r="K586" s="252"/>
      <c r="L586" s="253"/>
      <c r="M586" s="251">
        <f>SUBTOTAL(9,M585:M585)</f>
        <v>0.68</v>
      </c>
      <c r="N586" s="251">
        <f>SUBTOTAL(9,N585:N585)</f>
        <v>0.91</v>
      </c>
      <c r="O586" s="223"/>
      <c r="P586" s="210"/>
      <c r="Q586" s="210" t="str">
        <f>VLOOKUP(C586,'Descriptions Sorted by WO '!$A$5:$S$977,18,FALSE)</f>
        <v>393.1009 (5) (a) (b)</v>
      </c>
      <c r="R586" s="210" t="str">
        <f>VLOOKUP(C586,'Descriptions Sorted by WO '!$A$5:$S$977,19,FALSE)</f>
        <v>A,B,C</v>
      </c>
    </row>
    <row r="587" spans="1:18" ht="180" outlineLevel="2">
      <c r="A587" s="18" t="s">
        <v>17</v>
      </c>
      <c r="B587" s="15" t="s">
        <v>605</v>
      </c>
      <c r="C587" s="15" t="s">
        <v>606</v>
      </c>
      <c r="D587" s="14" t="s">
        <v>607</v>
      </c>
      <c r="E587" s="15" t="s">
        <v>62</v>
      </c>
      <c r="F587" s="14" t="s">
        <v>22</v>
      </c>
      <c r="G587" s="15" t="s">
        <v>23</v>
      </c>
      <c r="H587" s="15" t="s">
        <v>1525</v>
      </c>
      <c r="I587" s="15">
        <v>201409</v>
      </c>
      <c r="J587" s="16">
        <v>-1362.37</v>
      </c>
      <c r="K587" s="171">
        <f>VLOOKUP(I587,$T$9:$U$23,2)</f>
        <v>9</v>
      </c>
      <c r="L587" s="17">
        <v>1.4833299999999999E-3</v>
      </c>
      <c r="M587" s="16">
        <f>ROUND(J587*K587*L587,2)</f>
        <v>-18.190000000000001</v>
      </c>
      <c r="N587" s="16">
        <f>ROUND(J587*L587*12,2)</f>
        <v>-24.25</v>
      </c>
      <c r="O587" s="14"/>
      <c r="P587" s="210" t="str">
        <f>VLOOKUP(C587,'WO Descriptions'!$A$5:$D$384,4,FALSE)</f>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
      <c r="Q587" s="210"/>
      <c r="R587" s="210"/>
    </row>
    <row r="588" spans="1:18" outlineLevel="1">
      <c r="A588" s="225"/>
      <c r="B588" s="250"/>
      <c r="C588" s="254" t="s">
        <v>1932</v>
      </c>
      <c r="D588" s="223"/>
      <c r="E588" s="250"/>
      <c r="F588" s="223"/>
      <c r="G588" s="250"/>
      <c r="H588" s="250"/>
      <c r="I588" s="250"/>
      <c r="J588" s="251">
        <f>SUBTOTAL(9,J587:J587)</f>
        <v>-1362.37</v>
      </c>
      <c r="K588" s="252"/>
      <c r="L588" s="253"/>
      <c r="M588" s="251">
        <f>SUBTOTAL(9,M587:M587)</f>
        <v>-18.190000000000001</v>
      </c>
      <c r="N588" s="251">
        <f>SUBTOTAL(9,N587:N587)</f>
        <v>-24.25</v>
      </c>
      <c r="O588" s="223"/>
      <c r="P588" s="210"/>
      <c r="Q588" s="210" t="str">
        <f>VLOOKUP(C588,'Descriptions Sorted by WO '!$A$5:$S$977,18,FALSE)</f>
        <v>393.1009 (5) (a) (b)</v>
      </c>
      <c r="R588" s="210" t="str">
        <f>VLOOKUP(C588,'Descriptions Sorted by WO '!$A$5:$S$977,19,FALSE)</f>
        <v>A,B,C</v>
      </c>
    </row>
    <row r="589" spans="1:18" ht="45" outlineLevel="2">
      <c r="A589" s="18" t="s">
        <v>17</v>
      </c>
      <c r="B589" s="15" t="s">
        <v>608</v>
      </c>
      <c r="C589" s="15" t="s">
        <v>609</v>
      </c>
      <c r="D589" s="14" t="s">
        <v>610</v>
      </c>
      <c r="E589" s="15" t="s">
        <v>45</v>
      </c>
      <c r="F589" s="14" t="s">
        <v>22</v>
      </c>
      <c r="G589" s="15" t="s">
        <v>23</v>
      </c>
      <c r="H589" s="15" t="s">
        <v>1525</v>
      </c>
      <c r="I589" s="15">
        <v>201409</v>
      </c>
      <c r="J589" s="16">
        <v>-283.43</v>
      </c>
      <c r="K589" s="171">
        <f>VLOOKUP(I589,$T$9:$U$23,2)</f>
        <v>9</v>
      </c>
      <c r="L589" s="17">
        <v>1.4833299999999999E-3</v>
      </c>
      <c r="M589" s="16">
        <f>ROUND(J589*K589*L589,2)</f>
        <v>-3.78</v>
      </c>
      <c r="N589" s="16">
        <f>ROUND(J589*L589*12,2)</f>
        <v>-5.05</v>
      </c>
      <c r="O589" s="14"/>
      <c r="P589" s="210" t="str">
        <f>VLOOKUP(C589,'WO Descriptions'!$A$5:$D$384,4,FALSE)</f>
        <v>Approved by: Gary Williams on 04/08/2013,  Replace 40'-12in bare steel and 4'-3in bare steel, work orders unknow. Replaced with 40'-12in TF Steel main.  This work order was necessary due to leak on 12in steel main.</v>
      </c>
      <c r="Q589" s="210"/>
      <c r="R589" s="210"/>
    </row>
    <row r="590" spans="1:18" outlineLevel="1">
      <c r="A590" s="225"/>
      <c r="B590" s="250"/>
      <c r="C590" s="254" t="s">
        <v>1933</v>
      </c>
      <c r="D590" s="223"/>
      <c r="E590" s="250"/>
      <c r="F590" s="223"/>
      <c r="G590" s="250"/>
      <c r="H590" s="250"/>
      <c r="I590" s="250"/>
      <c r="J590" s="251">
        <f>SUBTOTAL(9,J589:J589)</f>
        <v>-283.43</v>
      </c>
      <c r="K590" s="252"/>
      <c r="L590" s="253"/>
      <c r="M590" s="251">
        <f>SUBTOTAL(9,M589:M589)</f>
        <v>-3.78</v>
      </c>
      <c r="N590" s="251">
        <f>SUBTOTAL(9,N589:N589)</f>
        <v>-5.05</v>
      </c>
      <c r="O590" s="223"/>
      <c r="P590" s="210"/>
      <c r="Q590" s="210" t="str">
        <f>VLOOKUP(C590,'Descriptions Sorted by WO '!$A$5:$S$977,18,FALSE)</f>
        <v>393.1009 (5) (a) (b)</v>
      </c>
      <c r="R590" s="210" t="str">
        <f>VLOOKUP(C590,'Descriptions Sorted by WO '!$A$5:$S$977,19,FALSE)</f>
        <v>A,B,C</v>
      </c>
    </row>
    <row r="591" spans="1:18" ht="135" outlineLevel="2">
      <c r="A591" s="18" t="s">
        <v>17</v>
      </c>
      <c r="B591" s="15" t="s">
        <v>611</v>
      </c>
      <c r="C591" s="15" t="s">
        <v>612</v>
      </c>
      <c r="D591" s="14" t="s">
        <v>613</v>
      </c>
      <c r="E591" s="15" t="s">
        <v>324</v>
      </c>
      <c r="F591" s="14" t="s">
        <v>325</v>
      </c>
      <c r="G591" s="15" t="s">
        <v>23</v>
      </c>
      <c r="H591" s="15" t="s">
        <v>1525</v>
      </c>
      <c r="I591" s="15">
        <v>201409</v>
      </c>
      <c r="J591" s="16">
        <v>-386.84</v>
      </c>
      <c r="K591" s="171">
        <f>VLOOKUP(I591,$T$9:$U$23,2)</f>
        <v>9</v>
      </c>
      <c r="L591" s="17">
        <v>1.4833299999999999E-3</v>
      </c>
      <c r="M591" s="16">
        <f>ROUND(J591*K591*L591,2)</f>
        <v>-5.16</v>
      </c>
      <c r="N591" s="16">
        <f>ROUND(J591*L591*12,2)</f>
        <v>-6.89</v>
      </c>
      <c r="O591" s="14"/>
      <c r="P591" s="210" t="str">
        <f>VLOOKUP(C591,'WO Descriptions'!$A$5:$D$384,4,FALSE)</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c r="Q591" s="210"/>
      <c r="R591" s="210"/>
    </row>
    <row r="592" spans="1:18" ht="135" outlineLevel="2">
      <c r="A592" s="18" t="s">
        <v>17</v>
      </c>
      <c r="B592" s="15" t="s">
        <v>611</v>
      </c>
      <c r="C592" s="15" t="s">
        <v>612</v>
      </c>
      <c r="D592" s="14" t="s">
        <v>613</v>
      </c>
      <c r="E592" s="15" t="s">
        <v>324</v>
      </c>
      <c r="F592" s="14" t="s">
        <v>325</v>
      </c>
      <c r="G592" s="15" t="s">
        <v>23</v>
      </c>
      <c r="H592" s="15" t="s">
        <v>1525</v>
      </c>
      <c r="I592" s="15">
        <v>201410</v>
      </c>
      <c r="J592" s="16">
        <v>0</v>
      </c>
      <c r="K592" s="171">
        <f>VLOOKUP(I592,$T$9:$U$23,2)</f>
        <v>8</v>
      </c>
      <c r="L592" s="17">
        <v>1.4833299999999999E-3</v>
      </c>
      <c r="M592" s="16">
        <f>ROUND(J592*K592*L592,2)</f>
        <v>0</v>
      </c>
      <c r="N592" s="16">
        <f>ROUND(J592*L592*12,2)</f>
        <v>0</v>
      </c>
      <c r="O592" s="14"/>
      <c r="P592" s="210" t="str">
        <f>VLOOKUP(C592,'WO Descriptions'!$A$5:$D$384,4,FALSE)</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c r="Q592" s="210"/>
      <c r="R592" s="210"/>
    </row>
    <row r="593" spans="1:18" ht="135" outlineLevel="2">
      <c r="A593" s="14" t="s">
        <v>17</v>
      </c>
      <c r="B593" s="15" t="s">
        <v>611</v>
      </c>
      <c r="C593" s="15" t="s">
        <v>612</v>
      </c>
      <c r="D593" s="14" t="s">
        <v>613</v>
      </c>
      <c r="E593" s="15" t="s">
        <v>324</v>
      </c>
      <c r="F593" s="14" t="s">
        <v>325</v>
      </c>
      <c r="G593" s="15" t="s">
        <v>23</v>
      </c>
      <c r="H593" s="15" t="s">
        <v>1525</v>
      </c>
      <c r="I593" s="15">
        <v>201501</v>
      </c>
      <c r="J593" s="16">
        <v>-2038.46</v>
      </c>
      <c r="K593" s="171">
        <f>VLOOKUP(I593,$T$9:$U$23,2)</f>
        <v>5</v>
      </c>
      <c r="L593" s="17">
        <v>1.4833299999999999E-3</v>
      </c>
      <c r="M593" s="16">
        <f>ROUND(J593*K593*L593,2)</f>
        <v>-15.12</v>
      </c>
      <c r="N593" s="16">
        <f>ROUND(J593*L593*12,2)</f>
        <v>-36.28</v>
      </c>
      <c r="O593" s="14"/>
      <c r="P593" s="210" t="str">
        <f>VLOOKUP(C593,'WO Descriptions'!$A$5:$D$384,4,FALSE)</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c r="Q593" s="210"/>
      <c r="R593" s="210"/>
    </row>
    <row r="594" spans="1:18" ht="135" outlineLevel="2">
      <c r="A594" s="14" t="s">
        <v>17</v>
      </c>
      <c r="B594" s="15" t="s">
        <v>611</v>
      </c>
      <c r="C594" s="15" t="s">
        <v>612</v>
      </c>
      <c r="D594" s="14" t="s">
        <v>613</v>
      </c>
      <c r="E594" s="15" t="s">
        <v>324</v>
      </c>
      <c r="F594" s="14" t="s">
        <v>325</v>
      </c>
      <c r="G594" s="15" t="s">
        <v>23</v>
      </c>
      <c r="H594" s="15" t="s">
        <v>1525</v>
      </c>
      <c r="I594" s="15">
        <v>201502</v>
      </c>
      <c r="J594" s="16">
        <v>18.059999999999999</v>
      </c>
      <c r="K594" s="171">
        <f>VLOOKUP(I594,$T$9:$U$23,2)</f>
        <v>4</v>
      </c>
      <c r="L594" s="17">
        <v>1.4833299999999999E-3</v>
      </c>
      <c r="M594" s="16">
        <f>ROUND(J594*K594*L594,2)</f>
        <v>0.11</v>
      </c>
      <c r="N594" s="16">
        <f>ROUND(J594*L594*12,2)</f>
        <v>0.32</v>
      </c>
      <c r="O594" s="14"/>
      <c r="P594" s="210" t="str">
        <f>VLOOKUP(C594,'WO Descriptions'!$A$5:$D$384,4,FALSE)</f>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
      <c r="Q594" s="210"/>
      <c r="R594" s="210"/>
    </row>
    <row r="595" spans="1:18" outlineLevel="1">
      <c r="A595" s="223"/>
      <c r="B595" s="250"/>
      <c r="C595" s="254" t="s">
        <v>1934</v>
      </c>
      <c r="D595" s="223"/>
      <c r="E595" s="250"/>
      <c r="F595" s="223"/>
      <c r="G595" s="250"/>
      <c r="H595" s="250"/>
      <c r="I595" s="250"/>
      <c r="J595" s="251">
        <f>SUBTOTAL(9,J591:J594)</f>
        <v>-2407.2400000000002</v>
      </c>
      <c r="K595" s="252"/>
      <c r="L595" s="253"/>
      <c r="M595" s="251">
        <f>SUBTOTAL(9,M591:M594)</f>
        <v>-20.170000000000002</v>
      </c>
      <c r="N595" s="251">
        <f>SUBTOTAL(9,N591:N594)</f>
        <v>-42.85</v>
      </c>
      <c r="O595" s="223"/>
      <c r="P595" s="210"/>
      <c r="Q595" s="210" t="str">
        <f>VLOOKUP(C595,'Descriptions Sorted by WO '!$A$5:$S$977,18,FALSE)</f>
        <v>393.1009 (5) (a), (b)</v>
      </c>
      <c r="R595" s="210" t="str">
        <f>VLOOKUP(C595,'Descriptions Sorted by WO '!$A$5:$S$977,19,FALSE)</f>
        <v>A, B, E</v>
      </c>
    </row>
    <row r="596" spans="1:18" ht="30" outlineLevel="2">
      <c r="A596" s="18" t="s">
        <v>17</v>
      </c>
      <c r="B596" s="15" t="s">
        <v>614</v>
      </c>
      <c r="C596" s="15" t="s">
        <v>615</v>
      </c>
      <c r="D596" s="14" t="s">
        <v>616</v>
      </c>
      <c r="E596" s="15" t="s">
        <v>40</v>
      </c>
      <c r="F596" s="14" t="s">
        <v>41</v>
      </c>
      <c r="G596" s="15" t="s">
        <v>23</v>
      </c>
      <c r="H596" s="15" t="s">
        <v>1526</v>
      </c>
      <c r="I596" s="15">
        <v>201409</v>
      </c>
      <c r="J596" s="16">
        <v>-6.15</v>
      </c>
      <c r="K596" s="171">
        <f>VLOOKUP(I596,$T$9:$U$23,2)</f>
        <v>9</v>
      </c>
      <c r="L596" s="17">
        <v>1.4833299999999999E-3</v>
      </c>
      <c r="M596" s="16">
        <f>ROUND(J596*K596*L596,2)</f>
        <v>-0.08</v>
      </c>
      <c r="N596" s="16">
        <f>ROUND(J596*L596*12,2)</f>
        <v>-0.11</v>
      </c>
      <c r="O596" s="14"/>
      <c r="P596" s="210" t="str">
        <f>VLOOKUP(C596,'WO Descriptions'!$A$5:$D$384,4,FALSE)</f>
        <v>Approved by: Kevin Driskell on 01/13/2014,  Replace 19'-3in PCS with 3" PCS due to new storm sewer conflict.  Work done my MGE crew.  Retire 7'-3in PCS, year 1962, 62-1512</v>
      </c>
      <c r="Q596" s="210"/>
      <c r="R596" s="210"/>
    </row>
    <row r="597" spans="1:18" outlineLevel="1">
      <c r="A597" s="225"/>
      <c r="B597" s="250"/>
      <c r="C597" s="254" t="s">
        <v>1935</v>
      </c>
      <c r="D597" s="223"/>
      <c r="E597" s="250"/>
      <c r="F597" s="223"/>
      <c r="G597" s="250"/>
      <c r="H597" s="250"/>
      <c r="I597" s="250"/>
      <c r="J597" s="251">
        <f>SUBTOTAL(9,J596:J596)</f>
        <v>-6.15</v>
      </c>
      <c r="K597" s="252"/>
      <c r="L597" s="253"/>
      <c r="M597" s="251">
        <f>SUBTOTAL(9,M596:M596)</f>
        <v>-0.08</v>
      </c>
      <c r="N597" s="251">
        <f>SUBTOTAL(9,N596:N596)</f>
        <v>-0.11</v>
      </c>
      <c r="O597" s="223"/>
      <c r="P597" s="210"/>
      <c r="Q597" s="210" t="str">
        <f>VLOOKUP(C597,'Descriptions Sorted by WO '!$A$5:$S$977,18,FALSE)</f>
        <v>393.1009 (5) (C)</v>
      </c>
      <c r="R597" s="210"/>
    </row>
    <row r="598" spans="1:18" ht="75" outlineLevel="2">
      <c r="A598" s="18" t="s">
        <v>17</v>
      </c>
      <c r="B598" s="15" t="s">
        <v>617</v>
      </c>
      <c r="C598" s="15" t="s">
        <v>618</v>
      </c>
      <c r="D598" s="14" t="s">
        <v>619</v>
      </c>
      <c r="E598" s="15" t="s">
        <v>141</v>
      </c>
      <c r="F598" s="14" t="s">
        <v>142</v>
      </c>
      <c r="G598" s="15" t="s">
        <v>23</v>
      </c>
      <c r="H598" s="15" t="s">
        <v>1525</v>
      </c>
      <c r="I598" s="15">
        <v>201409</v>
      </c>
      <c r="J598" s="16">
        <v>-725.84</v>
      </c>
      <c r="K598" s="171">
        <f>VLOOKUP(I598,$T$9:$U$23,2)</f>
        <v>9</v>
      </c>
      <c r="L598" s="17">
        <v>1.4833299999999999E-3</v>
      </c>
      <c r="M598" s="16">
        <f>ROUND(J598*K598*L598,2)</f>
        <v>-9.69</v>
      </c>
      <c r="N598" s="16">
        <f>ROUND(J598*L598*12,2)</f>
        <v>-12.92</v>
      </c>
      <c r="O598" s="14"/>
      <c r="P598" s="210" t="str">
        <f>VLOOKUP(C598,'WO Descriptions'!$A$5:$D$384,4,FALSE)</f>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
      <c r="Q598" s="210"/>
      <c r="R598" s="210"/>
    </row>
    <row r="599" spans="1:18" outlineLevel="1">
      <c r="A599" s="225"/>
      <c r="B599" s="250"/>
      <c r="C599" s="254" t="s">
        <v>1936</v>
      </c>
      <c r="D599" s="223"/>
      <c r="E599" s="250"/>
      <c r="F599" s="223"/>
      <c r="G599" s="250"/>
      <c r="H599" s="250"/>
      <c r="I599" s="250"/>
      <c r="J599" s="251">
        <f>SUBTOTAL(9,J598:J598)</f>
        <v>-725.84</v>
      </c>
      <c r="K599" s="252"/>
      <c r="L599" s="253"/>
      <c r="M599" s="251">
        <f>SUBTOTAL(9,M598:M598)</f>
        <v>-9.69</v>
      </c>
      <c r="N599" s="251">
        <f>SUBTOTAL(9,N598:N598)</f>
        <v>-12.92</v>
      </c>
      <c r="O599" s="223"/>
      <c r="P599" s="210"/>
      <c r="Q599" s="210" t="str">
        <f>VLOOKUP(C599,'Descriptions Sorted by WO '!$A$5:$S$977,18,FALSE)</f>
        <v>393.1009 (5) (a) (b)</v>
      </c>
      <c r="R599" s="210" t="str">
        <f>VLOOKUP(C599,'Descriptions Sorted by WO '!$A$5:$S$977,19,FALSE)</f>
        <v>A,B,C,D,I</v>
      </c>
    </row>
    <row r="600" spans="1:18" ht="45" outlineLevel="2">
      <c r="A600" s="14" t="s">
        <v>66</v>
      </c>
      <c r="B600" s="15" t="s">
        <v>620</v>
      </c>
      <c r="C600" s="15" t="s">
        <v>621</v>
      </c>
      <c r="D600" s="14" t="s">
        <v>622</v>
      </c>
      <c r="E600" s="15" t="s">
        <v>623</v>
      </c>
      <c r="F600" s="14" t="s">
        <v>624</v>
      </c>
      <c r="G600" s="15" t="s">
        <v>23</v>
      </c>
      <c r="H600" s="15" t="s">
        <v>1527</v>
      </c>
      <c r="I600" s="15">
        <v>201409</v>
      </c>
      <c r="J600" s="16">
        <v>-176.28</v>
      </c>
      <c r="K600" s="171">
        <f>VLOOKUP(I600,$T$9:$U$23,2)</f>
        <v>9</v>
      </c>
      <c r="L600" s="17">
        <v>2.23333E-3</v>
      </c>
      <c r="M600" s="16">
        <f>ROUND(J600*K600*L600,2)</f>
        <v>-3.54</v>
      </c>
      <c r="N600" s="16">
        <f>ROUND(J600*L600*12,2)</f>
        <v>-4.72</v>
      </c>
      <c r="O600" s="14"/>
      <c r="P600" s="210" t="str">
        <f>VLOOKUP(C600,'WO Descriptions'!$A$5:$D$384,4,FALSE)</f>
        <v>Approved by: Kevin Driskell on 12/06/2013,  Replacing 20ft-2in cs (WO# N/A) service line with 280ft-2in pe service line. Due to leak on main will need to reroute service line to a different main 4in pe (WO#93-2450).</v>
      </c>
      <c r="Q600" s="210"/>
      <c r="R600" s="210"/>
    </row>
    <row r="601" spans="1:18" outlineLevel="1">
      <c r="A601" s="223"/>
      <c r="B601" s="250"/>
      <c r="C601" s="254" t="s">
        <v>1937</v>
      </c>
      <c r="D601" s="223"/>
      <c r="E601" s="250"/>
      <c r="F601" s="223"/>
      <c r="G601" s="250"/>
      <c r="H601" s="250"/>
      <c r="I601" s="250"/>
      <c r="J601" s="251">
        <f>SUBTOTAL(9,J600:J600)</f>
        <v>-176.28</v>
      </c>
      <c r="K601" s="252"/>
      <c r="L601" s="253"/>
      <c r="M601" s="251">
        <f>SUBTOTAL(9,M600:M600)</f>
        <v>-3.54</v>
      </c>
      <c r="N601" s="251">
        <f>SUBTOTAL(9,N600:N600)</f>
        <v>-4.72</v>
      </c>
      <c r="O601" s="223"/>
      <c r="P601" s="210"/>
      <c r="Q601" s="210" t="str">
        <f>VLOOKUP(C601,'Descriptions Sorted by WO '!$A$5:$S$977,18,FALSE)</f>
        <v>393.1009 (5) (a) (b)</v>
      </c>
      <c r="R601" s="210" t="str">
        <f>VLOOKUP(C601,'Descriptions Sorted by WO '!$A$5:$S$977,19,FALSE)</f>
        <v>A,B,D</v>
      </c>
    </row>
    <row r="602" spans="1:18" ht="60" outlineLevel="2">
      <c r="A602" s="14" t="s">
        <v>17</v>
      </c>
      <c r="B602" s="15" t="s">
        <v>625</v>
      </c>
      <c r="C602" s="15" t="s">
        <v>626</v>
      </c>
      <c r="D602" s="14" t="s">
        <v>627</v>
      </c>
      <c r="E602" s="15" t="s">
        <v>62</v>
      </c>
      <c r="F602" s="14" t="s">
        <v>22</v>
      </c>
      <c r="G602" s="15" t="s">
        <v>23</v>
      </c>
      <c r="H602" s="15" t="s">
        <v>1525</v>
      </c>
      <c r="I602" s="15">
        <v>201409</v>
      </c>
      <c r="J602" s="16">
        <v>-536.53</v>
      </c>
      <c r="K602" s="171">
        <f>VLOOKUP(I602,$T$9:$U$23,2)</f>
        <v>9</v>
      </c>
      <c r="L602" s="17">
        <v>1.4833299999999999E-3</v>
      </c>
      <c r="M602" s="16">
        <f>ROUND(J602*K602*L602,2)</f>
        <v>-7.16</v>
      </c>
      <c r="N602" s="16">
        <f>ROUND(J602*L602*12,2)</f>
        <v>-9.5500000000000007</v>
      </c>
      <c r="O602" s="14"/>
      <c r="P602" s="210" t="str">
        <f>VLOOKUP(C602,'WO Descriptions'!$A$5:$D$384,4,FALSE)</f>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
      <c r="Q602" s="210"/>
      <c r="R602" s="210"/>
    </row>
    <row r="603" spans="1:18" outlineLevel="1">
      <c r="A603" s="223"/>
      <c r="B603" s="250"/>
      <c r="C603" s="254" t="s">
        <v>1938</v>
      </c>
      <c r="D603" s="223"/>
      <c r="E603" s="250"/>
      <c r="F603" s="223"/>
      <c r="G603" s="250"/>
      <c r="H603" s="250"/>
      <c r="I603" s="250"/>
      <c r="J603" s="251">
        <f>SUBTOTAL(9,J602:J602)</f>
        <v>-536.53</v>
      </c>
      <c r="K603" s="252"/>
      <c r="L603" s="253"/>
      <c r="M603" s="251">
        <f>SUBTOTAL(9,M602:M602)</f>
        <v>-7.16</v>
      </c>
      <c r="N603" s="251">
        <f>SUBTOTAL(9,N602:N602)</f>
        <v>-9.5500000000000007</v>
      </c>
      <c r="O603" s="223"/>
      <c r="P603" s="210"/>
      <c r="Q603" s="210" t="str">
        <f>VLOOKUP(C603,'Descriptions Sorted by WO '!$A$5:$S$977,18,FALSE)</f>
        <v>393.1009 (5) (a) (b)</v>
      </c>
      <c r="R603" s="210" t="str">
        <f>VLOOKUP(C603,'Descriptions Sorted by WO '!$A$5:$S$977,19,FALSE)</f>
        <v>A,B,C</v>
      </c>
    </row>
    <row r="604" spans="1:18" ht="75" outlineLevel="2">
      <c r="A604" s="14" t="s">
        <v>17</v>
      </c>
      <c r="B604" s="15" t="s">
        <v>1030</v>
      </c>
      <c r="C604" s="15" t="s">
        <v>1031</v>
      </c>
      <c r="D604" s="14" t="s">
        <v>1032</v>
      </c>
      <c r="E604" s="15" t="s">
        <v>53</v>
      </c>
      <c r="F604" s="14" t="s">
        <v>41</v>
      </c>
      <c r="G604" s="15" t="s">
        <v>23</v>
      </c>
      <c r="H604" s="15" t="s">
        <v>1526</v>
      </c>
      <c r="I604" s="15">
        <v>201412</v>
      </c>
      <c r="J604" s="16">
        <v>77100.09</v>
      </c>
      <c r="K604" s="171">
        <f>VLOOKUP(I604,$T$9:$U$23,2)</f>
        <v>6</v>
      </c>
      <c r="L604" s="17">
        <v>1.4833299999999999E-3</v>
      </c>
      <c r="M604" s="16">
        <f>ROUND(J604*K604*L604,2)</f>
        <v>686.19</v>
      </c>
      <c r="N604" s="16">
        <f>ROUND(J604*L604*12,2)</f>
        <v>1372.38</v>
      </c>
      <c r="O604" s="14"/>
      <c r="P604" s="210" t="str">
        <f>VLOOKUP(C604,'WO Descriptions'!$A$5:$D$384,4,FALSE)</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c r="Q604" s="210"/>
      <c r="R604" s="210"/>
    </row>
    <row r="605" spans="1:18" ht="75" outlineLevel="2">
      <c r="A605" s="14" t="s">
        <v>17</v>
      </c>
      <c r="B605" s="15" t="s">
        <v>1030</v>
      </c>
      <c r="C605" s="15" t="s">
        <v>1031</v>
      </c>
      <c r="D605" s="14" t="s">
        <v>1032</v>
      </c>
      <c r="E605" s="15" t="s">
        <v>53</v>
      </c>
      <c r="F605" s="14" t="s">
        <v>41</v>
      </c>
      <c r="G605" s="15" t="s">
        <v>23</v>
      </c>
      <c r="H605" s="15" t="s">
        <v>1526</v>
      </c>
      <c r="I605" s="15">
        <v>201501</v>
      </c>
      <c r="J605" s="16">
        <v>-2.5</v>
      </c>
      <c r="K605" s="171">
        <f>VLOOKUP(I605,$T$9:$U$23,2)</f>
        <v>5</v>
      </c>
      <c r="L605" s="17">
        <v>1.4833299999999999E-3</v>
      </c>
      <c r="M605" s="16">
        <f>ROUND(J605*K605*L605,2)</f>
        <v>-0.02</v>
      </c>
      <c r="N605" s="16">
        <f>ROUND(J605*L605*12,2)</f>
        <v>-0.04</v>
      </c>
      <c r="O605" s="14"/>
      <c r="P605" s="210" t="str">
        <f>VLOOKUP(C605,'WO Descriptions'!$A$5:$D$384,4,FALSE)</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c r="Q605" s="210"/>
      <c r="R605" s="210"/>
    </row>
    <row r="606" spans="1:18" ht="75" outlineLevel="2">
      <c r="A606" s="14" t="s">
        <v>17</v>
      </c>
      <c r="B606" s="15" t="s">
        <v>1030</v>
      </c>
      <c r="C606" s="15" t="s">
        <v>1031</v>
      </c>
      <c r="D606" s="14" t="s">
        <v>1032</v>
      </c>
      <c r="E606" s="15" t="s">
        <v>53</v>
      </c>
      <c r="F606" s="14" t="s">
        <v>41</v>
      </c>
      <c r="G606" s="15" t="s">
        <v>23</v>
      </c>
      <c r="H606" s="15" t="s">
        <v>1526</v>
      </c>
      <c r="I606" s="15">
        <v>201502</v>
      </c>
      <c r="J606" s="16">
        <v>-5.35</v>
      </c>
      <c r="K606" s="171">
        <f>VLOOKUP(I606,$T$9:$U$23,2)</f>
        <v>4</v>
      </c>
      <c r="L606" s="17">
        <v>1.4833299999999999E-3</v>
      </c>
      <c r="M606" s="16">
        <f>ROUND(J606*K606*L606,2)</f>
        <v>-0.03</v>
      </c>
      <c r="N606" s="16">
        <f>ROUND(J606*L606*12,2)</f>
        <v>-0.1</v>
      </c>
      <c r="O606" s="14"/>
      <c r="P606" s="210" t="str">
        <f>VLOOKUP(C606,'WO Descriptions'!$A$5:$D$384,4,FALSE)</f>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
      <c r="Q606" s="210"/>
      <c r="R606" s="210"/>
    </row>
    <row r="607" spans="1:18" outlineLevel="1">
      <c r="A607" s="223"/>
      <c r="B607" s="250"/>
      <c r="C607" s="254" t="s">
        <v>1939</v>
      </c>
      <c r="D607" s="223"/>
      <c r="E607" s="250"/>
      <c r="F607" s="223"/>
      <c r="G607" s="250"/>
      <c r="H607" s="250"/>
      <c r="I607" s="250"/>
      <c r="J607" s="251">
        <f>SUBTOTAL(9,J604:J606)</f>
        <v>77092.239999999991</v>
      </c>
      <c r="K607" s="252"/>
      <c r="L607" s="253"/>
      <c r="M607" s="251">
        <f>SUBTOTAL(9,M604:M606)</f>
        <v>686.1400000000001</v>
      </c>
      <c r="N607" s="251">
        <f>SUBTOTAL(9,N604:N606)</f>
        <v>1372.2400000000002</v>
      </c>
      <c r="O607" s="223"/>
      <c r="P607" s="210"/>
      <c r="Q607" s="210" t="str">
        <f>VLOOKUP(C607,'Descriptions Sorted by WO '!$A$5:$S$977,18,FALSE)</f>
        <v>393.1009 (5) (C)</v>
      </c>
      <c r="R607" s="210"/>
    </row>
    <row r="608" spans="1:18" ht="45" outlineLevel="2">
      <c r="A608" s="18" t="s">
        <v>17</v>
      </c>
      <c r="B608" s="15" t="s">
        <v>628</v>
      </c>
      <c r="C608" s="15" t="s">
        <v>629</v>
      </c>
      <c r="D608" s="14" t="s">
        <v>630</v>
      </c>
      <c r="E608" s="15" t="s">
        <v>440</v>
      </c>
      <c r="F608" s="14" t="s">
        <v>28</v>
      </c>
      <c r="G608" s="15" t="s">
        <v>23</v>
      </c>
      <c r="H608" s="15" t="s">
        <v>1525</v>
      </c>
      <c r="I608" s="15">
        <v>201409</v>
      </c>
      <c r="J608" s="16">
        <v>24.81</v>
      </c>
      <c r="K608" s="171">
        <f>VLOOKUP(I608,$T$9:$U$23,2)</f>
        <v>9</v>
      </c>
      <c r="L608" s="17">
        <v>1.4833299999999999E-3</v>
      </c>
      <c r="M608" s="16">
        <f>ROUND(J608*K608*L608,2)</f>
        <v>0.33</v>
      </c>
      <c r="N608" s="16">
        <f>ROUND(J608*L608*12,2)</f>
        <v>0.44</v>
      </c>
      <c r="O608" s="14"/>
      <c r="P608" s="210" t="str">
        <f>VLOOKUP(C608,'WO Descriptions'!$A$5:$D$384,4,FALSE)</f>
        <v>Approved by: Kevin Driskell on 09/05/2013,  This work order is necessary to clear leak due to corrosion on 3inch gas main. Install 15'-3in TF steel main; retire 15'-3in PCS main, year 1962, wo 62-1512.</v>
      </c>
      <c r="Q608" s="210"/>
      <c r="R608" s="210"/>
    </row>
    <row r="609" spans="1:18" outlineLevel="1">
      <c r="A609" s="225"/>
      <c r="B609" s="250"/>
      <c r="C609" s="254" t="s">
        <v>1940</v>
      </c>
      <c r="D609" s="223"/>
      <c r="E609" s="250"/>
      <c r="F609" s="223"/>
      <c r="G609" s="250"/>
      <c r="H609" s="250"/>
      <c r="I609" s="250"/>
      <c r="J609" s="251">
        <f>SUBTOTAL(9,J608:J608)</f>
        <v>24.81</v>
      </c>
      <c r="K609" s="252"/>
      <c r="L609" s="253"/>
      <c r="M609" s="251">
        <f>SUBTOTAL(9,M608:M608)</f>
        <v>0.33</v>
      </c>
      <c r="N609" s="251">
        <f>SUBTOTAL(9,N608:N608)</f>
        <v>0.44</v>
      </c>
      <c r="O609" s="223"/>
      <c r="P609" s="210"/>
      <c r="Q609" s="210" t="str">
        <f>VLOOKUP(C609,'Descriptions Sorted by WO '!$A$5:$S$977,18,FALSE)</f>
        <v>393.1009 (5) (a) (b)</v>
      </c>
      <c r="R609" s="210" t="str">
        <f>VLOOKUP(C609,'Descriptions Sorted by WO '!$A$5:$S$977,19,FALSE)</f>
        <v>A,B</v>
      </c>
    </row>
    <row r="610" spans="1:18" ht="135" outlineLevel="2">
      <c r="A610" s="14" t="s">
        <v>17</v>
      </c>
      <c r="B610" s="15" t="s">
        <v>2255</v>
      </c>
      <c r="C610" s="15" t="s">
        <v>2256</v>
      </c>
      <c r="D610" s="14" t="s">
        <v>2257</v>
      </c>
      <c r="E610" s="15" t="s">
        <v>216</v>
      </c>
      <c r="F610" s="14" t="s">
        <v>22</v>
      </c>
      <c r="G610" s="15" t="s">
        <v>23</v>
      </c>
      <c r="H610" s="15" t="s">
        <v>1525</v>
      </c>
      <c r="I610" s="15">
        <v>201502</v>
      </c>
      <c r="J610" s="16">
        <v>106051.23</v>
      </c>
      <c r="K610" s="171">
        <f>VLOOKUP(I610,$T$9:$U$23,2)</f>
        <v>4</v>
      </c>
      <c r="L610" s="17">
        <v>1.4833299999999999E-3</v>
      </c>
      <c r="M610" s="16">
        <f>ROUND(J610*K610*L610,2)</f>
        <v>629.24</v>
      </c>
      <c r="N610" s="16">
        <f>ROUND(J610*L610*12,2)</f>
        <v>1887.71</v>
      </c>
      <c r="O610" s="14"/>
      <c r="P610" s="210" t="str">
        <f>VLOOKUP(C610,'WO Descriptions'!$A$5:$D$384,4,FALSE)</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v>
      </c>
      <c r="Q610" s="210"/>
      <c r="R610" s="210"/>
    </row>
    <row r="611" spans="1:18" outlineLevel="1">
      <c r="A611" s="223"/>
      <c r="B611" s="250"/>
      <c r="C611" s="254" t="s">
        <v>2317</v>
      </c>
      <c r="D611" s="223"/>
      <c r="E611" s="250"/>
      <c r="F611" s="223"/>
      <c r="G611" s="250"/>
      <c r="H611" s="250"/>
      <c r="I611" s="250"/>
      <c r="J611" s="251">
        <f>SUBTOTAL(9,J610:J610)</f>
        <v>106051.23</v>
      </c>
      <c r="K611" s="252"/>
      <c r="L611" s="253"/>
      <c r="M611" s="251">
        <f>SUBTOTAL(9,M610:M610)</f>
        <v>629.24</v>
      </c>
      <c r="N611" s="251">
        <f>SUBTOTAL(9,N610:N610)</f>
        <v>1887.71</v>
      </c>
      <c r="O611" s="223"/>
      <c r="P611" s="210"/>
      <c r="Q611" s="210" t="s">
        <v>2097</v>
      </c>
      <c r="R611" s="210" t="s">
        <v>2099</v>
      </c>
    </row>
    <row r="612" spans="1:18" ht="60" outlineLevel="2">
      <c r="A612" s="18" t="s">
        <v>17</v>
      </c>
      <c r="B612" s="15" t="s">
        <v>631</v>
      </c>
      <c r="C612" s="15" t="s">
        <v>632</v>
      </c>
      <c r="D612" s="14" t="s">
        <v>633</v>
      </c>
      <c r="E612" s="15" t="s">
        <v>32</v>
      </c>
      <c r="F612" s="14" t="s">
        <v>22</v>
      </c>
      <c r="G612" s="15" t="s">
        <v>23</v>
      </c>
      <c r="H612" s="15" t="s">
        <v>1525</v>
      </c>
      <c r="I612" s="15">
        <v>201409</v>
      </c>
      <c r="J612" s="16">
        <v>-175.31</v>
      </c>
      <c r="K612" s="171">
        <f>VLOOKUP(I612,$T$9:$U$23,2)</f>
        <v>9</v>
      </c>
      <c r="L612" s="17">
        <v>1.4833299999999999E-3</v>
      </c>
      <c r="M612" s="16">
        <f>ROUND(J612*K612*L612,2)</f>
        <v>-2.34</v>
      </c>
      <c r="N612" s="16">
        <f>ROUND(J612*L612*12,2)</f>
        <v>-3.12</v>
      </c>
      <c r="O612" s="14"/>
      <c r="P612" s="210" t="str">
        <f>VLOOKUP(C612,'WO Descriptions'!$A$5:$D$384,4,FALSE)</f>
        <v>Approved by: Ken Thomas on 11/20/2013,  Abandon 303' - 2' PBS (WO#'s: J07262, 60285) and replace with 310' - 2" PE due to history of leakage and isolated bare steel. Project Location: Geneve and Main; Pressure System: S-1; MOP: 20 psig; MAOP: 20 psig; Design: 58 psig; Test: 100 psig; ISRS $44.70/ft</v>
      </c>
      <c r="Q612" s="210"/>
      <c r="R612" s="210"/>
    </row>
    <row r="613" spans="1:18" outlineLevel="1">
      <c r="A613" s="225"/>
      <c r="B613" s="250"/>
      <c r="C613" s="254" t="s">
        <v>1941</v>
      </c>
      <c r="D613" s="223"/>
      <c r="E613" s="250"/>
      <c r="F613" s="223"/>
      <c r="G613" s="250"/>
      <c r="H613" s="250"/>
      <c r="I613" s="250"/>
      <c r="J613" s="251">
        <f>SUBTOTAL(9,J612:J612)</f>
        <v>-175.31</v>
      </c>
      <c r="K613" s="252"/>
      <c r="L613" s="253"/>
      <c r="M613" s="251">
        <f>SUBTOTAL(9,M612:M612)</f>
        <v>-2.34</v>
      </c>
      <c r="N613" s="251">
        <f>SUBTOTAL(9,N612:N612)</f>
        <v>-3.12</v>
      </c>
      <c r="O613" s="223"/>
      <c r="P613" s="210"/>
      <c r="Q613" s="210" t="str">
        <f>VLOOKUP(C613,'Descriptions Sorted by WO '!$A$5:$S$977,18,FALSE)</f>
        <v>393.1009 (5) (a) (b)</v>
      </c>
      <c r="R613" s="210" t="str">
        <f>VLOOKUP(C613,'Descriptions Sorted by WO '!$A$5:$S$977,19,FALSE)</f>
        <v>A,B,C</v>
      </c>
    </row>
    <row r="614" spans="1:18" ht="105" outlineLevel="2">
      <c r="A614" s="18" t="s">
        <v>17</v>
      </c>
      <c r="B614" s="15" t="s">
        <v>634</v>
      </c>
      <c r="C614" s="15" t="s">
        <v>635</v>
      </c>
      <c r="D614" s="14" t="s">
        <v>636</v>
      </c>
      <c r="E614" s="15" t="s">
        <v>567</v>
      </c>
      <c r="F614" s="14" t="s">
        <v>137</v>
      </c>
      <c r="G614" s="15" t="s">
        <v>23</v>
      </c>
      <c r="H614" s="15" t="s">
        <v>1526</v>
      </c>
      <c r="I614" s="15">
        <v>201409</v>
      </c>
      <c r="J614" s="16">
        <v>-674262.3</v>
      </c>
      <c r="K614" s="171">
        <f>VLOOKUP(I614,$T$9:$U$23,2)</f>
        <v>9</v>
      </c>
      <c r="L614" s="17">
        <v>1.4833299999999999E-3</v>
      </c>
      <c r="M614" s="16">
        <f>ROUND(J614*K614*L614,2)</f>
        <v>-9001.3799999999992</v>
      </c>
      <c r="N614" s="16">
        <f>ROUND(J614*L614*12,2)</f>
        <v>-12001.84</v>
      </c>
      <c r="O614" s="14"/>
      <c r="P614" s="210" t="str">
        <f>VLOOKUP(C614,'WO Descriptions'!$A$5:$D$384,4,FALSE)</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c r="Q614" s="210"/>
      <c r="R614" s="210"/>
    </row>
    <row r="615" spans="1:18" ht="105" outlineLevel="2">
      <c r="A615" s="18" t="s">
        <v>54</v>
      </c>
      <c r="B615" s="15" t="s">
        <v>634</v>
      </c>
      <c r="C615" s="15" t="s">
        <v>635</v>
      </c>
      <c r="D615" s="14" t="s">
        <v>636</v>
      </c>
      <c r="E615" s="15" t="s">
        <v>567</v>
      </c>
      <c r="F615" s="14" t="s">
        <v>137</v>
      </c>
      <c r="G615" s="15" t="s">
        <v>23</v>
      </c>
      <c r="H615" s="15" t="s">
        <v>1526</v>
      </c>
      <c r="I615" s="15">
        <v>201409</v>
      </c>
      <c r="J615" s="16">
        <v>660836.46</v>
      </c>
      <c r="K615" s="171">
        <f>VLOOKUP(I615,$T$9:$U$23,2)</f>
        <v>9</v>
      </c>
      <c r="L615" s="17">
        <v>1.4833299999999999E-3</v>
      </c>
      <c r="M615" s="16">
        <f>ROUND(J615*K615*L615,2)</f>
        <v>8822.15</v>
      </c>
      <c r="N615" s="16">
        <f>ROUND(J615*L615*12,2)</f>
        <v>11762.86</v>
      </c>
      <c r="O615" s="14"/>
      <c r="P615" s="210" t="str">
        <f>VLOOKUP(C615,'WO Descriptions'!$A$5:$D$384,4,FALSE)</f>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
      <c r="Q615" s="210"/>
      <c r="R615" s="210"/>
    </row>
    <row r="616" spans="1:18" outlineLevel="1">
      <c r="A616" s="225"/>
      <c r="B616" s="250"/>
      <c r="C616" s="254" t="s">
        <v>1942</v>
      </c>
      <c r="D616" s="223"/>
      <c r="E616" s="250"/>
      <c r="F616" s="223"/>
      <c r="G616" s="250"/>
      <c r="H616" s="250"/>
      <c r="I616" s="250"/>
      <c r="J616" s="251">
        <f>SUBTOTAL(9,J614:J615)</f>
        <v>-13425.840000000084</v>
      </c>
      <c r="K616" s="252"/>
      <c r="L616" s="253"/>
      <c r="M616" s="251">
        <f>SUBTOTAL(9,M614:M615)</f>
        <v>-179.22999999999956</v>
      </c>
      <c r="N616" s="251">
        <f>SUBTOTAL(9,N614:N615)</f>
        <v>-238.97999999999956</v>
      </c>
      <c r="O616" s="223"/>
      <c r="P616" s="210"/>
      <c r="Q616" s="210" t="str">
        <f>VLOOKUP(C616,'Descriptions Sorted by WO '!$A$5:$S$977,18,FALSE)</f>
        <v>393.1009 (5) (C)</v>
      </c>
      <c r="R616" s="210"/>
    </row>
    <row r="617" spans="1:18" ht="165" outlineLevel="2">
      <c r="A617" s="14" t="s">
        <v>17</v>
      </c>
      <c r="B617" s="15" t="s">
        <v>637</v>
      </c>
      <c r="C617" s="15" t="s">
        <v>638</v>
      </c>
      <c r="D617" s="14" t="s">
        <v>639</v>
      </c>
      <c r="E617" s="15" t="s">
        <v>136</v>
      </c>
      <c r="F617" s="14" t="s">
        <v>137</v>
      </c>
      <c r="G617" s="15" t="s">
        <v>23</v>
      </c>
      <c r="H617" s="15" t="s">
        <v>1526</v>
      </c>
      <c r="I617" s="15">
        <v>201409</v>
      </c>
      <c r="J617" s="16">
        <v>4065.05</v>
      </c>
      <c r="K617" s="171">
        <f>VLOOKUP(I617,$T$9:$U$23,2)</f>
        <v>9</v>
      </c>
      <c r="L617" s="17">
        <v>1.4833299999999999E-3</v>
      </c>
      <c r="M617" s="16">
        <f>ROUND(J617*K617*L617,2)</f>
        <v>54.27</v>
      </c>
      <c r="N617" s="16">
        <f>ROUND(J617*L617*12,2)</f>
        <v>72.36</v>
      </c>
      <c r="O617" s="14"/>
      <c r="P617" s="210" t="str">
        <f>VLOOKUP(C617,'WO Descriptions'!$A$5:$D$384,4,FALSE)</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c r="Q617" s="210"/>
      <c r="R617" s="210"/>
    </row>
    <row r="618" spans="1:18" ht="165" outlineLevel="2">
      <c r="A618" s="18" t="s">
        <v>17</v>
      </c>
      <c r="B618" s="15" t="s">
        <v>637</v>
      </c>
      <c r="C618" s="15" t="s">
        <v>638</v>
      </c>
      <c r="D618" s="14" t="s">
        <v>639</v>
      </c>
      <c r="E618" s="15" t="s">
        <v>136</v>
      </c>
      <c r="F618" s="14" t="s">
        <v>137</v>
      </c>
      <c r="G618" s="15" t="s">
        <v>23</v>
      </c>
      <c r="H618" s="15" t="s">
        <v>1526</v>
      </c>
      <c r="I618" s="15">
        <v>201410</v>
      </c>
      <c r="J618" s="16">
        <v>-14831.49</v>
      </c>
      <c r="K618" s="171">
        <f>VLOOKUP(I618,$T$9:$U$23,2)</f>
        <v>8</v>
      </c>
      <c r="L618" s="17">
        <v>1.4833299999999999E-3</v>
      </c>
      <c r="M618" s="16">
        <f>ROUND(J618*K618*L618,2)</f>
        <v>-176</v>
      </c>
      <c r="N618" s="16">
        <f>ROUND(J618*L618*12,2)</f>
        <v>-264</v>
      </c>
      <c r="O618" s="14"/>
      <c r="P618" s="210" t="str">
        <f>VLOOKUP(C618,'WO Descriptions'!$A$5:$D$384,4,FALSE)</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c r="Q618" s="210"/>
      <c r="R618" s="210"/>
    </row>
    <row r="619" spans="1:18" ht="165" outlineLevel="2">
      <c r="A619" s="18" t="s">
        <v>54</v>
      </c>
      <c r="B619" s="15" t="s">
        <v>637</v>
      </c>
      <c r="C619" s="15" t="s">
        <v>638</v>
      </c>
      <c r="D619" s="14" t="s">
        <v>639</v>
      </c>
      <c r="E619" s="15" t="s">
        <v>136</v>
      </c>
      <c r="F619" s="14" t="s">
        <v>137</v>
      </c>
      <c r="G619" s="15" t="s">
        <v>23</v>
      </c>
      <c r="H619" s="15" t="s">
        <v>1526</v>
      </c>
      <c r="I619" s="15">
        <v>201410</v>
      </c>
      <c r="J619" s="16">
        <v>14831.49</v>
      </c>
      <c r="K619" s="171">
        <f>VLOOKUP(I619,$T$9:$U$23,2)</f>
        <v>8</v>
      </c>
      <c r="L619" s="17">
        <v>1.4833299999999999E-3</v>
      </c>
      <c r="M619" s="16">
        <f>ROUND(J619*K619*L619,2)</f>
        <v>176</v>
      </c>
      <c r="N619" s="16">
        <f>ROUND(J619*L619*12,2)</f>
        <v>264</v>
      </c>
      <c r="O619" s="14"/>
      <c r="P619" s="210" t="str">
        <f>VLOOKUP(C619,'WO Descriptions'!$A$5:$D$384,4,FALSE)</f>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
      <c r="Q619" s="210"/>
      <c r="R619" s="210"/>
    </row>
    <row r="620" spans="1:18" outlineLevel="1">
      <c r="A620" s="225"/>
      <c r="B620" s="250"/>
      <c r="C620" s="254" t="s">
        <v>1943</v>
      </c>
      <c r="D620" s="223"/>
      <c r="E620" s="250"/>
      <c r="F620" s="223"/>
      <c r="G620" s="250"/>
      <c r="H620" s="250"/>
      <c r="I620" s="250"/>
      <c r="J620" s="251">
        <f>SUBTOTAL(9,J617:J619)</f>
        <v>4065.0500000000011</v>
      </c>
      <c r="K620" s="252"/>
      <c r="L620" s="253"/>
      <c r="M620" s="251">
        <f>SUBTOTAL(9,M617:M619)</f>
        <v>54.27000000000001</v>
      </c>
      <c r="N620" s="251">
        <f>SUBTOTAL(9,N617:N619)</f>
        <v>72.360000000000014</v>
      </c>
      <c r="O620" s="223"/>
      <c r="P620" s="210"/>
      <c r="Q620" s="210" t="str">
        <f>VLOOKUP(C620,'Descriptions Sorted by WO '!$A$5:$S$977,18,FALSE)</f>
        <v>393.1009 (5) (C)</v>
      </c>
      <c r="R620" s="210"/>
    </row>
    <row r="621" spans="1:18" ht="60" outlineLevel="2">
      <c r="A621" s="18" t="s">
        <v>17</v>
      </c>
      <c r="B621" s="15" t="s">
        <v>640</v>
      </c>
      <c r="C621" s="15" t="s">
        <v>641</v>
      </c>
      <c r="D621" s="14" t="s">
        <v>642</v>
      </c>
      <c r="E621" s="15" t="s">
        <v>362</v>
      </c>
      <c r="F621" s="14" t="s">
        <v>41</v>
      </c>
      <c r="G621" s="15" t="s">
        <v>23</v>
      </c>
      <c r="H621" s="15" t="s">
        <v>1526</v>
      </c>
      <c r="I621" s="15">
        <v>201409</v>
      </c>
      <c r="J621" s="16">
        <v>-115.28</v>
      </c>
      <c r="K621" s="171">
        <f>VLOOKUP(I621,$T$9:$U$23,2)</f>
        <v>9</v>
      </c>
      <c r="L621" s="17">
        <v>1.4833299999999999E-3</v>
      </c>
      <c r="M621" s="16">
        <f>ROUND(J621*K621*L621,2)</f>
        <v>-1.54</v>
      </c>
      <c r="N621" s="16">
        <f>ROUND(J621*L621*12,2)</f>
        <v>-2.0499999999999998</v>
      </c>
      <c r="O621" s="14"/>
      <c r="P621" s="210" t="str">
        <f>VLOOKUP(C621,'WO Descriptions'!$A$5:$D$384,4,FALSE)</f>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
      <c r="Q621" s="210"/>
      <c r="R621" s="210"/>
    </row>
    <row r="622" spans="1:18" outlineLevel="1">
      <c r="A622" s="225"/>
      <c r="B622" s="250"/>
      <c r="C622" s="254" t="s">
        <v>1944</v>
      </c>
      <c r="D622" s="223"/>
      <c r="E622" s="250"/>
      <c r="F622" s="223"/>
      <c r="G622" s="250"/>
      <c r="H622" s="250"/>
      <c r="I622" s="250"/>
      <c r="J622" s="251">
        <f>SUBTOTAL(9,J621:J621)</f>
        <v>-115.28</v>
      </c>
      <c r="K622" s="252"/>
      <c r="L622" s="253"/>
      <c r="M622" s="251">
        <f>SUBTOTAL(9,M621:M621)</f>
        <v>-1.54</v>
      </c>
      <c r="N622" s="251">
        <f>SUBTOTAL(9,N621:N621)</f>
        <v>-2.0499999999999998</v>
      </c>
      <c r="O622" s="223"/>
      <c r="P622" s="210"/>
      <c r="Q622" s="210" t="str">
        <f>VLOOKUP(C622,'Descriptions Sorted by WO '!$A$5:$S$977,18,FALSE)</f>
        <v>393.1009 (5) (C)</v>
      </c>
      <c r="R622" s="210"/>
    </row>
    <row r="623" spans="1:18" ht="75" outlineLevel="2">
      <c r="A623" s="18" t="s">
        <v>17</v>
      </c>
      <c r="B623" s="15" t="s">
        <v>643</v>
      </c>
      <c r="C623" s="15" t="s">
        <v>644</v>
      </c>
      <c r="D623" s="14" t="s">
        <v>645</v>
      </c>
      <c r="E623" s="15" t="s">
        <v>141</v>
      </c>
      <c r="F623" s="14" t="s">
        <v>142</v>
      </c>
      <c r="G623" s="15" t="s">
        <v>23</v>
      </c>
      <c r="H623" s="15" t="s">
        <v>1525</v>
      </c>
      <c r="I623" s="15">
        <v>201409</v>
      </c>
      <c r="J623" s="16">
        <v>-912.44</v>
      </c>
      <c r="K623" s="171">
        <f>VLOOKUP(I623,$T$9:$U$23,2)</f>
        <v>9</v>
      </c>
      <c r="L623" s="17">
        <v>1.4833299999999999E-3</v>
      </c>
      <c r="M623" s="16">
        <f>ROUND(J623*K623*L623,2)</f>
        <v>-12.18</v>
      </c>
      <c r="N623" s="16">
        <f>ROUND(J623*L623*12,2)</f>
        <v>-16.239999999999998</v>
      </c>
      <c r="O623" s="14"/>
      <c r="P623" s="210" t="str">
        <f>VLOOKUP(C623,'WO Descriptions'!$A$5:$D$384,4,FALSE)</f>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
      <c r="Q623" s="210"/>
      <c r="R623" s="210"/>
    </row>
    <row r="624" spans="1:18" outlineLevel="1">
      <c r="A624" s="225"/>
      <c r="B624" s="250"/>
      <c r="C624" s="254" t="s">
        <v>1945</v>
      </c>
      <c r="D624" s="223"/>
      <c r="E624" s="250"/>
      <c r="F624" s="223"/>
      <c r="G624" s="250"/>
      <c r="H624" s="250"/>
      <c r="I624" s="250"/>
      <c r="J624" s="251">
        <f>SUBTOTAL(9,J623:J623)</f>
        <v>-912.44</v>
      </c>
      <c r="K624" s="252"/>
      <c r="L624" s="253"/>
      <c r="M624" s="251">
        <f>SUBTOTAL(9,M623:M623)</f>
        <v>-12.18</v>
      </c>
      <c r="N624" s="251">
        <f>SUBTOTAL(9,N623:N623)</f>
        <v>-16.239999999999998</v>
      </c>
      <c r="O624" s="223"/>
      <c r="P624" s="210"/>
      <c r="Q624" s="210" t="str">
        <f>VLOOKUP(C624,'Descriptions Sorted by WO '!$A$5:$S$977,18,FALSE)</f>
        <v>393.1009 (5) (a) (b)</v>
      </c>
      <c r="R624" s="210" t="str">
        <f>VLOOKUP(C624,'Descriptions Sorted by WO '!$A$5:$S$977,19,FALSE)</f>
        <v>A,B,C,D,I</v>
      </c>
    </row>
    <row r="625" spans="1:18" ht="75" outlineLevel="2">
      <c r="A625" s="18" t="s">
        <v>17</v>
      </c>
      <c r="B625" s="15" t="s">
        <v>646</v>
      </c>
      <c r="C625" s="15" t="s">
        <v>647</v>
      </c>
      <c r="D625" s="14" t="s">
        <v>648</v>
      </c>
      <c r="E625" s="15" t="s">
        <v>176</v>
      </c>
      <c r="F625" s="14" t="s">
        <v>28</v>
      </c>
      <c r="G625" s="15" t="s">
        <v>23</v>
      </c>
      <c r="H625" s="15" t="s">
        <v>1525</v>
      </c>
      <c r="I625" s="15">
        <v>201411</v>
      </c>
      <c r="J625" s="16">
        <v>18.21</v>
      </c>
      <c r="K625" s="171">
        <f>VLOOKUP(I625,$T$9:$U$23,2)</f>
        <v>7</v>
      </c>
      <c r="L625" s="17">
        <v>1.4833299999999999E-3</v>
      </c>
      <c r="M625" s="16">
        <f>ROUND(J625*K625*L625,2)</f>
        <v>0.19</v>
      </c>
      <c r="N625" s="16">
        <f>ROUND(J625*L625*12,2)</f>
        <v>0.32</v>
      </c>
      <c r="O625" s="14"/>
      <c r="P625" s="210" t="str">
        <f>VLOOKUP(C625,'WO Descriptions'!$A$5:$D$384,4,FALSE)</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c r="Q625" s="210"/>
      <c r="R625" s="210"/>
    </row>
    <row r="626" spans="1:18" ht="75" outlineLevel="2">
      <c r="A626" s="14" t="s">
        <v>17</v>
      </c>
      <c r="B626" s="15" t="s">
        <v>646</v>
      </c>
      <c r="C626" s="15" t="s">
        <v>647</v>
      </c>
      <c r="D626" s="14" t="s">
        <v>648</v>
      </c>
      <c r="E626" s="15" t="s">
        <v>176</v>
      </c>
      <c r="F626" s="14" t="s">
        <v>28</v>
      </c>
      <c r="G626" s="15" t="s">
        <v>23</v>
      </c>
      <c r="H626" s="15" t="s">
        <v>1525</v>
      </c>
      <c r="I626" s="15">
        <v>201412</v>
      </c>
      <c r="J626" s="16">
        <v>-0.08</v>
      </c>
      <c r="K626" s="171">
        <f>VLOOKUP(I626,$T$9:$U$23,2)</f>
        <v>6</v>
      </c>
      <c r="L626" s="17">
        <v>1.4833299999999999E-3</v>
      </c>
      <c r="M626" s="16">
        <f>ROUND(J626*K626*L626,2)</f>
        <v>0</v>
      </c>
      <c r="N626" s="16">
        <f>ROUND(J626*L626*12,2)</f>
        <v>0</v>
      </c>
      <c r="O626" s="14"/>
      <c r="P626" s="210" t="str">
        <f>VLOOKUP(C626,'WO Descriptions'!$A$5:$D$384,4,FALSE)</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c r="Q626" s="210"/>
      <c r="R626" s="210"/>
    </row>
    <row r="627" spans="1:18" ht="75" outlineLevel="2">
      <c r="A627" s="14" t="s">
        <v>17</v>
      </c>
      <c r="B627" s="15" t="s">
        <v>646</v>
      </c>
      <c r="C627" s="15" t="s">
        <v>647</v>
      </c>
      <c r="D627" s="14" t="s">
        <v>648</v>
      </c>
      <c r="E627" s="15" t="s">
        <v>176</v>
      </c>
      <c r="F627" s="14" t="s">
        <v>28</v>
      </c>
      <c r="G627" s="15" t="s">
        <v>23</v>
      </c>
      <c r="H627" s="15" t="s">
        <v>1525</v>
      </c>
      <c r="I627" s="15">
        <v>201501</v>
      </c>
      <c r="J627" s="16">
        <v>0.05</v>
      </c>
      <c r="K627" s="171">
        <f>VLOOKUP(I627,$T$9:$U$23,2)</f>
        <v>5</v>
      </c>
      <c r="L627" s="17">
        <v>1.4833299999999999E-3</v>
      </c>
      <c r="M627" s="16">
        <f>ROUND(J627*K627*L627,2)</f>
        <v>0</v>
      </c>
      <c r="N627" s="16">
        <f>ROUND(J627*L627*12,2)</f>
        <v>0</v>
      </c>
      <c r="O627" s="14"/>
      <c r="P627" s="210" t="str">
        <f>VLOOKUP(C627,'WO Descriptions'!$A$5:$D$384,4,FALSE)</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c r="Q627" s="210"/>
      <c r="R627" s="210"/>
    </row>
    <row r="628" spans="1:18" ht="75" outlineLevel="2">
      <c r="A628" s="14" t="s">
        <v>17</v>
      </c>
      <c r="B628" s="15" t="s">
        <v>646</v>
      </c>
      <c r="C628" s="15" t="s">
        <v>647</v>
      </c>
      <c r="D628" s="14" t="s">
        <v>648</v>
      </c>
      <c r="E628" s="15" t="s">
        <v>176</v>
      </c>
      <c r="F628" s="14" t="s">
        <v>28</v>
      </c>
      <c r="G628" s="15" t="s">
        <v>23</v>
      </c>
      <c r="H628" s="15" t="s">
        <v>1525</v>
      </c>
      <c r="I628" s="15">
        <v>201502</v>
      </c>
      <c r="J628" s="16">
        <v>305.37</v>
      </c>
      <c r="K628" s="171">
        <f>VLOOKUP(I628,$T$9:$U$23,2)</f>
        <v>4</v>
      </c>
      <c r="L628" s="17">
        <v>1.4833299999999999E-3</v>
      </c>
      <c r="M628" s="16">
        <f>ROUND(J628*K628*L628,2)</f>
        <v>1.81</v>
      </c>
      <c r="N628" s="16">
        <f>ROUND(J628*L628*12,2)</f>
        <v>5.44</v>
      </c>
      <c r="O628" s="14"/>
      <c r="P628" s="210" t="str">
        <f>VLOOKUP(C628,'WO Descriptions'!$A$5:$D$384,4,FALSE)</f>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
      <c r="Q628" s="210"/>
      <c r="R628" s="210"/>
    </row>
    <row r="629" spans="1:18" outlineLevel="1">
      <c r="A629" s="223"/>
      <c r="B629" s="250"/>
      <c r="C629" s="254" t="s">
        <v>1946</v>
      </c>
      <c r="D629" s="223"/>
      <c r="E629" s="250"/>
      <c r="F629" s="223"/>
      <c r="G629" s="250"/>
      <c r="H629" s="250"/>
      <c r="I629" s="250"/>
      <c r="J629" s="251">
        <f>SUBTOTAL(9,J625:J628)</f>
        <v>323.55</v>
      </c>
      <c r="K629" s="252"/>
      <c r="L629" s="253"/>
      <c r="M629" s="251">
        <f>SUBTOTAL(9,M625:M628)</f>
        <v>2</v>
      </c>
      <c r="N629" s="251">
        <f>SUBTOTAL(9,N625:N628)</f>
        <v>5.7600000000000007</v>
      </c>
      <c r="O629" s="223"/>
      <c r="P629" s="210"/>
      <c r="Q629" s="210" t="str">
        <f>VLOOKUP(C629,'Descriptions Sorted by WO '!$A$5:$S$977,18,FALSE)</f>
        <v>393.1009 (5) (a) (b)</v>
      </c>
      <c r="R629" s="210" t="str">
        <f>VLOOKUP(C629,'Descriptions Sorted by WO '!$A$5:$S$977,19,FALSE)</f>
        <v>A,B</v>
      </c>
    </row>
    <row r="630" spans="1:18" ht="105" outlineLevel="2">
      <c r="A630" s="18" t="s">
        <v>54</v>
      </c>
      <c r="B630" s="15" t="s">
        <v>649</v>
      </c>
      <c r="C630" s="15" t="s">
        <v>650</v>
      </c>
      <c r="D630" s="14" t="s">
        <v>651</v>
      </c>
      <c r="E630" s="15" t="s">
        <v>104</v>
      </c>
      <c r="F630" s="14" t="s">
        <v>41</v>
      </c>
      <c r="G630" s="15" t="s">
        <v>23</v>
      </c>
      <c r="H630" s="15" t="s">
        <v>1526</v>
      </c>
      <c r="I630" s="15">
        <v>201409</v>
      </c>
      <c r="J630" s="16">
        <v>-33.92</v>
      </c>
      <c r="K630" s="171">
        <f>VLOOKUP(I630,$T$9:$U$23,2)</f>
        <v>9</v>
      </c>
      <c r="L630" s="17">
        <v>1.4833299999999999E-3</v>
      </c>
      <c r="M630" s="16">
        <f>ROUND(J630*K630*L630,2)</f>
        <v>-0.45</v>
      </c>
      <c r="N630" s="16">
        <f>ROUND(J630*L630*12,2)</f>
        <v>-0.6</v>
      </c>
      <c r="O630" s="14"/>
      <c r="P630" s="210" t="str">
        <f>VLOOKUP(C630,'WO Descriptions'!$A$5:$D$384,4,FALSE)</f>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
      <c r="Q630" s="210"/>
      <c r="R630" s="210"/>
    </row>
    <row r="631" spans="1:18" outlineLevel="1">
      <c r="A631" s="225"/>
      <c r="B631" s="250"/>
      <c r="C631" s="254" t="s">
        <v>1947</v>
      </c>
      <c r="D631" s="223"/>
      <c r="E631" s="250"/>
      <c r="F631" s="223"/>
      <c r="G631" s="250"/>
      <c r="H631" s="250"/>
      <c r="I631" s="250"/>
      <c r="J631" s="251">
        <f>SUBTOTAL(9,J630:J630)</f>
        <v>-33.92</v>
      </c>
      <c r="K631" s="252"/>
      <c r="L631" s="253"/>
      <c r="M631" s="251">
        <f>SUBTOTAL(9,M630:M630)</f>
        <v>-0.45</v>
      </c>
      <c r="N631" s="251">
        <f>SUBTOTAL(9,N630:N630)</f>
        <v>-0.6</v>
      </c>
      <c r="O631" s="223"/>
      <c r="P631" s="210"/>
      <c r="Q631" s="210" t="str">
        <f>VLOOKUP(C631,'Descriptions Sorted by WO '!$A$5:$S$977,18,FALSE)</f>
        <v>393.1009 (5) (C)</v>
      </c>
      <c r="R631" s="210"/>
    </row>
    <row r="632" spans="1:18" ht="75" outlineLevel="2">
      <c r="A632" s="14" t="s">
        <v>17</v>
      </c>
      <c r="B632" s="15" t="s">
        <v>652</v>
      </c>
      <c r="C632" s="15" t="s">
        <v>653</v>
      </c>
      <c r="D632" s="14" t="s">
        <v>654</v>
      </c>
      <c r="E632" s="15" t="s">
        <v>40</v>
      </c>
      <c r="F632" s="14" t="s">
        <v>41</v>
      </c>
      <c r="G632" s="15" t="s">
        <v>23</v>
      </c>
      <c r="H632" s="15" t="s">
        <v>1526</v>
      </c>
      <c r="I632" s="15">
        <v>201409</v>
      </c>
      <c r="J632" s="16">
        <v>-1136.6400000000001</v>
      </c>
      <c r="K632" s="171">
        <f>VLOOKUP(I632,$T$9:$U$23,2)</f>
        <v>9</v>
      </c>
      <c r="L632" s="17">
        <v>1.4833299999999999E-3</v>
      </c>
      <c r="M632" s="16">
        <f>ROUND(J632*K632*L632,2)</f>
        <v>-15.17</v>
      </c>
      <c r="N632" s="16">
        <f>ROUND(J632*L632*12,2)</f>
        <v>-20.23</v>
      </c>
      <c r="O632" s="14"/>
      <c r="P632" s="210" t="str">
        <f>VLOOKUP(C632,'WO Descriptions'!$A$5:$D$384,4,FALSE)</f>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
      <c r="Q632" s="210"/>
      <c r="R632" s="210"/>
    </row>
    <row r="633" spans="1:18" outlineLevel="1">
      <c r="A633" s="223"/>
      <c r="B633" s="250"/>
      <c r="C633" s="254" t="s">
        <v>1948</v>
      </c>
      <c r="D633" s="223"/>
      <c r="E633" s="250"/>
      <c r="F633" s="223"/>
      <c r="G633" s="250"/>
      <c r="H633" s="250"/>
      <c r="I633" s="250"/>
      <c r="J633" s="251">
        <f>SUBTOTAL(9,J632:J632)</f>
        <v>-1136.6400000000001</v>
      </c>
      <c r="K633" s="252"/>
      <c r="L633" s="253"/>
      <c r="M633" s="251">
        <f>SUBTOTAL(9,M632:M632)</f>
        <v>-15.17</v>
      </c>
      <c r="N633" s="251">
        <f>SUBTOTAL(9,N632:N632)</f>
        <v>-20.23</v>
      </c>
      <c r="O633" s="223"/>
      <c r="P633" s="210"/>
      <c r="Q633" s="210" t="str">
        <f>VLOOKUP(C633,'Descriptions Sorted by WO '!$A$5:$S$977,18,FALSE)</f>
        <v>393.1009 (5) (C)</v>
      </c>
      <c r="R633" s="210"/>
    </row>
    <row r="634" spans="1:18" ht="45" outlineLevel="2">
      <c r="A634" s="14" t="s">
        <v>17</v>
      </c>
      <c r="B634" s="15" t="s">
        <v>655</v>
      </c>
      <c r="C634" s="15" t="s">
        <v>656</v>
      </c>
      <c r="D634" s="14" t="s">
        <v>657</v>
      </c>
      <c r="E634" s="15" t="s">
        <v>36</v>
      </c>
      <c r="F634" s="14" t="s">
        <v>22</v>
      </c>
      <c r="G634" s="15" t="s">
        <v>23</v>
      </c>
      <c r="H634" s="15" t="s">
        <v>1525</v>
      </c>
      <c r="I634" s="15">
        <v>201409</v>
      </c>
      <c r="J634" s="16">
        <v>-42.2</v>
      </c>
      <c r="K634" s="171">
        <f>VLOOKUP(I634,$T$9:$U$23,2)</f>
        <v>9</v>
      </c>
      <c r="L634" s="17">
        <v>1.4833299999999999E-3</v>
      </c>
      <c r="M634" s="16">
        <f>ROUND(J634*K634*L634,2)</f>
        <v>-0.56000000000000005</v>
      </c>
      <c r="N634" s="16">
        <f>ROUND(J634*L634*12,2)</f>
        <v>-0.75</v>
      </c>
      <c r="O634" s="14"/>
      <c r="P634" s="210" t="str">
        <f>VLOOKUP(C634,'WO Descriptions'!$A$5:$D$384,4,FALSE)</f>
        <v>Approved by: Gary Williams on 07/22/2013,  This work order is necessary to replace 518ft-4in bs main (WO#11516) with 4in pe (WO#13-2797) due to low reads. Pressure System C-01 Pressure .88.</v>
      </c>
      <c r="Q634" s="210"/>
      <c r="R634" s="210"/>
    </row>
    <row r="635" spans="1:18" outlineLevel="1">
      <c r="A635" s="223"/>
      <c r="B635" s="250"/>
      <c r="C635" s="254" t="s">
        <v>1949</v>
      </c>
      <c r="D635" s="223"/>
      <c r="E635" s="250"/>
      <c r="F635" s="223"/>
      <c r="G635" s="250"/>
      <c r="H635" s="250"/>
      <c r="I635" s="250"/>
      <c r="J635" s="251">
        <f>SUBTOTAL(9,J634:J634)</f>
        <v>-42.2</v>
      </c>
      <c r="K635" s="252"/>
      <c r="L635" s="253"/>
      <c r="M635" s="251">
        <f>SUBTOTAL(9,M634:M634)</f>
        <v>-0.56000000000000005</v>
      </c>
      <c r="N635" s="251">
        <f>SUBTOTAL(9,N634:N634)</f>
        <v>-0.75</v>
      </c>
      <c r="O635" s="223"/>
      <c r="P635" s="210"/>
      <c r="Q635" s="210" t="str">
        <f>VLOOKUP(C635,'Descriptions Sorted by WO '!$A$5:$S$977,18,FALSE)</f>
        <v>393.1009 (5) (a) (b)</v>
      </c>
      <c r="R635" s="210" t="str">
        <f>VLOOKUP(C635,'Descriptions Sorted by WO '!$A$5:$S$977,19,FALSE)</f>
        <v>A,B,C</v>
      </c>
    </row>
    <row r="636" spans="1:18" outlineLevel="2">
      <c r="A636" s="14" t="s">
        <v>17</v>
      </c>
      <c r="B636" s="15" t="s">
        <v>658</v>
      </c>
      <c r="C636" s="15" t="s">
        <v>659</v>
      </c>
      <c r="D636" s="14" t="s">
        <v>660</v>
      </c>
      <c r="E636" s="15" t="s">
        <v>440</v>
      </c>
      <c r="F636" s="14" t="s">
        <v>28</v>
      </c>
      <c r="G636" s="15" t="s">
        <v>23</v>
      </c>
      <c r="H636" s="15" t="s">
        <v>1525</v>
      </c>
      <c r="I636" s="15">
        <v>201409</v>
      </c>
      <c r="J636" s="16">
        <v>10.48</v>
      </c>
      <c r="K636" s="171">
        <f>VLOOKUP(I636,$T$9:$U$23,2)</f>
        <v>9</v>
      </c>
      <c r="L636" s="17">
        <v>1.4833299999999999E-3</v>
      </c>
      <c r="M636" s="16">
        <f>ROUND(J636*K636*L636,2)</f>
        <v>0.14000000000000001</v>
      </c>
      <c r="N636" s="16">
        <f>ROUND(J636*L636*12,2)</f>
        <v>0.19</v>
      </c>
      <c r="O636" s="14"/>
      <c r="P636" s="210" t="str">
        <f>VLOOKUP(C636,'WO Descriptions'!$A$5:$D$384,4,FALSE)</f>
        <v>Approved by: Kevin Driskell on 09/23/2013,  Repalce 21' of 2'' PCS (WO # 64-5275) due to leak.</v>
      </c>
      <c r="Q636" s="210"/>
      <c r="R636" s="210"/>
    </row>
    <row r="637" spans="1:18" outlineLevel="1">
      <c r="A637" s="223"/>
      <c r="B637" s="250"/>
      <c r="C637" s="254" t="s">
        <v>1950</v>
      </c>
      <c r="D637" s="223"/>
      <c r="E637" s="250"/>
      <c r="F637" s="223"/>
      <c r="G637" s="250"/>
      <c r="H637" s="250"/>
      <c r="I637" s="250"/>
      <c r="J637" s="251">
        <f>SUBTOTAL(9,J636:J636)</f>
        <v>10.48</v>
      </c>
      <c r="K637" s="252"/>
      <c r="L637" s="253"/>
      <c r="M637" s="251">
        <f>SUBTOTAL(9,M636:M636)</f>
        <v>0.14000000000000001</v>
      </c>
      <c r="N637" s="251">
        <f>SUBTOTAL(9,N636:N636)</f>
        <v>0.19</v>
      </c>
      <c r="O637" s="223"/>
      <c r="P637" s="210"/>
      <c r="Q637" s="210" t="str">
        <f>VLOOKUP(C637,'Descriptions Sorted by WO '!$A$5:$S$977,18,FALSE)</f>
        <v>393.1009 (5) (a) (b)</v>
      </c>
      <c r="R637" s="210" t="str">
        <f>VLOOKUP(C637,'Descriptions Sorted by WO '!$A$5:$S$977,19,FALSE)</f>
        <v>A,B</v>
      </c>
    </row>
    <row r="638" spans="1:18" ht="60" outlineLevel="2">
      <c r="A638" s="14" t="s">
        <v>17</v>
      </c>
      <c r="B638" s="15" t="s">
        <v>661</v>
      </c>
      <c r="C638" s="15" t="s">
        <v>662</v>
      </c>
      <c r="D638" s="14" t="s">
        <v>663</v>
      </c>
      <c r="E638" s="15" t="s">
        <v>40</v>
      </c>
      <c r="F638" s="14" t="s">
        <v>41</v>
      </c>
      <c r="G638" s="15" t="s">
        <v>23</v>
      </c>
      <c r="H638" s="15" t="s">
        <v>1526</v>
      </c>
      <c r="I638" s="15">
        <v>201409</v>
      </c>
      <c r="J638" s="16">
        <v>-187.92</v>
      </c>
      <c r="K638" s="171">
        <f>VLOOKUP(I638,$T$9:$U$23,2)</f>
        <v>9</v>
      </c>
      <c r="L638" s="17">
        <v>1.4833299999999999E-3</v>
      </c>
      <c r="M638" s="16">
        <f>ROUND(J638*K638*L638,2)</f>
        <v>-2.5099999999999998</v>
      </c>
      <c r="N638" s="16">
        <f>ROUND(J638*L638*12,2)</f>
        <v>-3.34</v>
      </c>
      <c r="O638" s="14"/>
      <c r="P638" s="210" t="str">
        <f>VLOOKUP(C638,'WO Descriptions'!$A$5:$D$384,4,FALSE)</f>
        <v>Approved by: Kevin Driskell on 10/02/2013,  ISRS This work order is necessary for Public Improvement Improvement project. The 8" PCS main is in conflict of storm structure. Retire 20" of 8" PCS main and install 20' of 8" PCS main. System= C-055, MOP= 90PSIG, MAOP= 90PSIG, Test Pressure= 135PSIG.</v>
      </c>
      <c r="Q638" s="210"/>
      <c r="R638" s="210"/>
    </row>
    <row r="639" spans="1:18" outlineLevel="1">
      <c r="A639" s="223"/>
      <c r="B639" s="250"/>
      <c r="C639" s="254" t="s">
        <v>1951</v>
      </c>
      <c r="D639" s="223"/>
      <c r="E639" s="250"/>
      <c r="F639" s="223"/>
      <c r="G639" s="250"/>
      <c r="H639" s="250"/>
      <c r="I639" s="250"/>
      <c r="J639" s="251">
        <f>SUBTOTAL(9,J638:J638)</f>
        <v>-187.92</v>
      </c>
      <c r="K639" s="252"/>
      <c r="L639" s="253"/>
      <c r="M639" s="251">
        <f>SUBTOTAL(9,M638:M638)</f>
        <v>-2.5099999999999998</v>
      </c>
      <c r="N639" s="251">
        <f>SUBTOTAL(9,N638:N638)</f>
        <v>-3.34</v>
      </c>
      <c r="O639" s="223"/>
      <c r="P639" s="210"/>
      <c r="Q639" s="210" t="str">
        <f>VLOOKUP(C639,'Descriptions Sorted by WO '!$A$5:$S$977,18,FALSE)</f>
        <v>393.1009 (5) (C)</v>
      </c>
      <c r="R639" s="210"/>
    </row>
    <row r="640" spans="1:18" ht="45" outlineLevel="2">
      <c r="A640" s="14" t="s">
        <v>17</v>
      </c>
      <c r="B640" s="15" t="s">
        <v>664</v>
      </c>
      <c r="C640" s="15" t="s">
        <v>665</v>
      </c>
      <c r="D640" s="14" t="s">
        <v>666</v>
      </c>
      <c r="E640" s="15" t="s">
        <v>667</v>
      </c>
      <c r="F640" s="14" t="s">
        <v>28</v>
      </c>
      <c r="G640" s="15" t="s">
        <v>23</v>
      </c>
      <c r="H640" s="15" t="s">
        <v>1525</v>
      </c>
      <c r="I640" s="15">
        <v>201409</v>
      </c>
      <c r="J640" s="16">
        <v>5.21</v>
      </c>
      <c r="K640" s="171">
        <f>VLOOKUP(I640,$T$9:$U$23,2)</f>
        <v>9</v>
      </c>
      <c r="L640" s="17">
        <v>1.4833299999999999E-3</v>
      </c>
      <c r="M640" s="16">
        <f>ROUND(J640*K640*L640,2)</f>
        <v>7.0000000000000007E-2</v>
      </c>
      <c r="N640" s="16">
        <f>ROUND(J640*L640*12,2)</f>
        <v>0.09</v>
      </c>
      <c r="O640" s="14"/>
      <c r="P640" s="210" t="str">
        <f>VLOOKUP(C640,'WO Descriptions'!$A$5:$D$384,4,FALSE)</f>
        <v>Approved by: Galen Shoemaker on 08/26/2013,  To replace 6ft of 2in Coated Steel Main from WO 724646 and 4ft of 2in Coated Steel Main from WO 801479 at intersection due to leakage and poor condition of main. MOP=30# MAOP=31# SYSTEM=S-6 TEST=100#</v>
      </c>
      <c r="Q640" s="210"/>
      <c r="R640" s="210"/>
    </row>
    <row r="641" spans="1:18" outlineLevel="1">
      <c r="A641" s="223"/>
      <c r="B641" s="250"/>
      <c r="C641" s="254" t="s">
        <v>1952</v>
      </c>
      <c r="D641" s="223"/>
      <c r="E641" s="250"/>
      <c r="F641" s="223"/>
      <c r="G641" s="250"/>
      <c r="H641" s="250"/>
      <c r="I641" s="250"/>
      <c r="J641" s="251">
        <f>SUBTOTAL(9,J640:J640)</f>
        <v>5.21</v>
      </c>
      <c r="K641" s="252"/>
      <c r="L641" s="253"/>
      <c r="M641" s="251">
        <f>SUBTOTAL(9,M640:M640)</f>
        <v>7.0000000000000007E-2</v>
      </c>
      <c r="N641" s="251">
        <f>SUBTOTAL(9,N640:N640)</f>
        <v>0.09</v>
      </c>
      <c r="O641" s="223"/>
      <c r="P641" s="210"/>
      <c r="Q641" s="210" t="str">
        <f>VLOOKUP(C641,'Descriptions Sorted by WO '!$A$5:$S$977,18,FALSE)</f>
        <v>393.1009 (5) (a) (b)</v>
      </c>
      <c r="R641" s="210" t="str">
        <f>VLOOKUP(C641,'Descriptions Sorted by WO '!$A$5:$S$977,19,FALSE)</f>
        <v>A,B</v>
      </c>
    </row>
    <row r="642" spans="1:18" ht="45" outlineLevel="2">
      <c r="A642" s="14" t="s">
        <v>17</v>
      </c>
      <c r="B642" s="15" t="s">
        <v>668</v>
      </c>
      <c r="C642" s="15" t="s">
        <v>669</v>
      </c>
      <c r="D642" s="14" t="s">
        <v>670</v>
      </c>
      <c r="E642" s="15" t="s">
        <v>45</v>
      </c>
      <c r="F642" s="14" t="s">
        <v>22</v>
      </c>
      <c r="G642" s="15" t="s">
        <v>23</v>
      </c>
      <c r="H642" s="15" t="s">
        <v>1525</v>
      </c>
      <c r="I642" s="15">
        <v>201409</v>
      </c>
      <c r="J642" s="16">
        <v>-193.2</v>
      </c>
      <c r="K642" s="171">
        <f>VLOOKUP(I642,$T$9:$U$23,2)</f>
        <v>9</v>
      </c>
      <c r="L642" s="17">
        <v>1.4833299999999999E-3</v>
      </c>
      <c r="M642" s="16">
        <f>ROUND(J642*K642*L642,2)</f>
        <v>-2.58</v>
      </c>
      <c r="N642" s="16">
        <f>ROUND(J642*L642*12,2)</f>
        <v>-3.44</v>
      </c>
      <c r="O642" s="14"/>
      <c r="P642" s="210" t="str">
        <f>VLOOKUP(C642,'WO Descriptions'!$A$5:$D$384,4,FALSE)</f>
        <v>Approved by: Ken Thomas on 07/01/2013,  Replace 45' of 12in PBS wo unknown with 36' of 12in PCS due to leak on the gate valve. Pressure system C-175KCLS. Job was completed on 3-15-2013.</v>
      </c>
      <c r="Q642" s="210"/>
      <c r="R642" s="210"/>
    </row>
    <row r="643" spans="1:18" outlineLevel="1">
      <c r="A643" s="223"/>
      <c r="B643" s="250"/>
      <c r="C643" s="254" t="s">
        <v>1953</v>
      </c>
      <c r="D643" s="223"/>
      <c r="E643" s="250"/>
      <c r="F643" s="223"/>
      <c r="G643" s="250"/>
      <c r="H643" s="250"/>
      <c r="I643" s="250"/>
      <c r="J643" s="251">
        <f>SUBTOTAL(9,J642:J642)</f>
        <v>-193.2</v>
      </c>
      <c r="K643" s="252"/>
      <c r="L643" s="253"/>
      <c r="M643" s="251">
        <f>SUBTOTAL(9,M642:M642)</f>
        <v>-2.58</v>
      </c>
      <c r="N643" s="251">
        <f>SUBTOTAL(9,N642:N642)</f>
        <v>-3.44</v>
      </c>
      <c r="O643" s="223"/>
      <c r="P643" s="210"/>
      <c r="Q643" s="210" t="str">
        <f>VLOOKUP(C643,'Descriptions Sorted by WO '!$A$5:$S$977,18,FALSE)</f>
        <v>393.1009 (5) (a) (b)</v>
      </c>
      <c r="R643" s="210" t="str">
        <f>VLOOKUP(C643,'Descriptions Sorted by WO '!$A$5:$S$977,19,FALSE)</f>
        <v>A,B,C</v>
      </c>
    </row>
    <row r="644" spans="1:18" ht="30" outlineLevel="2">
      <c r="A644" s="211" t="s">
        <v>1584</v>
      </c>
      <c r="B644" s="212" t="s">
        <v>1612</v>
      </c>
      <c r="C644" s="212" t="s">
        <v>1613</v>
      </c>
      <c r="D644" s="211" t="s">
        <v>1588</v>
      </c>
      <c r="E644" s="212" t="s">
        <v>1614</v>
      </c>
      <c r="F644" s="211" t="s">
        <v>1590</v>
      </c>
      <c r="G644" s="212" t="s">
        <v>23</v>
      </c>
      <c r="H644" s="212" t="s">
        <v>1530</v>
      </c>
      <c r="I644" s="212">
        <v>201409</v>
      </c>
      <c r="J644" s="213">
        <v>453.16</v>
      </c>
      <c r="K644" s="171">
        <f>VLOOKUP(I644,$T$9:$U$23,2)</f>
        <v>9</v>
      </c>
      <c r="L644" s="214">
        <v>2.0333333000000001E-3</v>
      </c>
      <c r="M644" s="213">
        <f>ROUND(J644*K644*L644,2)</f>
        <v>8.2899999999999991</v>
      </c>
      <c r="N644" s="213">
        <f>ROUND(J644*L644*12,2)</f>
        <v>11.06</v>
      </c>
      <c r="O644" s="14"/>
      <c r="P644" s="210" t="str">
        <f>VLOOKUP(C644,'WO Descriptions'!$A$5:$D$384,4,FALSE)</f>
        <v>Service/Yard Line Replacement (SLRP): Company Crew.  Rebuild meter/regulator setting (exclude regulator) (Joplin - South Region).</v>
      </c>
      <c r="Q644" s="210"/>
      <c r="R644" s="210"/>
    </row>
    <row r="645" spans="1:18" ht="30" outlineLevel="2">
      <c r="A645" s="211" t="s">
        <v>1584</v>
      </c>
      <c r="B645" s="212" t="s">
        <v>1612</v>
      </c>
      <c r="C645" s="212" t="s">
        <v>1613</v>
      </c>
      <c r="D645" s="211" t="s">
        <v>1588</v>
      </c>
      <c r="E645" s="212" t="s">
        <v>1614</v>
      </c>
      <c r="F645" s="211" t="s">
        <v>1590</v>
      </c>
      <c r="G645" s="212" t="s">
        <v>23</v>
      </c>
      <c r="H645" s="212" t="s">
        <v>1530</v>
      </c>
      <c r="I645" s="212">
        <v>201410</v>
      </c>
      <c r="J645" s="213">
        <v>434.13</v>
      </c>
      <c r="K645" s="171">
        <f>VLOOKUP(I645,$T$9:$U$23,2)</f>
        <v>8</v>
      </c>
      <c r="L645" s="214">
        <v>2.0333333000000001E-3</v>
      </c>
      <c r="M645" s="213">
        <f>ROUND(J645*K645*L645,2)</f>
        <v>7.06</v>
      </c>
      <c r="N645" s="213">
        <f>ROUND(J645*L645*12,2)</f>
        <v>10.59</v>
      </c>
      <c r="O645" s="14"/>
      <c r="P645" s="210" t="str">
        <f>VLOOKUP(C645,'WO Descriptions'!$A$5:$D$384,4,FALSE)</f>
        <v>Service/Yard Line Replacement (SLRP): Company Crew.  Rebuild meter/regulator setting (exclude regulator) (Joplin - South Region).</v>
      </c>
      <c r="Q645" s="210"/>
      <c r="R645" s="210"/>
    </row>
    <row r="646" spans="1:18" ht="30" outlineLevel="2">
      <c r="A646" s="211" t="s">
        <v>1584</v>
      </c>
      <c r="B646" s="212" t="s">
        <v>1612</v>
      </c>
      <c r="C646" s="212" t="s">
        <v>1613</v>
      </c>
      <c r="D646" s="211" t="s">
        <v>1588</v>
      </c>
      <c r="E646" s="212" t="s">
        <v>1614</v>
      </c>
      <c r="F646" s="211" t="s">
        <v>1590</v>
      </c>
      <c r="G646" s="212" t="s">
        <v>23</v>
      </c>
      <c r="H646" s="212" t="s">
        <v>1530</v>
      </c>
      <c r="I646" s="212">
        <v>201411</v>
      </c>
      <c r="J646" s="213">
        <v>425.66</v>
      </c>
      <c r="K646" s="171">
        <f>VLOOKUP(I646,$T$9:$U$23,2)</f>
        <v>7</v>
      </c>
      <c r="L646" s="214">
        <v>2.0333333000000001E-3</v>
      </c>
      <c r="M646" s="213">
        <f>ROUND(J646*K646*L646,2)</f>
        <v>6.06</v>
      </c>
      <c r="N646" s="213">
        <f>ROUND(J646*L646*12,2)</f>
        <v>10.39</v>
      </c>
      <c r="O646" s="14"/>
      <c r="P646" s="210" t="str">
        <f>VLOOKUP(C646,'WO Descriptions'!$A$5:$D$384,4,FALSE)</f>
        <v>Service/Yard Line Replacement (SLRP): Company Crew.  Rebuild meter/regulator setting (exclude regulator) (Joplin - South Region).</v>
      </c>
      <c r="Q646" s="210"/>
      <c r="R646" s="210"/>
    </row>
    <row r="647" spans="1:18" ht="30" outlineLevel="2">
      <c r="A647" s="211" t="s">
        <v>1584</v>
      </c>
      <c r="B647" s="212" t="s">
        <v>1612</v>
      </c>
      <c r="C647" s="212" t="s">
        <v>1613</v>
      </c>
      <c r="D647" s="211" t="s">
        <v>1588</v>
      </c>
      <c r="E647" s="212" t="s">
        <v>1614</v>
      </c>
      <c r="F647" s="211" t="s">
        <v>1590</v>
      </c>
      <c r="G647" s="212" t="s">
        <v>23</v>
      </c>
      <c r="H647" s="212" t="s">
        <v>1530</v>
      </c>
      <c r="I647" s="212">
        <v>201412</v>
      </c>
      <c r="J647" s="213">
        <v>332.2</v>
      </c>
      <c r="K647" s="171">
        <f>VLOOKUP(I647,$T$9:$U$23,2)</f>
        <v>6</v>
      </c>
      <c r="L647" s="214">
        <v>2.0333333000000001E-3</v>
      </c>
      <c r="M647" s="213">
        <f>ROUND(J647*K647*L647,2)</f>
        <v>4.05</v>
      </c>
      <c r="N647" s="213">
        <f>ROUND(J647*L647*12,2)</f>
        <v>8.11</v>
      </c>
      <c r="O647" s="14"/>
      <c r="P647" s="210" t="str">
        <f>VLOOKUP(C647,'WO Descriptions'!$A$5:$D$384,4,FALSE)</f>
        <v>Service/Yard Line Replacement (SLRP): Company Crew.  Rebuild meter/regulator setting (exclude regulator) (Joplin - South Region).</v>
      </c>
      <c r="Q647" s="210"/>
      <c r="R647" s="210"/>
    </row>
    <row r="648" spans="1:18" ht="30" outlineLevel="2">
      <c r="A648" s="14" t="s">
        <v>1584</v>
      </c>
      <c r="B648" s="15" t="s">
        <v>1612</v>
      </c>
      <c r="C648" s="15" t="s">
        <v>1613</v>
      </c>
      <c r="D648" s="14" t="s">
        <v>1588</v>
      </c>
      <c r="E648" s="15" t="s">
        <v>1614</v>
      </c>
      <c r="F648" s="14" t="s">
        <v>1590</v>
      </c>
      <c r="G648" s="15" t="s">
        <v>23</v>
      </c>
      <c r="H648" s="15" t="s">
        <v>1530</v>
      </c>
      <c r="I648" s="15">
        <v>201501</v>
      </c>
      <c r="J648" s="16">
        <v>77.61</v>
      </c>
      <c r="K648" s="171">
        <f>VLOOKUP(I648,$T$9:$U$23,2)</f>
        <v>5</v>
      </c>
      <c r="L648" s="17">
        <v>2.0333333000000001E-3</v>
      </c>
      <c r="M648" s="16">
        <f>ROUND(J648*K648*L648,2)</f>
        <v>0.79</v>
      </c>
      <c r="N648" s="16">
        <f>ROUND(J648*L648*12,2)</f>
        <v>1.89</v>
      </c>
      <c r="O648" s="14"/>
      <c r="P648" s="210" t="str">
        <f>VLOOKUP(C648,'WO Descriptions'!$A$5:$D$384,4,FALSE)</f>
        <v>Service/Yard Line Replacement (SLRP): Company Crew.  Rebuild meter/regulator setting (exclude regulator) (Joplin - South Region).</v>
      </c>
      <c r="Q648" s="210"/>
      <c r="R648" s="210"/>
    </row>
    <row r="649" spans="1:18" outlineLevel="1">
      <c r="A649" s="223"/>
      <c r="B649" s="250"/>
      <c r="C649" s="254" t="s">
        <v>1954</v>
      </c>
      <c r="D649" s="223"/>
      <c r="E649" s="250"/>
      <c r="F649" s="223"/>
      <c r="G649" s="250"/>
      <c r="H649" s="250"/>
      <c r="I649" s="250"/>
      <c r="J649" s="251">
        <f>SUBTOTAL(9,J644:J648)</f>
        <v>1722.76</v>
      </c>
      <c r="K649" s="252"/>
      <c r="L649" s="253"/>
      <c r="M649" s="251">
        <f>SUBTOTAL(9,M644:M648)</f>
        <v>26.249999999999996</v>
      </c>
      <c r="N649" s="251">
        <f>SUBTOTAL(9,N644:N648)</f>
        <v>42.04</v>
      </c>
      <c r="O649" s="223"/>
      <c r="P649" s="210"/>
      <c r="Q649" s="210" t="str">
        <f>VLOOKUP(C649,'Descriptions Sorted by WO '!$A$5:$S$977,18,FALSE)</f>
        <v>393.1009 (5) (a) (b)</v>
      </c>
      <c r="R649" s="210" t="str">
        <f>VLOOKUP(C649,'Descriptions Sorted by WO '!$A$5:$S$977,19,FALSE)</f>
        <v>A,B,C,I</v>
      </c>
    </row>
    <row r="650" spans="1:18" ht="30" outlineLevel="2">
      <c r="A650" s="211" t="s">
        <v>66</v>
      </c>
      <c r="B650" s="212" t="s">
        <v>671</v>
      </c>
      <c r="C650" s="212" t="s">
        <v>672</v>
      </c>
      <c r="D650" s="211" t="s">
        <v>206</v>
      </c>
      <c r="E650" s="212" t="s">
        <v>673</v>
      </c>
      <c r="F650" s="211" t="s">
        <v>97</v>
      </c>
      <c r="G650" s="212" t="s">
        <v>23</v>
      </c>
      <c r="H650" s="212" t="s">
        <v>1530</v>
      </c>
      <c r="I650" s="212">
        <v>201409</v>
      </c>
      <c r="J650" s="213">
        <v>642.49</v>
      </c>
      <c r="K650" s="171">
        <f t="shared" ref="K650:K655" si="72">VLOOKUP(I650,$T$9:$U$23,2)</f>
        <v>9</v>
      </c>
      <c r="L650" s="214">
        <v>2.23333E-3</v>
      </c>
      <c r="M650" s="213">
        <f t="shared" ref="M650:M655" si="73">ROUND(J650*K650*L650,2)</f>
        <v>12.91</v>
      </c>
      <c r="N650" s="213">
        <f t="shared" ref="N650:N655" si="74">ROUND(J650*L650*12,2)</f>
        <v>17.22</v>
      </c>
      <c r="O650" s="14"/>
      <c r="P650" s="210" t="str">
        <f>VLOOKUP(C650,'WO Descriptions'!$A$5:$D$384,4,FALSE)</f>
        <v>Service/Yard Line Replacement (SLRP): Company Crew.  Service/yard line replacement - Material Charges Only  (Joplin - South Region)</v>
      </c>
      <c r="Q650" s="210"/>
      <c r="R650" s="210"/>
    </row>
    <row r="651" spans="1:18" ht="30" outlineLevel="2">
      <c r="A651" s="211" t="s">
        <v>66</v>
      </c>
      <c r="B651" s="212" t="s">
        <v>671</v>
      </c>
      <c r="C651" s="212" t="s">
        <v>672</v>
      </c>
      <c r="D651" s="211" t="s">
        <v>206</v>
      </c>
      <c r="E651" s="212" t="s">
        <v>673</v>
      </c>
      <c r="F651" s="211" t="s">
        <v>97</v>
      </c>
      <c r="G651" s="212" t="s">
        <v>23</v>
      </c>
      <c r="H651" s="212" t="s">
        <v>1530</v>
      </c>
      <c r="I651" s="212">
        <v>201410</v>
      </c>
      <c r="J651" s="213">
        <v>-743.2</v>
      </c>
      <c r="K651" s="171">
        <f t="shared" si="72"/>
        <v>8</v>
      </c>
      <c r="L651" s="214">
        <v>2.23333E-3</v>
      </c>
      <c r="M651" s="213">
        <f t="shared" si="73"/>
        <v>-13.28</v>
      </c>
      <c r="N651" s="213">
        <f t="shared" si="74"/>
        <v>-19.920000000000002</v>
      </c>
      <c r="O651" s="14"/>
      <c r="P651" s="210" t="str">
        <f>VLOOKUP(C651,'WO Descriptions'!$A$5:$D$384,4,FALSE)</f>
        <v>Service/Yard Line Replacement (SLRP): Company Crew.  Service/yard line replacement - Material Charges Only  (Joplin - South Region)</v>
      </c>
      <c r="Q651" s="210"/>
      <c r="R651" s="210"/>
    </row>
    <row r="652" spans="1:18" ht="30" outlineLevel="2">
      <c r="A652" s="211" t="s">
        <v>66</v>
      </c>
      <c r="B652" s="212" t="s">
        <v>671</v>
      </c>
      <c r="C652" s="212" t="s">
        <v>672</v>
      </c>
      <c r="D652" s="211" t="s">
        <v>206</v>
      </c>
      <c r="E652" s="212" t="s">
        <v>673</v>
      </c>
      <c r="F652" s="211" t="s">
        <v>97</v>
      </c>
      <c r="G652" s="212" t="s">
        <v>23</v>
      </c>
      <c r="H652" s="212" t="s">
        <v>1530</v>
      </c>
      <c r="I652" s="212">
        <v>201411</v>
      </c>
      <c r="J652" s="213">
        <v>20.29</v>
      </c>
      <c r="K652" s="171">
        <f t="shared" si="72"/>
        <v>7</v>
      </c>
      <c r="L652" s="214">
        <v>2.23333E-3</v>
      </c>
      <c r="M652" s="213">
        <f t="shared" si="73"/>
        <v>0.32</v>
      </c>
      <c r="N652" s="213">
        <f t="shared" si="74"/>
        <v>0.54</v>
      </c>
      <c r="O652" s="14"/>
      <c r="P652" s="210" t="str">
        <f>VLOOKUP(C652,'WO Descriptions'!$A$5:$D$384,4,FALSE)</f>
        <v>Service/Yard Line Replacement (SLRP): Company Crew.  Service/yard line replacement - Material Charges Only  (Joplin - South Region)</v>
      </c>
      <c r="Q652" s="210"/>
      <c r="R652" s="210"/>
    </row>
    <row r="653" spans="1:18" ht="30" outlineLevel="2">
      <c r="A653" s="211" t="s">
        <v>66</v>
      </c>
      <c r="B653" s="212" t="s">
        <v>671</v>
      </c>
      <c r="C653" s="212" t="s">
        <v>672</v>
      </c>
      <c r="D653" s="211" t="s">
        <v>206</v>
      </c>
      <c r="E653" s="212" t="s">
        <v>673</v>
      </c>
      <c r="F653" s="211" t="s">
        <v>97</v>
      </c>
      <c r="G653" s="212" t="s">
        <v>23</v>
      </c>
      <c r="H653" s="212" t="s">
        <v>1530</v>
      </c>
      <c r="I653" s="212">
        <v>201412</v>
      </c>
      <c r="J653" s="213">
        <v>64.27</v>
      </c>
      <c r="K653" s="171">
        <f t="shared" si="72"/>
        <v>6</v>
      </c>
      <c r="L653" s="214">
        <v>2.23333E-3</v>
      </c>
      <c r="M653" s="213">
        <f t="shared" si="73"/>
        <v>0.86</v>
      </c>
      <c r="N653" s="213">
        <f t="shared" si="74"/>
        <v>1.72</v>
      </c>
      <c r="O653" s="14"/>
      <c r="P653" s="210" t="str">
        <f>VLOOKUP(C653,'WO Descriptions'!$A$5:$D$384,4,FALSE)</f>
        <v>Service/Yard Line Replacement (SLRP): Company Crew.  Service/yard line replacement - Material Charges Only  (Joplin - South Region)</v>
      </c>
      <c r="Q653" s="210"/>
      <c r="R653" s="210"/>
    </row>
    <row r="654" spans="1:18" ht="30" outlineLevel="2">
      <c r="A654" s="14" t="s">
        <v>66</v>
      </c>
      <c r="B654" s="15" t="s">
        <v>671</v>
      </c>
      <c r="C654" s="15" t="s">
        <v>672</v>
      </c>
      <c r="D654" s="14" t="s">
        <v>206</v>
      </c>
      <c r="E654" s="15" t="s">
        <v>673</v>
      </c>
      <c r="F654" s="14" t="s">
        <v>97</v>
      </c>
      <c r="G654" s="15" t="s">
        <v>23</v>
      </c>
      <c r="H654" s="15" t="s">
        <v>1530</v>
      </c>
      <c r="I654" s="15">
        <v>201501</v>
      </c>
      <c r="J654" s="16">
        <v>2.98</v>
      </c>
      <c r="K654" s="171">
        <f t="shared" si="72"/>
        <v>5</v>
      </c>
      <c r="L654" s="17">
        <v>2.23333E-3</v>
      </c>
      <c r="M654" s="16">
        <f t="shared" si="73"/>
        <v>0.03</v>
      </c>
      <c r="N654" s="16">
        <f t="shared" si="74"/>
        <v>0.08</v>
      </c>
      <c r="O654" s="14"/>
      <c r="P654" s="210" t="str">
        <f>VLOOKUP(C654,'WO Descriptions'!$A$5:$D$384,4,FALSE)</f>
        <v>Service/Yard Line Replacement (SLRP): Company Crew.  Service/yard line replacement - Material Charges Only  (Joplin - South Region)</v>
      </c>
      <c r="Q654" s="210"/>
      <c r="R654" s="210"/>
    </row>
    <row r="655" spans="1:18" ht="30" outlineLevel="2">
      <c r="A655" s="14" t="s">
        <v>66</v>
      </c>
      <c r="B655" s="15" t="s">
        <v>671</v>
      </c>
      <c r="C655" s="15" t="s">
        <v>672</v>
      </c>
      <c r="D655" s="14" t="s">
        <v>206</v>
      </c>
      <c r="E655" s="15" t="s">
        <v>673</v>
      </c>
      <c r="F655" s="14" t="s">
        <v>97</v>
      </c>
      <c r="G655" s="15" t="s">
        <v>23</v>
      </c>
      <c r="H655" s="15" t="s">
        <v>1530</v>
      </c>
      <c r="I655" s="15">
        <v>201502</v>
      </c>
      <c r="J655" s="16">
        <v>6.38</v>
      </c>
      <c r="K655" s="171">
        <f t="shared" si="72"/>
        <v>4</v>
      </c>
      <c r="L655" s="17">
        <v>2.23333E-3</v>
      </c>
      <c r="M655" s="16">
        <f t="shared" si="73"/>
        <v>0.06</v>
      </c>
      <c r="N655" s="16">
        <f t="shared" si="74"/>
        <v>0.17</v>
      </c>
      <c r="O655" s="14"/>
      <c r="P655" s="210" t="str">
        <f>VLOOKUP(C655,'WO Descriptions'!$A$5:$D$384,4,FALSE)</f>
        <v>Service/Yard Line Replacement (SLRP): Company Crew.  Service/yard line replacement - Material Charges Only  (Joplin - South Region)</v>
      </c>
      <c r="Q655" s="210"/>
      <c r="R655" s="210"/>
    </row>
    <row r="656" spans="1:18" outlineLevel="1">
      <c r="A656" s="223"/>
      <c r="B656" s="250"/>
      <c r="C656" s="254" t="s">
        <v>1955</v>
      </c>
      <c r="D656" s="223"/>
      <c r="E656" s="250"/>
      <c r="F656" s="223"/>
      <c r="G656" s="250"/>
      <c r="H656" s="250"/>
      <c r="I656" s="250"/>
      <c r="J656" s="251">
        <f>SUBTOTAL(9,J650:J655)</f>
        <v>-6.790000000000048</v>
      </c>
      <c r="K656" s="252"/>
      <c r="L656" s="253"/>
      <c r="M656" s="251">
        <f>SUBTOTAL(9,M650:M655)</f>
        <v>0.9000000000000008</v>
      </c>
      <c r="N656" s="251">
        <f>SUBTOTAL(9,N650:N655)</f>
        <v>-0.19000000000000281</v>
      </c>
      <c r="O656" s="223"/>
      <c r="P656" s="210"/>
      <c r="Q656" s="210" t="str">
        <f>VLOOKUP(C656,'Descriptions Sorted by WO '!$A$5:$S$977,18,FALSE)</f>
        <v>393.1009 (5) (a) (b)</v>
      </c>
      <c r="R656" s="210" t="str">
        <f>VLOOKUP(C656,'Descriptions Sorted by WO '!$A$5:$S$977,19,FALSE)</f>
        <v>A,B,C,I</v>
      </c>
    </row>
    <row r="657" spans="1:18" outlineLevel="2">
      <c r="A657" s="211" t="s">
        <v>66</v>
      </c>
      <c r="B657" s="212" t="s">
        <v>674</v>
      </c>
      <c r="C657" s="212" t="s">
        <v>675</v>
      </c>
      <c r="D657" s="211" t="s">
        <v>385</v>
      </c>
      <c r="E657" s="212" t="s">
        <v>676</v>
      </c>
      <c r="F657" s="211" t="s">
        <v>387</v>
      </c>
      <c r="G657" s="212" t="s">
        <v>23</v>
      </c>
      <c r="H657" s="212" t="s">
        <v>1530</v>
      </c>
      <c r="I657" s="212">
        <v>201409</v>
      </c>
      <c r="J657" s="213">
        <v>16917.41</v>
      </c>
      <c r="K657" s="171">
        <f t="shared" ref="K657:K662" si="75">VLOOKUP(I657,$T$9:$U$23,2)</f>
        <v>9</v>
      </c>
      <c r="L657" s="214">
        <v>2.23333E-3</v>
      </c>
      <c r="M657" s="213">
        <f t="shared" ref="M657:M662" si="76">ROUND(J657*K657*L657,2)</f>
        <v>340.04</v>
      </c>
      <c r="N657" s="213">
        <f t="shared" ref="N657:N662" si="77">ROUND(J657*L657*12,2)</f>
        <v>453.39</v>
      </c>
      <c r="O657" s="14"/>
      <c r="P657" s="210" t="str">
        <f>VLOOKUP(C657,'WO Descriptions'!$A$5:$D$384,4,FALSE)</f>
        <v>Replacement and/or removal of existing protected steel or plastic (Monett - South Region)</v>
      </c>
      <c r="Q657" s="210"/>
      <c r="R657" s="210"/>
    </row>
    <row r="658" spans="1:18" outlineLevel="2">
      <c r="A658" s="211" t="s">
        <v>66</v>
      </c>
      <c r="B658" s="212" t="s">
        <v>674</v>
      </c>
      <c r="C658" s="212" t="s">
        <v>675</v>
      </c>
      <c r="D658" s="211" t="s">
        <v>385</v>
      </c>
      <c r="E658" s="212" t="s">
        <v>676</v>
      </c>
      <c r="F658" s="211" t="s">
        <v>387</v>
      </c>
      <c r="G658" s="212" t="s">
        <v>23</v>
      </c>
      <c r="H658" s="212" t="s">
        <v>1530</v>
      </c>
      <c r="I658" s="212">
        <v>201410</v>
      </c>
      <c r="J658" s="213">
        <v>14213.17</v>
      </c>
      <c r="K658" s="171">
        <f t="shared" si="75"/>
        <v>8</v>
      </c>
      <c r="L658" s="214">
        <v>2.23333E-3</v>
      </c>
      <c r="M658" s="213">
        <f t="shared" si="76"/>
        <v>253.94</v>
      </c>
      <c r="N658" s="213">
        <f t="shared" si="77"/>
        <v>380.91</v>
      </c>
      <c r="O658" s="14"/>
      <c r="P658" s="210" t="str">
        <f>VLOOKUP(C658,'WO Descriptions'!$A$5:$D$384,4,FALSE)</f>
        <v>Replacement and/or removal of existing protected steel or plastic (Monett - South Region)</v>
      </c>
      <c r="Q658" s="210"/>
      <c r="R658" s="210"/>
    </row>
    <row r="659" spans="1:18" outlineLevel="2">
      <c r="A659" s="211" t="s">
        <v>66</v>
      </c>
      <c r="B659" s="212" t="s">
        <v>674</v>
      </c>
      <c r="C659" s="212" t="s">
        <v>675</v>
      </c>
      <c r="D659" s="211" t="s">
        <v>385</v>
      </c>
      <c r="E659" s="212" t="s">
        <v>676</v>
      </c>
      <c r="F659" s="211" t="s">
        <v>387</v>
      </c>
      <c r="G659" s="212" t="s">
        <v>23</v>
      </c>
      <c r="H659" s="212" t="s">
        <v>1530</v>
      </c>
      <c r="I659" s="212">
        <v>201411</v>
      </c>
      <c r="J659" s="213">
        <v>-5090.0600000000004</v>
      </c>
      <c r="K659" s="171">
        <f t="shared" si="75"/>
        <v>7</v>
      </c>
      <c r="L659" s="214">
        <v>2.23333E-3</v>
      </c>
      <c r="M659" s="213">
        <f t="shared" si="76"/>
        <v>-79.569999999999993</v>
      </c>
      <c r="N659" s="213">
        <f t="shared" si="77"/>
        <v>-136.41</v>
      </c>
      <c r="O659" s="14"/>
      <c r="P659" s="210" t="str">
        <f>VLOOKUP(C659,'WO Descriptions'!$A$5:$D$384,4,FALSE)</f>
        <v>Replacement and/or removal of existing protected steel or plastic (Monett - South Region)</v>
      </c>
      <c r="Q659" s="210"/>
      <c r="R659" s="210"/>
    </row>
    <row r="660" spans="1:18" outlineLevel="2">
      <c r="A660" s="211" t="s">
        <v>66</v>
      </c>
      <c r="B660" s="212" t="s">
        <v>674</v>
      </c>
      <c r="C660" s="212" t="s">
        <v>675</v>
      </c>
      <c r="D660" s="211" t="s">
        <v>385</v>
      </c>
      <c r="E660" s="212" t="s">
        <v>676</v>
      </c>
      <c r="F660" s="211" t="s">
        <v>387</v>
      </c>
      <c r="G660" s="212" t="s">
        <v>23</v>
      </c>
      <c r="H660" s="212" t="s">
        <v>1530</v>
      </c>
      <c r="I660" s="212">
        <v>201412</v>
      </c>
      <c r="J660" s="213">
        <v>4755.1000000000004</v>
      </c>
      <c r="K660" s="171">
        <f t="shared" si="75"/>
        <v>6</v>
      </c>
      <c r="L660" s="214">
        <v>2.23333E-3</v>
      </c>
      <c r="M660" s="213">
        <f t="shared" si="76"/>
        <v>63.72</v>
      </c>
      <c r="N660" s="213">
        <f t="shared" si="77"/>
        <v>127.44</v>
      </c>
      <c r="O660" s="14"/>
      <c r="P660" s="210" t="str">
        <f>VLOOKUP(C660,'WO Descriptions'!$A$5:$D$384,4,FALSE)</f>
        <v>Replacement and/or removal of existing protected steel or plastic (Monett - South Region)</v>
      </c>
      <c r="Q660" s="210"/>
      <c r="R660" s="210"/>
    </row>
    <row r="661" spans="1:18" outlineLevel="2">
      <c r="A661" s="14" t="s">
        <v>66</v>
      </c>
      <c r="B661" s="15" t="s">
        <v>674</v>
      </c>
      <c r="C661" s="15" t="s">
        <v>675</v>
      </c>
      <c r="D661" s="14" t="s">
        <v>385</v>
      </c>
      <c r="E661" s="15" t="s">
        <v>676</v>
      </c>
      <c r="F661" s="14" t="s">
        <v>387</v>
      </c>
      <c r="G661" s="15" t="s">
        <v>23</v>
      </c>
      <c r="H661" s="15" t="s">
        <v>1530</v>
      </c>
      <c r="I661" s="15">
        <v>201501</v>
      </c>
      <c r="J661" s="16">
        <v>2657.85</v>
      </c>
      <c r="K661" s="171">
        <f t="shared" si="75"/>
        <v>5</v>
      </c>
      <c r="L661" s="17">
        <v>2.23333E-3</v>
      </c>
      <c r="M661" s="16">
        <f t="shared" si="76"/>
        <v>29.68</v>
      </c>
      <c r="N661" s="16">
        <f t="shared" si="77"/>
        <v>71.23</v>
      </c>
      <c r="O661" s="14"/>
      <c r="P661" s="210" t="str">
        <f>VLOOKUP(C661,'WO Descriptions'!$A$5:$D$384,4,FALSE)</f>
        <v>Replacement and/or removal of existing protected steel or plastic (Monett - South Region)</v>
      </c>
      <c r="Q661" s="210"/>
      <c r="R661" s="210"/>
    </row>
    <row r="662" spans="1:18" outlineLevel="2">
      <c r="A662" s="14" t="s">
        <v>66</v>
      </c>
      <c r="B662" s="15" t="s">
        <v>674</v>
      </c>
      <c r="C662" s="15" t="s">
        <v>675</v>
      </c>
      <c r="D662" s="14" t="s">
        <v>385</v>
      </c>
      <c r="E662" s="15" t="s">
        <v>676</v>
      </c>
      <c r="F662" s="14" t="s">
        <v>387</v>
      </c>
      <c r="G662" s="15" t="s">
        <v>23</v>
      </c>
      <c r="H662" s="15" t="s">
        <v>1530</v>
      </c>
      <c r="I662" s="15">
        <v>201502</v>
      </c>
      <c r="J662" s="16">
        <v>10309.6</v>
      </c>
      <c r="K662" s="171">
        <f t="shared" si="75"/>
        <v>4</v>
      </c>
      <c r="L662" s="17">
        <v>2.23333E-3</v>
      </c>
      <c r="M662" s="16">
        <f t="shared" si="76"/>
        <v>92.1</v>
      </c>
      <c r="N662" s="16">
        <f t="shared" si="77"/>
        <v>276.3</v>
      </c>
      <c r="O662" s="14"/>
      <c r="P662" s="210" t="str">
        <f>VLOOKUP(C662,'WO Descriptions'!$A$5:$D$384,4,FALSE)</f>
        <v>Replacement and/or removal of existing protected steel or plastic (Monett - South Region)</v>
      </c>
      <c r="Q662" s="210"/>
      <c r="R662" s="210"/>
    </row>
    <row r="663" spans="1:18" outlineLevel="1">
      <c r="A663" s="223"/>
      <c r="B663" s="250"/>
      <c r="C663" s="254" t="s">
        <v>1956</v>
      </c>
      <c r="D663" s="223"/>
      <c r="E663" s="250"/>
      <c r="F663" s="223"/>
      <c r="G663" s="250"/>
      <c r="H663" s="250"/>
      <c r="I663" s="250"/>
      <c r="J663" s="251">
        <f>SUBTOTAL(9,J657:J662)</f>
        <v>43763.07</v>
      </c>
      <c r="K663" s="252"/>
      <c r="L663" s="253"/>
      <c r="M663" s="251">
        <f>SUBTOTAL(9,M657:M662)</f>
        <v>699.91000000000008</v>
      </c>
      <c r="N663" s="251">
        <f>SUBTOTAL(9,N657:N662)</f>
        <v>1172.8599999999999</v>
      </c>
      <c r="O663" s="223"/>
      <c r="P663" s="210"/>
      <c r="Q663" s="210" t="str">
        <f>VLOOKUP(C663,'Descriptions Sorted by WO '!$A$5:$S$977,18,FALSE)</f>
        <v>393.1009 (5) (a) (b)</v>
      </c>
      <c r="R663" s="210" t="str">
        <f>VLOOKUP(C663,'Descriptions Sorted by WO '!$A$5:$S$977,19,FALSE)</f>
        <v>A,B,C,I</v>
      </c>
    </row>
    <row r="664" spans="1:18" ht="60" outlineLevel="2">
      <c r="A664" s="14" t="s">
        <v>17</v>
      </c>
      <c r="B664" s="15" t="s">
        <v>677</v>
      </c>
      <c r="C664" s="15" t="s">
        <v>678</v>
      </c>
      <c r="D664" s="14" t="s">
        <v>679</v>
      </c>
      <c r="E664" s="15" t="s">
        <v>216</v>
      </c>
      <c r="F664" s="14" t="s">
        <v>22</v>
      </c>
      <c r="G664" s="15" t="s">
        <v>23</v>
      </c>
      <c r="H664" s="15" t="s">
        <v>1525</v>
      </c>
      <c r="I664" s="15">
        <v>201409</v>
      </c>
      <c r="J664" s="16">
        <v>6.37</v>
      </c>
      <c r="K664" s="171">
        <f>VLOOKUP(I664,$T$9:$U$23,2)</f>
        <v>9</v>
      </c>
      <c r="L664" s="17">
        <v>1.4833299999999999E-3</v>
      </c>
      <c r="M664" s="16">
        <f>ROUND(J664*K664*L664,2)</f>
        <v>0.09</v>
      </c>
      <c r="N664" s="16">
        <f>ROUND(J664*L664*12,2)</f>
        <v>0.11</v>
      </c>
      <c r="O664" s="14"/>
      <c r="P664" s="210" t="str">
        <f>VLOOKUP(C664,'WO Descriptions'!$A$5:$D$384,4,FALSE)</f>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
      <c r="Q664" s="210"/>
      <c r="R664" s="210"/>
    </row>
    <row r="665" spans="1:18" outlineLevel="1">
      <c r="A665" s="223"/>
      <c r="B665" s="250"/>
      <c r="C665" s="254" t="s">
        <v>1957</v>
      </c>
      <c r="D665" s="223"/>
      <c r="E665" s="250"/>
      <c r="F665" s="223"/>
      <c r="G665" s="250"/>
      <c r="H665" s="250"/>
      <c r="I665" s="250"/>
      <c r="J665" s="251">
        <f>SUBTOTAL(9,J664:J664)</f>
        <v>6.37</v>
      </c>
      <c r="K665" s="252"/>
      <c r="L665" s="253"/>
      <c r="M665" s="251">
        <f>SUBTOTAL(9,M664:M664)</f>
        <v>0.09</v>
      </c>
      <c r="N665" s="251">
        <f>SUBTOTAL(9,N664:N664)</f>
        <v>0.11</v>
      </c>
      <c r="O665" s="223"/>
      <c r="P665" s="210"/>
      <c r="Q665" s="210" t="str">
        <f>VLOOKUP(C665,'Descriptions Sorted by WO '!$A$5:$S$977,18,FALSE)</f>
        <v>393.1009 (5) (a) (b)</v>
      </c>
      <c r="R665" s="210" t="str">
        <f>VLOOKUP(C665,'Descriptions Sorted by WO '!$A$5:$S$977,19,FALSE)</f>
        <v>A,B,C</v>
      </c>
    </row>
    <row r="666" spans="1:18" ht="45" outlineLevel="2">
      <c r="A666" s="14" t="s">
        <v>238</v>
      </c>
      <c r="B666" s="15" t="s">
        <v>680</v>
      </c>
      <c r="C666" s="15" t="s">
        <v>681</v>
      </c>
      <c r="D666" s="14" t="s">
        <v>682</v>
      </c>
      <c r="E666" s="15" t="s">
        <v>683</v>
      </c>
      <c r="F666" s="14" t="s">
        <v>684</v>
      </c>
      <c r="G666" s="15" t="s">
        <v>23</v>
      </c>
      <c r="H666" s="15" t="s">
        <v>1528</v>
      </c>
      <c r="I666" s="15">
        <v>201409</v>
      </c>
      <c r="J666" s="16">
        <v>-215.87</v>
      </c>
      <c r="K666" s="171">
        <f>VLOOKUP(I666,$T$9:$U$23,2)</f>
        <v>9</v>
      </c>
      <c r="L666" s="17">
        <v>2.3833299999999999E-3</v>
      </c>
      <c r="M666" s="16">
        <f>ROUND(J666*K666*L666,2)</f>
        <v>-4.63</v>
      </c>
      <c r="N666" s="16">
        <f>ROUND(J666*L666*12,2)</f>
        <v>-6.17</v>
      </c>
      <c r="O666" s="14"/>
      <c r="P666" s="210" t="str">
        <f>VLOOKUP(C666,'WO Descriptions'!$A$5:$D$384,4,FALSE)</f>
        <v>Approved by: Gary Williams on 01/31/2013,  Relocate DRS 424 from Gardener Avenue and Askew to Front Street and Askew. All existing regulators and valves from station were utilized in the relocation. Install new barricade around station.</v>
      </c>
      <c r="Q666" s="210"/>
      <c r="R666" s="210"/>
    </row>
    <row r="667" spans="1:18" outlineLevel="1">
      <c r="A667" s="223"/>
      <c r="B667" s="250"/>
      <c r="C667" s="254" t="s">
        <v>1958</v>
      </c>
      <c r="D667" s="223"/>
      <c r="E667" s="250"/>
      <c r="F667" s="223"/>
      <c r="G667" s="250"/>
      <c r="H667" s="250"/>
      <c r="I667" s="250"/>
      <c r="J667" s="251">
        <f>SUBTOTAL(9,J666:J666)</f>
        <v>-215.87</v>
      </c>
      <c r="K667" s="252"/>
      <c r="L667" s="253"/>
      <c r="M667" s="251">
        <f>SUBTOTAL(9,M666:M666)</f>
        <v>-4.63</v>
      </c>
      <c r="N667" s="251">
        <f>SUBTOTAL(9,N666:N666)</f>
        <v>-6.17</v>
      </c>
      <c r="O667" s="223"/>
      <c r="P667" s="210"/>
      <c r="Q667" s="210" t="str">
        <f>VLOOKUP(C667,'Descriptions Sorted by WO '!$A$5:$S$977,18,FALSE)</f>
        <v>393.1009 (5) (a) (b)</v>
      </c>
      <c r="R667" s="210" t="str">
        <f>VLOOKUP(C667,'Descriptions Sorted by WO '!$A$5:$S$977,19,FALSE)</f>
        <v>A,B</v>
      </c>
    </row>
    <row r="668" spans="1:18" ht="75" outlineLevel="2">
      <c r="A668" s="14" t="s">
        <v>17</v>
      </c>
      <c r="B668" s="15" t="s">
        <v>685</v>
      </c>
      <c r="C668" s="15" t="s">
        <v>686</v>
      </c>
      <c r="D668" s="14" t="s">
        <v>687</v>
      </c>
      <c r="E668" s="15" t="s">
        <v>40</v>
      </c>
      <c r="F668" s="14" t="s">
        <v>41</v>
      </c>
      <c r="G668" s="15" t="s">
        <v>23</v>
      </c>
      <c r="H668" s="15" t="s">
        <v>1526</v>
      </c>
      <c r="I668" s="15">
        <v>201409</v>
      </c>
      <c r="J668" s="16">
        <v>-5404.17</v>
      </c>
      <c r="K668" s="171">
        <f>VLOOKUP(I668,$T$9:$U$23,2)</f>
        <v>9</v>
      </c>
      <c r="L668" s="17">
        <v>1.4833299999999999E-3</v>
      </c>
      <c r="M668" s="16">
        <f>ROUND(J668*K668*L668,2)</f>
        <v>-72.150000000000006</v>
      </c>
      <c r="N668" s="16">
        <f>ROUND(J668*L668*12,2)</f>
        <v>-96.19</v>
      </c>
      <c r="O668" s="14"/>
      <c r="P668" s="210" t="str">
        <f>VLOOKUP(C668,'WO Descriptions'!$A$5:$D$384,4,FALSE)</f>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
      <c r="Q668" s="210"/>
      <c r="R668" s="210"/>
    </row>
    <row r="669" spans="1:18" outlineLevel="1">
      <c r="A669" s="223"/>
      <c r="B669" s="250"/>
      <c r="C669" s="254" t="s">
        <v>1959</v>
      </c>
      <c r="D669" s="223"/>
      <c r="E669" s="250"/>
      <c r="F669" s="223"/>
      <c r="G669" s="250"/>
      <c r="H669" s="250"/>
      <c r="I669" s="250"/>
      <c r="J669" s="251">
        <f>SUBTOTAL(9,J668:J668)</f>
        <v>-5404.17</v>
      </c>
      <c r="K669" s="252"/>
      <c r="L669" s="253"/>
      <c r="M669" s="251">
        <f>SUBTOTAL(9,M668:M668)</f>
        <v>-72.150000000000006</v>
      </c>
      <c r="N669" s="251">
        <f>SUBTOTAL(9,N668:N668)</f>
        <v>-96.19</v>
      </c>
      <c r="O669" s="223"/>
      <c r="P669" s="210"/>
      <c r="Q669" s="210" t="str">
        <f>VLOOKUP(C669,'Descriptions Sorted by WO '!$A$5:$S$977,18,FALSE)</f>
        <v>393.1009 (5) (C)</v>
      </c>
      <c r="R669" s="210"/>
    </row>
    <row r="670" spans="1:18" ht="150" outlineLevel="2">
      <c r="A670" s="14" t="s">
        <v>17</v>
      </c>
      <c r="B670" s="15" t="s">
        <v>688</v>
      </c>
      <c r="C670" s="15" t="s">
        <v>689</v>
      </c>
      <c r="D670" s="14" t="s">
        <v>690</v>
      </c>
      <c r="E670" s="15" t="s">
        <v>141</v>
      </c>
      <c r="F670" s="14" t="s">
        <v>142</v>
      </c>
      <c r="G670" s="15" t="s">
        <v>23</v>
      </c>
      <c r="H670" s="15" t="s">
        <v>1525</v>
      </c>
      <c r="I670" s="15">
        <v>201409</v>
      </c>
      <c r="J670" s="16">
        <v>-919.54</v>
      </c>
      <c r="K670" s="171">
        <f>VLOOKUP(I670,$T$9:$U$23,2)</f>
        <v>9</v>
      </c>
      <c r="L670" s="17">
        <v>1.4833299999999999E-3</v>
      </c>
      <c r="M670" s="16">
        <f>ROUND(J670*K670*L670,2)</f>
        <v>-12.28</v>
      </c>
      <c r="N670" s="16">
        <f>ROUND(J670*L670*12,2)</f>
        <v>-16.37</v>
      </c>
      <c r="O670" s="14"/>
      <c r="P670" s="210" t="str">
        <f>VLOOKUP(C670,'WO Descriptions'!$A$5:$D$384,4,FALSE)</f>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
      <c r="Q670" s="210"/>
      <c r="R670" s="210"/>
    </row>
    <row r="671" spans="1:18" outlineLevel="1">
      <c r="A671" s="223"/>
      <c r="B671" s="250"/>
      <c r="C671" s="254" t="s">
        <v>1960</v>
      </c>
      <c r="D671" s="223"/>
      <c r="E671" s="250"/>
      <c r="F671" s="223"/>
      <c r="G671" s="250"/>
      <c r="H671" s="250"/>
      <c r="I671" s="250"/>
      <c r="J671" s="251">
        <f>SUBTOTAL(9,J670:J670)</f>
        <v>-919.54</v>
      </c>
      <c r="K671" s="252"/>
      <c r="L671" s="253"/>
      <c r="M671" s="251">
        <f>SUBTOTAL(9,M670:M670)</f>
        <v>-12.28</v>
      </c>
      <c r="N671" s="251">
        <f>SUBTOTAL(9,N670:N670)</f>
        <v>-16.37</v>
      </c>
      <c r="O671" s="223"/>
      <c r="P671" s="210"/>
      <c r="Q671" s="210" t="str">
        <f>VLOOKUP(C671,'Descriptions Sorted by WO '!$A$5:$S$977,18,FALSE)</f>
        <v>393.1009 (5) (a) (b)</v>
      </c>
      <c r="R671" s="210" t="str">
        <f>VLOOKUP(C671,'Descriptions Sorted by WO '!$A$5:$S$977,19,FALSE)</f>
        <v>A,B,C,D,I</v>
      </c>
    </row>
    <row r="672" spans="1:18" ht="105" outlineLevel="2">
      <c r="A672" s="18" t="s">
        <v>17</v>
      </c>
      <c r="B672" s="15" t="s">
        <v>691</v>
      </c>
      <c r="C672" s="15" t="s">
        <v>692</v>
      </c>
      <c r="D672" s="14" t="s">
        <v>693</v>
      </c>
      <c r="E672" s="15" t="s">
        <v>58</v>
      </c>
      <c r="F672" s="14" t="s">
        <v>22</v>
      </c>
      <c r="G672" s="15" t="s">
        <v>23</v>
      </c>
      <c r="H672" s="15" t="s">
        <v>1525</v>
      </c>
      <c r="I672" s="15">
        <v>201409</v>
      </c>
      <c r="J672" s="16">
        <v>-115.71</v>
      </c>
      <c r="K672" s="171">
        <f>VLOOKUP(I672,$T$9:$U$23,2)</f>
        <v>9</v>
      </c>
      <c r="L672" s="17">
        <v>1.4833299999999999E-3</v>
      </c>
      <c r="M672" s="16">
        <f>ROUND(J672*K672*L672,2)</f>
        <v>-1.54</v>
      </c>
      <c r="N672" s="16">
        <f>ROUND(J672*L672*12,2)</f>
        <v>-2.06</v>
      </c>
      <c r="O672" s="14"/>
      <c r="P672" s="210" t="str">
        <f>VLOOKUP(C672,'WO Descriptions'!$A$5:$D$384,4,FALSE)</f>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
      <c r="Q672" s="210"/>
      <c r="R672" s="210"/>
    </row>
    <row r="673" spans="1:18" outlineLevel="1">
      <c r="A673" s="225"/>
      <c r="B673" s="250"/>
      <c r="C673" s="254" t="s">
        <v>1961</v>
      </c>
      <c r="D673" s="223"/>
      <c r="E673" s="250"/>
      <c r="F673" s="223"/>
      <c r="G673" s="250"/>
      <c r="H673" s="250"/>
      <c r="I673" s="250"/>
      <c r="J673" s="251">
        <f>SUBTOTAL(9,J672:J672)</f>
        <v>-115.71</v>
      </c>
      <c r="K673" s="252"/>
      <c r="L673" s="253"/>
      <c r="M673" s="251">
        <f>SUBTOTAL(9,M672:M672)</f>
        <v>-1.54</v>
      </c>
      <c r="N673" s="251">
        <f>SUBTOTAL(9,N672:N672)</f>
        <v>-2.06</v>
      </c>
      <c r="O673" s="223"/>
      <c r="P673" s="210"/>
      <c r="Q673" s="210" t="str">
        <f>VLOOKUP(C673,'Descriptions Sorted by WO '!$A$5:$S$977,18,FALSE)</f>
        <v>393.1009 (5) (a) (b)</v>
      </c>
      <c r="R673" s="210" t="str">
        <f>VLOOKUP(C673,'Descriptions Sorted by WO '!$A$5:$S$977,19,FALSE)</f>
        <v>A,B,C</v>
      </c>
    </row>
    <row r="674" spans="1:18" ht="60" outlineLevel="2">
      <c r="A674" s="18" t="s">
        <v>17</v>
      </c>
      <c r="B674" s="15" t="s">
        <v>694</v>
      </c>
      <c r="C674" s="15" t="s">
        <v>695</v>
      </c>
      <c r="D674" s="14" t="s">
        <v>696</v>
      </c>
      <c r="E674" s="15" t="s">
        <v>141</v>
      </c>
      <c r="F674" s="14" t="s">
        <v>142</v>
      </c>
      <c r="G674" s="15" t="s">
        <v>23</v>
      </c>
      <c r="H674" s="15" t="s">
        <v>1525</v>
      </c>
      <c r="I674" s="15">
        <v>201409</v>
      </c>
      <c r="J674" s="16">
        <v>-90.01</v>
      </c>
      <c r="K674" s="171">
        <f>VLOOKUP(I674,$T$9:$U$23,2)</f>
        <v>9</v>
      </c>
      <c r="L674" s="17">
        <v>1.4833299999999999E-3</v>
      </c>
      <c r="M674" s="16">
        <f>ROUND(J674*K674*L674,2)</f>
        <v>-1.2</v>
      </c>
      <c r="N674" s="16">
        <f>ROUND(J674*L674*12,2)</f>
        <v>-1.6</v>
      </c>
      <c r="O674" s="14"/>
      <c r="P674" s="210" t="str">
        <f>VLOOKUP(C674,'WO Descriptions'!$A$5:$D$384,4,FALSE)</f>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
      <c r="Q674" s="210"/>
      <c r="R674" s="210"/>
    </row>
    <row r="675" spans="1:18" outlineLevel="1">
      <c r="A675" s="225"/>
      <c r="B675" s="250"/>
      <c r="C675" s="254" t="s">
        <v>1962</v>
      </c>
      <c r="D675" s="223"/>
      <c r="E675" s="250"/>
      <c r="F675" s="223"/>
      <c r="G675" s="250"/>
      <c r="H675" s="250"/>
      <c r="I675" s="250"/>
      <c r="J675" s="251">
        <f>SUBTOTAL(9,J674:J674)</f>
        <v>-90.01</v>
      </c>
      <c r="K675" s="252"/>
      <c r="L675" s="253"/>
      <c r="M675" s="251">
        <f>SUBTOTAL(9,M674:M674)</f>
        <v>-1.2</v>
      </c>
      <c r="N675" s="251">
        <f>SUBTOTAL(9,N674:N674)</f>
        <v>-1.6</v>
      </c>
      <c r="O675" s="223"/>
      <c r="P675" s="210"/>
      <c r="Q675" s="210" t="str">
        <f>VLOOKUP(C675,'Descriptions Sorted by WO '!$A$5:$S$977,18,FALSE)</f>
        <v>393.1009 (5) (a) (b)</v>
      </c>
      <c r="R675" s="210" t="str">
        <f>VLOOKUP(C675,'Descriptions Sorted by WO '!$A$5:$S$977,19,FALSE)</f>
        <v>A,B,C,D,I</v>
      </c>
    </row>
    <row r="676" spans="1:18" ht="45" outlineLevel="2">
      <c r="A676" s="18" t="s">
        <v>17</v>
      </c>
      <c r="B676" s="15" t="s">
        <v>697</v>
      </c>
      <c r="C676" s="15" t="s">
        <v>698</v>
      </c>
      <c r="D676" s="14" t="s">
        <v>699</v>
      </c>
      <c r="E676" s="15" t="s">
        <v>108</v>
      </c>
      <c r="F676" s="14" t="s">
        <v>28</v>
      </c>
      <c r="G676" s="15" t="s">
        <v>23</v>
      </c>
      <c r="H676" s="15" t="s">
        <v>1525</v>
      </c>
      <c r="I676" s="15">
        <v>201409</v>
      </c>
      <c r="J676" s="16">
        <v>-61.29</v>
      </c>
      <c r="K676" s="171">
        <f>VLOOKUP(I676,$T$9:$U$23,2)</f>
        <v>9</v>
      </c>
      <c r="L676" s="17">
        <v>1.4833299999999999E-3</v>
      </c>
      <c r="M676" s="16">
        <f>ROUND(J676*K676*L676,2)</f>
        <v>-0.82</v>
      </c>
      <c r="N676" s="16">
        <f>ROUND(J676*L676*12,2)</f>
        <v>-1.0900000000000001</v>
      </c>
      <c r="O676" s="14"/>
      <c r="P676" s="210" t="str">
        <f>VLOOKUP(C676,'WO Descriptions'!$A$5:$D$384,4,FALSE)</f>
        <v>Approved by: Kevin Driskell on 10/17/2013,  Replace 75' of 2in PE (wo 1973, 73-3788) with 75'-2in PE due to steel service replacement. Was unable to access existing 2in PE that was inserted into abandoned cat iron.</v>
      </c>
      <c r="Q676" s="210"/>
      <c r="R676" s="210"/>
    </row>
    <row r="677" spans="1:18" outlineLevel="1">
      <c r="A677" s="225"/>
      <c r="B677" s="250"/>
      <c r="C677" s="254" t="s">
        <v>1963</v>
      </c>
      <c r="D677" s="223"/>
      <c r="E677" s="250"/>
      <c r="F677" s="223"/>
      <c r="G677" s="250"/>
      <c r="H677" s="250"/>
      <c r="I677" s="250"/>
      <c r="J677" s="251">
        <f>SUBTOTAL(9,J676:J676)</f>
        <v>-61.29</v>
      </c>
      <c r="K677" s="252"/>
      <c r="L677" s="253"/>
      <c r="M677" s="251">
        <f>SUBTOTAL(9,M676:M676)</f>
        <v>-0.82</v>
      </c>
      <c r="N677" s="251">
        <f>SUBTOTAL(9,N676:N676)</f>
        <v>-1.0900000000000001</v>
      </c>
      <c r="O677" s="223"/>
      <c r="P677" s="210"/>
      <c r="Q677" s="210" t="str">
        <f>VLOOKUP(C677,'Descriptions Sorted by WO '!$A$5:$S$977,18,FALSE)</f>
        <v>393.1009 (5) (a) (b)</v>
      </c>
      <c r="R677" s="210" t="str">
        <f>VLOOKUP(C677,'Descriptions Sorted by WO '!$A$5:$S$977,19,FALSE)</f>
        <v>A,B,C</v>
      </c>
    </row>
    <row r="678" spans="1:18" ht="105" outlineLevel="2">
      <c r="A678" s="18" t="s">
        <v>17</v>
      </c>
      <c r="B678" s="15" t="s">
        <v>700</v>
      </c>
      <c r="C678" s="15" t="s">
        <v>701</v>
      </c>
      <c r="D678" s="14" t="s">
        <v>702</v>
      </c>
      <c r="E678" s="15" t="s">
        <v>703</v>
      </c>
      <c r="F678" s="14" t="s">
        <v>142</v>
      </c>
      <c r="G678" s="15" t="s">
        <v>23</v>
      </c>
      <c r="H678" s="15" t="s">
        <v>1525</v>
      </c>
      <c r="I678" s="15">
        <v>201409</v>
      </c>
      <c r="J678" s="16">
        <v>-1328.44</v>
      </c>
      <c r="K678" s="171">
        <f>VLOOKUP(I678,$T$9:$U$23,2)</f>
        <v>9</v>
      </c>
      <c r="L678" s="17">
        <v>1.4833299999999999E-3</v>
      </c>
      <c r="M678" s="16">
        <f>ROUND(J678*K678*L678,2)</f>
        <v>-17.73</v>
      </c>
      <c r="N678" s="16">
        <f>ROUND(J678*L678*12,2)</f>
        <v>-23.65</v>
      </c>
      <c r="O678" s="14"/>
      <c r="P678" s="210" t="str">
        <f>VLOOKUP(C678,'WO Descriptions'!$A$5:$D$384,4,FALSE)</f>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
      <c r="Q678" s="210"/>
      <c r="R678" s="210"/>
    </row>
    <row r="679" spans="1:18" outlineLevel="1">
      <c r="A679" s="225"/>
      <c r="B679" s="250"/>
      <c r="C679" s="254" t="s">
        <v>1964</v>
      </c>
      <c r="D679" s="223"/>
      <c r="E679" s="250"/>
      <c r="F679" s="223"/>
      <c r="G679" s="250"/>
      <c r="H679" s="250"/>
      <c r="I679" s="250"/>
      <c r="J679" s="251">
        <f>SUBTOTAL(9,J678:J678)</f>
        <v>-1328.44</v>
      </c>
      <c r="K679" s="252"/>
      <c r="L679" s="253"/>
      <c r="M679" s="251">
        <f>SUBTOTAL(9,M678:M678)</f>
        <v>-17.73</v>
      </c>
      <c r="N679" s="251">
        <f>SUBTOTAL(9,N678:N678)</f>
        <v>-23.65</v>
      </c>
      <c r="O679" s="223"/>
      <c r="P679" s="210"/>
      <c r="Q679" s="210" t="str">
        <f>VLOOKUP(C679,'Descriptions Sorted by WO '!$A$5:$S$977,18,FALSE)</f>
        <v>393.1009 (5) (a) (b)</v>
      </c>
      <c r="R679" s="210" t="str">
        <f>VLOOKUP(C679,'Descriptions Sorted by WO '!$A$5:$S$977,19,FALSE)</f>
        <v>A,B,C,D,I</v>
      </c>
    </row>
    <row r="680" spans="1:18" ht="105" outlineLevel="2">
      <c r="A680" s="14" t="s">
        <v>17</v>
      </c>
      <c r="B680" s="15" t="s">
        <v>704</v>
      </c>
      <c r="C680" s="15" t="s">
        <v>705</v>
      </c>
      <c r="D680" s="14" t="s">
        <v>706</v>
      </c>
      <c r="E680" s="15" t="s">
        <v>58</v>
      </c>
      <c r="F680" s="14" t="s">
        <v>22</v>
      </c>
      <c r="G680" s="15" t="s">
        <v>23</v>
      </c>
      <c r="H680" s="15" t="s">
        <v>1525</v>
      </c>
      <c r="I680" s="15">
        <v>201409</v>
      </c>
      <c r="J680" s="16">
        <v>-1908.15</v>
      </c>
      <c r="K680" s="171">
        <f>VLOOKUP(I680,$T$9:$U$23,2)</f>
        <v>9</v>
      </c>
      <c r="L680" s="17">
        <v>1.4833299999999999E-3</v>
      </c>
      <c r="M680" s="16">
        <f>ROUND(J680*K680*L680,2)</f>
        <v>-25.47</v>
      </c>
      <c r="N680" s="16">
        <f>ROUND(J680*L680*12,2)</f>
        <v>-33.96</v>
      </c>
      <c r="O680" s="14"/>
      <c r="P680" s="210" t="str">
        <f>VLOOKUP(C680,'WO Descriptions'!$A$5:$D$384,4,FALSE)</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c r="Q680" s="210"/>
      <c r="R680" s="210"/>
    </row>
    <row r="681" spans="1:18" ht="105" outlineLevel="2">
      <c r="A681" s="18" t="s">
        <v>17</v>
      </c>
      <c r="B681" s="15" t="s">
        <v>704</v>
      </c>
      <c r="C681" s="15" t="s">
        <v>705</v>
      </c>
      <c r="D681" s="14" t="s">
        <v>706</v>
      </c>
      <c r="E681" s="15" t="s">
        <v>58</v>
      </c>
      <c r="F681" s="14" t="s">
        <v>22</v>
      </c>
      <c r="G681" s="15" t="s">
        <v>23</v>
      </c>
      <c r="H681" s="15" t="s">
        <v>1525</v>
      </c>
      <c r="I681" s="15">
        <v>201411</v>
      </c>
      <c r="J681" s="16">
        <v>5238.34</v>
      </c>
      <c r="K681" s="171">
        <f>VLOOKUP(I681,$T$9:$U$23,2)</f>
        <v>7</v>
      </c>
      <c r="L681" s="17">
        <v>1.4833299999999999E-3</v>
      </c>
      <c r="M681" s="16">
        <f>ROUND(J681*K681*L681,2)</f>
        <v>54.39</v>
      </c>
      <c r="N681" s="16">
        <f>ROUND(J681*L681*12,2)</f>
        <v>93.24</v>
      </c>
      <c r="O681" s="14"/>
      <c r="P681" s="210" t="str">
        <f>VLOOKUP(C681,'WO Descriptions'!$A$5:$D$384,4,FALSE)</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c r="Q681" s="210"/>
      <c r="R681" s="210"/>
    </row>
    <row r="682" spans="1:18" ht="105" outlineLevel="2">
      <c r="A682" s="14" t="s">
        <v>17</v>
      </c>
      <c r="B682" s="15" t="s">
        <v>704</v>
      </c>
      <c r="C682" s="15" t="s">
        <v>705</v>
      </c>
      <c r="D682" s="14" t="s">
        <v>706</v>
      </c>
      <c r="E682" s="15" t="s">
        <v>58</v>
      </c>
      <c r="F682" s="14" t="s">
        <v>22</v>
      </c>
      <c r="G682" s="15" t="s">
        <v>23</v>
      </c>
      <c r="H682" s="15" t="s">
        <v>1525</v>
      </c>
      <c r="I682" s="15">
        <v>201412</v>
      </c>
      <c r="J682" s="16">
        <v>7983.95</v>
      </c>
      <c r="K682" s="171">
        <f>VLOOKUP(I682,$T$9:$U$23,2)</f>
        <v>6</v>
      </c>
      <c r="L682" s="17">
        <v>1.4833299999999999E-3</v>
      </c>
      <c r="M682" s="16">
        <f>ROUND(J682*K682*L682,2)</f>
        <v>71.06</v>
      </c>
      <c r="N682" s="16">
        <f>ROUND(J682*L682*12,2)</f>
        <v>142.11000000000001</v>
      </c>
      <c r="O682" s="14"/>
      <c r="P682" s="210" t="str">
        <f>VLOOKUP(C682,'WO Descriptions'!$A$5:$D$384,4,FALSE)</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c r="Q682" s="210"/>
      <c r="R682" s="210"/>
    </row>
    <row r="683" spans="1:18" ht="105" outlineLevel="2">
      <c r="A683" s="14" t="s">
        <v>17</v>
      </c>
      <c r="B683" s="15" t="s">
        <v>704</v>
      </c>
      <c r="C683" s="15" t="s">
        <v>705</v>
      </c>
      <c r="D683" s="14" t="s">
        <v>706</v>
      </c>
      <c r="E683" s="15" t="s">
        <v>58</v>
      </c>
      <c r="F683" s="14" t="s">
        <v>22</v>
      </c>
      <c r="G683" s="15" t="s">
        <v>23</v>
      </c>
      <c r="H683" s="15" t="s">
        <v>1525</v>
      </c>
      <c r="I683" s="15">
        <v>201501</v>
      </c>
      <c r="J683" s="16">
        <v>1635.5</v>
      </c>
      <c r="K683" s="171">
        <f>VLOOKUP(I683,$T$9:$U$23,2)</f>
        <v>5</v>
      </c>
      <c r="L683" s="17">
        <v>1.4833299999999999E-3</v>
      </c>
      <c r="M683" s="16">
        <f>ROUND(J683*K683*L683,2)</f>
        <v>12.13</v>
      </c>
      <c r="N683" s="16">
        <f>ROUND(J683*L683*12,2)</f>
        <v>29.11</v>
      </c>
      <c r="O683" s="14"/>
      <c r="P683" s="210" t="str">
        <f>VLOOKUP(C683,'WO Descriptions'!$A$5:$D$384,4,FALSE)</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c r="Q683" s="210"/>
      <c r="R683" s="210"/>
    </row>
    <row r="684" spans="1:18" ht="105" outlineLevel="2">
      <c r="A684" s="14" t="s">
        <v>17</v>
      </c>
      <c r="B684" s="15" t="s">
        <v>704</v>
      </c>
      <c r="C684" s="15" t="s">
        <v>705</v>
      </c>
      <c r="D684" s="14" t="s">
        <v>706</v>
      </c>
      <c r="E684" s="15" t="s">
        <v>58</v>
      </c>
      <c r="F684" s="14" t="s">
        <v>22</v>
      </c>
      <c r="G684" s="15" t="s">
        <v>23</v>
      </c>
      <c r="H684" s="15" t="s">
        <v>1525</v>
      </c>
      <c r="I684" s="15">
        <v>201502</v>
      </c>
      <c r="J684" s="16">
        <v>-136.63</v>
      </c>
      <c r="K684" s="171">
        <f>VLOOKUP(I684,$T$9:$U$23,2)</f>
        <v>4</v>
      </c>
      <c r="L684" s="17">
        <v>1.4833299999999999E-3</v>
      </c>
      <c r="M684" s="16">
        <f>ROUND(J684*K684*L684,2)</f>
        <v>-0.81</v>
      </c>
      <c r="N684" s="16">
        <f>ROUND(J684*L684*12,2)</f>
        <v>-2.4300000000000002</v>
      </c>
      <c r="O684" s="14"/>
      <c r="P684" s="210" t="str">
        <f>VLOOKUP(C684,'WO Descriptions'!$A$5:$D$384,4,FALSE)</f>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
      <c r="Q684" s="210"/>
      <c r="R684" s="210"/>
    </row>
    <row r="685" spans="1:18" outlineLevel="1">
      <c r="A685" s="223"/>
      <c r="B685" s="250"/>
      <c r="C685" s="254" t="s">
        <v>1965</v>
      </c>
      <c r="D685" s="223"/>
      <c r="E685" s="250"/>
      <c r="F685" s="223"/>
      <c r="G685" s="250"/>
      <c r="H685" s="250"/>
      <c r="I685" s="250"/>
      <c r="J685" s="251">
        <f>SUBTOTAL(9,J680:J684)</f>
        <v>12813.01</v>
      </c>
      <c r="K685" s="252"/>
      <c r="L685" s="253"/>
      <c r="M685" s="251">
        <f>SUBTOTAL(9,M680:M684)</f>
        <v>111.3</v>
      </c>
      <c r="N685" s="251">
        <f>SUBTOTAL(9,N680:N684)</f>
        <v>228.07</v>
      </c>
      <c r="O685" s="223"/>
      <c r="P685" s="210"/>
      <c r="Q685" s="210" t="str">
        <f>VLOOKUP(C685,'Descriptions Sorted by WO '!$A$5:$S$977,18,FALSE)</f>
        <v>393.1009 (5) (a) (b)</v>
      </c>
      <c r="R685" s="210" t="str">
        <f>VLOOKUP(C685,'Descriptions Sorted by WO '!$A$5:$S$977,19,FALSE)</f>
        <v>A,B,C</v>
      </c>
    </row>
    <row r="686" spans="1:18" ht="135" outlineLevel="2">
      <c r="A686" s="18" t="s">
        <v>54</v>
      </c>
      <c r="B686" s="15" t="s">
        <v>707</v>
      </c>
      <c r="C686" s="15" t="s">
        <v>708</v>
      </c>
      <c r="D686" s="14" t="s">
        <v>709</v>
      </c>
      <c r="E686" s="15" t="s">
        <v>62</v>
      </c>
      <c r="F686" s="14" t="s">
        <v>22</v>
      </c>
      <c r="G686" s="15" t="s">
        <v>23</v>
      </c>
      <c r="H686" s="15" t="s">
        <v>1525</v>
      </c>
      <c r="I686" s="15">
        <v>201409</v>
      </c>
      <c r="J686" s="16">
        <v>-1477.33</v>
      </c>
      <c r="K686" s="171">
        <f>VLOOKUP(I686,$T$9:$U$23,2)</f>
        <v>9</v>
      </c>
      <c r="L686" s="17">
        <v>1.4833299999999999E-3</v>
      </c>
      <c r="M686" s="16">
        <f>ROUND(J686*K686*L686,2)</f>
        <v>-19.72</v>
      </c>
      <c r="N686" s="16">
        <f>ROUND(J686*L686*12,2)</f>
        <v>-26.3</v>
      </c>
      <c r="O686" s="14"/>
      <c r="P686" s="210" t="str">
        <f>VLOOKUP(C686,'WO Descriptions'!$A$5:$D$384,4,FALSE)</f>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
      <c r="Q686" s="210"/>
      <c r="R686" s="210"/>
    </row>
    <row r="687" spans="1:18" outlineLevel="1">
      <c r="A687" s="225"/>
      <c r="B687" s="250"/>
      <c r="C687" s="254" t="s">
        <v>1966</v>
      </c>
      <c r="D687" s="223"/>
      <c r="E687" s="250"/>
      <c r="F687" s="223"/>
      <c r="G687" s="250"/>
      <c r="H687" s="250"/>
      <c r="I687" s="250"/>
      <c r="J687" s="251">
        <f>SUBTOTAL(9,J686:J686)</f>
        <v>-1477.33</v>
      </c>
      <c r="K687" s="252"/>
      <c r="L687" s="253"/>
      <c r="M687" s="251">
        <f>SUBTOTAL(9,M686:M686)</f>
        <v>-19.72</v>
      </c>
      <c r="N687" s="251">
        <f>SUBTOTAL(9,N686:N686)</f>
        <v>-26.3</v>
      </c>
      <c r="O687" s="223"/>
      <c r="P687" s="210"/>
      <c r="Q687" s="210" t="str">
        <f>VLOOKUP(C687,'Descriptions Sorted by WO '!$A$5:$S$977,18,FALSE)</f>
        <v>393.1009 (5) (a) (b)</v>
      </c>
      <c r="R687" s="210" t="str">
        <f>VLOOKUP(C687,'Descriptions Sorted by WO '!$A$5:$S$977,19,FALSE)</f>
        <v>A,B,C</v>
      </c>
    </row>
    <row r="688" spans="1:18" ht="90" outlineLevel="2">
      <c r="A688" s="18" t="s">
        <v>17</v>
      </c>
      <c r="B688" s="15" t="s">
        <v>710</v>
      </c>
      <c r="C688" s="15" t="s">
        <v>711</v>
      </c>
      <c r="D688" s="14" t="s">
        <v>712</v>
      </c>
      <c r="E688" s="15" t="s">
        <v>45</v>
      </c>
      <c r="F688" s="14" t="s">
        <v>22</v>
      </c>
      <c r="G688" s="15" t="s">
        <v>23</v>
      </c>
      <c r="H688" s="15" t="s">
        <v>1525</v>
      </c>
      <c r="I688" s="15">
        <v>201409</v>
      </c>
      <c r="J688" s="16">
        <v>-5845.57</v>
      </c>
      <c r="K688" s="171">
        <f>VLOOKUP(I688,$T$9:$U$23,2)</f>
        <v>9</v>
      </c>
      <c r="L688" s="17">
        <v>1.4833299999999999E-3</v>
      </c>
      <c r="M688" s="16">
        <f>ROUND(J688*K688*L688,2)</f>
        <v>-78.040000000000006</v>
      </c>
      <c r="N688" s="16">
        <f>ROUND(J688*L688*12,2)</f>
        <v>-104.05</v>
      </c>
      <c r="O688" s="14"/>
      <c r="P688" s="210" t="str">
        <f>VLOOKUP(C688,'WO Descriptions'!$A$5:$D$384,4,FALSE)</f>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
      <c r="Q688" s="210"/>
      <c r="R688" s="210"/>
    </row>
    <row r="689" spans="1:18" outlineLevel="1">
      <c r="A689" s="225"/>
      <c r="B689" s="250"/>
      <c r="C689" s="254" t="s">
        <v>1967</v>
      </c>
      <c r="D689" s="223"/>
      <c r="E689" s="250"/>
      <c r="F689" s="223"/>
      <c r="G689" s="250"/>
      <c r="H689" s="250"/>
      <c r="I689" s="250"/>
      <c r="J689" s="251">
        <f>SUBTOTAL(9,J688:J688)</f>
        <v>-5845.57</v>
      </c>
      <c r="K689" s="252"/>
      <c r="L689" s="253"/>
      <c r="M689" s="251">
        <f>SUBTOTAL(9,M688:M688)</f>
        <v>-78.040000000000006</v>
      </c>
      <c r="N689" s="251">
        <f>SUBTOTAL(9,N688:N688)</f>
        <v>-104.05</v>
      </c>
      <c r="O689" s="223"/>
      <c r="P689" s="210"/>
      <c r="Q689" s="210" t="str">
        <f>VLOOKUP(C689,'Descriptions Sorted by WO '!$A$5:$S$977,18,FALSE)</f>
        <v>393.1009 (5) (a) (b)</v>
      </c>
      <c r="R689" s="210" t="str">
        <f>VLOOKUP(C689,'Descriptions Sorted by WO '!$A$5:$S$977,19,FALSE)</f>
        <v>A,B,C</v>
      </c>
    </row>
    <row r="690" spans="1:18" ht="135" outlineLevel="2">
      <c r="A690" s="18" t="s">
        <v>17</v>
      </c>
      <c r="B690" s="15" t="s">
        <v>713</v>
      </c>
      <c r="C690" s="15" t="s">
        <v>714</v>
      </c>
      <c r="D690" s="14" t="s">
        <v>715</v>
      </c>
      <c r="E690" s="15" t="s">
        <v>258</v>
      </c>
      <c r="F690" s="14" t="s">
        <v>259</v>
      </c>
      <c r="G690" s="15" t="s">
        <v>23</v>
      </c>
      <c r="H690" s="15" t="s">
        <v>1525</v>
      </c>
      <c r="I690" s="15">
        <v>201409</v>
      </c>
      <c r="J690" s="16">
        <v>-332.16</v>
      </c>
      <c r="K690" s="171">
        <f>VLOOKUP(I690,$T$9:$U$23,2)</f>
        <v>9</v>
      </c>
      <c r="L690" s="17">
        <v>1.4833299999999999E-3</v>
      </c>
      <c r="M690" s="16">
        <f>ROUND(J690*K690*L690,2)</f>
        <v>-4.43</v>
      </c>
      <c r="N690" s="16">
        <f>ROUND(J690*L690*12,2)</f>
        <v>-5.91</v>
      </c>
      <c r="O690" s="14"/>
      <c r="P690" s="210" t="str">
        <f>VLOOKUP(C690,'WO Descriptions'!$A$5:$D$384,4,FALSE)</f>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
      <c r="Q690" s="210"/>
      <c r="R690" s="210"/>
    </row>
    <row r="691" spans="1:18" outlineLevel="1">
      <c r="A691" s="225"/>
      <c r="B691" s="250"/>
      <c r="C691" s="254" t="s">
        <v>1968</v>
      </c>
      <c r="D691" s="223"/>
      <c r="E691" s="250"/>
      <c r="F691" s="223"/>
      <c r="G691" s="250"/>
      <c r="H691" s="250"/>
      <c r="I691" s="250"/>
      <c r="J691" s="251">
        <f>SUBTOTAL(9,J690:J690)</f>
        <v>-332.16</v>
      </c>
      <c r="K691" s="252"/>
      <c r="L691" s="253"/>
      <c r="M691" s="251">
        <f>SUBTOTAL(9,M690:M690)</f>
        <v>-4.43</v>
      </c>
      <c r="N691" s="251">
        <f>SUBTOTAL(9,N690:N690)</f>
        <v>-5.91</v>
      </c>
      <c r="O691" s="223"/>
      <c r="P691" s="210"/>
      <c r="Q691" s="210" t="str">
        <f>VLOOKUP(C691,'Descriptions Sorted by WO '!$A$5:$S$977,18,FALSE)</f>
        <v>393.1009 (5) (a) (b)</v>
      </c>
      <c r="R691" s="210" t="str">
        <f>VLOOKUP(C691,'Descriptions Sorted by WO '!$A$5:$S$977,19,FALSE)</f>
        <v>A,B,G</v>
      </c>
    </row>
    <row r="692" spans="1:18" ht="45" outlineLevel="2">
      <c r="A692" s="18" t="s">
        <v>17</v>
      </c>
      <c r="B692" s="15" t="s">
        <v>716</v>
      </c>
      <c r="C692" s="15" t="s">
        <v>717</v>
      </c>
      <c r="D692" s="14" t="s">
        <v>718</v>
      </c>
      <c r="E692" s="15" t="s">
        <v>104</v>
      </c>
      <c r="F692" s="14" t="s">
        <v>41</v>
      </c>
      <c r="G692" s="15" t="s">
        <v>23</v>
      </c>
      <c r="H692" s="15" t="s">
        <v>1526</v>
      </c>
      <c r="I692" s="15">
        <v>201409</v>
      </c>
      <c r="J692" s="16">
        <v>-46.05</v>
      </c>
      <c r="K692" s="171">
        <f>VLOOKUP(I692,$T$9:$U$23,2)</f>
        <v>9</v>
      </c>
      <c r="L692" s="17">
        <v>1.4833299999999999E-3</v>
      </c>
      <c r="M692" s="16">
        <f>ROUND(J692*K692*L692,2)</f>
        <v>-0.61</v>
      </c>
      <c r="N692" s="16">
        <f>ROUND(J692*L692*12,2)</f>
        <v>-0.82</v>
      </c>
      <c r="O692" s="14"/>
      <c r="P692" s="210" t="str">
        <f>VLOOKUP(C692,'WO Descriptions'!$A$5:$D$384,4,FALSE)</f>
        <v>Approved by: Ralph Janes on 06/28/2013,  Public Improvement Project: Lincolnwood Storm. Relocate 20' - 4in PCS (14' span with 3' legs) to avoid a new storm curb inlet. Retire 14' - 4in PCS (WO# B2183). (ISRS)</v>
      </c>
      <c r="Q692" s="210"/>
      <c r="R692" s="210"/>
    </row>
    <row r="693" spans="1:18" outlineLevel="1">
      <c r="A693" s="225"/>
      <c r="B693" s="250"/>
      <c r="C693" s="254" t="s">
        <v>1969</v>
      </c>
      <c r="D693" s="223"/>
      <c r="E693" s="250"/>
      <c r="F693" s="223"/>
      <c r="G693" s="250"/>
      <c r="H693" s="250"/>
      <c r="I693" s="250"/>
      <c r="J693" s="251">
        <f>SUBTOTAL(9,J692:J692)</f>
        <v>-46.05</v>
      </c>
      <c r="K693" s="252"/>
      <c r="L693" s="253"/>
      <c r="M693" s="251">
        <f>SUBTOTAL(9,M692:M692)</f>
        <v>-0.61</v>
      </c>
      <c r="N693" s="251">
        <f>SUBTOTAL(9,N692:N692)</f>
        <v>-0.82</v>
      </c>
      <c r="O693" s="223"/>
      <c r="P693" s="210"/>
      <c r="Q693" s="210" t="str">
        <f>VLOOKUP(C693,'Descriptions Sorted by WO '!$A$5:$S$977,18,FALSE)</f>
        <v>393.1009 (5) (C)</v>
      </c>
      <c r="R693" s="210"/>
    </row>
    <row r="694" spans="1:18" ht="105" outlineLevel="2">
      <c r="A694" s="18" t="s">
        <v>54</v>
      </c>
      <c r="B694" s="15" t="s">
        <v>719</v>
      </c>
      <c r="C694" s="15" t="s">
        <v>720</v>
      </c>
      <c r="D694" s="14" t="s">
        <v>721</v>
      </c>
      <c r="E694" s="15" t="s">
        <v>27</v>
      </c>
      <c r="F694" s="14" t="s">
        <v>28</v>
      </c>
      <c r="G694" s="15" t="s">
        <v>23</v>
      </c>
      <c r="H694" s="15" t="s">
        <v>1525</v>
      </c>
      <c r="I694" s="15">
        <v>201409</v>
      </c>
      <c r="J694" s="16">
        <v>-622.91</v>
      </c>
      <c r="K694" s="171">
        <f>VLOOKUP(I694,$T$9:$U$23,2)</f>
        <v>9</v>
      </c>
      <c r="L694" s="17">
        <v>1.4833299999999999E-3</v>
      </c>
      <c r="M694" s="16">
        <f>ROUND(J694*K694*L694,2)</f>
        <v>-8.32</v>
      </c>
      <c r="N694" s="16">
        <f>ROUND(J694*L694*12,2)</f>
        <v>-11.09</v>
      </c>
      <c r="O694" s="14"/>
      <c r="P694" s="210" t="str">
        <f>VLOOKUP(C694,'WO Descriptions'!$A$5:$D$384,4,FALSE)</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c r="Q694" s="210"/>
      <c r="R694" s="210"/>
    </row>
    <row r="695" spans="1:18" ht="105" outlineLevel="2">
      <c r="A695" s="14" t="s">
        <v>54</v>
      </c>
      <c r="B695" s="15" t="s">
        <v>719</v>
      </c>
      <c r="C695" s="15" t="s">
        <v>720</v>
      </c>
      <c r="D695" s="14" t="s">
        <v>721</v>
      </c>
      <c r="E695" s="15" t="s">
        <v>27</v>
      </c>
      <c r="F695" s="14" t="s">
        <v>28</v>
      </c>
      <c r="G695" s="15" t="s">
        <v>23</v>
      </c>
      <c r="H695" s="15" t="s">
        <v>1525</v>
      </c>
      <c r="I695" s="15">
        <v>201411</v>
      </c>
      <c r="J695" s="16">
        <v>0</v>
      </c>
      <c r="K695" s="171">
        <f>VLOOKUP(I695,$T$9:$U$23,2)</f>
        <v>7</v>
      </c>
      <c r="L695" s="17">
        <v>1.4833299999999999E-3</v>
      </c>
      <c r="M695" s="16">
        <f>ROUND(J695*K695*L695,2)</f>
        <v>0</v>
      </c>
      <c r="N695" s="16">
        <f>ROUND(J695*L695*12,2)</f>
        <v>0</v>
      </c>
      <c r="O695" s="14"/>
      <c r="P695" s="210" t="str">
        <f>VLOOKUP(C695,'WO Descriptions'!$A$5:$D$384,4,FALSE)</f>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
      <c r="Q695" s="210"/>
      <c r="R695" s="210"/>
    </row>
    <row r="696" spans="1:18" outlineLevel="1">
      <c r="A696" s="223"/>
      <c r="B696" s="250"/>
      <c r="C696" s="254" t="s">
        <v>1970</v>
      </c>
      <c r="D696" s="223"/>
      <c r="E696" s="250"/>
      <c r="F696" s="223"/>
      <c r="G696" s="250"/>
      <c r="H696" s="250"/>
      <c r="I696" s="250"/>
      <c r="J696" s="251">
        <f>SUBTOTAL(9,J694:J695)</f>
        <v>-622.91</v>
      </c>
      <c r="K696" s="252"/>
      <c r="L696" s="253"/>
      <c r="M696" s="251">
        <f>SUBTOTAL(9,M694:M695)</f>
        <v>-8.32</v>
      </c>
      <c r="N696" s="251">
        <f>SUBTOTAL(9,N694:N695)</f>
        <v>-11.09</v>
      </c>
      <c r="O696" s="223"/>
      <c r="P696" s="210"/>
      <c r="Q696" s="210" t="str">
        <f>VLOOKUP(C696,'Descriptions Sorted by WO '!$A$5:$S$977,18,FALSE)</f>
        <v>393.1009 (5) (a) (b)</v>
      </c>
      <c r="R696" s="210" t="str">
        <f>VLOOKUP(C696,'Descriptions Sorted by WO '!$A$5:$S$977,19,FALSE)</f>
        <v>A,B</v>
      </c>
    </row>
    <row r="697" spans="1:18" ht="105" outlineLevel="2">
      <c r="A697" s="18" t="s">
        <v>54</v>
      </c>
      <c r="B697" s="15" t="s">
        <v>722</v>
      </c>
      <c r="C697" s="15" t="s">
        <v>723</v>
      </c>
      <c r="D697" s="14" t="s">
        <v>724</v>
      </c>
      <c r="E697" s="15" t="s">
        <v>40</v>
      </c>
      <c r="F697" s="14" t="s">
        <v>41</v>
      </c>
      <c r="G697" s="15" t="s">
        <v>23</v>
      </c>
      <c r="H697" s="15" t="s">
        <v>1526</v>
      </c>
      <c r="I697" s="15">
        <v>201409</v>
      </c>
      <c r="J697" s="16">
        <v>-3374.08</v>
      </c>
      <c r="K697" s="171">
        <f>VLOOKUP(I697,$T$9:$U$23,2)</f>
        <v>9</v>
      </c>
      <c r="L697" s="17">
        <v>1.4833299999999999E-3</v>
      </c>
      <c r="M697" s="16">
        <f>ROUND(J697*K697*L697,2)</f>
        <v>-45.04</v>
      </c>
      <c r="N697" s="16">
        <f>ROUND(J697*L697*12,2)</f>
        <v>-60.06</v>
      </c>
      <c r="O697" s="14"/>
      <c r="P697" s="210" t="str">
        <f>VLOOKUP(C697,'WO Descriptions'!$A$5:$D$384,4,FALSE)</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c r="Q697" s="210"/>
      <c r="R697" s="210"/>
    </row>
    <row r="698" spans="1:18" ht="105" outlineLevel="2">
      <c r="A698" s="18" t="s">
        <v>54</v>
      </c>
      <c r="B698" s="15" t="s">
        <v>722</v>
      </c>
      <c r="C698" s="15" t="s">
        <v>723</v>
      </c>
      <c r="D698" s="14" t="s">
        <v>724</v>
      </c>
      <c r="E698" s="15" t="s">
        <v>40</v>
      </c>
      <c r="F698" s="14" t="s">
        <v>41</v>
      </c>
      <c r="G698" s="15" t="s">
        <v>23</v>
      </c>
      <c r="H698" s="15" t="s">
        <v>1526</v>
      </c>
      <c r="I698" s="15">
        <v>201410</v>
      </c>
      <c r="J698" s="16">
        <v>0</v>
      </c>
      <c r="K698" s="171">
        <f>VLOOKUP(I698,$T$9:$U$23,2)</f>
        <v>8</v>
      </c>
      <c r="L698" s="17">
        <v>1.4833299999999999E-3</v>
      </c>
      <c r="M698" s="16">
        <f>ROUND(J698*K698*L698,2)</f>
        <v>0</v>
      </c>
      <c r="N698" s="16">
        <f>ROUND(J698*L698*12,2)</f>
        <v>0</v>
      </c>
      <c r="O698" s="14"/>
      <c r="P698" s="210" t="str">
        <f>VLOOKUP(C698,'WO Descriptions'!$A$5:$D$384,4,FALSE)</f>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
      <c r="Q698" s="210"/>
      <c r="R698" s="210"/>
    </row>
    <row r="699" spans="1:18" outlineLevel="1">
      <c r="A699" s="225"/>
      <c r="B699" s="250"/>
      <c r="C699" s="254" t="s">
        <v>1971</v>
      </c>
      <c r="D699" s="223"/>
      <c r="E699" s="250"/>
      <c r="F699" s="223"/>
      <c r="G699" s="250"/>
      <c r="H699" s="250"/>
      <c r="I699" s="250"/>
      <c r="J699" s="251">
        <f>SUBTOTAL(9,J697:J698)</f>
        <v>-3374.08</v>
      </c>
      <c r="K699" s="252"/>
      <c r="L699" s="253"/>
      <c r="M699" s="251">
        <f>SUBTOTAL(9,M697:M698)</f>
        <v>-45.04</v>
      </c>
      <c r="N699" s="251">
        <f>SUBTOTAL(9,N697:N698)</f>
        <v>-60.06</v>
      </c>
      <c r="O699" s="223"/>
      <c r="P699" s="210"/>
      <c r="Q699" s="210" t="str">
        <f>VLOOKUP(C699,'Descriptions Sorted by WO '!$A$5:$S$977,18,FALSE)</f>
        <v>393.1009 (5) (C)</v>
      </c>
      <c r="R699" s="210"/>
    </row>
    <row r="700" spans="1:18" ht="60" outlineLevel="2">
      <c r="A700" s="18" t="s">
        <v>17</v>
      </c>
      <c r="B700" s="15" t="s">
        <v>725</v>
      </c>
      <c r="C700" s="15" t="s">
        <v>726</v>
      </c>
      <c r="D700" s="14" t="s">
        <v>727</v>
      </c>
      <c r="E700" s="15" t="s">
        <v>141</v>
      </c>
      <c r="F700" s="14" t="s">
        <v>142</v>
      </c>
      <c r="G700" s="15" t="s">
        <v>23</v>
      </c>
      <c r="H700" s="15" t="s">
        <v>1525</v>
      </c>
      <c r="I700" s="15">
        <v>201409</v>
      </c>
      <c r="J700" s="16">
        <v>-1433.54</v>
      </c>
      <c r="K700" s="171">
        <f>VLOOKUP(I700,$T$9:$U$23,2)</f>
        <v>9</v>
      </c>
      <c r="L700" s="17">
        <v>1.4833299999999999E-3</v>
      </c>
      <c r="M700" s="16">
        <f>ROUND(J700*K700*L700,2)</f>
        <v>-19.14</v>
      </c>
      <c r="N700" s="16">
        <f>ROUND(J700*L700*12,2)</f>
        <v>-25.52</v>
      </c>
      <c r="O700" s="14"/>
      <c r="P700" s="210" t="str">
        <f>VLOOKUP(C700,'WO Descriptions'!$A$5:$D$384,4,FALSE)</f>
        <v>Approved by: Gary Williams on 10/07/2013,  AOR.  Replace 240 ft of 6in CI with 6in PE due to joint exposure.  Must be completed by Nov 21, 2013.  Replace one service.  Tie over 2 services.  See tie-in procedure.  COST PER FOOT $164.90 Retire 229'-6in CI year 1927; 11'-6in PE, yr 2012, wo 12-1682.</v>
      </c>
      <c r="Q700" s="210"/>
      <c r="R700" s="210"/>
    </row>
    <row r="701" spans="1:18" outlineLevel="1">
      <c r="A701" s="225"/>
      <c r="B701" s="250"/>
      <c r="C701" s="254" t="s">
        <v>1972</v>
      </c>
      <c r="D701" s="223"/>
      <c r="E701" s="250"/>
      <c r="F701" s="223"/>
      <c r="G701" s="250"/>
      <c r="H701" s="250"/>
      <c r="I701" s="250"/>
      <c r="J701" s="251">
        <f>SUBTOTAL(9,J700:J700)</f>
        <v>-1433.54</v>
      </c>
      <c r="K701" s="252"/>
      <c r="L701" s="253"/>
      <c r="M701" s="251">
        <f>SUBTOTAL(9,M700:M700)</f>
        <v>-19.14</v>
      </c>
      <c r="N701" s="251">
        <f>SUBTOTAL(9,N700:N700)</f>
        <v>-25.52</v>
      </c>
      <c r="O701" s="223"/>
      <c r="P701" s="210"/>
      <c r="Q701" s="210" t="str">
        <f>VLOOKUP(C701,'Descriptions Sorted by WO '!$A$5:$S$977,18,FALSE)</f>
        <v>393.1009 (5) (a) (b)</v>
      </c>
      <c r="R701" s="210" t="str">
        <f>VLOOKUP(C701,'Descriptions Sorted by WO '!$A$5:$S$977,19,FALSE)</f>
        <v>A,B,C,D,I</v>
      </c>
    </row>
    <row r="702" spans="1:18" ht="45" outlineLevel="2">
      <c r="A702" s="18" t="s">
        <v>17</v>
      </c>
      <c r="B702" s="15" t="s">
        <v>728</v>
      </c>
      <c r="C702" s="15" t="s">
        <v>729</v>
      </c>
      <c r="D702" s="14" t="s">
        <v>730</v>
      </c>
      <c r="E702" s="15" t="s">
        <v>141</v>
      </c>
      <c r="F702" s="14" t="s">
        <v>142</v>
      </c>
      <c r="G702" s="15" t="s">
        <v>23</v>
      </c>
      <c r="H702" s="15" t="s">
        <v>1525</v>
      </c>
      <c r="I702" s="15">
        <v>201409</v>
      </c>
      <c r="J702" s="16">
        <v>-505.02</v>
      </c>
      <c r="K702" s="171">
        <f>VLOOKUP(I702,$T$9:$U$23,2)</f>
        <v>9</v>
      </c>
      <c r="L702" s="17">
        <v>1.4833299999999999E-3</v>
      </c>
      <c r="M702" s="16">
        <f>ROUND(J702*K702*L702,2)</f>
        <v>-6.74</v>
      </c>
      <c r="N702" s="16">
        <f>ROUND(J702*L702*12,2)</f>
        <v>-8.99</v>
      </c>
      <c r="O702" s="14"/>
      <c r="P702" s="210" t="str">
        <f>VLOOKUP(C702,'WO Descriptions'!$A$5:$D$384,4,FALSE)</f>
        <v>Approved by: Gary Williams on 01/06/2014,  AOR.  Replace 6in CI with 35'-6in PE due to parallel excavation.  Angle of Repose location: 4' WECB Denver, 5' NNLH to 16' NNLH of 425 N Denver.  This job must be completed by Mar. 18, 2014.  Retire 35'-6in CI, WO BK15P76.  Install 35'-6in PE.</v>
      </c>
      <c r="Q702" s="210"/>
      <c r="R702" s="210"/>
    </row>
    <row r="703" spans="1:18" outlineLevel="1">
      <c r="A703" s="225"/>
      <c r="B703" s="250"/>
      <c r="C703" s="254" t="s">
        <v>1973</v>
      </c>
      <c r="D703" s="223"/>
      <c r="E703" s="250"/>
      <c r="F703" s="223"/>
      <c r="G703" s="250"/>
      <c r="H703" s="250"/>
      <c r="I703" s="250"/>
      <c r="J703" s="251">
        <f>SUBTOTAL(9,J702:J702)</f>
        <v>-505.02</v>
      </c>
      <c r="K703" s="252"/>
      <c r="L703" s="253"/>
      <c r="M703" s="251">
        <f>SUBTOTAL(9,M702:M702)</f>
        <v>-6.74</v>
      </c>
      <c r="N703" s="251">
        <f>SUBTOTAL(9,N702:N702)</f>
        <v>-8.99</v>
      </c>
      <c r="O703" s="223"/>
      <c r="P703" s="210"/>
      <c r="Q703" s="210" t="str">
        <f>VLOOKUP(C703,'Descriptions Sorted by WO '!$A$5:$S$977,18,FALSE)</f>
        <v>393.1009 (5) (a) (b)</v>
      </c>
      <c r="R703" s="210" t="str">
        <f>VLOOKUP(C703,'Descriptions Sorted by WO '!$A$5:$S$977,19,FALSE)</f>
        <v>A,B,C,D,I</v>
      </c>
    </row>
    <row r="704" spans="1:18" ht="150" outlineLevel="2">
      <c r="A704" s="18" t="s">
        <v>54</v>
      </c>
      <c r="B704" s="15" t="s">
        <v>731</v>
      </c>
      <c r="C704" s="15" t="s">
        <v>732</v>
      </c>
      <c r="D704" s="14" t="s">
        <v>733</v>
      </c>
      <c r="E704" s="15" t="s">
        <v>104</v>
      </c>
      <c r="F704" s="14" t="s">
        <v>41</v>
      </c>
      <c r="G704" s="15" t="s">
        <v>23</v>
      </c>
      <c r="H704" s="15" t="s">
        <v>1526</v>
      </c>
      <c r="I704" s="15">
        <v>201409</v>
      </c>
      <c r="J704" s="16">
        <v>-1019.7</v>
      </c>
      <c r="K704" s="171">
        <f>VLOOKUP(I704,$T$9:$U$23,2)</f>
        <v>9</v>
      </c>
      <c r="L704" s="17">
        <v>1.4833299999999999E-3</v>
      </c>
      <c r="M704" s="16">
        <f>ROUND(J704*K704*L704,2)</f>
        <v>-13.61</v>
      </c>
      <c r="N704" s="16">
        <f>ROUND(J704*L704*12,2)</f>
        <v>-18.149999999999999</v>
      </c>
      <c r="O704" s="14"/>
      <c r="P704" s="210" t="str">
        <f>VLOOKUP(C704,'WO Descriptions'!$A$5:$D$384,4,FALSE)</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c r="Q704" s="210"/>
      <c r="R704" s="210"/>
    </row>
    <row r="705" spans="1:18" ht="150" outlineLevel="2">
      <c r="A705" s="18" t="s">
        <v>54</v>
      </c>
      <c r="B705" s="15" t="s">
        <v>731</v>
      </c>
      <c r="C705" s="15" t="s">
        <v>732</v>
      </c>
      <c r="D705" s="14" t="s">
        <v>733</v>
      </c>
      <c r="E705" s="15" t="s">
        <v>104</v>
      </c>
      <c r="F705" s="14" t="s">
        <v>41</v>
      </c>
      <c r="G705" s="15" t="s">
        <v>23</v>
      </c>
      <c r="H705" s="15" t="s">
        <v>1526</v>
      </c>
      <c r="I705" s="15">
        <v>201410</v>
      </c>
      <c r="J705" s="16">
        <v>0</v>
      </c>
      <c r="K705" s="171">
        <f>VLOOKUP(I705,$T$9:$U$23,2)</f>
        <v>8</v>
      </c>
      <c r="L705" s="17">
        <v>1.4833299999999999E-3</v>
      </c>
      <c r="M705" s="16">
        <f>ROUND(J705*K705*L705,2)</f>
        <v>0</v>
      </c>
      <c r="N705" s="16">
        <f>ROUND(J705*L705*12,2)</f>
        <v>0</v>
      </c>
      <c r="O705" s="14"/>
      <c r="P705" s="210" t="str">
        <f>VLOOKUP(C705,'WO Descriptions'!$A$5:$D$384,4,FALSE)</f>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
      <c r="Q705" s="210"/>
      <c r="R705" s="210"/>
    </row>
    <row r="706" spans="1:18" outlineLevel="1">
      <c r="A706" s="225"/>
      <c r="B706" s="250"/>
      <c r="C706" s="254" t="s">
        <v>1974</v>
      </c>
      <c r="D706" s="223"/>
      <c r="E706" s="250"/>
      <c r="F706" s="223"/>
      <c r="G706" s="250"/>
      <c r="H706" s="250"/>
      <c r="I706" s="250"/>
      <c r="J706" s="251">
        <f>SUBTOTAL(9,J704:J705)</f>
        <v>-1019.7</v>
      </c>
      <c r="K706" s="252"/>
      <c r="L706" s="253"/>
      <c r="M706" s="251">
        <f>SUBTOTAL(9,M704:M705)</f>
        <v>-13.61</v>
      </c>
      <c r="N706" s="251">
        <f>SUBTOTAL(9,N704:N705)</f>
        <v>-18.149999999999999</v>
      </c>
      <c r="O706" s="223"/>
      <c r="P706" s="210"/>
      <c r="Q706" s="210" t="str">
        <f>VLOOKUP(C706,'Descriptions Sorted by WO '!$A$5:$S$977,18,FALSE)</f>
        <v>393.1009 (5) (C)</v>
      </c>
      <c r="R706" s="210"/>
    </row>
    <row r="707" spans="1:18" ht="90" outlineLevel="2">
      <c r="A707" s="14" t="s">
        <v>17</v>
      </c>
      <c r="B707" s="15" t="s">
        <v>1033</v>
      </c>
      <c r="C707" s="15" t="s">
        <v>1034</v>
      </c>
      <c r="D707" s="14" t="s">
        <v>1035</v>
      </c>
      <c r="E707" s="15" t="s">
        <v>58</v>
      </c>
      <c r="F707" s="14" t="s">
        <v>22</v>
      </c>
      <c r="G707" s="15" t="s">
        <v>23</v>
      </c>
      <c r="H707" s="15" t="s">
        <v>1525</v>
      </c>
      <c r="I707" s="15">
        <v>201412</v>
      </c>
      <c r="J707" s="16">
        <v>192036.17</v>
      </c>
      <c r="K707" s="171">
        <f>VLOOKUP(I707,$T$9:$U$23,2)</f>
        <v>6</v>
      </c>
      <c r="L707" s="17">
        <v>1.4833299999999999E-3</v>
      </c>
      <c r="M707" s="16">
        <f>ROUND(J707*K707*L707,2)</f>
        <v>1709.12</v>
      </c>
      <c r="N707" s="16">
        <f>ROUND(J707*L707*12,2)</f>
        <v>3418.24</v>
      </c>
      <c r="O707" s="14"/>
      <c r="P707" s="210" t="str">
        <f>VLOOKUP(C707,'WO Descriptions'!$A$5:$D$384,4,FALSE)</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c r="Q707" s="210"/>
      <c r="R707" s="210"/>
    </row>
    <row r="708" spans="1:18" ht="90" outlineLevel="2">
      <c r="A708" s="14" t="s">
        <v>17</v>
      </c>
      <c r="B708" s="15" t="s">
        <v>1033</v>
      </c>
      <c r="C708" s="15" t="s">
        <v>1034</v>
      </c>
      <c r="D708" s="14" t="s">
        <v>1035</v>
      </c>
      <c r="E708" s="15" t="s">
        <v>58</v>
      </c>
      <c r="F708" s="14" t="s">
        <v>22</v>
      </c>
      <c r="G708" s="15" t="s">
        <v>23</v>
      </c>
      <c r="H708" s="15" t="s">
        <v>1525</v>
      </c>
      <c r="I708" s="15">
        <v>201501</v>
      </c>
      <c r="J708" s="16">
        <v>62.58</v>
      </c>
      <c r="K708" s="171">
        <f>VLOOKUP(I708,$T$9:$U$23,2)</f>
        <v>5</v>
      </c>
      <c r="L708" s="17">
        <v>1.4833299999999999E-3</v>
      </c>
      <c r="M708" s="16">
        <f>ROUND(J708*K708*L708,2)</f>
        <v>0.46</v>
      </c>
      <c r="N708" s="16">
        <f>ROUND(J708*L708*12,2)</f>
        <v>1.1100000000000001</v>
      </c>
      <c r="O708" s="14"/>
      <c r="P708" s="210" t="str">
        <f>VLOOKUP(C708,'WO Descriptions'!$A$5:$D$384,4,FALSE)</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c r="Q708" s="210"/>
      <c r="R708" s="210"/>
    </row>
    <row r="709" spans="1:18" ht="90" outlineLevel="2">
      <c r="A709" s="14" t="s">
        <v>17</v>
      </c>
      <c r="B709" s="15" t="s">
        <v>1033</v>
      </c>
      <c r="C709" s="15" t="s">
        <v>1034</v>
      </c>
      <c r="D709" s="14" t="s">
        <v>1035</v>
      </c>
      <c r="E709" s="15" t="s">
        <v>58</v>
      </c>
      <c r="F709" s="14" t="s">
        <v>22</v>
      </c>
      <c r="G709" s="15" t="s">
        <v>23</v>
      </c>
      <c r="H709" s="15" t="s">
        <v>1525</v>
      </c>
      <c r="I709" s="15">
        <v>201502</v>
      </c>
      <c r="J709" s="16">
        <v>123.75</v>
      </c>
      <c r="K709" s="171">
        <f>VLOOKUP(I709,$T$9:$U$23,2)</f>
        <v>4</v>
      </c>
      <c r="L709" s="17">
        <v>1.4833299999999999E-3</v>
      </c>
      <c r="M709" s="16">
        <f>ROUND(J709*K709*L709,2)</f>
        <v>0.73</v>
      </c>
      <c r="N709" s="16">
        <f>ROUND(J709*L709*12,2)</f>
        <v>2.2000000000000002</v>
      </c>
      <c r="O709" s="14"/>
      <c r="P709" s="210" t="str">
        <f>VLOOKUP(C709,'WO Descriptions'!$A$5:$D$384,4,FALSE)</f>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v>
      </c>
      <c r="Q709" s="210"/>
      <c r="R709" s="210"/>
    </row>
    <row r="710" spans="1:18" outlineLevel="1">
      <c r="A710" s="223"/>
      <c r="B710" s="250"/>
      <c r="C710" s="254" t="s">
        <v>1975</v>
      </c>
      <c r="D710" s="223"/>
      <c r="E710" s="250"/>
      <c r="F710" s="223"/>
      <c r="G710" s="250"/>
      <c r="H710" s="250"/>
      <c r="I710" s="250"/>
      <c r="J710" s="251">
        <f>SUBTOTAL(9,J707:J709)</f>
        <v>192222.5</v>
      </c>
      <c r="K710" s="252"/>
      <c r="L710" s="253"/>
      <c r="M710" s="251">
        <f>SUBTOTAL(9,M707:M709)</f>
        <v>1710.31</v>
      </c>
      <c r="N710" s="251">
        <f>SUBTOTAL(9,N707:N709)</f>
        <v>3421.5499999999997</v>
      </c>
      <c r="O710" s="223"/>
      <c r="P710" s="210"/>
      <c r="Q710" s="210" t="str">
        <f>VLOOKUP(C710,'Descriptions Sorted by WO '!$A$5:$S$977,18,FALSE)</f>
        <v>393.1009 (5) (a) (b)</v>
      </c>
      <c r="R710" s="210" t="str">
        <f>VLOOKUP(C710,'Descriptions Sorted by WO '!$A$5:$S$977,19,FALSE)</f>
        <v>A,B,C</v>
      </c>
    </row>
    <row r="711" spans="1:18" ht="60" outlineLevel="2">
      <c r="A711" s="14" t="s">
        <v>66</v>
      </c>
      <c r="B711" s="15" t="s">
        <v>734</v>
      </c>
      <c r="C711" s="15" t="s">
        <v>735</v>
      </c>
      <c r="D711" s="14" t="s">
        <v>736</v>
      </c>
      <c r="E711" s="15" t="s">
        <v>737</v>
      </c>
      <c r="F711" s="14" t="s">
        <v>624</v>
      </c>
      <c r="G711" s="15" t="s">
        <v>23</v>
      </c>
      <c r="H711" s="15" t="s">
        <v>1527</v>
      </c>
      <c r="I711" s="15">
        <v>201409</v>
      </c>
      <c r="J711" s="16">
        <v>-44.18</v>
      </c>
      <c r="K711" s="171">
        <f>VLOOKUP(I711,$T$9:$U$23,2)</f>
        <v>9</v>
      </c>
      <c r="L711" s="17">
        <v>2.23333E-3</v>
      </c>
      <c r="M711" s="16">
        <f>ROUND(J711*K711*L711,2)</f>
        <v>-0.89</v>
      </c>
      <c r="N711" s="16">
        <f>ROUND(J711*L711*12,2)</f>
        <v>-1.18</v>
      </c>
      <c r="O711" s="14"/>
      <c r="P711" s="210" t="str">
        <f>VLOOKUP(C711,'WO Descriptions'!$A$5:$D$384,4,FALSE)</f>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
      <c r="Q711" s="210"/>
      <c r="R711" s="210"/>
    </row>
    <row r="712" spans="1:18" outlineLevel="1">
      <c r="A712" s="223"/>
      <c r="B712" s="250"/>
      <c r="C712" s="254" t="s">
        <v>1976</v>
      </c>
      <c r="D712" s="223"/>
      <c r="E712" s="250"/>
      <c r="F712" s="223"/>
      <c r="G712" s="250"/>
      <c r="H712" s="250"/>
      <c r="I712" s="250"/>
      <c r="J712" s="251">
        <f>SUBTOTAL(9,J711:J711)</f>
        <v>-44.18</v>
      </c>
      <c r="K712" s="252"/>
      <c r="L712" s="253"/>
      <c r="M712" s="251">
        <f>SUBTOTAL(9,M711:M711)</f>
        <v>-0.89</v>
      </c>
      <c r="N712" s="251">
        <f>SUBTOTAL(9,N711:N711)</f>
        <v>-1.18</v>
      </c>
      <c r="O712" s="223"/>
      <c r="P712" s="210"/>
      <c r="Q712" s="210" t="str">
        <f>VLOOKUP(C712,'Descriptions Sorted by WO '!$A$5:$S$977,18,FALSE)</f>
        <v>393.1009 (5) (a) (b)</v>
      </c>
      <c r="R712" s="210" t="str">
        <f>VLOOKUP(C712,'Descriptions Sorted by WO '!$A$5:$S$977,19,FALSE)</f>
        <v>A,B,D</v>
      </c>
    </row>
    <row r="713" spans="1:18" ht="30" outlineLevel="2">
      <c r="A713" s="211" t="s">
        <v>66</v>
      </c>
      <c r="B713" s="212" t="s">
        <v>738</v>
      </c>
      <c r="C713" s="212" t="s">
        <v>739</v>
      </c>
      <c r="D713" s="211" t="s">
        <v>69</v>
      </c>
      <c r="E713" s="212" t="s">
        <v>740</v>
      </c>
      <c r="F713" s="211" t="s">
        <v>71</v>
      </c>
      <c r="G713" s="212" t="s">
        <v>23</v>
      </c>
      <c r="H713" s="212" t="s">
        <v>1530</v>
      </c>
      <c r="I713" s="212">
        <v>201409</v>
      </c>
      <c r="J713" s="213">
        <v>29.7</v>
      </c>
      <c r="K713" s="171">
        <f>VLOOKUP(I713,$T$9:$U$23,2)</f>
        <v>9</v>
      </c>
      <c r="L713" s="214">
        <v>2.23333E-3</v>
      </c>
      <c r="M713" s="213">
        <f>ROUND(J713*K713*L713,2)</f>
        <v>0.6</v>
      </c>
      <c r="N713" s="213">
        <f>ROUND(J713*L713*12,2)</f>
        <v>0.8</v>
      </c>
      <c r="O713" s="14"/>
      <c r="P713" s="210" t="str">
        <f>VLOOKUP(C713,'WO Descriptions'!$A$5:$D$384,4,FALSE)</f>
        <v>Service/Yard Line Replacement (SLRP): Company Crew.  Immediate response - replacement single unprotected steel or copper  (Joplin - South Region)</v>
      </c>
      <c r="Q713" s="210"/>
      <c r="R713" s="210"/>
    </row>
    <row r="714" spans="1:18" outlineLevel="1">
      <c r="A714" s="256"/>
      <c r="B714" s="257"/>
      <c r="C714" s="260" t="s">
        <v>1977</v>
      </c>
      <c r="D714" s="256"/>
      <c r="E714" s="257"/>
      <c r="F714" s="256"/>
      <c r="G714" s="257"/>
      <c r="H714" s="257"/>
      <c r="I714" s="257"/>
      <c r="J714" s="258">
        <f>SUBTOTAL(9,J713:J713)</f>
        <v>29.7</v>
      </c>
      <c r="K714" s="252"/>
      <c r="L714" s="259"/>
      <c r="M714" s="258">
        <f>SUBTOTAL(9,M713:M713)</f>
        <v>0.6</v>
      </c>
      <c r="N714" s="258">
        <f>SUBTOTAL(9,N713:N713)</f>
        <v>0.8</v>
      </c>
      <c r="O714" s="223"/>
      <c r="P714" s="210"/>
      <c r="Q714" s="210" t="str">
        <f>VLOOKUP(C714,'Descriptions Sorted by WO '!$A$5:$S$977,18,FALSE)</f>
        <v>393.1009 (5) (a) (b)</v>
      </c>
      <c r="R714" s="210" t="str">
        <f>VLOOKUP(C714,'Descriptions Sorted by WO '!$A$5:$S$977,19,FALSE)</f>
        <v>A,B,C,I</v>
      </c>
    </row>
    <row r="715" spans="1:18" ht="30" outlineLevel="2">
      <c r="A715" s="211" t="s">
        <v>66</v>
      </c>
      <c r="B715" s="212" t="s">
        <v>741</v>
      </c>
      <c r="C715" s="212" t="s">
        <v>742</v>
      </c>
      <c r="D715" s="211" t="s">
        <v>69</v>
      </c>
      <c r="E715" s="212" t="s">
        <v>70</v>
      </c>
      <c r="F715" s="211" t="s">
        <v>71</v>
      </c>
      <c r="G715" s="212" t="s">
        <v>23</v>
      </c>
      <c r="H715" s="212" t="s">
        <v>1530</v>
      </c>
      <c r="I715" s="212">
        <v>201409</v>
      </c>
      <c r="J715" s="213">
        <v>1203.8</v>
      </c>
      <c r="K715" s="171">
        <f>VLOOKUP(I715,$T$9:$U$23,2)</f>
        <v>9</v>
      </c>
      <c r="L715" s="214">
        <v>2.23333E-3</v>
      </c>
      <c r="M715" s="213">
        <f>ROUND(J715*K715*L715,2)</f>
        <v>24.2</v>
      </c>
      <c r="N715" s="213">
        <f>ROUND(J715*L715*12,2)</f>
        <v>32.26</v>
      </c>
      <c r="O715" s="14"/>
      <c r="P715" s="210" t="str">
        <f>VLOOKUP(C715,'WO Descriptions'!$A$5:$D$384,4,FALSE)</f>
        <v>Service/Yard Line Replacement (SLRP): Company Crew.  Immediate response - replacement single unprotected steel or copper  (Lee's Summit - East Region)</v>
      </c>
      <c r="Q715" s="210"/>
      <c r="R715" s="210"/>
    </row>
    <row r="716" spans="1:18" ht="30" outlineLevel="2">
      <c r="A716" s="211" t="s">
        <v>66</v>
      </c>
      <c r="B716" s="212" t="s">
        <v>741</v>
      </c>
      <c r="C716" s="212" t="s">
        <v>742</v>
      </c>
      <c r="D716" s="211" t="s">
        <v>69</v>
      </c>
      <c r="E716" s="212" t="s">
        <v>70</v>
      </c>
      <c r="F716" s="211" t="s">
        <v>71</v>
      </c>
      <c r="G716" s="212" t="s">
        <v>23</v>
      </c>
      <c r="H716" s="212" t="s">
        <v>1530</v>
      </c>
      <c r="I716" s="212">
        <v>201411</v>
      </c>
      <c r="J716" s="213">
        <v>-127.08</v>
      </c>
      <c r="K716" s="171">
        <f>VLOOKUP(I716,$T$9:$U$23,2)</f>
        <v>7</v>
      </c>
      <c r="L716" s="214">
        <v>2.23333E-3</v>
      </c>
      <c r="M716" s="213">
        <f>ROUND(J716*K716*L716,2)</f>
        <v>-1.99</v>
      </c>
      <c r="N716" s="213">
        <f>ROUND(J716*L716*12,2)</f>
        <v>-3.41</v>
      </c>
      <c r="O716" s="14"/>
      <c r="P716" s="210" t="str">
        <f>VLOOKUP(C716,'WO Descriptions'!$A$5:$D$384,4,FALSE)</f>
        <v>Service/Yard Line Replacement (SLRP): Company Crew.  Immediate response - replacement single unprotected steel or copper  (Lee's Summit - East Region)</v>
      </c>
      <c r="Q716" s="210"/>
      <c r="R716" s="210"/>
    </row>
    <row r="717" spans="1:18" ht="30" outlineLevel="2">
      <c r="A717" s="211" t="s">
        <v>66</v>
      </c>
      <c r="B717" s="212" t="s">
        <v>741</v>
      </c>
      <c r="C717" s="212" t="s">
        <v>742</v>
      </c>
      <c r="D717" s="211" t="s">
        <v>69</v>
      </c>
      <c r="E717" s="212" t="s">
        <v>70</v>
      </c>
      <c r="F717" s="211" t="s">
        <v>71</v>
      </c>
      <c r="G717" s="212" t="s">
        <v>23</v>
      </c>
      <c r="H717" s="212" t="s">
        <v>1530</v>
      </c>
      <c r="I717" s="212">
        <v>201412</v>
      </c>
      <c r="J717" s="213">
        <v>8.01</v>
      </c>
      <c r="K717" s="171">
        <f>VLOOKUP(I717,$T$9:$U$23,2)</f>
        <v>6</v>
      </c>
      <c r="L717" s="214">
        <v>2.23333E-3</v>
      </c>
      <c r="M717" s="213">
        <f>ROUND(J717*K717*L717,2)</f>
        <v>0.11</v>
      </c>
      <c r="N717" s="213">
        <f>ROUND(J717*L717*12,2)</f>
        <v>0.21</v>
      </c>
      <c r="O717" s="14"/>
      <c r="P717" s="210" t="str">
        <f>VLOOKUP(C717,'WO Descriptions'!$A$5:$D$384,4,FALSE)</f>
        <v>Service/Yard Line Replacement (SLRP): Company Crew.  Immediate response - replacement single unprotected steel or copper  (Lee's Summit - East Region)</v>
      </c>
      <c r="Q717" s="210"/>
      <c r="R717" s="210"/>
    </row>
    <row r="718" spans="1:18" ht="30" outlineLevel="2">
      <c r="A718" s="14" t="s">
        <v>66</v>
      </c>
      <c r="B718" s="15" t="s">
        <v>741</v>
      </c>
      <c r="C718" s="15" t="s">
        <v>742</v>
      </c>
      <c r="D718" s="14" t="s">
        <v>69</v>
      </c>
      <c r="E718" s="15" t="s">
        <v>70</v>
      </c>
      <c r="F718" s="14" t="s">
        <v>71</v>
      </c>
      <c r="G718" s="15" t="s">
        <v>23</v>
      </c>
      <c r="H718" s="15" t="s">
        <v>1530</v>
      </c>
      <c r="I718" s="15">
        <v>201501</v>
      </c>
      <c r="J718" s="16">
        <v>13974.22</v>
      </c>
      <c r="K718" s="171">
        <f>VLOOKUP(I718,$T$9:$U$23,2)</f>
        <v>5</v>
      </c>
      <c r="L718" s="17">
        <v>2.23333E-3</v>
      </c>
      <c r="M718" s="16">
        <f>ROUND(J718*K718*L718,2)</f>
        <v>156.05000000000001</v>
      </c>
      <c r="N718" s="16">
        <f>ROUND(J718*L718*12,2)</f>
        <v>374.51</v>
      </c>
      <c r="O718" s="14"/>
      <c r="P718" s="210" t="str">
        <f>VLOOKUP(C718,'WO Descriptions'!$A$5:$D$384,4,FALSE)</f>
        <v>Service/Yard Line Replacement (SLRP): Company Crew.  Immediate response - replacement single unprotected steel or copper  (Lee's Summit - East Region)</v>
      </c>
      <c r="Q718" s="210"/>
      <c r="R718" s="210"/>
    </row>
    <row r="719" spans="1:18" ht="30" outlineLevel="2">
      <c r="A719" s="14" t="s">
        <v>66</v>
      </c>
      <c r="B719" s="15" t="s">
        <v>741</v>
      </c>
      <c r="C719" s="15" t="s">
        <v>742</v>
      </c>
      <c r="D719" s="14" t="s">
        <v>69</v>
      </c>
      <c r="E719" s="15" t="s">
        <v>70</v>
      </c>
      <c r="F719" s="14" t="s">
        <v>71</v>
      </c>
      <c r="G719" s="15" t="s">
        <v>23</v>
      </c>
      <c r="H719" s="15" t="s">
        <v>1530</v>
      </c>
      <c r="I719" s="15">
        <v>201502</v>
      </c>
      <c r="J719" s="16">
        <v>-1571.16</v>
      </c>
      <c r="K719" s="171">
        <f>VLOOKUP(I719,$T$9:$U$23,2)</f>
        <v>4</v>
      </c>
      <c r="L719" s="17">
        <v>2.23333E-3</v>
      </c>
      <c r="M719" s="16">
        <f>ROUND(J719*K719*L719,2)</f>
        <v>-14.04</v>
      </c>
      <c r="N719" s="16">
        <f>ROUND(J719*L719*12,2)</f>
        <v>-42.11</v>
      </c>
      <c r="O719" s="14"/>
      <c r="P719" s="210" t="str">
        <f>VLOOKUP(C719,'WO Descriptions'!$A$5:$D$384,4,FALSE)</f>
        <v>Service/Yard Line Replacement (SLRP): Company Crew.  Immediate response - replacement single unprotected steel or copper  (Lee's Summit - East Region)</v>
      </c>
      <c r="Q719" s="210"/>
      <c r="R719" s="210"/>
    </row>
    <row r="720" spans="1:18" outlineLevel="1">
      <c r="A720" s="223"/>
      <c r="B720" s="250"/>
      <c r="C720" s="254" t="s">
        <v>1978</v>
      </c>
      <c r="D720" s="223"/>
      <c r="E720" s="250"/>
      <c r="F720" s="223"/>
      <c r="G720" s="250"/>
      <c r="H720" s="250"/>
      <c r="I720" s="250"/>
      <c r="J720" s="251">
        <f>SUBTOTAL(9,J715:J719)</f>
        <v>13487.789999999999</v>
      </c>
      <c r="K720" s="252"/>
      <c r="L720" s="253"/>
      <c r="M720" s="251">
        <f>SUBTOTAL(9,M715:M719)</f>
        <v>164.33</v>
      </c>
      <c r="N720" s="251">
        <f>SUBTOTAL(9,N715:N719)</f>
        <v>361.46</v>
      </c>
      <c r="O720" s="223"/>
      <c r="P720" s="210"/>
      <c r="Q720" s="210" t="str">
        <f>VLOOKUP(C720,'Descriptions Sorted by WO '!$A$5:$S$977,18,FALSE)</f>
        <v>393.1009 (5) (a) (b)</v>
      </c>
      <c r="R720" s="210" t="str">
        <f>VLOOKUP(C720,'Descriptions Sorted by WO '!$A$5:$S$977,19,FALSE)</f>
        <v>A,B,C,I</v>
      </c>
    </row>
    <row r="721" spans="1:18" ht="30" outlineLevel="2">
      <c r="A721" s="211" t="s">
        <v>66</v>
      </c>
      <c r="B721" s="212" t="s">
        <v>743</v>
      </c>
      <c r="C721" s="212" t="s">
        <v>744</v>
      </c>
      <c r="D721" s="211" t="s">
        <v>745</v>
      </c>
      <c r="E721" s="212" t="s">
        <v>746</v>
      </c>
      <c r="F721" s="211" t="s">
        <v>80</v>
      </c>
      <c r="G721" s="212" t="s">
        <v>23</v>
      </c>
      <c r="H721" s="212" t="s">
        <v>1530</v>
      </c>
      <c r="I721" s="212">
        <v>201409</v>
      </c>
      <c r="J721" s="213">
        <v>47053.64</v>
      </c>
      <c r="K721" s="171">
        <f t="shared" ref="K721:K726" si="78">VLOOKUP(I721,$T$9:$U$23,2)</f>
        <v>9</v>
      </c>
      <c r="L721" s="214">
        <v>2.23333E-3</v>
      </c>
      <c r="M721" s="213">
        <f t="shared" ref="M721:M726" si="79">ROUND(J721*K721*L721,2)</f>
        <v>945.78</v>
      </c>
      <c r="N721" s="213">
        <f t="shared" ref="N721:N726" si="80">ROUND(J721*L721*12,2)</f>
        <v>1261.04</v>
      </c>
      <c r="O721" s="14"/>
      <c r="P721" s="210" t="str">
        <f>VLOOKUP(C721,'WO Descriptions'!$A$5:$D$384,4,FALSE)</f>
        <v>Service/Yard Line Replacement (SLRP): Contract Crew.  Modified Block by Block - Planned replacement of unprotected steel or copper  (Kansas City - Central Region)</v>
      </c>
      <c r="Q721" s="210"/>
      <c r="R721" s="210"/>
    </row>
    <row r="722" spans="1:18" ht="30" outlineLevel="2">
      <c r="A722" s="211" t="s">
        <v>66</v>
      </c>
      <c r="B722" s="212" t="s">
        <v>743</v>
      </c>
      <c r="C722" s="212" t="s">
        <v>744</v>
      </c>
      <c r="D722" s="211" t="s">
        <v>745</v>
      </c>
      <c r="E722" s="212" t="s">
        <v>746</v>
      </c>
      <c r="F722" s="211" t="s">
        <v>80</v>
      </c>
      <c r="G722" s="212" t="s">
        <v>23</v>
      </c>
      <c r="H722" s="212" t="s">
        <v>1530</v>
      </c>
      <c r="I722" s="212">
        <v>201410</v>
      </c>
      <c r="J722" s="213">
        <v>49038.54</v>
      </c>
      <c r="K722" s="171">
        <f t="shared" si="78"/>
        <v>8</v>
      </c>
      <c r="L722" s="214">
        <v>2.23333E-3</v>
      </c>
      <c r="M722" s="213">
        <f t="shared" si="79"/>
        <v>876.15</v>
      </c>
      <c r="N722" s="213">
        <f t="shared" si="80"/>
        <v>1314.23</v>
      </c>
      <c r="O722" s="14"/>
      <c r="P722" s="210" t="str">
        <f>VLOOKUP(C722,'WO Descriptions'!$A$5:$D$384,4,FALSE)</f>
        <v>Service/Yard Line Replacement (SLRP): Contract Crew.  Modified Block by Block - Planned replacement of unprotected steel or copper  (Kansas City - Central Region)</v>
      </c>
      <c r="Q722" s="210"/>
      <c r="R722" s="210"/>
    </row>
    <row r="723" spans="1:18" ht="30" outlineLevel="2">
      <c r="A723" s="211" t="s">
        <v>66</v>
      </c>
      <c r="B723" s="212" t="s">
        <v>743</v>
      </c>
      <c r="C723" s="212" t="s">
        <v>744</v>
      </c>
      <c r="D723" s="211" t="s">
        <v>745</v>
      </c>
      <c r="E723" s="212" t="s">
        <v>746</v>
      </c>
      <c r="F723" s="211" t="s">
        <v>80</v>
      </c>
      <c r="G723" s="212" t="s">
        <v>23</v>
      </c>
      <c r="H723" s="212" t="s">
        <v>1530</v>
      </c>
      <c r="I723" s="212">
        <v>201411</v>
      </c>
      <c r="J723" s="213">
        <v>8037.46</v>
      </c>
      <c r="K723" s="171">
        <f t="shared" si="78"/>
        <v>7</v>
      </c>
      <c r="L723" s="214">
        <v>2.23333E-3</v>
      </c>
      <c r="M723" s="213">
        <f t="shared" si="79"/>
        <v>125.65</v>
      </c>
      <c r="N723" s="213">
        <f t="shared" si="80"/>
        <v>215.4</v>
      </c>
      <c r="O723" s="14"/>
      <c r="P723" s="210" t="str">
        <f>VLOOKUP(C723,'WO Descriptions'!$A$5:$D$384,4,FALSE)</f>
        <v>Service/Yard Line Replacement (SLRP): Contract Crew.  Modified Block by Block - Planned replacement of unprotected steel or copper  (Kansas City - Central Region)</v>
      </c>
      <c r="Q723" s="210"/>
      <c r="R723" s="210"/>
    </row>
    <row r="724" spans="1:18" ht="30" outlineLevel="2">
      <c r="A724" s="211" t="s">
        <v>66</v>
      </c>
      <c r="B724" s="212" t="s">
        <v>743</v>
      </c>
      <c r="C724" s="212" t="s">
        <v>744</v>
      </c>
      <c r="D724" s="211" t="s">
        <v>745</v>
      </c>
      <c r="E724" s="212" t="s">
        <v>746</v>
      </c>
      <c r="F724" s="211" t="s">
        <v>80</v>
      </c>
      <c r="G724" s="212" t="s">
        <v>23</v>
      </c>
      <c r="H724" s="212" t="s">
        <v>1530</v>
      </c>
      <c r="I724" s="212">
        <v>201412</v>
      </c>
      <c r="J724" s="213">
        <v>-3814.16</v>
      </c>
      <c r="K724" s="171">
        <f t="shared" si="78"/>
        <v>6</v>
      </c>
      <c r="L724" s="214">
        <v>2.23333E-3</v>
      </c>
      <c r="M724" s="213">
        <f t="shared" si="79"/>
        <v>-51.11</v>
      </c>
      <c r="N724" s="213">
        <f t="shared" si="80"/>
        <v>-102.22</v>
      </c>
      <c r="O724" s="14"/>
      <c r="P724" s="210" t="str">
        <f>VLOOKUP(C724,'WO Descriptions'!$A$5:$D$384,4,FALSE)</f>
        <v>Service/Yard Line Replacement (SLRP): Contract Crew.  Modified Block by Block - Planned replacement of unprotected steel or copper  (Kansas City - Central Region)</v>
      </c>
      <c r="Q724" s="210"/>
      <c r="R724" s="210"/>
    </row>
    <row r="725" spans="1:18" ht="30" outlineLevel="2">
      <c r="A725" s="14" t="s">
        <v>66</v>
      </c>
      <c r="B725" s="15" t="s">
        <v>743</v>
      </c>
      <c r="C725" s="15" t="s">
        <v>744</v>
      </c>
      <c r="D725" s="14" t="s">
        <v>745</v>
      </c>
      <c r="E725" s="15" t="s">
        <v>746</v>
      </c>
      <c r="F725" s="14" t="s">
        <v>80</v>
      </c>
      <c r="G725" s="15" t="s">
        <v>23</v>
      </c>
      <c r="H725" s="15" t="s">
        <v>1530</v>
      </c>
      <c r="I725" s="15">
        <v>201501</v>
      </c>
      <c r="J725" s="16">
        <v>-3499.89</v>
      </c>
      <c r="K725" s="171">
        <f t="shared" si="78"/>
        <v>5</v>
      </c>
      <c r="L725" s="17">
        <v>2.23333E-3</v>
      </c>
      <c r="M725" s="16">
        <f t="shared" si="79"/>
        <v>-39.08</v>
      </c>
      <c r="N725" s="16">
        <f t="shared" si="80"/>
        <v>-93.8</v>
      </c>
      <c r="O725" s="14"/>
      <c r="P725" s="210" t="str">
        <f>VLOOKUP(C725,'WO Descriptions'!$A$5:$D$384,4,FALSE)</f>
        <v>Service/Yard Line Replacement (SLRP): Contract Crew.  Modified Block by Block - Planned replacement of unprotected steel or copper  (Kansas City - Central Region)</v>
      </c>
      <c r="Q725" s="210"/>
      <c r="R725" s="210"/>
    </row>
    <row r="726" spans="1:18" ht="30" outlineLevel="2">
      <c r="A726" s="14" t="s">
        <v>66</v>
      </c>
      <c r="B726" s="15" t="s">
        <v>743</v>
      </c>
      <c r="C726" s="15" t="s">
        <v>744</v>
      </c>
      <c r="D726" s="14" t="s">
        <v>745</v>
      </c>
      <c r="E726" s="15" t="s">
        <v>746</v>
      </c>
      <c r="F726" s="14" t="s">
        <v>80</v>
      </c>
      <c r="G726" s="15" t="s">
        <v>23</v>
      </c>
      <c r="H726" s="15" t="s">
        <v>1530</v>
      </c>
      <c r="I726" s="15">
        <v>201502</v>
      </c>
      <c r="J726" s="16">
        <v>-487.55</v>
      </c>
      <c r="K726" s="171">
        <f t="shared" si="78"/>
        <v>4</v>
      </c>
      <c r="L726" s="17">
        <v>2.23333E-3</v>
      </c>
      <c r="M726" s="16">
        <f t="shared" si="79"/>
        <v>-4.3600000000000003</v>
      </c>
      <c r="N726" s="16">
        <f t="shared" si="80"/>
        <v>-13.07</v>
      </c>
      <c r="O726" s="14"/>
      <c r="P726" s="210" t="str">
        <f>VLOOKUP(C726,'WO Descriptions'!$A$5:$D$384,4,FALSE)</f>
        <v>Service/Yard Line Replacement (SLRP): Contract Crew.  Modified Block by Block - Planned replacement of unprotected steel or copper  (Kansas City - Central Region)</v>
      </c>
      <c r="Q726" s="210"/>
      <c r="R726" s="210"/>
    </row>
    <row r="727" spans="1:18" outlineLevel="1">
      <c r="A727" s="223"/>
      <c r="B727" s="250"/>
      <c r="C727" s="254" t="s">
        <v>1979</v>
      </c>
      <c r="D727" s="223"/>
      <c r="E727" s="250"/>
      <c r="F727" s="223"/>
      <c r="G727" s="250"/>
      <c r="H727" s="250"/>
      <c r="I727" s="250"/>
      <c r="J727" s="251">
        <f>SUBTOTAL(9,J721:J726)</f>
        <v>96328.04</v>
      </c>
      <c r="K727" s="252"/>
      <c r="L727" s="253"/>
      <c r="M727" s="251">
        <f>SUBTOTAL(9,M721:M726)</f>
        <v>1853.0300000000002</v>
      </c>
      <c r="N727" s="251">
        <f>SUBTOTAL(9,N721:N726)</f>
        <v>2581.58</v>
      </c>
      <c r="O727" s="223"/>
      <c r="P727" s="210"/>
      <c r="Q727" s="210" t="str">
        <f>VLOOKUP(C727,'Descriptions Sorted by WO '!$A$5:$S$977,18,FALSE)</f>
        <v>393.1009 (5) (a) (b)</v>
      </c>
      <c r="R727" s="210" t="str">
        <f>VLOOKUP(C727,'Descriptions Sorted by WO '!$A$5:$S$977,19,FALSE)</f>
        <v>A,B,C,I</v>
      </c>
    </row>
    <row r="728" spans="1:18" ht="30" outlineLevel="2">
      <c r="A728" s="211" t="s">
        <v>66</v>
      </c>
      <c r="B728" s="212" t="s">
        <v>747</v>
      </c>
      <c r="C728" s="212" t="s">
        <v>748</v>
      </c>
      <c r="D728" s="211" t="s">
        <v>78</v>
      </c>
      <c r="E728" s="212" t="s">
        <v>749</v>
      </c>
      <c r="F728" s="211" t="s">
        <v>80</v>
      </c>
      <c r="G728" s="212" t="s">
        <v>23</v>
      </c>
      <c r="H728" s="212" t="s">
        <v>1530</v>
      </c>
      <c r="I728" s="212">
        <v>201409</v>
      </c>
      <c r="J728" s="213">
        <v>103995.5</v>
      </c>
      <c r="K728" s="171">
        <f t="shared" ref="K728:K733" si="81">VLOOKUP(I728,$T$9:$U$23,2)</f>
        <v>9</v>
      </c>
      <c r="L728" s="214">
        <v>2.23333E-3</v>
      </c>
      <c r="M728" s="213">
        <f t="shared" ref="M728:M733" si="82">ROUND(J728*K728*L728,2)</f>
        <v>2090.31</v>
      </c>
      <c r="N728" s="213">
        <f t="shared" ref="N728:N733" si="83">ROUND(J728*L728*12,2)</f>
        <v>2787.08</v>
      </c>
      <c r="O728" s="14"/>
      <c r="P728" s="210" t="str">
        <f>VLOOKUP(C728,'WO Descriptions'!$A$5:$D$384,4,FALSE)</f>
        <v>Service/Yard Line Replacement (SLRP): Contract Crew.  Modified Block by Block - Planned replacement of unprotected steel or copper  (Joplin - South Region)</v>
      </c>
      <c r="Q728" s="210"/>
      <c r="R728" s="210"/>
    </row>
    <row r="729" spans="1:18" ht="30" outlineLevel="2">
      <c r="A729" s="211" t="s">
        <v>66</v>
      </c>
      <c r="B729" s="212" t="s">
        <v>747</v>
      </c>
      <c r="C729" s="212" t="s">
        <v>748</v>
      </c>
      <c r="D729" s="211" t="s">
        <v>78</v>
      </c>
      <c r="E729" s="212" t="s">
        <v>749</v>
      </c>
      <c r="F729" s="211" t="s">
        <v>80</v>
      </c>
      <c r="G729" s="212" t="s">
        <v>23</v>
      </c>
      <c r="H729" s="212" t="s">
        <v>1530</v>
      </c>
      <c r="I729" s="212">
        <v>201410</v>
      </c>
      <c r="J729" s="213">
        <v>26052.94</v>
      </c>
      <c r="K729" s="171">
        <f t="shared" si="81"/>
        <v>8</v>
      </c>
      <c r="L729" s="214">
        <v>2.23333E-3</v>
      </c>
      <c r="M729" s="213">
        <f t="shared" si="82"/>
        <v>465.48</v>
      </c>
      <c r="N729" s="213">
        <f t="shared" si="83"/>
        <v>698.22</v>
      </c>
      <c r="O729" s="14"/>
      <c r="P729" s="210" t="str">
        <f>VLOOKUP(C729,'WO Descriptions'!$A$5:$D$384,4,FALSE)</f>
        <v>Service/Yard Line Replacement (SLRP): Contract Crew.  Modified Block by Block - Planned replacement of unprotected steel or copper  (Joplin - South Region)</v>
      </c>
      <c r="Q729" s="210"/>
      <c r="R729" s="210"/>
    </row>
    <row r="730" spans="1:18" ht="30" outlineLevel="2">
      <c r="A730" s="211" t="s">
        <v>66</v>
      </c>
      <c r="B730" s="212" t="s">
        <v>747</v>
      </c>
      <c r="C730" s="212" t="s">
        <v>748</v>
      </c>
      <c r="D730" s="211" t="s">
        <v>78</v>
      </c>
      <c r="E730" s="212" t="s">
        <v>749</v>
      </c>
      <c r="F730" s="211" t="s">
        <v>80</v>
      </c>
      <c r="G730" s="212" t="s">
        <v>23</v>
      </c>
      <c r="H730" s="212" t="s">
        <v>1530</v>
      </c>
      <c r="I730" s="212">
        <v>201411</v>
      </c>
      <c r="J730" s="213">
        <v>-983.36</v>
      </c>
      <c r="K730" s="171">
        <f t="shared" si="81"/>
        <v>7</v>
      </c>
      <c r="L730" s="214">
        <v>2.23333E-3</v>
      </c>
      <c r="M730" s="213">
        <f t="shared" si="82"/>
        <v>-15.37</v>
      </c>
      <c r="N730" s="213">
        <f t="shared" si="83"/>
        <v>-26.35</v>
      </c>
      <c r="O730" s="14"/>
      <c r="P730" s="210" t="str">
        <f>VLOOKUP(C730,'WO Descriptions'!$A$5:$D$384,4,FALSE)</f>
        <v>Service/Yard Line Replacement (SLRP): Contract Crew.  Modified Block by Block - Planned replacement of unprotected steel or copper  (Joplin - South Region)</v>
      </c>
      <c r="Q730" s="210"/>
      <c r="R730" s="210"/>
    </row>
    <row r="731" spans="1:18" ht="30" outlineLevel="2">
      <c r="A731" s="211" t="s">
        <v>66</v>
      </c>
      <c r="B731" s="212" t="s">
        <v>747</v>
      </c>
      <c r="C731" s="212" t="s">
        <v>748</v>
      </c>
      <c r="D731" s="211" t="s">
        <v>78</v>
      </c>
      <c r="E731" s="212" t="s">
        <v>749</v>
      </c>
      <c r="F731" s="211" t="s">
        <v>80</v>
      </c>
      <c r="G731" s="212" t="s">
        <v>23</v>
      </c>
      <c r="H731" s="212" t="s">
        <v>1530</v>
      </c>
      <c r="I731" s="212">
        <v>201412</v>
      </c>
      <c r="J731" s="213">
        <v>8776.2099999999991</v>
      </c>
      <c r="K731" s="171">
        <f t="shared" si="81"/>
        <v>6</v>
      </c>
      <c r="L731" s="214">
        <v>2.23333E-3</v>
      </c>
      <c r="M731" s="213">
        <f t="shared" si="82"/>
        <v>117.6</v>
      </c>
      <c r="N731" s="213">
        <f t="shared" si="83"/>
        <v>235.2</v>
      </c>
      <c r="O731" s="14"/>
      <c r="P731" s="210" t="str">
        <f>VLOOKUP(C731,'WO Descriptions'!$A$5:$D$384,4,FALSE)</f>
        <v>Service/Yard Line Replacement (SLRP): Contract Crew.  Modified Block by Block - Planned replacement of unprotected steel or copper  (Joplin - South Region)</v>
      </c>
      <c r="Q731" s="210"/>
      <c r="R731" s="210"/>
    </row>
    <row r="732" spans="1:18" ht="30" outlineLevel="2">
      <c r="A732" s="14" t="s">
        <v>66</v>
      </c>
      <c r="B732" s="15" t="s">
        <v>747</v>
      </c>
      <c r="C732" s="15" t="s">
        <v>748</v>
      </c>
      <c r="D732" s="14" t="s">
        <v>78</v>
      </c>
      <c r="E732" s="15" t="s">
        <v>749</v>
      </c>
      <c r="F732" s="14" t="s">
        <v>80</v>
      </c>
      <c r="G732" s="15" t="s">
        <v>23</v>
      </c>
      <c r="H732" s="15" t="s">
        <v>1530</v>
      </c>
      <c r="I732" s="15">
        <v>201501</v>
      </c>
      <c r="J732" s="16">
        <v>4715.0600000000004</v>
      </c>
      <c r="K732" s="171">
        <f t="shared" si="81"/>
        <v>5</v>
      </c>
      <c r="L732" s="17">
        <v>2.23333E-3</v>
      </c>
      <c r="M732" s="16">
        <f t="shared" si="82"/>
        <v>52.65</v>
      </c>
      <c r="N732" s="16">
        <f t="shared" si="83"/>
        <v>126.36</v>
      </c>
      <c r="O732" s="14"/>
      <c r="P732" s="210" t="str">
        <f>VLOOKUP(C732,'WO Descriptions'!$A$5:$D$384,4,FALSE)</f>
        <v>Service/Yard Line Replacement (SLRP): Contract Crew.  Modified Block by Block - Planned replacement of unprotected steel or copper  (Joplin - South Region)</v>
      </c>
      <c r="Q732" s="210"/>
      <c r="R732" s="210"/>
    </row>
    <row r="733" spans="1:18" ht="30" outlineLevel="2">
      <c r="A733" s="14" t="s">
        <v>66</v>
      </c>
      <c r="B733" s="15" t="s">
        <v>747</v>
      </c>
      <c r="C733" s="15" t="s">
        <v>748</v>
      </c>
      <c r="D733" s="14" t="s">
        <v>78</v>
      </c>
      <c r="E733" s="15" t="s">
        <v>749</v>
      </c>
      <c r="F733" s="14" t="s">
        <v>80</v>
      </c>
      <c r="G733" s="15" t="s">
        <v>23</v>
      </c>
      <c r="H733" s="15" t="s">
        <v>1530</v>
      </c>
      <c r="I733" s="15">
        <v>201502</v>
      </c>
      <c r="J733" s="16">
        <v>3541.36</v>
      </c>
      <c r="K733" s="171">
        <f t="shared" si="81"/>
        <v>4</v>
      </c>
      <c r="L733" s="17">
        <v>2.23333E-3</v>
      </c>
      <c r="M733" s="16">
        <f t="shared" si="82"/>
        <v>31.64</v>
      </c>
      <c r="N733" s="16">
        <f t="shared" si="83"/>
        <v>94.91</v>
      </c>
      <c r="O733" s="14"/>
      <c r="P733" s="210" t="str">
        <f>VLOOKUP(C733,'WO Descriptions'!$A$5:$D$384,4,FALSE)</f>
        <v>Service/Yard Line Replacement (SLRP): Contract Crew.  Modified Block by Block - Planned replacement of unprotected steel or copper  (Joplin - South Region)</v>
      </c>
      <c r="Q733" s="210"/>
      <c r="R733" s="210"/>
    </row>
    <row r="734" spans="1:18" outlineLevel="1">
      <c r="A734" s="223"/>
      <c r="B734" s="250"/>
      <c r="C734" s="254" t="s">
        <v>1980</v>
      </c>
      <c r="D734" s="223"/>
      <c r="E734" s="250"/>
      <c r="F734" s="223"/>
      <c r="G734" s="250"/>
      <c r="H734" s="250"/>
      <c r="I734" s="250"/>
      <c r="J734" s="251">
        <f>SUBTOTAL(9,J728:J733)</f>
        <v>146097.71</v>
      </c>
      <c r="K734" s="252"/>
      <c r="L734" s="253"/>
      <c r="M734" s="251">
        <f>SUBTOTAL(9,M728:M733)</f>
        <v>2742.31</v>
      </c>
      <c r="N734" s="251">
        <f>SUBTOTAL(9,N728:N733)</f>
        <v>3915.42</v>
      </c>
      <c r="O734" s="223"/>
      <c r="P734" s="210"/>
      <c r="Q734" s="210" t="str">
        <f>VLOOKUP(C734,'Descriptions Sorted by WO '!$A$5:$S$977,18,FALSE)</f>
        <v>393.1009 (5) (a) (b)</v>
      </c>
      <c r="R734" s="210" t="str">
        <f>VLOOKUP(C734,'Descriptions Sorted by WO '!$A$5:$S$977,19,FALSE)</f>
        <v>A,B,C,I</v>
      </c>
    </row>
    <row r="735" spans="1:18" ht="30" outlineLevel="2">
      <c r="A735" s="211" t="s">
        <v>66</v>
      </c>
      <c r="B735" s="212" t="s">
        <v>750</v>
      </c>
      <c r="C735" s="212" t="s">
        <v>751</v>
      </c>
      <c r="D735" s="211" t="s">
        <v>78</v>
      </c>
      <c r="E735" s="212" t="s">
        <v>752</v>
      </c>
      <c r="F735" s="211" t="s">
        <v>80</v>
      </c>
      <c r="G735" s="212" t="s">
        <v>23</v>
      </c>
      <c r="H735" s="212" t="s">
        <v>1530</v>
      </c>
      <c r="I735" s="212">
        <v>201409</v>
      </c>
      <c r="J735" s="213">
        <v>-0.62</v>
      </c>
      <c r="K735" s="171">
        <f>VLOOKUP(I735,$T$9:$U$23,2)</f>
        <v>9</v>
      </c>
      <c r="L735" s="214">
        <v>2.23333E-3</v>
      </c>
      <c r="M735" s="213">
        <f>ROUND(J735*K735*L735,2)</f>
        <v>-0.01</v>
      </c>
      <c r="N735" s="213">
        <f>ROUND(J735*L735*12,2)</f>
        <v>-0.02</v>
      </c>
      <c r="O735" s="14"/>
      <c r="P735" s="210" t="str">
        <f>VLOOKUP(C735,'WO Descriptions'!$A$5:$D$384,4,FALSE)</f>
        <v>Service/Yard Line Replacement (SLRP): Contract Crew.  Modified Block by Block - Planned replacement of unprotected steel or copper  (St. Joseph)</v>
      </c>
      <c r="Q735" s="210"/>
      <c r="R735" s="210"/>
    </row>
    <row r="736" spans="1:18" ht="30" outlineLevel="2">
      <c r="A736" s="211" t="s">
        <v>66</v>
      </c>
      <c r="B736" s="212" t="s">
        <v>750</v>
      </c>
      <c r="C736" s="212" t="s">
        <v>751</v>
      </c>
      <c r="D736" s="211" t="s">
        <v>78</v>
      </c>
      <c r="E736" s="212" t="s">
        <v>752</v>
      </c>
      <c r="F736" s="211" t="s">
        <v>80</v>
      </c>
      <c r="G736" s="212" t="s">
        <v>23</v>
      </c>
      <c r="H736" s="212" t="s">
        <v>1530</v>
      </c>
      <c r="I736" s="212">
        <v>201412</v>
      </c>
      <c r="J736" s="213">
        <v>48.78</v>
      </c>
      <c r="K736" s="171">
        <f>VLOOKUP(I736,$T$9:$U$23,2)</f>
        <v>6</v>
      </c>
      <c r="L736" s="214">
        <v>2.23333E-3</v>
      </c>
      <c r="M736" s="213">
        <f>ROUND(J736*K736*L736,2)</f>
        <v>0.65</v>
      </c>
      <c r="N736" s="213">
        <f>ROUND(J736*L736*12,2)</f>
        <v>1.31</v>
      </c>
      <c r="O736" s="14"/>
      <c r="P736" s="210" t="str">
        <f>VLOOKUP(C736,'WO Descriptions'!$A$5:$D$384,4,FALSE)</f>
        <v>Service/Yard Line Replacement (SLRP): Contract Crew.  Modified Block by Block - Planned replacement of unprotected steel or copper  (St. Joseph)</v>
      </c>
      <c r="Q736" s="210"/>
      <c r="R736" s="210"/>
    </row>
    <row r="737" spans="1:18" ht="30" outlineLevel="2">
      <c r="A737" s="14" t="s">
        <v>66</v>
      </c>
      <c r="B737" s="15" t="s">
        <v>750</v>
      </c>
      <c r="C737" s="15" t="s">
        <v>751</v>
      </c>
      <c r="D737" s="14" t="s">
        <v>78</v>
      </c>
      <c r="E737" s="15" t="s">
        <v>752</v>
      </c>
      <c r="F737" s="14" t="s">
        <v>80</v>
      </c>
      <c r="G737" s="15" t="s">
        <v>23</v>
      </c>
      <c r="H737" s="15" t="s">
        <v>1530</v>
      </c>
      <c r="I737" s="15">
        <v>201501</v>
      </c>
      <c r="J737" s="16">
        <v>-0.14000000000000001</v>
      </c>
      <c r="K737" s="171">
        <f>VLOOKUP(I737,$T$9:$U$23,2)</f>
        <v>5</v>
      </c>
      <c r="L737" s="17">
        <v>2.23333E-3</v>
      </c>
      <c r="M737" s="16">
        <f>ROUND(J737*K737*L737,2)</f>
        <v>0</v>
      </c>
      <c r="N737" s="16">
        <f>ROUND(J737*L737*12,2)</f>
        <v>0</v>
      </c>
      <c r="O737" s="14"/>
      <c r="P737" s="210" t="str">
        <f>VLOOKUP(C737,'WO Descriptions'!$A$5:$D$384,4,FALSE)</f>
        <v>Service/Yard Line Replacement (SLRP): Contract Crew.  Modified Block by Block - Planned replacement of unprotected steel or copper  (St. Joseph)</v>
      </c>
      <c r="Q737" s="210"/>
      <c r="R737" s="210"/>
    </row>
    <row r="738" spans="1:18" ht="30" outlineLevel="2">
      <c r="A738" s="14" t="s">
        <v>66</v>
      </c>
      <c r="B738" s="15" t="s">
        <v>750</v>
      </c>
      <c r="C738" s="15" t="s">
        <v>751</v>
      </c>
      <c r="D738" s="14" t="s">
        <v>78</v>
      </c>
      <c r="E738" s="15" t="s">
        <v>752</v>
      </c>
      <c r="F738" s="14" t="s">
        <v>80</v>
      </c>
      <c r="G738" s="15" t="s">
        <v>23</v>
      </c>
      <c r="H738" s="15" t="s">
        <v>1530</v>
      </c>
      <c r="I738" s="15">
        <v>201502</v>
      </c>
      <c r="J738" s="16">
        <v>-0.45</v>
      </c>
      <c r="K738" s="171">
        <f>VLOOKUP(I738,$T$9:$U$23,2)</f>
        <v>4</v>
      </c>
      <c r="L738" s="17">
        <v>2.23333E-3</v>
      </c>
      <c r="M738" s="16">
        <f>ROUND(J738*K738*L738,2)</f>
        <v>0</v>
      </c>
      <c r="N738" s="16">
        <f>ROUND(J738*L738*12,2)</f>
        <v>-0.01</v>
      </c>
      <c r="O738" s="14"/>
      <c r="P738" s="210" t="str">
        <f>VLOOKUP(C738,'WO Descriptions'!$A$5:$D$384,4,FALSE)</f>
        <v>Service/Yard Line Replacement (SLRP): Contract Crew.  Modified Block by Block - Planned replacement of unprotected steel or copper  (St. Joseph)</v>
      </c>
      <c r="Q738" s="210"/>
      <c r="R738" s="210"/>
    </row>
    <row r="739" spans="1:18" outlineLevel="1">
      <c r="A739" s="223"/>
      <c r="B739" s="250"/>
      <c r="C739" s="254" t="s">
        <v>1981</v>
      </c>
      <c r="D739" s="223"/>
      <c r="E739" s="250"/>
      <c r="F739" s="223"/>
      <c r="G739" s="250"/>
      <c r="H739" s="250"/>
      <c r="I739" s="250"/>
      <c r="J739" s="251">
        <f>SUBTOTAL(9,J735:J738)</f>
        <v>47.57</v>
      </c>
      <c r="K739" s="252"/>
      <c r="L739" s="253"/>
      <c r="M739" s="251">
        <f>SUBTOTAL(9,M735:M738)</f>
        <v>0.64</v>
      </c>
      <c r="N739" s="251">
        <f>SUBTOTAL(9,N735:N738)</f>
        <v>1.28</v>
      </c>
      <c r="O739" s="223"/>
      <c r="P739" s="210"/>
      <c r="Q739" s="210" t="str">
        <f>VLOOKUP(C739,'Descriptions Sorted by WO '!$A$5:$S$977,18,FALSE)</f>
        <v>393.1009 (5) (a) (b)</v>
      </c>
      <c r="R739" s="210" t="str">
        <f>VLOOKUP(C739,'Descriptions Sorted by WO '!$A$5:$S$977,19,FALSE)</f>
        <v>A,B,C,I</v>
      </c>
    </row>
    <row r="740" spans="1:18" ht="30" outlineLevel="2">
      <c r="A740" s="211" t="s">
        <v>1584</v>
      </c>
      <c r="B740" s="212" t="s">
        <v>1615</v>
      </c>
      <c r="C740" s="212" t="s">
        <v>1616</v>
      </c>
      <c r="D740" s="211" t="s">
        <v>1593</v>
      </c>
      <c r="E740" s="212" t="s">
        <v>1617</v>
      </c>
      <c r="F740" s="211" t="s">
        <v>1590</v>
      </c>
      <c r="G740" s="212" t="s">
        <v>23</v>
      </c>
      <c r="H740" s="212" t="s">
        <v>1530</v>
      </c>
      <c r="I740" s="212">
        <v>201409</v>
      </c>
      <c r="J740" s="213">
        <v>13225.13</v>
      </c>
      <c r="K740" s="171">
        <f>VLOOKUP(I740,$T$9:$U$23,2)</f>
        <v>9</v>
      </c>
      <c r="L740" s="214">
        <v>2.0333333000000001E-3</v>
      </c>
      <c r="M740" s="213">
        <f>ROUND(J740*K740*L740,2)</f>
        <v>242.02</v>
      </c>
      <c r="N740" s="213">
        <f>ROUND(J740*L740*12,2)</f>
        <v>322.69</v>
      </c>
      <c r="O740" s="14"/>
      <c r="P740" s="210" t="str">
        <f>VLOOKUP(C740,'WO Descriptions'!$A$5:$D$384,4,FALSE)</f>
        <v>Service/Yard Line Replacement (SLRP): Contract Crew.  Rebuild meter/regulator setting (exclude regulator) (Joplin - South Region).</v>
      </c>
      <c r="Q740" s="210"/>
      <c r="R740" s="210"/>
    </row>
    <row r="741" spans="1:18" ht="30" outlineLevel="2">
      <c r="A741" s="211" t="s">
        <v>1584</v>
      </c>
      <c r="B741" s="212" t="s">
        <v>1615</v>
      </c>
      <c r="C741" s="212" t="s">
        <v>1616</v>
      </c>
      <c r="D741" s="211" t="s">
        <v>1593</v>
      </c>
      <c r="E741" s="212" t="s">
        <v>1617</v>
      </c>
      <c r="F741" s="211" t="s">
        <v>1590</v>
      </c>
      <c r="G741" s="212" t="s">
        <v>23</v>
      </c>
      <c r="H741" s="212" t="s">
        <v>1530</v>
      </c>
      <c r="I741" s="212">
        <v>201410</v>
      </c>
      <c r="J741" s="213">
        <v>4029.73</v>
      </c>
      <c r="K741" s="171">
        <f>VLOOKUP(I741,$T$9:$U$23,2)</f>
        <v>8</v>
      </c>
      <c r="L741" s="214">
        <v>2.0333333000000001E-3</v>
      </c>
      <c r="M741" s="213">
        <f>ROUND(J741*K741*L741,2)</f>
        <v>65.55</v>
      </c>
      <c r="N741" s="213">
        <f>ROUND(J741*L741*12,2)</f>
        <v>98.33</v>
      </c>
      <c r="O741" s="14"/>
      <c r="P741" s="210" t="str">
        <f>VLOOKUP(C741,'WO Descriptions'!$A$5:$D$384,4,FALSE)</f>
        <v>Service/Yard Line Replacement (SLRP): Contract Crew.  Rebuild meter/regulator setting (exclude regulator) (Joplin - South Region).</v>
      </c>
      <c r="Q741" s="210"/>
      <c r="R741" s="210"/>
    </row>
    <row r="742" spans="1:18" ht="30" outlineLevel="2">
      <c r="A742" s="211" t="s">
        <v>1584</v>
      </c>
      <c r="B742" s="212" t="s">
        <v>1615</v>
      </c>
      <c r="C742" s="212" t="s">
        <v>1616</v>
      </c>
      <c r="D742" s="211" t="s">
        <v>1593</v>
      </c>
      <c r="E742" s="212" t="s">
        <v>1617</v>
      </c>
      <c r="F742" s="211" t="s">
        <v>1590</v>
      </c>
      <c r="G742" s="212" t="s">
        <v>23</v>
      </c>
      <c r="H742" s="212" t="s">
        <v>1530</v>
      </c>
      <c r="I742" s="212">
        <v>201411</v>
      </c>
      <c r="J742" s="213">
        <v>4.0199999999999996</v>
      </c>
      <c r="K742" s="171">
        <f>VLOOKUP(I742,$T$9:$U$23,2)</f>
        <v>7</v>
      </c>
      <c r="L742" s="214">
        <v>2.0333333000000001E-3</v>
      </c>
      <c r="M742" s="213">
        <f>ROUND(J742*K742*L742,2)</f>
        <v>0.06</v>
      </c>
      <c r="N742" s="213">
        <f>ROUND(J742*L742*12,2)</f>
        <v>0.1</v>
      </c>
      <c r="O742" s="14"/>
      <c r="P742" s="210" t="str">
        <f>VLOOKUP(C742,'WO Descriptions'!$A$5:$D$384,4,FALSE)</f>
        <v>Service/Yard Line Replacement (SLRP): Contract Crew.  Rebuild meter/regulator setting (exclude regulator) (Joplin - South Region).</v>
      </c>
      <c r="Q742" s="210"/>
      <c r="R742" s="210"/>
    </row>
    <row r="743" spans="1:18" ht="30" outlineLevel="2">
      <c r="A743" s="211" t="s">
        <v>1584</v>
      </c>
      <c r="B743" s="212" t="s">
        <v>1615</v>
      </c>
      <c r="C743" s="212" t="s">
        <v>1616</v>
      </c>
      <c r="D743" s="211" t="s">
        <v>1593</v>
      </c>
      <c r="E743" s="212" t="s">
        <v>1617</v>
      </c>
      <c r="F743" s="211" t="s">
        <v>1590</v>
      </c>
      <c r="G743" s="212" t="s">
        <v>23</v>
      </c>
      <c r="H743" s="212" t="s">
        <v>1530</v>
      </c>
      <c r="I743" s="212">
        <v>201412</v>
      </c>
      <c r="J743" s="213">
        <v>-275.81</v>
      </c>
      <c r="K743" s="171">
        <f>VLOOKUP(I743,$T$9:$U$23,2)</f>
        <v>6</v>
      </c>
      <c r="L743" s="214">
        <v>2.0333333000000001E-3</v>
      </c>
      <c r="M743" s="213">
        <f>ROUND(J743*K743*L743,2)</f>
        <v>-3.36</v>
      </c>
      <c r="N743" s="213">
        <f>ROUND(J743*L743*12,2)</f>
        <v>-6.73</v>
      </c>
      <c r="O743" s="14"/>
      <c r="P743" s="210" t="str">
        <f>VLOOKUP(C743,'WO Descriptions'!$A$5:$D$384,4,FALSE)</f>
        <v>Service/Yard Line Replacement (SLRP): Contract Crew.  Rebuild meter/regulator setting (exclude regulator) (Joplin - South Region).</v>
      </c>
      <c r="Q743" s="210"/>
      <c r="R743" s="210"/>
    </row>
    <row r="744" spans="1:18" ht="30" outlineLevel="2">
      <c r="A744" s="14" t="s">
        <v>1584</v>
      </c>
      <c r="B744" s="15" t="s">
        <v>1615</v>
      </c>
      <c r="C744" s="15" t="s">
        <v>1616</v>
      </c>
      <c r="D744" s="14" t="s">
        <v>1593</v>
      </c>
      <c r="E744" s="15" t="s">
        <v>1617</v>
      </c>
      <c r="F744" s="14" t="s">
        <v>1590</v>
      </c>
      <c r="G744" s="15" t="s">
        <v>23</v>
      </c>
      <c r="H744" s="15" t="s">
        <v>1530</v>
      </c>
      <c r="I744" s="15">
        <v>201501</v>
      </c>
      <c r="J744" s="16">
        <v>1643.72</v>
      </c>
      <c r="K744" s="171">
        <f>VLOOKUP(I744,$T$9:$U$23,2)</f>
        <v>5</v>
      </c>
      <c r="L744" s="17">
        <v>2.0333333000000001E-3</v>
      </c>
      <c r="M744" s="16">
        <f>ROUND(J744*K744*L744,2)</f>
        <v>16.71</v>
      </c>
      <c r="N744" s="16">
        <f>ROUND(J744*L744*12,2)</f>
        <v>40.11</v>
      </c>
      <c r="O744" s="14"/>
      <c r="P744" s="210" t="str">
        <f>VLOOKUP(C744,'WO Descriptions'!$A$5:$D$384,4,FALSE)</f>
        <v>Service/Yard Line Replacement (SLRP): Contract Crew.  Rebuild meter/regulator setting (exclude regulator) (Joplin - South Region).</v>
      </c>
      <c r="Q744" s="210"/>
      <c r="R744" s="210"/>
    </row>
    <row r="745" spans="1:18" outlineLevel="1">
      <c r="A745" s="223"/>
      <c r="B745" s="250"/>
      <c r="C745" s="254" t="s">
        <v>1982</v>
      </c>
      <c r="D745" s="223"/>
      <c r="E745" s="250"/>
      <c r="F745" s="223"/>
      <c r="G745" s="250"/>
      <c r="H745" s="250"/>
      <c r="I745" s="250"/>
      <c r="J745" s="251">
        <f>SUBTOTAL(9,J740:J744)</f>
        <v>18626.79</v>
      </c>
      <c r="K745" s="252"/>
      <c r="L745" s="253"/>
      <c r="M745" s="251">
        <f>SUBTOTAL(9,M740:M744)</f>
        <v>320.97999999999996</v>
      </c>
      <c r="N745" s="251">
        <f>SUBTOTAL(9,N740:N744)</f>
        <v>454.5</v>
      </c>
      <c r="O745" s="223"/>
      <c r="P745" s="210"/>
      <c r="Q745" s="210" t="str">
        <f>VLOOKUP(C745,'Descriptions Sorted by WO '!$A$5:$S$977,18,FALSE)</f>
        <v>393.1009 (5) (a) (b)</v>
      </c>
      <c r="R745" s="210" t="str">
        <f>VLOOKUP(C745,'Descriptions Sorted by WO '!$A$5:$S$977,19,FALSE)</f>
        <v>A,B,C,I</v>
      </c>
    </row>
    <row r="746" spans="1:18" ht="30" outlineLevel="2">
      <c r="A746" s="211" t="s">
        <v>66</v>
      </c>
      <c r="B746" s="212" t="s">
        <v>753</v>
      </c>
      <c r="C746" s="212" t="s">
        <v>754</v>
      </c>
      <c r="D746" s="211" t="s">
        <v>206</v>
      </c>
      <c r="E746" s="212" t="s">
        <v>755</v>
      </c>
      <c r="F746" s="211" t="s">
        <v>97</v>
      </c>
      <c r="G746" s="212" t="s">
        <v>23</v>
      </c>
      <c r="H746" s="212" t="s">
        <v>1530</v>
      </c>
      <c r="I746" s="212">
        <v>201409</v>
      </c>
      <c r="J746" s="213">
        <v>7053.44</v>
      </c>
      <c r="K746" s="171">
        <f t="shared" ref="K746:K751" si="84">VLOOKUP(I746,$T$9:$U$23,2)</f>
        <v>9</v>
      </c>
      <c r="L746" s="214">
        <v>2.23333E-3</v>
      </c>
      <c r="M746" s="213">
        <f t="shared" ref="M746:M751" si="85">ROUND(J746*K746*L746,2)</f>
        <v>141.77000000000001</v>
      </c>
      <c r="N746" s="213">
        <f t="shared" ref="N746:N751" si="86">ROUND(J746*L746*12,2)</f>
        <v>189.03</v>
      </c>
      <c r="O746" s="14"/>
      <c r="P746" s="210" t="str">
        <f>VLOOKUP(C746,'WO Descriptions'!$A$5:$D$384,4,FALSE)</f>
        <v>Service/Yard Line Replacement (SLRP): Company Crew.  Service/yard line replacement - Material Charges Only  (Lee's Summit - East Region)</v>
      </c>
      <c r="Q746" s="210"/>
      <c r="R746" s="210"/>
    </row>
    <row r="747" spans="1:18" ht="30" outlineLevel="2">
      <c r="A747" s="211" t="s">
        <v>66</v>
      </c>
      <c r="B747" s="212" t="s">
        <v>753</v>
      </c>
      <c r="C747" s="212" t="s">
        <v>754</v>
      </c>
      <c r="D747" s="211" t="s">
        <v>206</v>
      </c>
      <c r="E747" s="212" t="s">
        <v>755</v>
      </c>
      <c r="F747" s="211" t="s">
        <v>97</v>
      </c>
      <c r="G747" s="212" t="s">
        <v>23</v>
      </c>
      <c r="H747" s="212" t="s">
        <v>1530</v>
      </c>
      <c r="I747" s="212">
        <v>201410</v>
      </c>
      <c r="J747" s="213">
        <v>6651.75</v>
      </c>
      <c r="K747" s="171">
        <f t="shared" si="84"/>
        <v>8</v>
      </c>
      <c r="L747" s="214">
        <v>2.23333E-3</v>
      </c>
      <c r="M747" s="213">
        <f t="shared" si="85"/>
        <v>118.84</v>
      </c>
      <c r="N747" s="213">
        <f t="shared" si="86"/>
        <v>178.27</v>
      </c>
      <c r="O747" s="14"/>
      <c r="P747" s="210" t="str">
        <f>VLOOKUP(C747,'WO Descriptions'!$A$5:$D$384,4,FALSE)</f>
        <v>Service/Yard Line Replacement (SLRP): Company Crew.  Service/yard line replacement - Material Charges Only  (Lee's Summit - East Region)</v>
      </c>
      <c r="Q747" s="210"/>
      <c r="R747" s="210"/>
    </row>
    <row r="748" spans="1:18" ht="30" outlineLevel="2">
      <c r="A748" s="211" t="s">
        <v>66</v>
      </c>
      <c r="B748" s="212" t="s">
        <v>753</v>
      </c>
      <c r="C748" s="212" t="s">
        <v>754</v>
      </c>
      <c r="D748" s="211" t="s">
        <v>206</v>
      </c>
      <c r="E748" s="212" t="s">
        <v>755</v>
      </c>
      <c r="F748" s="211" t="s">
        <v>97</v>
      </c>
      <c r="G748" s="212" t="s">
        <v>23</v>
      </c>
      <c r="H748" s="212" t="s">
        <v>1530</v>
      </c>
      <c r="I748" s="212">
        <v>201411</v>
      </c>
      <c r="J748" s="213">
        <v>8010.12</v>
      </c>
      <c r="K748" s="171">
        <f t="shared" si="84"/>
        <v>7</v>
      </c>
      <c r="L748" s="214">
        <v>2.23333E-3</v>
      </c>
      <c r="M748" s="213">
        <f t="shared" si="85"/>
        <v>125.22</v>
      </c>
      <c r="N748" s="213">
        <f t="shared" si="86"/>
        <v>214.67</v>
      </c>
      <c r="O748" s="14"/>
      <c r="P748" s="210" t="str">
        <f>VLOOKUP(C748,'WO Descriptions'!$A$5:$D$384,4,FALSE)</f>
        <v>Service/Yard Line Replacement (SLRP): Company Crew.  Service/yard line replacement - Material Charges Only  (Lee's Summit - East Region)</v>
      </c>
      <c r="Q748" s="210"/>
      <c r="R748" s="210"/>
    </row>
    <row r="749" spans="1:18" ht="30" outlineLevel="2">
      <c r="A749" s="211" t="s">
        <v>66</v>
      </c>
      <c r="B749" s="212" t="s">
        <v>753</v>
      </c>
      <c r="C749" s="212" t="s">
        <v>754</v>
      </c>
      <c r="D749" s="211" t="s">
        <v>206</v>
      </c>
      <c r="E749" s="212" t="s">
        <v>755</v>
      </c>
      <c r="F749" s="211" t="s">
        <v>97</v>
      </c>
      <c r="G749" s="212" t="s">
        <v>23</v>
      </c>
      <c r="H749" s="212" t="s">
        <v>1530</v>
      </c>
      <c r="I749" s="212">
        <v>201412</v>
      </c>
      <c r="J749" s="213">
        <v>2824.7</v>
      </c>
      <c r="K749" s="171">
        <f t="shared" si="84"/>
        <v>6</v>
      </c>
      <c r="L749" s="214">
        <v>2.23333E-3</v>
      </c>
      <c r="M749" s="213">
        <f t="shared" si="85"/>
        <v>37.85</v>
      </c>
      <c r="N749" s="213">
        <f t="shared" si="86"/>
        <v>75.7</v>
      </c>
      <c r="O749" s="14"/>
      <c r="P749" s="210" t="str">
        <f>VLOOKUP(C749,'WO Descriptions'!$A$5:$D$384,4,FALSE)</f>
        <v>Service/Yard Line Replacement (SLRP): Company Crew.  Service/yard line replacement - Material Charges Only  (Lee's Summit - East Region)</v>
      </c>
      <c r="Q749" s="210"/>
      <c r="R749" s="210"/>
    </row>
    <row r="750" spans="1:18" ht="30" outlineLevel="2">
      <c r="A750" s="14" t="s">
        <v>66</v>
      </c>
      <c r="B750" s="15" t="s">
        <v>753</v>
      </c>
      <c r="C750" s="15" t="s">
        <v>754</v>
      </c>
      <c r="D750" s="14" t="s">
        <v>206</v>
      </c>
      <c r="E750" s="15" t="s">
        <v>755</v>
      </c>
      <c r="F750" s="14" t="s">
        <v>97</v>
      </c>
      <c r="G750" s="15" t="s">
        <v>23</v>
      </c>
      <c r="H750" s="15" t="s">
        <v>1530</v>
      </c>
      <c r="I750" s="15">
        <v>201501</v>
      </c>
      <c r="J750" s="16">
        <v>1328.5</v>
      </c>
      <c r="K750" s="171">
        <f t="shared" si="84"/>
        <v>5</v>
      </c>
      <c r="L750" s="17">
        <v>2.23333E-3</v>
      </c>
      <c r="M750" s="16">
        <f t="shared" si="85"/>
        <v>14.83</v>
      </c>
      <c r="N750" s="16">
        <f t="shared" si="86"/>
        <v>35.6</v>
      </c>
      <c r="O750" s="14"/>
      <c r="P750" s="210" t="str">
        <f>VLOOKUP(C750,'WO Descriptions'!$A$5:$D$384,4,FALSE)</f>
        <v>Service/Yard Line Replacement (SLRP): Company Crew.  Service/yard line replacement - Material Charges Only  (Lee's Summit - East Region)</v>
      </c>
      <c r="Q750" s="210"/>
      <c r="R750" s="210"/>
    </row>
    <row r="751" spans="1:18" ht="30" outlineLevel="2">
      <c r="A751" s="14" t="s">
        <v>66</v>
      </c>
      <c r="B751" s="15" t="s">
        <v>753</v>
      </c>
      <c r="C751" s="15" t="s">
        <v>754</v>
      </c>
      <c r="D751" s="14" t="s">
        <v>206</v>
      </c>
      <c r="E751" s="15" t="s">
        <v>755</v>
      </c>
      <c r="F751" s="14" t="s">
        <v>97</v>
      </c>
      <c r="G751" s="15" t="s">
        <v>23</v>
      </c>
      <c r="H751" s="15" t="s">
        <v>1530</v>
      </c>
      <c r="I751" s="15">
        <v>201502</v>
      </c>
      <c r="J751" s="16">
        <v>5789.58</v>
      </c>
      <c r="K751" s="171">
        <f t="shared" si="84"/>
        <v>4</v>
      </c>
      <c r="L751" s="17">
        <v>2.23333E-3</v>
      </c>
      <c r="M751" s="16">
        <f t="shared" si="85"/>
        <v>51.72</v>
      </c>
      <c r="N751" s="16">
        <f t="shared" si="86"/>
        <v>155.16</v>
      </c>
      <c r="O751" s="14"/>
      <c r="P751" s="210" t="str">
        <f>VLOOKUP(C751,'WO Descriptions'!$A$5:$D$384,4,FALSE)</f>
        <v>Service/Yard Line Replacement (SLRP): Company Crew.  Service/yard line replacement - Material Charges Only  (Lee's Summit - East Region)</v>
      </c>
      <c r="Q751" s="210"/>
      <c r="R751" s="210"/>
    </row>
    <row r="752" spans="1:18" outlineLevel="1">
      <c r="A752" s="223"/>
      <c r="B752" s="250"/>
      <c r="C752" s="254" t="s">
        <v>1983</v>
      </c>
      <c r="D752" s="223"/>
      <c r="E752" s="250"/>
      <c r="F752" s="223"/>
      <c r="G752" s="250"/>
      <c r="H752" s="250"/>
      <c r="I752" s="250"/>
      <c r="J752" s="251">
        <f>SUBTOTAL(9,J746:J751)</f>
        <v>31658.089999999997</v>
      </c>
      <c r="K752" s="252"/>
      <c r="L752" s="253"/>
      <c r="M752" s="251">
        <f>SUBTOTAL(9,M746:M751)</f>
        <v>490.23</v>
      </c>
      <c r="N752" s="251">
        <f>SUBTOTAL(9,N746:N751)</f>
        <v>848.43000000000006</v>
      </c>
      <c r="O752" s="223"/>
      <c r="P752" s="210"/>
      <c r="Q752" s="210" t="str">
        <f>VLOOKUP(C752,'Descriptions Sorted by WO '!$A$5:$S$977,18,FALSE)</f>
        <v>393.1009 (5) (a) (b)</v>
      </c>
      <c r="R752" s="210" t="str">
        <f>VLOOKUP(C752,'Descriptions Sorted by WO '!$A$5:$S$977,19,FALSE)</f>
        <v>A,B,C,I</v>
      </c>
    </row>
    <row r="753" spans="1:18" ht="45" outlineLevel="2">
      <c r="A753" s="14" t="s">
        <v>17</v>
      </c>
      <c r="B753" s="15" t="s">
        <v>756</v>
      </c>
      <c r="C753" s="15" t="s">
        <v>757</v>
      </c>
      <c r="D753" s="14" t="s">
        <v>758</v>
      </c>
      <c r="E753" s="15" t="s">
        <v>141</v>
      </c>
      <c r="F753" s="14" t="s">
        <v>142</v>
      </c>
      <c r="G753" s="15" t="s">
        <v>23</v>
      </c>
      <c r="H753" s="15" t="s">
        <v>1525</v>
      </c>
      <c r="I753" s="15">
        <v>201409</v>
      </c>
      <c r="J753" s="16">
        <v>-4641.3900000000003</v>
      </c>
      <c r="K753" s="171">
        <f>VLOOKUP(I753,$T$9:$U$23,2)</f>
        <v>9</v>
      </c>
      <c r="L753" s="17">
        <v>1.4833299999999999E-3</v>
      </c>
      <c r="M753" s="16">
        <f>ROUND(J753*K753*L753,2)</f>
        <v>-61.96</v>
      </c>
      <c r="N753" s="16">
        <f>ROUND(J753*L753*12,2)</f>
        <v>-82.62</v>
      </c>
      <c r="O753" s="14"/>
      <c r="P753" s="210" t="str">
        <f>VLOOKUP(C753,'WO Descriptions'!$A$5:$D$384,4,FALSE)</f>
        <v>Approved by: Rob Hack on 04/30/2013,  ISRS. This work order is necessary to abandon a total of 3391' of cast iron main. LAY 1,316'-6in PE, 714'-4in PE, and 1310' of 8in PE as part of the safety replacement program to meet MPSC requirements.</v>
      </c>
      <c r="Q753" s="210"/>
      <c r="R753" s="210"/>
    </row>
    <row r="754" spans="1:18" outlineLevel="1">
      <c r="A754" s="223"/>
      <c r="B754" s="250"/>
      <c r="C754" s="254" t="s">
        <v>1984</v>
      </c>
      <c r="D754" s="223"/>
      <c r="E754" s="250"/>
      <c r="F754" s="223"/>
      <c r="G754" s="250"/>
      <c r="H754" s="250"/>
      <c r="I754" s="250"/>
      <c r="J754" s="251">
        <f>SUBTOTAL(9,J753:J753)</f>
        <v>-4641.3900000000003</v>
      </c>
      <c r="K754" s="252"/>
      <c r="L754" s="253"/>
      <c r="M754" s="251">
        <f>SUBTOTAL(9,M753:M753)</f>
        <v>-61.96</v>
      </c>
      <c r="N754" s="251">
        <f>SUBTOTAL(9,N753:N753)</f>
        <v>-82.62</v>
      </c>
      <c r="O754" s="223"/>
      <c r="P754" s="210"/>
      <c r="Q754" s="210" t="str">
        <f>VLOOKUP(C754,'Descriptions Sorted by WO '!$A$5:$S$977,18,FALSE)</f>
        <v>393.1009 (5) (a) (b)</v>
      </c>
      <c r="R754" s="210" t="str">
        <f>VLOOKUP(C754,'Descriptions Sorted by WO '!$A$5:$S$977,19,FALSE)</f>
        <v>A,B,C,D,I</v>
      </c>
    </row>
    <row r="755" spans="1:18" ht="75" outlineLevel="2">
      <c r="A755" s="14" t="s">
        <v>17</v>
      </c>
      <c r="B755" s="15" t="s">
        <v>759</v>
      </c>
      <c r="C755" s="15" t="s">
        <v>760</v>
      </c>
      <c r="D755" s="14" t="s">
        <v>761</v>
      </c>
      <c r="E755" s="15" t="s">
        <v>62</v>
      </c>
      <c r="F755" s="14" t="s">
        <v>22</v>
      </c>
      <c r="G755" s="15" t="s">
        <v>23</v>
      </c>
      <c r="H755" s="15" t="s">
        <v>1525</v>
      </c>
      <c r="I755" s="15">
        <v>201409</v>
      </c>
      <c r="J755" s="16">
        <v>-84.14</v>
      </c>
      <c r="K755" s="171">
        <f t="shared" ref="K755:K760" si="87">VLOOKUP(I755,$T$9:$U$23,2)</f>
        <v>9</v>
      </c>
      <c r="L755" s="17">
        <v>1.4833299999999999E-3</v>
      </c>
      <c r="M755" s="16">
        <f t="shared" ref="M755:M760" si="88">ROUND(J755*K755*L755,2)</f>
        <v>-1.1200000000000001</v>
      </c>
      <c r="N755" s="16">
        <f t="shared" ref="N755:N760" si="89">ROUND(J755*L755*12,2)</f>
        <v>-1.5</v>
      </c>
      <c r="O755" s="14"/>
      <c r="P755" s="210" t="str">
        <f>VLOOKUP(C755,'WO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55" s="210"/>
      <c r="R755" s="210"/>
    </row>
    <row r="756" spans="1:18" ht="75" outlineLevel="2">
      <c r="A756" s="14" t="s">
        <v>17</v>
      </c>
      <c r="B756" s="15" t="s">
        <v>759</v>
      </c>
      <c r="C756" s="15" t="s">
        <v>760</v>
      </c>
      <c r="D756" s="14" t="s">
        <v>761</v>
      </c>
      <c r="E756" s="15" t="s">
        <v>62</v>
      </c>
      <c r="F756" s="14" t="s">
        <v>22</v>
      </c>
      <c r="G756" s="15" t="s">
        <v>23</v>
      </c>
      <c r="H756" s="15" t="s">
        <v>1525</v>
      </c>
      <c r="I756" s="15">
        <v>201410</v>
      </c>
      <c r="J756" s="16">
        <v>325.61</v>
      </c>
      <c r="K756" s="171">
        <f t="shared" si="87"/>
        <v>8</v>
      </c>
      <c r="L756" s="17">
        <v>1.4833299999999999E-3</v>
      </c>
      <c r="M756" s="16">
        <f t="shared" si="88"/>
        <v>3.86</v>
      </c>
      <c r="N756" s="16">
        <f t="shared" si="89"/>
        <v>5.8</v>
      </c>
      <c r="O756" s="14"/>
      <c r="P756" s="210" t="str">
        <f>VLOOKUP(C756,'WO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56" s="210"/>
      <c r="R756" s="210"/>
    </row>
    <row r="757" spans="1:18" ht="75" outlineLevel="2">
      <c r="A757" s="14" t="s">
        <v>17</v>
      </c>
      <c r="B757" s="15" t="s">
        <v>759</v>
      </c>
      <c r="C757" s="15" t="s">
        <v>760</v>
      </c>
      <c r="D757" s="14" t="s">
        <v>761</v>
      </c>
      <c r="E757" s="15" t="s">
        <v>62</v>
      </c>
      <c r="F757" s="14" t="s">
        <v>22</v>
      </c>
      <c r="G757" s="15" t="s">
        <v>23</v>
      </c>
      <c r="H757" s="15" t="s">
        <v>1525</v>
      </c>
      <c r="I757" s="15">
        <v>201411</v>
      </c>
      <c r="J757" s="16">
        <v>205.63</v>
      </c>
      <c r="K757" s="171">
        <f t="shared" si="87"/>
        <v>7</v>
      </c>
      <c r="L757" s="17">
        <v>1.4833299999999999E-3</v>
      </c>
      <c r="M757" s="16">
        <f t="shared" si="88"/>
        <v>2.14</v>
      </c>
      <c r="N757" s="16">
        <f t="shared" si="89"/>
        <v>3.66</v>
      </c>
      <c r="O757" s="14"/>
      <c r="P757" s="210" t="str">
        <f>VLOOKUP(C757,'WO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57" s="210"/>
      <c r="R757" s="210"/>
    </row>
    <row r="758" spans="1:18" ht="75" outlineLevel="2">
      <c r="A758" s="14" t="s">
        <v>17</v>
      </c>
      <c r="B758" s="15" t="s">
        <v>759</v>
      </c>
      <c r="C758" s="15" t="s">
        <v>760</v>
      </c>
      <c r="D758" s="14" t="s">
        <v>761</v>
      </c>
      <c r="E758" s="15" t="s">
        <v>62</v>
      </c>
      <c r="F758" s="14" t="s">
        <v>22</v>
      </c>
      <c r="G758" s="15" t="s">
        <v>23</v>
      </c>
      <c r="H758" s="15" t="s">
        <v>1525</v>
      </c>
      <c r="I758" s="15">
        <v>201412</v>
      </c>
      <c r="J758" s="16">
        <v>-35.33</v>
      </c>
      <c r="K758" s="171">
        <f t="shared" si="87"/>
        <v>6</v>
      </c>
      <c r="L758" s="17">
        <v>1.4833299999999999E-3</v>
      </c>
      <c r="M758" s="16">
        <f t="shared" si="88"/>
        <v>-0.31</v>
      </c>
      <c r="N758" s="16">
        <f t="shared" si="89"/>
        <v>-0.63</v>
      </c>
      <c r="O758" s="14"/>
      <c r="P758" s="210" t="str">
        <f>VLOOKUP(C758,'WO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58" s="210"/>
      <c r="R758" s="210"/>
    </row>
    <row r="759" spans="1:18" ht="75" outlineLevel="2">
      <c r="A759" s="14" t="s">
        <v>17</v>
      </c>
      <c r="B759" s="15" t="s">
        <v>759</v>
      </c>
      <c r="C759" s="15" t="s">
        <v>760</v>
      </c>
      <c r="D759" s="14" t="s">
        <v>761</v>
      </c>
      <c r="E759" s="15" t="s">
        <v>62</v>
      </c>
      <c r="F759" s="14" t="s">
        <v>22</v>
      </c>
      <c r="G759" s="15" t="s">
        <v>23</v>
      </c>
      <c r="H759" s="15" t="s">
        <v>1525</v>
      </c>
      <c r="I759" s="15">
        <v>201501</v>
      </c>
      <c r="J759" s="16">
        <v>2472.9499999999998</v>
      </c>
      <c r="K759" s="171">
        <f t="shared" si="87"/>
        <v>5</v>
      </c>
      <c r="L759" s="17">
        <v>1.4833299999999999E-3</v>
      </c>
      <c r="M759" s="16">
        <f t="shared" si="88"/>
        <v>18.34</v>
      </c>
      <c r="N759" s="16">
        <f t="shared" si="89"/>
        <v>44.02</v>
      </c>
      <c r="O759" s="14"/>
      <c r="P759" s="210" t="str">
        <f>VLOOKUP(C759,'WO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59" s="210"/>
      <c r="R759" s="210"/>
    </row>
    <row r="760" spans="1:18" ht="75" outlineLevel="2">
      <c r="A760" s="14" t="s">
        <v>17</v>
      </c>
      <c r="B760" s="15" t="s">
        <v>759</v>
      </c>
      <c r="C760" s="15" t="s">
        <v>760</v>
      </c>
      <c r="D760" s="14" t="s">
        <v>761</v>
      </c>
      <c r="E760" s="15" t="s">
        <v>62</v>
      </c>
      <c r="F760" s="14" t="s">
        <v>22</v>
      </c>
      <c r="G760" s="15" t="s">
        <v>23</v>
      </c>
      <c r="H760" s="15" t="s">
        <v>1525</v>
      </c>
      <c r="I760" s="15">
        <v>201502</v>
      </c>
      <c r="J760" s="16">
        <v>-453.81</v>
      </c>
      <c r="K760" s="171">
        <f t="shared" si="87"/>
        <v>4</v>
      </c>
      <c r="L760" s="17">
        <v>1.4833299999999999E-3</v>
      </c>
      <c r="M760" s="16">
        <f t="shared" si="88"/>
        <v>-2.69</v>
      </c>
      <c r="N760" s="16">
        <f t="shared" si="89"/>
        <v>-8.08</v>
      </c>
      <c r="O760" s="14"/>
      <c r="P760" s="210" t="str">
        <f>VLOOKUP(C760,'WO Descriptions'!$A$5:$D$384,4,FALSE)</f>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
      <c r="Q760" s="210"/>
      <c r="R760" s="210"/>
    </row>
    <row r="761" spans="1:18" outlineLevel="1">
      <c r="A761" s="223"/>
      <c r="B761" s="250"/>
      <c r="C761" s="254" t="s">
        <v>1985</v>
      </c>
      <c r="D761" s="223"/>
      <c r="E761" s="250"/>
      <c r="F761" s="223"/>
      <c r="G761" s="250"/>
      <c r="H761" s="250"/>
      <c r="I761" s="250"/>
      <c r="J761" s="251">
        <f>SUBTOTAL(9,J755:J760)</f>
        <v>2430.91</v>
      </c>
      <c r="K761" s="252"/>
      <c r="L761" s="253"/>
      <c r="M761" s="251">
        <f>SUBTOTAL(9,M755:M760)</f>
        <v>20.22</v>
      </c>
      <c r="N761" s="251">
        <f>SUBTOTAL(9,N755:N760)</f>
        <v>43.27</v>
      </c>
      <c r="O761" s="223"/>
      <c r="P761" s="210"/>
      <c r="Q761" s="210" t="str">
        <f>VLOOKUP(C761,'Descriptions Sorted by WO '!$A$5:$S$977,18,FALSE)</f>
        <v>393.1009 (5) (a) (b)</v>
      </c>
      <c r="R761" s="210" t="str">
        <f>VLOOKUP(C761,'Descriptions Sorted by WO '!$A$5:$S$977,19,FALSE)</f>
        <v>A,B,C</v>
      </c>
    </row>
    <row r="762" spans="1:18" ht="105" outlineLevel="2">
      <c r="A762" s="14" t="s">
        <v>238</v>
      </c>
      <c r="B762" s="15" t="s">
        <v>762</v>
      </c>
      <c r="C762" s="15" t="s">
        <v>763</v>
      </c>
      <c r="D762" s="14" t="s">
        <v>764</v>
      </c>
      <c r="E762" s="15" t="s">
        <v>168</v>
      </c>
      <c r="F762" s="14" t="s">
        <v>169</v>
      </c>
      <c r="G762" s="15" t="s">
        <v>23</v>
      </c>
      <c r="H762" s="15" t="s">
        <v>1528</v>
      </c>
      <c r="I762" s="15">
        <v>201409</v>
      </c>
      <c r="J762" s="16">
        <v>-567.96</v>
      </c>
      <c r="K762" s="171">
        <f>VLOOKUP(I762,$T$9:$U$23,2)</f>
        <v>9</v>
      </c>
      <c r="L762" s="17">
        <v>2.3833299999999999E-3</v>
      </c>
      <c r="M762" s="16">
        <f>ROUND(J762*K762*L762,2)</f>
        <v>-12.18</v>
      </c>
      <c r="N762" s="16">
        <f>ROUND(J762*L762*12,2)</f>
        <v>-16.239999999999998</v>
      </c>
      <c r="O762" s="19"/>
      <c r="P762" s="210" t="str">
        <f>VLOOKUP(C762,'WO Descriptions'!$A$5:$D$384,4,FALSE)</f>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
      <c r="Q762" s="210"/>
      <c r="R762" s="210"/>
    </row>
    <row r="763" spans="1:18" outlineLevel="1">
      <c r="A763" s="223"/>
      <c r="B763" s="250"/>
      <c r="C763" s="254" t="s">
        <v>1986</v>
      </c>
      <c r="D763" s="223"/>
      <c r="E763" s="250"/>
      <c r="F763" s="223"/>
      <c r="G763" s="250"/>
      <c r="H763" s="250"/>
      <c r="I763" s="250"/>
      <c r="J763" s="251">
        <f>SUBTOTAL(9,J762:J762)</f>
        <v>-567.96</v>
      </c>
      <c r="K763" s="252"/>
      <c r="L763" s="253"/>
      <c r="M763" s="251">
        <f>SUBTOTAL(9,M762:M762)</f>
        <v>-12.18</v>
      </c>
      <c r="N763" s="251">
        <f>SUBTOTAL(9,N762:N762)</f>
        <v>-16.239999999999998</v>
      </c>
      <c r="O763" s="261"/>
      <c r="P763" s="210"/>
      <c r="Q763" s="210" t="str">
        <f>VLOOKUP(C763,'Descriptions Sorted by WO '!$A$5:$S$977,18,FALSE)</f>
        <v>393.1009 (5) (a) (b)</v>
      </c>
      <c r="R763" s="210" t="str">
        <f>VLOOKUP(C763,'Descriptions Sorted by WO '!$A$5:$S$977,19,FALSE)</f>
        <v>A,B</v>
      </c>
    </row>
    <row r="764" spans="1:18" ht="135" outlineLevel="2">
      <c r="A764" s="14" t="s">
        <v>17</v>
      </c>
      <c r="B764" s="15" t="s">
        <v>765</v>
      </c>
      <c r="C764" s="15" t="s">
        <v>766</v>
      </c>
      <c r="D764" s="14" t="s">
        <v>767</v>
      </c>
      <c r="E764" s="15" t="s">
        <v>216</v>
      </c>
      <c r="F764" s="14" t="s">
        <v>22</v>
      </c>
      <c r="G764" s="15" t="s">
        <v>23</v>
      </c>
      <c r="H764" s="15" t="s">
        <v>1525</v>
      </c>
      <c r="I764" s="15">
        <v>201409</v>
      </c>
      <c r="J764" s="16">
        <v>-1384.18</v>
      </c>
      <c r="K764" s="171">
        <f>VLOOKUP(I764,$T$9:$U$23,2)</f>
        <v>9</v>
      </c>
      <c r="L764" s="17">
        <v>1.4833299999999999E-3</v>
      </c>
      <c r="M764" s="16">
        <f>ROUND(J764*K764*L764,2)</f>
        <v>-18.48</v>
      </c>
      <c r="N764" s="16">
        <f>ROUND(J764*L764*12,2)</f>
        <v>-24.64</v>
      </c>
      <c r="O764" s="14"/>
      <c r="P764" s="210" t="str">
        <f>VLOOKUP(C764,'WO Descriptions'!$A$5:$D$384,4,FALSE)</f>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
      <c r="Q764" s="210"/>
      <c r="R764" s="210"/>
    </row>
    <row r="765" spans="1:18" outlineLevel="1">
      <c r="A765" s="223"/>
      <c r="B765" s="250"/>
      <c r="C765" s="254" t="s">
        <v>1987</v>
      </c>
      <c r="D765" s="223"/>
      <c r="E765" s="250"/>
      <c r="F765" s="223"/>
      <c r="G765" s="250"/>
      <c r="H765" s="250"/>
      <c r="I765" s="250"/>
      <c r="J765" s="251">
        <f>SUBTOTAL(9,J764:J764)</f>
        <v>-1384.18</v>
      </c>
      <c r="K765" s="252"/>
      <c r="L765" s="253"/>
      <c r="M765" s="251">
        <f>SUBTOTAL(9,M764:M764)</f>
        <v>-18.48</v>
      </c>
      <c r="N765" s="251">
        <f>SUBTOTAL(9,N764:N764)</f>
        <v>-24.64</v>
      </c>
      <c r="O765" s="223"/>
      <c r="P765" s="210"/>
      <c r="Q765" s="210" t="str">
        <f>VLOOKUP(C765,'Descriptions Sorted by WO '!$A$5:$S$977,18,FALSE)</f>
        <v>393.1009 (5) (a) (b)</v>
      </c>
      <c r="R765" s="210" t="str">
        <f>VLOOKUP(C765,'Descriptions Sorted by WO '!$A$5:$S$977,19,FALSE)</f>
        <v>A,B,C</v>
      </c>
    </row>
    <row r="766" spans="1:18" ht="90" outlineLevel="2">
      <c r="A766" s="14" t="s">
        <v>17</v>
      </c>
      <c r="B766" s="15" t="s">
        <v>768</v>
      </c>
      <c r="C766" s="15" t="s">
        <v>769</v>
      </c>
      <c r="D766" s="14" t="s">
        <v>770</v>
      </c>
      <c r="E766" s="15" t="s">
        <v>104</v>
      </c>
      <c r="F766" s="14" t="s">
        <v>41</v>
      </c>
      <c r="G766" s="15" t="s">
        <v>23</v>
      </c>
      <c r="H766" s="15" t="s">
        <v>1526</v>
      </c>
      <c r="I766" s="15">
        <v>201409</v>
      </c>
      <c r="J766" s="16">
        <v>-630.88</v>
      </c>
      <c r="K766" s="171">
        <f>VLOOKUP(I766,$T$9:$U$23,2)</f>
        <v>9</v>
      </c>
      <c r="L766" s="17">
        <v>1.4833299999999999E-3</v>
      </c>
      <c r="M766" s="16">
        <f>ROUND(J766*K766*L766,2)</f>
        <v>-8.42</v>
      </c>
      <c r="N766" s="16">
        <f>ROUND(J766*L766*12,2)</f>
        <v>-11.23</v>
      </c>
      <c r="O766" s="14"/>
      <c r="P766" s="210" t="str">
        <f>VLOOKUP(C766,'WO Descriptions'!$A$5:$D$384,4,FALSE)</f>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
      <c r="Q766" s="210"/>
      <c r="R766" s="210"/>
    </row>
    <row r="767" spans="1:18" outlineLevel="1">
      <c r="A767" s="223"/>
      <c r="B767" s="250"/>
      <c r="C767" s="254" t="s">
        <v>1988</v>
      </c>
      <c r="D767" s="223"/>
      <c r="E767" s="250"/>
      <c r="F767" s="223"/>
      <c r="G767" s="250"/>
      <c r="H767" s="250"/>
      <c r="I767" s="250"/>
      <c r="J767" s="251">
        <f>SUBTOTAL(9,J766:J766)</f>
        <v>-630.88</v>
      </c>
      <c r="K767" s="252"/>
      <c r="L767" s="253"/>
      <c r="M767" s="251">
        <f>SUBTOTAL(9,M766:M766)</f>
        <v>-8.42</v>
      </c>
      <c r="N767" s="251">
        <f>SUBTOTAL(9,N766:N766)</f>
        <v>-11.23</v>
      </c>
      <c r="O767" s="223"/>
      <c r="P767" s="210"/>
      <c r="Q767" s="210" t="str">
        <f>VLOOKUP(C767,'Descriptions Sorted by WO '!$A$5:$S$977,18,FALSE)</f>
        <v>393.1009 (5) (C)</v>
      </c>
      <c r="R767" s="210"/>
    </row>
    <row r="768" spans="1:18" ht="135" outlineLevel="2">
      <c r="A768" s="14" t="s">
        <v>238</v>
      </c>
      <c r="B768" s="15" t="s">
        <v>771</v>
      </c>
      <c r="C768" s="15" t="s">
        <v>772</v>
      </c>
      <c r="D768" s="14" t="s">
        <v>773</v>
      </c>
      <c r="E768" s="15" t="s">
        <v>168</v>
      </c>
      <c r="F768" s="14" t="s">
        <v>169</v>
      </c>
      <c r="G768" s="15" t="s">
        <v>23</v>
      </c>
      <c r="H768" s="15" t="s">
        <v>1528</v>
      </c>
      <c r="I768" s="15">
        <v>201409</v>
      </c>
      <c r="J768" s="16">
        <v>-212.27</v>
      </c>
      <c r="K768" s="171">
        <f>VLOOKUP(I768,$T$9:$U$23,2)</f>
        <v>9</v>
      </c>
      <c r="L768" s="17">
        <v>2.3833299999999999E-3</v>
      </c>
      <c r="M768" s="16">
        <f>ROUND(J768*K768*L768,2)</f>
        <v>-4.55</v>
      </c>
      <c r="N768" s="16">
        <f>ROUND(J768*L768*12,2)</f>
        <v>-6.07</v>
      </c>
      <c r="O768" s="14"/>
      <c r="P768" s="210" t="str">
        <f>VLOOKUP(C768,'WO Descriptions'!$A$5:$D$384,4,FALSE)</f>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
      <c r="Q768" s="210"/>
      <c r="R768" s="210"/>
    </row>
    <row r="769" spans="1:18" outlineLevel="1">
      <c r="A769" s="223"/>
      <c r="B769" s="250"/>
      <c r="C769" s="254" t="s">
        <v>1989</v>
      </c>
      <c r="D769" s="223"/>
      <c r="E769" s="250"/>
      <c r="F769" s="223"/>
      <c r="G769" s="250"/>
      <c r="H769" s="250"/>
      <c r="I769" s="250"/>
      <c r="J769" s="251">
        <f>SUBTOTAL(9,J768:J768)</f>
        <v>-212.27</v>
      </c>
      <c r="K769" s="252"/>
      <c r="L769" s="253"/>
      <c r="M769" s="251">
        <f>SUBTOTAL(9,M768:M768)</f>
        <v>-4.55</v>
      </c>
      <c r="N769" s="251">
        <f>SUBTOTAL(9,N768:N768)</f>
        <v>-6.07</v>
      </c>
      <c r="O769" s="223"/>
      <c r="P769" s="210"/>
      <c r="Q769" s="210" t="str">
        <f>VLOOKUP(C769,'Descriptions Sorted by WO '!$A$5:$S$977,18,FALSE)</f>
        <v>393.1009 (5) (a) (b)</v>
      </c>
      <c r="R769" s="210" t="str">
        <f>VLOOKUP(C769,'Descriptions Sorted by WO '!$A$5:$S$977,19,FALSE)</f>
        <v>A,B</v>
      </c>
    </row>
    <row r="770" spans="1:18" ht="75" outlineLevel="2">
      <c r="A770" s="14" t="s">
        <v>238</v>
      </c>
      <c r="B770" s="15" t="s">
        <v>774</v>
      </c>
      <c r="C770" s="15" t="s">
        <v>775</v>
      </c>
      <c r="D770" s="14" t="s">
        <v>776</v>
      </c>
      <c r="E770" s="15" t="s">
        <v>168</v>
      </c>
      <c r="F770" s="14" t="s">
        <v>169</v>
      </c>
      <c r="G770" s="15" t="s">
        <v>23</v>
      </c>
      <c r="H770" s="15" t="s">
        <v>1528</v>
      </c>
      <c r="I770" s="15">
        <v>201409</v>
      </c>
      <c r="J770" s="16">
        <v>12.14</v>
      </c>
      <c r="K770" s="171">
        <f>VLOOKUP(I770,$T$9:$U$23,2)</f>
        <v>9</v>
      </c>
      <c r="L770" s="17">
        <v>2.3833299999999999E-3</v>
      </c>
      <c r="M770" s="16">
        <f>ROUND(J770*K770*L770,2)</f>
        <v>0.26</v>
      </c>
      <c r="N770" s="16">
        <f>ROUND(J770*L770*12,2)</f>
        <v>0.35</v>
      </c>
      <c r="O770" s="14"/>
      <c r="P770" s="210" t="str">
        <f>VLOOKUP(C770,'WO Descriptions'!$A$5:$D$384,4,FALSE)</f>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
      <c r="Q770" s="210"/>
      <c r="R770" s="210"/>
    </row>
    <row r="771" spans="1:18" outlineLevel="1">
      <c r="A771" s="223"/>
      <c r="B771" s="250"/>
      <c r="C771" s="254" t="s">
        <v>1990</v>
      </c>
      <c r="D771" s="223"/>
      <c r="E771" s="250"/>
      <c r="F771" s="223"/>
      <c r="G771" s="250"/>
      <c r="H771" s="250"/>
      <c r="I771" s="250"/>
      <c r="J771" s="251">
        <f>SUBTOTAL(9,J770:J770)</f>
        <v>12.14</v>
      </c>
      <c r="K771" s="252"/>
      <c r="L771" s="253"/>
      <c r="M771" s="251">
        <f>SUBTOTAL(9,M770:M770)</f>
        <v>0.26</v>
      </c>
      <c r="N771" s="251">
        <f>SUBTOTAL(9,N770:N770)</f>
        <v>0.35</v>
      </c>
      <c r="O771" s="223"/>
      <c r="P771" s="210"/>
      <c r="Q771" s="210" t="str">
        <f>VLOOKUP(C771,'Descriptions Sorted by WO '!$A$5:$S$977,18,FALSE)</f>
        <v>393.1009 (5) (a) (b)</v>
      </c>
      <c r="R771" s="210" t="str">
        <f>VLOOKUP(C771,'Descriptions Sorted by WO '!$A$5:$S$977,19,FALSE)</f>
        <v>A,B</v>
      </c>
    </row>
    <row r="772" spans="1:18" ht="120" outlineLevel="2">
      <c r="A772" s="14" t="s">
        <v>17</v>
      </c>
      <c r="B772" s="15" t="s">
        <v>777</v>
      </c>
      <c r="C772" s="15" t="s">
        <v>778</v>
      </c>
      <c r="D772" s="14" t="s">
        <v>779</v>
      </c>
      <c r="E772" s="15" t="s">
        <v>62</v>
      </c>
      <c r="F772" s="14" t="s">
        <v>22</v>
      </c>
      <c r="G772" s="15" t="s">
        <v>23</v>
      </c>
      <c r="H772" s="15" t="s">
        <v>1525</v>
      </c>
      <c r="I772" s="15">
        <v>201409</v>
      </c>
      <c r="J772" s="16">
        <v>-66.150000000000006</v>
      </c>
      <c r="K772" s="171">
        <f>VLOOKUP(I772,$T$9:$U$23,2)</f>
        <v>9</v>
      </c>
      <c r="L772" s="17">
        <v>1.4833299999999999E-3</v>
      </c>
      <c r="M772" s="16">
        <f>ROUND(J772*K772*L772,2)</f>
        <v>-0.88</v>
      </c>
      <c r="N772" s="16">
        <f>ROUND(J772*L772*12,2)</f>
        <v>-1.18</v>
      </c>
      <c r="O772" s="14"/>
      <c r="P772" s="210" t="str">
        <f>VLOOKUP(C772,'WO Descriptions'!$A$5:$D$384,4,FALSE)</f>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
      <c r="Q772" s="210"/>
      <c r="R772" s="210"/>
    </row>
    <row r="773" spans="1:18" outlineLevel="1">
      <c r="A773" s="223"/>
      <c r="B773" s="250"/>
      <c r="C773" s="254" t="s">
        <v>1991</v>
      </c>
      <c r="D773" s="223"/>
      <c r="E773" s="250"/>
      <c r="F773" s="223"/>
      <c r="G773" s="250"/>
      <c r="H773" s="250"/>
      <c r="I773" s="250"/>
      <c r="J773" s="251">
        <f>SUBTOTAL(9,J772:J772)</f>
        <v>-66.150000000000006</v>
      </c>
      <c r="K773" s="252"/>
      <c r="L773" s="253"/>
      <c r="M773" s="251">
        <f>SUBTOTAL(9,M772:M772)</f>
        <v>-0.88</v>
      </c>
      <c r="N773" s="251">
        <f>SUBTOTAL(9,N772:N772)</f>
        <v>-1.18</v>
      </c>
      <c r="O773" s="223"/>
      <c r="P773" s="210"/>
      <c r="Q773" s="210" t="str">
        <f>VLOOKUP(C773,'Descriptions Sorted by WO '!$A$5:$S$977,18,FALSE)</f>
        <v>393.1009 (5) (a) (b)</v>
      </c>
      <c r="R773" s="210" t="str">
        <f>VLOOKUP(C773,'Descriptions Sorted by WO '!$A$5:$S$977,19,FALSE)</f>
        <v>A,B,C</v>
      </c>
    </row>
    <row r="774" spans="1:18" ht="90" outlineLevel="2">
      <c r="A774" s="14" t="s">
        <v>17</v>
      </c>
      <c r="B774" s="15" t="s">
        <v>780</v>
      </c>
      <c r="C774" s="15" t="s">
        <v>781</v>
      </c>
      <c r="D774" s="14" t="s">
        <v>782</v>
      </c>
      <c r="E774" s="15" t="s">
        <v>141</v>
      </c>
      <c r="F774" s="14" t="s">
        <v>142</v>
      </c>
      <c r="G774" s="15" t="s">
        <v>23</v>
      </c>
      <c r="H774" s="15" t="s">
        <v>1525</v>
      </c>
      <c r="I774" s="15">
        <v>201409</v>
      </c>
      <c r="J774" s="16">
        <v>-1734.87</v>
      </c>
      <c r="K774" s="171">
        <f>VLOOKUP(I774,$T$9:$U$23,2)</f>
        <v>9</v>
      </c>
      <c r="L774" s="17">
        <v>1.4833299999999999E-3</v>
      </c>
      <c r="M774" s="16">
        <f>ROUND(J774*K774*L774,2)</f>
        <v>-23.16</v>
      </c>
      <c r="N774" s="16">
        <f>ROUND(J774*L774*12,2)</f>
        <v>-30.88</v>
      </c>
      <c r="O774" s="14"/>
      <c r="P774" s="210" t="str">
        <f>VLOOKUP(C774,'WO Descriptions'!$A$5:$D$384,4,FALSE)</f>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
      <c r="Q774" s="210"/>
      <c r="R774" s="210"/>
    </row>
    <row r="775" spans="1:18" outlineLevel="1">
      <c r="A775" s="223"/>
      <c r="B775" s="250"/>
      <c r="C775" s="254" t="s">
        <v>1992</v>
      </c>
      <c r="D775" s="223"/>
      <c r="E775" s="250"/>
      <c r="F775" s="223"/>
      <c r="G775" s="250"/>
      <c r="H775" s="250"/>
      <c r="I775" s="250"/>
      <c r="J775" s="251">
        <f>SUBTOTAL(9,J774:J774)</f>
        <v>-1734.87</v>
      </c>
      <c r="K775" s="252"/>
      <c r="L775" s="253"/>
      <c r="M775" s="251">
        <f>SUBTOTAL(9,M774:M774)</f>
        <v>-23.16</v>
      </c>
      <c r="N775" s="251">
        <f>SUBTOTAL(9,N774:N774)</f>
        <v>-30.88</v>
      </c>
      <c r="O775" s="223"/>
      <c r="P775" s="210"/>
      <c r="Q775" s="210" t="str">
        <f>VLOOKUP(C775,'Descriptions Sorted by WO '!$A$5:$S$977,18,FALSE)</f>
        <v>393.1009 (5) (a) (b)</v>
      </c>
      <c r="R775" s="210" t="str">
        <f>VLOOKUP(C775,'Descriptions Sorted by WO '!$A$5:$S$977,19,FALSE)</f>
        <v>A,B,C,D,I</v>
      </c>
    </row>
    <row r="776" spans="1:18" ht="165" outlineLevel="2">
      <c r="A776" s="14" t="s">
        <v>17</v>
      </c>
      <c r="B776" s="15" t="s">
        <v>783</v>
      </c>
      <c r="C776" s="15" t="s">
        <v>784</v>
      </c>
      <c r="D776" s="14" t="s">
        <v>785</v>
      </c>
      <c r="E776" s="15" t="s">
        <v>141</v>
      </c>
      <c r="F776" s="14" t="s">
        <v>142</v>
      </c>
      <c r="G776" s="15" t="s">
        <v>23</v>
      </c>
      <c r="H776" s="15" t="s">
        <v>1525</v>
      </c>
      <c r="I776" s="15">
        <v>201409</v>
      </c>
      <c r="J776" s="16">
        <v>-2330.69</v>
      </c>
      <c r="K776" s="171">
        <f>VLOOKUP(I776,$T$9:$U$23,2)</f>
        <v>9</v>
      </c>
      <c r="L776" s="17">
        <v>1.4833299999999999E-3</v>
      </c>
      <c r="M776" s="16">
        <f>ROUND(J776*K776*L776,2)</f>
        <v>-31.11</v>
      </c>
      <c r="N776" s="16">
        <f>ROUND(J776*L776*12,2)</f>
        <v>-41.49</v>
      </c>
      <c r="O776" s="14"/>
      <c r="P776" s="210" t="str">
        <f>VLOOKUP(C776,'WO Descriptions'!$A$5:$D$384,4,FALSE)</f>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
      <c r="Q776" s="210"/>
      <c r="R776" s="210"/>
    </row>
    <row r="777" spans="1:18" outlineLevel="1">
      <c r="A777" s="223"/>
      <c r="B777" s="250"/>
      <c r="C777" s="254" t="s">
        <v>1993</v>
      </c>
      <c r="D777" s="223"/>
      <c r="E777" s="250"/>
      <c r="F777" s="223"/>
      <c r="G777" s="250"/>
      <c r="H777" s="250"/>
      <c r="I777" s="250"/>
      <c r="J777" s="251">
        <f>SUBTOTAL(9,J776:J776)</f>
        <v>-2330.69</v>
      </c>
      <c r="K777" s="252"/>
      <c r="L777" s="253"/>
      <c r="M777" s="251">
        <f>SUBTOTAL(9,M776:M776)</f>
        <v>-31.11</v>
      </c>
      <c r="N777" s="251">
        <f>SUBTOTAL(9,N776:N776)</f>
        <v>-41.49</v>
      </c>
      <c r="O777" s="223"/>
      <c r="P777" s="210"/>
      <c r="Q777" s="210" t="str">
        <f>VLOOKUP(C777,'Descriptions Sorted by WO '!$A$5:$S$977,18,FALSE)</f>
        <v>393.1009 (5) (a) (b)</v>
      </c>
      <c r="R777" s="210" t="str">
        <f>VLOOKUP(C777,'Descriptions Sorted by WO '!$A$5:$S$977,19,FALSE)</f>
        <v>A,B,C,D,I</v>
      </c>
    </row>
    <row r="778" spans="1:18" ht="165" outlineLevel="2">
      <c r="A778" s="14" t="s">
        <v>17</v>
      </c>
      <c r="B778" s="15" t="s">
        <v>786</v>
      </c>
      <c r="C778" s="15" t="s">
        <v>787</v>
      </c>
      <c r="D778" s="14" t="s">
        <v>788</v>
      </c>
      <c r="E778" s="15" t="s">
        <v>246</v>
      </c>
      <c r="F778" s="14" t="s">
        <v>247</v>
      </c>
      <c r="G778" s="15" t="s">
        <v>23</v>
      </c>
      <c r="H778" s="15" t="s">
        <v>1525</v>
      </c>
      <c r="I778" s="15">
        <v>201409</v>
      </c>
      <c r="J778" s="16">
        <v>-15326.11</v>
      </c>
      <c r="K778" s="171">
        <f>VLOOKUP(I778,$T$9:$U$23,2)</f>
        <v>9</v>
      </c>
      <c r="L778" s="17">
        <v>1.4833299999999999E-3</v>
      </c>
      <c r="M778" s="16">
        <f>ROUND(J778*K778*L778,2)</f>
        <v>-204.6</v>
      </c>
      <c r="N778" s="16">
        <f>ROUND(J778*L778*12,2)</f>
        <v>-272.8</v>
      </c>
      <c r="O778" s="14"/>
      <c r="P778" s="210" t="str">
        <f>VLOOKUP(C778,'WO Descriptions'!$A$5:$D$384,4,FALSE)</f>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
      <c r="Q778" s="210"/>
      <c r="R778" s="210"/>
    </row>
    <row r="779" spans="1:18" outlineLevel="1">
      <c r="A779" s="223"/>
      <c r="B779" s="250"/>
      <c r="C779" s="254" t="s">
        <v>1994</v>
      </c>
      <c r="D779" s="223"/>
      <c r="E779" s="250"/>
      <c r="F779" s="223"/>
      <c r="G779" s="250"/>
      <c r="H779" s="250"/>
      <c r="I779" s="250"/>
      <c r="J779" s="251">
        <f>SUBTOTAL(9,J778:J778)</f>
        <v>-15326.11</v>
      </c>
      <c r="K779" s="252"/>
      <c r="L779" s="253"/>
      <c r="M779" s="251">
        <f>SUBTOTAL(9,M778:M778)</f>
        <v>-204.6</v>
      </c>
      <c r="N779" s="251">
        <f>SUBTOTAL(9,N778:N778)</f>
        <v>-272.8</v>
      </c>
      <c r="O779" s="223"/>
      <c r="P779" s="210"/>
      <c r="Q779" s="210" t="str">
        <f>VLOOKUP(C779,'Descriptions Sorted by WO '!$A$5:$S$977,18,FALSE)</f>
        <v>393.1009 (5) (a) (b)</v>
      </c>
      <c r="R779" s="210" t="str">
        <f>VLOOKUP(C779,'Descriptions Sorted by WO '!$A$5:$S$977,19,FALSE)</f>
        <v>A,B,G</v>
      </c>
    </row>
    <row r="780" spans="1:18" ht="120" outlineLevel="2">
      <c r="A780" s="14" t="s">
        <v>17</v>
      </c>
      <c r="B780" s="15" t="s">
        <v>1036</v>
      </c>
      <c r="C780" s="15" t="s">
        <v>1037</v>
      </c>
      <c r="D780" s="14" t="s">
        <v>1038</v>
      </c>
      <c r="E780" s="15" t="s">
        <v>40</v>
      </c>
      <c r="F780" s="14" t="s">
        <v>41</v>
      </c>
      <c r="G780" s="15" t="s">
        <v>23</v>
      </c>
      <c r="H780" s="15" t="s">
        <v>1526</v>
      </c>
      <c r="I780" s="15">
        <v>201412</v>
      </c>
      <c r="J780" s="16">
        <v>423003.39</v>
      </c>
      <c r="K780" s="171">
        <f>VLOOKUP(I780,$T$9:$U$23,2)</f>
        <v>6</v>
      </c>
      <c r="L780" s="17">
        <v>1.4833299999999999E-3</v>
      </c>
      <c r="M780" s="16">
        <f>ROUND(J780*K780*L780,2)</f>
        <v>3764.72</v>
      </c>
      <c r="N780" s="16">
        <f>ROUND(J780*L780*12,2)</f>
        <v>7529.44</v>
      </c>
      <c r="O780" s="14"/>
      <c r="P780" s="210" t="str">
        <f>VLOOKUP(C780,'WO Descriptions'!$A$5:$D$384,4,FALSE)</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c r="Q780" s="210"/>
      <c r="R780" s="210"/>
    </row>
    <row r="781" spans="1:18" ht="120" outlineLevel="2">
      <c r="A781" s="14" t="s">
        <v>17</v>
      </c>
      <c r="B781" s="15" t="s">
        <v>1036</v>
      </c>
      <c r="C781" s="15" t="s">
        <v>1037</v>
      </c>
      <c r="D781" s="14" t="s">
        <v>1038</v>
      </c>
      <c r="E781" s="15" t="s">
        <v>40</v>
      </c>
      <c r="F781" s="14" t="s">
        <v>41</v>
      </c>
      <c r="G781" s="15" t="s">
        <v>23</v>
      </c>
      <c r="H781" s="15" t="s">
        <v>1526</v>
      </c>
      <c r="I781" s="15">
        <v>201501</v>
      </c>
      <c r="J781" s="16">
        <v>-54.09</v>
      </c>
      <c r="K781" s="171">
        <f>VLOOKUP(I781,$T$9:$U$23,2)</f>
        <v>5</v>
      </c>
      <c r="L781" s="17">
        <v>1.4833299999999999E-3</v>
      </c>
      <c r="M781" s="16">
        <f>ROUND(J781*K781*L781,2)</f>
        <v>-0.4</v>
      </c>
      <c r="N781" s="16">
        <f>ROUND(J781*L781*12,2)</f>
        <v>-0.96</v>
      </c>
      <c r="O781" s="14"/>
      <c r="P781" s="210" t="str">
        <f>VLOOKUP(C781,'WO Descriptions'!$A$5:$D$384,4,FALSE)</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c r="Q781" s="210"/>
      <c r="R781" s="210"/>
    </row>
    <row r="782" spans="1:18" ht="120" outlineLevel="2">
      <c r="A782" s="14" t="s">
        <v>17</v>
      </c>
      <c r="B782" s="15" t="s">
        <v>1036</v>
      </c>
      <c r="C782" s="15" t="s">
        <v>1037</v>
      </c>
      <c r="D782" s="14" t="s">
        <v>1038</v>
      </c>
      <c r="E782" s="15" t="s">
        <v>40</v>
      </c>
      <c r="F782" s="14" t="s">
        <v>41</v>
      </c>
      <c r="G782" s="15" t="s">
        <v>23</v>
      </c>
      <c r="H782" s="15" t="s">
        <v>1526</v>
      </c>
      <c r="I782" s="15">
        <v>201502</v>
      </c>
      <c r="J782" s="16">
        <v>-124.48</v>
      </c>
      <c r="K782" s="171">
        <f>VLOOKUP(I782,$T$9:$U$23,2)</f>
        <v>4</v>
      </c>
      <c r="L782" s="17">
        <v>1.4833299999999999E-3</v>
      </c>
      <c r="M782" s="16">
        <f>ROUND(J782*K782*L782,2)</f>
        <v>-0.74</v>
      </c>
      <c r="N782" s="16">
        <f>ROUND(J782*L782*12,2)</f>
        <v>-2.2200000000000002</v>
      </c>
      <c r="O782" s="14"/>
      <c r="P782" s="210" t="str">
        <f>VLOOKUP(C782,'WO Descriptions'!$A$5:$D$384,4,FALSE)</f>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v>
      </c>
      <c r="Q782" s="210"/>
      <c r="R782" s="210"/>
    </row>
    <row r="783" spans="1:18" outlineLevel="1">
      <c r="A783" s="223"/>
      <c r="B783" s="250"/>
      <c r="C783" s="254" t="s">
        <v>1995</v>
      </c>
      <c r="D783" s="223"/>
      <c r="E783" s="250"/>
      <c r="F783" s="223"/>
      <c r="G783" s="250"/>
      <c r="H783" s="250"/>
      <c r="I783" s="250"/>
      <c r="J783" s="251">
        <f>SUBTOTAL(9,J780:J782)</f>
        <v>422824.82</v>
      </c>
      <c r="K783" s="252"/>
      <c r="L783" s="253"/>
      <c r="M783" s="251">
        <f>SUBTOTAL(9,M780:M782)</f>
        <v>3763.58</v>
      </c>
      <c r="N783" s="251">
        <f>SUBTOTAL(9,N780:N782)</f>
        <v>7526.2599999999993</v>
      </c>
      <c r="O783" s="223"/>
      <c r="P783" s="210"/>
      <c r="Q783" s="210" t="str">
        <f>VLOOKUP(C783,'Descriptions Sorted by WO '!$A$5:$S$977,18,FALSE)</f>
        <v>393.1009 (5) (C)</v>
      </c>
      <c r="R783" s="210"/>
    </row>
    <row r="784" spans="1:18" ht="120" outlineLevel="2">
      <c r="A784" s="14" t="s">
        <v>17</v>
      </c>
      <c r="B784" s="15" t="s">
        <v>789</v>
      </c>
      <c r="C784" s="15" t="s">
        <v>790</v>
      </c>
      <c r="D784" s="14" t="s">
        <v>791</v>
      </c>
      <c r="E784" s="15" t="s">
        <v>246</v>
      </c>
      <c r="F784" s="14" t="s">
        <v>247</v>
      </c>
      <c r="G784" s="15" t="s">
        <v>23</v>
      </c>
      <c r="H784" s="15" t="s">
        <v>1525</v>
      </c>
      <c r="I784" s="15">
        <v>201409</v>
      </c>
      <c r="J784" s="16">
        <v>-1896.12</v>
      </c>
      <c r="K784" s="171">
        <f>VLOOKUP(I784,$T$9:$U$23,2)</f>
        <v>9</v>
      </c>
      <c r="L784" s="17">
        <v>1.4833299999999999E-3</v>
      </c>
      <c r="M784" s="16">
        <f>ROUND(J784*K784*L784,2)</f>
        <v>-25.31</v>
      </c>
      <c r="N784" s="16">
        <f>ROUND(J784*L784*12,2)</f>
        <v>-33.75</v>
      </c>
      <c r="O784" s="14"/>
      <c r="P784" s="210" t="str">
        <f>VLOOKUP(C784,'WO Descriptions'!$A$5:$D$384,4,FALSE)</f>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
      <c r="Q784" s="210"/>
      <c r="R784" s="210"/>
    </row>
    <row r="785" spans="1:18" outlineLevel="1">
      <c r="A785" s="223"/>
      <c r="B785" s="250"/>
      <c r="C785" s="254" t="s">
        <v>1996</v>
      </c>
      <c r="D785" s="223"/>
      <c r="E785" s="250"/>
      <c r="F785" s="223"/>
      <c r="G785" s="250"/>
      <c r="H785" s="250"/>
      <c r="I785" s="250"/>
      <c r="J785" s="251">
        <f>SUBTOTAL(9,J784:J784)</f>
        <v>-1896.12</v>
      </c>
      <c r="K785" s="252"/>
      <c r="L785" s="253"/>
      <c r="M785" s="251">
        <f>SUBTOTAL(9,M784:M784)</f>
        <v>-25.31</v>
      </c>
      <c r="N785" s="251">
        <f>SUBTOTAL(9,N784:N784)</f>
        <v>-33.75</v>
      </c>
      <c r="O785" s="223"/>
      <c r="P785" s="210"/>
      <c r="Q785" s="210" t="str">
        <f>VLOOKUP(C785,'Descriptions Sorted by WO '!$A$5:$S$977,18,FALSE)</f>
        <v>393.1009 (5) (a) (b)</v>
      </c>
      <c r="R785" s="210" t="str">
        <f>VLOOKUP(C785,'Descriptions Sorted by WO '!$A$5:$S$977,19,FALSE)</f>
        <v>A,B,G</v>
      </c>
    </row>
    <row r="786" spans="1:18" ht="60" outlineLevel="2">
      <c r="A786" s="14" t="s">
        <v>54</v>
      </c>
      <c r="B786" s="15" t="s">
        <v>792</v>
      </c>
      <c r="C786" s="15" t="s">
        <v>793</v>
      </c>
      <c r="D786" s="14" t="s">
        <v>794</v>
      </c>
      <c r="E786" s="15" t="s">
        <v>58</v>
      </c>
      <c r="F786" s="14" t="s">
        <v>22</v>
      </c>
      <c r="G786" s="15" t="s">
        <v>23</v>
      </c>
      <c r="H786" s="15" t="s">
        <v>1525</v>
      </c>
      <c r="I786" s="15">
        <v>201409</v>
      </c>
      <c r="J786" s="16">
        <v>-672.99</v>
      </c>
      <c r="K786" s="171">
        <f>VLOOKUP(I786,$T$9:$U$23,2)</f>
        <v>9</v>
      </c>
      <c r="L786" s="17">
        <v>1.4833299999999999E-3</v>
      </c>
      <c r="M786" s="16">
        <f>ROUND(J786*K786*L786,2)</f>
        <v>-8.98</v>
      </c>
      <c r="N786" s="16">
        <f>ROUND(J786*L786*12,2)</f>
        <v>-11.98</v>
      </c>
      <c r="O786" s="14"/>
      <c r="P786" s="210" t="str">
        <f>VLOOKUP(C786,'WO Descriptions'!$A$5:$D$384,4,FALSE)</f>
        <v>Approved by: Galen Shoemaker on 12/03/2013,  Replace 588' 2" PBS &amp; 15' 2" PE with 645' of 2" PE due to leakage issues.  Project location: Florida Ave between Yuma St. &amp; Windsor St.  Pressure System: C-100.  MOP: 30 PSIG.  MAOP: 30 PSIG.  Design: 58 PSIG.  Test: 100 PSIG.  Price Per Foot: $38.35.</v>
      </c>
      <c r="Q786" s="210"/>
      <c r="R786" s="210"/>
    </row>
    <row r="787" spans="1:18" outlineLevel="1">
      <c r="A787" s="223"/>
      <c r="B787" s="250"/>
      <c r="C787" s="254" t="s">
        <v>1997</v>
      </c>
      <c r="D787" s="223"/>
      <c r="E787" s="250"/>
      <c r="F787" s="223"/>
      <c r="G787" s="250"/>
      <c r="H787" s="250"/>
      <c r="I787" s="250"/>
      <c r="J787" s="251">
        <f>SUBTOTAL(9,J786:J786)</f>
        <v>-672.99</v>
      </c>
      <c r="K787" s="252"/>
      <c r="L787" s="253"/>
      <c r="M787" s="251">
        <f>SUBTOTAL(9,M786:M786)</f>
        <v>-8.98</v>
      </c>
      <c r="N787" s="251">
        <f>SUBTOTAL(9,N786:N786)</f>
        <v>-11.98</v>
      </c>
      <c r="O787" s="223"/>
      <c r="P787" s="210"/>
      <c r="Q787" s="210" t="str">
        <f>VLOOKUP(C787,'Descriptions Sorted by WO '!$A$5:$S$977,18,FALSE)</f>
        <v>393.1009 (5) (a) (b)</v>
      </c>
      <c r="R787" s="210" t="str">
        <f>VLOOKUP(C787,'Descriptions Sorted by WO '!$A$5:$S$977,19,FALSE)</f>
        <v>A,B,C</v>
      </c>
    </row>
    <row r="788" spans="1:18" ht="90" outlineLevel="2">
      <c r="A788" s="14" t="s">
        <v>17</v>
      </c>
      <c r="B788" s="15" t="s">
        <v>1039</v>
      </c>
      <c r="C788" s="15" t="s">
        <v>1040</v>
      </c>
      <c r="D788" s="14" t="s">
        <v>1041</v>
      </c>
      <c r="E788" s="15" t="s">
        <v>40</v>
      </c>
      <c r="F788" s="14" t="s">
        <v>41</v>
      </c>
      <c r="G788" s="15" t="s">
        <v>23</v>
      </c>
      <c r="H788" s="15" t="s">
        <v>1526</v>
      </c>
      <c r="I788" s="15">
        <v>201412</v>
      </c>
      <c r="J788" s="16">
        <v>4268934.05</v>
      </c>
      <c r="K788" s="171">
        <f>VLOOKUP(I788,$T$9:$U$23,2)</f>
        <v>6</v>
      </c>
      <c r="L788" s="17">
        <v>1.4833299999999999E-3</v>
      </c>
      <c r="M788" s="16">
        <f>ROUND(J788*K788*L788,2)</f>
        <v>37993.43</v>
      </c>
      <c r="N788" s="16">
        <f>ROUND(J788*L788*12,2)</f>
        <v>75986.86</v>
      </c>
      <c r="O788" s="14"/>
      <c r="P788" s="210" t="str">
        <f>VLOOKUP(C788,'WO Descriptions'!$A$5:$D$384,4,FALSE)</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c r="Q788" s="210"/>
      <c r="R788" s="210"/>
    </row>
    <row r="789" spans="1:18" ht="90" outlineLevel="2">
      <c r="A789" s="14" t="s">
        <v>17</v>
      </c>
      <c r="B789" s="15" t="s">
        <v>1039</v>
      </c>
      <c r="C789" s="15" t="s">
        <v>1040</v>
      </c>
      <c r="D789" s="14" t="s">
        <v>1041</v>
      </c>
      <c r="E789" s="15" t="s">
        <v>40</v>
      </c>
      <c r="F789" s="14" t="s">
        <v>41</v>
      </c>
      <c r="G789" s="15" t="s">
        <v>23</v>
      </c>
      <c r="H789" s="15" t="s">
        <v>1526</v>
      </c>
      <c r="I789" s="15">
        <v>201501</v>
      </c>
      <c r="J789" s="16">
        <v>-13161.06</v>
      </c>
      <c r="K789" s="171">
        <f>VLOOKUP(I789,$T$9:$U$23,2)</f>
        <v>5</v>
      </c>
      <c r="L789" s="17">
        <v>1.4833299999999999E-3</v>
      </c>
      <c r="M789" s="16">
        <f>ROUND(J789*K789*L789,2)</f>
        <v>-97.61</v>
      </c>
      <c r="N789" s="16">
        <f>ROUND(J789*L789*12,2)</f>
        <v>-234.27</v>
      </c>
      <c r="O789" s="14"/>
      <c r="P789" s="210" t="str">
        <f>VLOOKUP(C789,'WO Descriptions'!$A$5:$D$384,4,FALSE)</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c r="Q789" s="210"/>
      <c r="R789" s="210"/>
    </row>
    <row r="790" spans="1:18" ht="90" outlineLevel="2">
      <c r="A790" s="14" t="s">
        <v>17</v>
      </c>
      <c r="B790" s="15" t="s">
        <v>1039</v>
      </c>
      <c r="C790" s="15" t="s">
        <v>1040</v>
      </c>
      <c r="D790" s="14" t="s">
        <v>1041</v>
      </c>
      <c r="E790" s="15" t="s">
        <v>40</v>
      </c>
      <c r="F790" s="14" t="s">
        <v>41</v>
      </c>
      <c r="G790" s="15" t="s">
        <v>23</v>
      </c>
      <c r="H790" s="15" t="s">
        <v>1526</v>
      </c>
      <c r="I790" s="15">
        <v>201502</v>
      </c>
      <c r="J790" s="16">
        <v>-4653.87</v>
      </c>
      <c r="K790" s="171">
        <f>VLOOKUP(I790,$T$9:$U$23,2)</f>
        <v>4</v>
      </c>
      <c r="L790" s="17">
        <v>1.4833299999999999E-3</v>
      </c>
      <c r="M790" s="16">
        <f>ROUND(J790*K790*L790,2)</f>
        <v>-27.61</v>
      </c>
      <c r="N790" s="16">
        <f>ROUND(J790*L790*12,2)</f>
        <v>-82.84</v>
      </c>
      <c r="O790" s="14"/>
      <c r="P790" s="210" t="str">
        <f>VLOOKUP(C790,'WO Descriptions'!$A$5:$D$384,4,FALSE)</f>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
      <c r="Q790" s="210"/>
      <c r="R790" s="210"/>
    </row>
    <row r="791" spans="1:18" outlineLevel="1">
      <c r="A791" s="223"/>
      <c r="B791" s="250"/>
      <c r="C791" s="254" t="s">
        <v>1998</v>
      </c>
      <c r="D791" s="223"/>
      <c r="E791" s="250"/>
      <c r="F791" s="223"/>
      <c r="G791" s="250"/>
      <c r="H791" s="250"/>
      <c r="I791" s="250"/>
      <c r="J791" s="251">
        <f>SUBTOTAL(9,J788:J790)</f>
        <v>4251119.12</v>
      </c>
      <c r="K791" s="252"/>
      <c r="L791" s="253"/>
      <c r="M791" s="251">
        <f>SUBTOTAL(9,M788:M790)</f>
        <v>37868.21</v>
      </c>
      <c r="N791" s="251">
        <f>SUBTOTAL(9,N788:N790)</f>
        <v>75669.75</v>
      </c>
      <c r="O791" s="223"/>
      <c r="P791" s="210"/>
      <c r="Q791" s="210" t="str">
        <f>VLOOKUP(C791,'Descriptions Sorted by WO '!$A$5:$S$977,18,FALSE)</f>
        <v>393.1009 (5) (C)</v>
      </c>
      <c r="R791" s="210"/>
    </row>
    <row r="792" spans="1:18" ht="90" outlineLevel="2">
      <c r="A792" s="223" t="s">
        <v>17</v>
      </c>
      <c r="B792" s="250" t="s">
        <v>795</v>
      </c>
      <c r="C792" s="250" t="s">
        <v>796</v>
      </c>
      <c r="D792" s="223" t="s">
        <v>797</v>
      </c>
      <c r="E792" s="250" t="s">
        <v>176</v>
      </c>
      <c r="F792" s="223" t="s">
        <v>28</v>
      </c>
      <c r="G792" s="250" t="s">
        <v>23</v>
      </c>
      <c r="H792" s="250" t="s">
        <v>1525</v>
      </c>
      <c r="I792" s="250">
        <v>201409</v>
      </c>
      <c r="J792" s="251">
        <v>-155.05000000000001</v>
      </c>
      <c r="K792" s="171">
        <f>VLOOKUP(I792,$T$9:$U$23,2)</f>
        <v>9</v>
      </c>
      <c r="L792" s="253">
        <v>1.4833299999999999E-3</v>
      </c>
      <c r="M792" s="251">
        <f>ROUND(J792*K792*L792,2)</f>
        <v>-2.0699999999999998</v>
      </c>
      <c r="N792" s="251">
        <f>ROUND(J792*L792*12,2)</f>
        <v>-2.76</v>
      </c>
      <c r="O792" s="223"/>
      <c r="P792" s="210" t="str">
        <f>VLOOKUP(C792,'WO Descriptions'!$A$5:$D$384,4,FALSE)</f>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
      <c r="Q792" s="210"/>
      <c r="R792" s="210"/>
    </row>
    <row r="793" spans="1:18" outlineLevel="1">
      <c r="A793" s="223"/>
      <c r="B793" s="250"/>
      <c r="C793" s="254" t="s">
        <v>1999</v>
      </c>
      <c r="D793" s="223"/>
      <c r="E793" s="250"/>
      <c r="F793" s="223"/>
      <c r="G793" s="250"/>
      <c r="H793" s="250"/>
      <c r="I793" s="250"/>
      <c r="J793" s="251">
        <f>SUBTOTAL(9,J792:J792)</f>
        <v>-155.05000000000001</v>
      </c>
      <c r="K793" s="252"/>
      <c r="L793" s="253"/>
      <c r="M793" s="251">
        <f>SUBTOTAL(9,M792:M792)</f>
        <v>-2.0699999999999998</v>
      </c>
      <c r="N793" s="251">
        <f>SUBTOTAL(9,N792:N792)</f>
        <v>-2.76</v>
      </c>
      <c r="O793" s="223"/>
      <c r="P793" s="210"/>
      <c r="Q793" s="210" t="str">
        <f>VLOOKUP(C793,'Descriptions Sorted by WO '!$A$5:$S$977,18,FALSE)</f>
        <v>393.1009 (5) (a) (b)</v>
      </c>
      <c r="R793" s="210" t="str">
        <f>VLOOKUP(C793,'Descriptions Sorted by WO '!$A$5:$S$977,19,FALSE)</f>
        <v>A,B</v>
      </c>
    </row>
    <row r="794" spans="1:18" ht="75" outlineLevel="2">
      <c r="A794" s="223" t="s">
        <v>17</v>
      </c>
      <c r="B794" s="250" t="s">
        <v>798</v>
      </c>
      <c r="C794" s="250" t="s">
        <v>799</v>
      </c>
      <c r="D794" s="223" t="s">
        <v>800</v>
      </c>
      <c r="E794" s="250" t="s">
        <v>62</v>
      </c>
      <c r="F794" s="223" t="s">
        <v>22</v>
      </c>
      <c r="G794" s="250" t="s">
        <v>23</v>
      </c>
      <c r="H794" s="250" t="s">
        <v>1525</v>
      </c>
      <c r="I794" s="250">
        <v>201409</v>
      </c>
      <c r="J794" s="251">
        <v>-228.89</v>
      </c>
      <c r="K794" s="171">
        <f>VLOOKUP(I794,$T$9:$U$23,2)</f>
        <v>9</v>
      </c>
      <c r="L794" s="253">
        <v>1.4833299999999999E-3</v>
      </c>
      <c r="M794" s="251">
        <f>ROUND(J794*K794*L794,2)</f>
        <v>-3.06</v>
      </c>
      <c r="N794" s="251">
        <f>ROUND(J794*L794*12,2)</f>
        <v>-4.07</v>
      </c>
      <c r="O794" s="223"/>
      <c r="P794" s="210" t="str">
        <f>VLOOKUP(C794,'WO Descriptions'!$A$5:$D$384,4,FALSE)</f>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
      <c r="Q794" s="210"/>
      <c r="R794" s="210"/>
    </row>
    <row r="795" spans="1:18" outlineLevel="1">
      <c r="A795" s="223"/>
      <c r="B795" s="250"/>
      <c r="C795" s="254" t="s">
        <v>2000</v>
      </c>
      <c r="D795" s="223"/>
      <c r="E795" s="250"/>
      <c r="F795" s="223"/>
      <c r="G795" s="250"/>
      <c r="H795" s="250"/>
      <c r="I795" s="250"/>
      <c r="J795" s="251">
        <f>SUBTOTAL(9,J794:J794)</f>
        <v>-228.89</v>
      </c>
      <c r="K795" s="252"/>
      <c r="L795" s="253"/>
      <c r="M795" s="251">
        <f>SUBTOTAL(9,M794:M794)</f>
        <v>-3.06</v>
      </c>
      <c r="N795" s="251">
        <f>SUBTOTAL(9,N794:N794)</f>
        <v>-4.07</v>
      </c>
      <c r="O795" s="223"/>
      <c r="P795" s="210"/>
      <c r="Q795" s="210" t="str">
        <f>VLOOKUP(C795,'Descriptions Sorted by WO '!$A$5:$S$977,18,FALSE)</f>
        <v>393.1009 (5) (a) (b)</v>
      </c>
      <c r="R795" s="210" t="str">
        <f>VLOOKUP(C795,'Descriptions Sorted by WO '!$A$5:$S$977,19,FALSE)</f>
        <v>A,B,C</v>
      </c>
    </row>
    <row r="796" spans="1:18" ht="30" outlineLevel="2">
      <c r="A796" s="223" t="s">
        <v>17</v>
      </c>
      <c r="B796" s="250" t="s">
        <v>801</v>
      </c>
      <c r="C796" s="250" t="s">
        <v>802</v>
      </c>
      <c r="D796" s="223" t="s">
        <v>803</v>
      </c>
      <c r="E796" s="250" t="s">
        <v>440</v>
      </c>
      <c r="F796" s="223" t="s">
        <v>28</v>
      </c>
      <c r="G796" s="250" t="s">
        <v>23</v>
      </c>
      <c r="H796" s="250" t="s">
        <v>1525</v>
      </c>
      <c r="I796" s="250">
        <v>201409</v>
      </c>
      <c r="J796" s="251">
        <v>-553.08000000000004</v>
      </c>
      <c r="K796" s="171">
        <f>VLOOKUP(I796,$T$9:$U$23,2)</f>
        <v>9</v>
      </c>
      <c r="L796" s="253">
        <v>1.4833299999999999E-3</v>
      </c>
      <c r="M796" s="251">
        <f>ROUND(J796*K796*L796,2)</f>
        <v>-7.38</v>
      </c>
      <c r="N796" s="251">
        <f>ROUND(J796*L796*12,2)</f>
        <v>-9.84</v>
      </c>
      <c r="O796" s="223"/>
      <c r="P796" s="210" t="str">
        <f>VLOOKUP(C796,'WO Descriptions'!$A$5:$D$384,4,FALSE)</f>
        <v>Approved by: Gary Williams on 10/31/2013,  5/5/3 Replace 1235' of 2'' PCS main with 1235' of 2" PE main due to leaks and pipe condition. Original WO# 75-2872.</v>
      </c>
      <c r="Q796" s="210"/>
      <c r="R796" s="210"/>
    </row>
    <row r="797" spans="1:18" outlineLevel="1">
      <c r="A797" s="223"/>
      <c r="B797" s="250"/>
      <c r="C797" s="254" t="s">
        <v>2001</v>
      </c>
      <c r="D797" s="223"/>
      <c r="E797" s="250"/>
      <c r="F797" s="223"/>
      <c r="G797" s="250"/>
      <c r="H797" s="250"/>
      <c r="I797" s="250"/>
      <c r="J797" s="251">
        <f>SUBTOTAL(9,J796:J796)</f>
        <v>-553.08000000000004</v>
      </c>
      <c r="K797" s="252"/>
      <c r="L797" s="253"/>
      <c r="M797" s="251">
        <f>SUBTOTAL(9,M796:M796)</f>
        <v>-7.38</v>
      </c>
      <c r="N797" s="251">
        <f>SUBTOTAL(9,N796:N796)</f>
        <v>-9.84</v>
      </c>
      <c r="O797" s="223"/>
      <c r="P797" s="210"/>
      <c r="Q797" s="210" t="str">
        <f>VLOOKUP(C797,'Descriptions Sorted by WO '!$A$5:$S$977,18,FALSE)</f>
        <v>393.1009 (5) (a) (b)</v>
      </c>
      <c r="R797" s="210" t="str">
        <f>VLOOKUP(C797,'Descriptions Sorted by WO '!$A$5:$S$977,19,FALSE)</f>
        <v>A,B</v>
      </c>
    </row>
    <row r="798" spans="1:18" ht="60" outlineLevel="2">
      <c r="A798" s="223" t="s">
        <v>17</v>
      </c>
      <c r="B798" s="250" t="s">
        <v>804</v>
      </c>
      <c r="C798" s="250" t="s">
        <v>805</v>
      </c>
      <c r="D798" s="223" t="s">
        <v>806</v>
      </c>
      <c r="E798" s="250" t="s">
        <v>141</v>
      </c>
      <c r="F798" s="223" t="s">
        <v>142</v>
      </c>
      <c r="G798" s="250" t="s">
        <v>23</v>
      </c>
      <c r="H798" s="250" t="s">
        <v>1525</v>
      </c>
      <c r="I798" s="250">
        <v>201409</v>
      </c>
      <c r="J798" s="251">
        <v>-540.4</v>
      </c>
      <c r="K798" s="171">
        <f>VLOOKUP(I798,$T$9:$U$23,2)</f>
        <v>9</v>
      </c>
      <c r="L798" s="253">
        <v>1.4833299999999999E-3</v>
      </c>
      <c r="M798" s="251">
        <f>ROUND(J798*K798*L798,2)</f>
        <v>-7.21</v>
      </c>
      <c r="N798" s="251">
        <f>ROUND(J798*L798*12,2)</f>
        <v>-9.6199999999999992</v>
      </c>
      <c r="O798" s="223"/>
      <c r="P798" s="210" t="str">
        <f>VLOOKUP(C798,'WO Descriptions'!$A$5:$D$384,4,FALSE)</f>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
      <c r="Q798" s="210"/>
      <c r="R798" s="210"/>
    </row>
    <row r="799" spans="1:18" outlineLevel="1">
      <c r="A799" s="223"/>
      <c r="B799" s="250"/>
      <c r="C799" s="254" t="s">
        <v>2002</v>
      </c>
      <c r="D799" s="223"/>
      <c r="E799" s="250"/>
      <c r="F799" s="223"/>
      <c r="G799" s="250"/>
      <c r="H799" s="250"/>
      <c r="I799" s="250"/>
      <c r="J799" s="251">
        <f>SUBTOTAL(9,J798:J798)</f>
        <v>-540.4</v>
      </c>
      <c r="K799" s="252"/>
      <c r="L799" s="253"/>
      <c r="M799" s="251">
        <f>SUBTOTAL(9,M798:M798)</f>
        <v>-7.21</v>
      </c>
      <c r="N799" s="251">
        <f>SUBTOTAL(9,N798:N798)</f>
        <v>-9.6199999999999992</v>
      </c>
      <c r="O799" s="223"/>
      <c r="P799" s="210"/>
      <c r="Q799" s="210" t="str">
        <f>VLOOKUP(C799,'Descriptions Sorted by WO '!$A$5:$S$977,18,FALSE)</f>
        <v>393.1009 (5) (a) (b)</v>
      </c>
      <c r="R799" s="210" t="str">
        <f>VLOOKUP(C799,'Descriptions Sorted by WO '!$A$5:$S$977,19,FALSE)</f>
        <v>A,B,C,D,I</v>
      </c>
    </row>
    <row r="800" spans="1:18" ht="30" outlineLevel="2">
      <c r="A800" s="223" t="s">
        <v>17</v>
      </c>
      <c r="B800" s="250" t="s">
        <v>807</v>
      </c>
      <c r="C800" s="250" t="s">
        <v>808</v>
      </c>
      <c r="D800" s="223" t="s">
        <v>809</v>
      </c>
      <c r="E800" s="250" t="s">
        <v>108</v>
      </c>
      <c r="F800" s="223" t="s">
        <v>28</v>
      </c>
      <c r="G800" s="250" t="s">
        <v>23</v>
      </c>
      <c r="H800" s="250" t="s">
        <v>1525</v>
      </c>
      <c r="I800" s="250">
        <v>201409</v>
      </c>
      <c r="J800" s="251">
        <v>27.48</v>
      </c>
      <c r="K800" s="171">
        <f>VLOOKUP(I800,$T$9:$U$23,2)</f>
        <v>9</v>
      </c>
      <c r="L800" s="253">
        <v>1.4833299999999999E-3</v>
      </c>
      <c r="M800" s="251">
        <f>ROUND(J800*K800*L800,2)</f>
        <v>0.37</v>
      </c>
      <c r="N800" s="251">
        <f>ROUND(J800*L800*12,2)</f>
        <v>0.49</v>
      </c>
      <c r="O800" s="223"/>
      <c r="P800" s="210" t="str">
        <f>VLOOKUP(C800,'WO Descriptions'!$A$5:$D$384,4,FALSE)</f>
        <v>Approved by: Kevin Driskell on 10/31/2013,  Replace 2in PCS with 15'-2in PE due to hit main.  Work done by MGE crew.</v>
      </c>
      <c r="Q800" s="210"/>
      <c r="R800" s="210"/>
    </row>
    <row r="801" spans="1:18" outlineLevel="1">
      <c r="A801" s="223"/>
      <c r="B801" s="250"/>
      <c r="C801" s="254" t="s">
        <v>2003</v>
      </c>
      <c r="D801" s="223"/>
      <c r="E801" s="250"/>
      <c r="F801" s="223"/>
      <c r="G801" s="250"/>
      <c r="H801" s="250"/>
      <c r="I801" s="250"/>
      <c r="J801" s="251">
        <f>SUBTOTAL(9,J800:J800)</f>
        <v>27.48</v>
      </c>
      <c r="K801" s="252"/>
      <c r="L801" s="253"/>
      <c r="M801" s="251">
        <f>SUBTOTAL(9,M800:M800)</f>
        <v>0.37</v>
      </c>
      <c r="N801" s="251">
        <f>SUBTOTAL(9,N800:N800)</f>
        <v>0.49</v>
      </c>
      <c r="O801" s="223"/>
      <c r="P801" s="210"/>
      <c r="Q801" s="210" t="str">
        <f>VLOOKUP(C801,'Descriptions Sorted by WO '!$A$5:$S$977,18,FALSE)</f>
        <v>393.1009 (5) (a) (b)</v>
      </c>
      <c r="R801" s="210" t="str">
        <f>VLOOKUP(C801,'Descriptions Sorted by WO '!$A$5:$S$977,19,FALSE)</f>
        <v>A,B</v>
      </c>
    </row>
    <row r="802" spans="1:18" ht="90" outlineLevel="2">
      <c r="A802" s="223" t="s">
        <v>17</v>
      </c>
      <c r="B802" s="250" t="s">
        <v>810</v>
      </c>
      <c r="C802" s="250" t="s">
        <v>811</v>
      </c>
      <c r="D802" s="223" t="s">
        <v>812</v>
      </c>
      <c r="E802" s="250" t="s">
        <v>104</v>
      </c>
      <c r="F802" s="223" t="s">
        <v>41</v>
      </c>
      <c r="G802" s="250" t="s">
        <v>23</v>
      </c>
      <c r="H802" s="250" t="s">
        <v>1526</v>
      </c>
      <c r="I802" s="250">
        <v>201409</v>
      </c>
      <c r="J802" s="251">
        <v>-22637.86</v>
      </c>
      <c r="K802" s="171">
        <f>VLOOKUP(I802,$T$9:$U$23,2)</f>
        <v>9</v>
      </c>
      <c r="L802" s="253">
        <v>1.4833299999999999E-3</v>
      </c>
      <c r="M802" s="251">
        <f>ROUND(J802*K802*L802,2)</f>
        <v>-302.20999999999998</v>
      </c>
      <c r="N802" s="251">
        <f>ROUND(J802*L802*12,2)</f>
        <v>-402.95</v>
      </c>
      <c r="O802" s="223"/>
      <c r="P802" s="210" t="str">
        <f>VLOOKUP(C802,'WO Descriptions'!$A$5:$D$384,4,FALSE)</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c r="Q802" s="210"/>
      <c r="R802" s="210"/>
    </row>
    <row r="803" spans="1:18" ht="90" outlineLevel="2">
      <c r="A803" s="223" t="s">
        <v>54</v>
      </c>
      <c r="B803" s="250" t="s">
        <v>810</v>
      </c>
      <c r="C803" s="250" t="s">
        <v>811</v>
      </c>
      <c r="D803" s="223" t="s">
        <v>812</v>
      </c>
      <c r="E803" s="250" t="s">
        <v>104</v>
      </c>
      <c r="F803" s="223" t="s">
        <v>41</v>
      </c>
      <c r="G803" s="250" t="s">
        <v>23</v>
      </c>
      <c r="H803" s="250" t="s">
        <v>1526</v>
      </c>
      <c r="I803" s="250">
        <v>201409</v>
      </c>
      <c r="J803" s="251">
        <v>22317.37</v>
      </c>
      <c r="K803" s="171">
        <f>VLOOKUP(I803,$T$9:$U$23,2)</f>
        <v>9</v>
      </c>
      <c r="L803" s="253">
        <v>1.4833299999999999E-3</v>
      </c>
      <c r="M803" s="251">
        <f>ROUND(J803*K803*L803,2)</f>
        <v>297.94</v>
      </c>
      <c r="N803" s="251">
        <f>ROUND(J803*L803*12,2)</f>
        <v>397.25</v>
      </c>
      <c r="O803" s="223"/>
      <c r="P803" s="210" t="str">
        <f>VLOOKUP(C803,'WO Descriptions'!$A$5:$D$384,4,FALSE)</f>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
      <c r="Q803" s="210"/>
      <c r="R803" s="210"/>
    </row>
    <row r="804" spans="1:18" outlineLevel="1">
      <c r="A804" s="223"/>
      <c r="B804" s="250"/>
      <c r="C804" s="254" t="s">
        <v>2004</v>
      </c>
      <c r="D804" s="223"/>
      <c r="E804" s="250"/>
      <c r="F804" s="223"/>
      <c r="G804" s="250"/>
      <c r="H804" s="250"/>
      <c r="I804" s="250"/>
      <c r="J804" s="251">
        <f>SUBTOTAL(9,J802:J803)</f>
        <v>-320.4900000000016</v>
      </c>
      <c r="K804" s="252"/>
      <c r="L804" s="253"/>
      <c r="M804" s="251">
        <f>SUBTOTAL(9,M802:M803)</f>
        <v>-4.2699999999999818</v>
      </c>
      <c r="N804" s="251">
        <f>SUBTOTAL(9,N802:N803)</f>
        <v>-5.6999999999999886</v>
      </c>
      <c r="O804" s="223"/>
      <c r="P804" s="210"/>
      <c r="Q804" s="210" t="str">
        <f>VLOOKUP(C804,'Descriptions Sorted by WO '!$A$5:$S$977,18,FALSE)</f>
        <v>393.1009 (5) (C)</v>
      </c>
      <c r="R804" s="210"/>
    </row>
    <row r="805" spans="1:18" ht="210" outlineLevel="2">
      <c r="A805" s="223" t="s">
        <v>54</v>
      </c>
      <c r="B805" s="250" t="s">
        <v>813</v>
      </c>
      <c r="C805" s="250" t="s">
        <v>814</v>
      </c>
      <c r="D805" s="223" t="s">
        <v>815</v>
      </c>
      <c r="E805" s="250" t="s">
        <v>62</v>
      </c>
      <c r="F805" s="223" t="s">
        <v>22</v>
      </c>
      <c r="G805" s="250" t="s">
        <v>23</v>
      </c>
      <c r="H805" s="250" t="s">
        <v>1525</v>
      </c>
      <c r="I805" s="250">
        <v>201411</v>
      </c>
      <c r="J805" s="251">
        <v>611627.82999999996</v>
      </c>
      <c r="K805" s="171">
        <f>VLOOKUP(I805,$T$9:$U$23,2)</f>
        <v>7</v>
      </c>
      <c r="L805" s="253">
        <v>1.4833299999999999E-3</v>
      </c>
      <c r="M805" s="251">
        <f>ROUND(J805*K805*L805,2)</f>
        <v>6350.72</v>
      </c>
      <c r="N805" s="251">
        <f>ROUND(J805*L805*12,2)</f>
        <v>10886.95</v>
      </c>
      <c r="O805" s="223"/>
      <c r="P805" s="210" t="str">
        <f>VLOOKUP(C805,'WO Descriptions'!$A$5:$D$384,4,FALSE)</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c r="Q805" s="210"/>
      <c r="R805" s="210"/>
    </row>
    <row r="806" spans="1:18" ht="210" outlineLevel="2">
      <c r="A806" s="223" t="s">
        <v>54</v>
      </c>
      <c r="B806" s="250" t="s">
        <v>813</v>
      </c>
      <c r="C806" s="250" t="s">
        <v>814</v>
      </c>
      <c r="D806" s="223" t="s">
        <v>815</v>
      </c>
      <c r="E806" s="250" t="s">
        <v>62</v>
      </c>
      <c r="F806" s="223" t="s">
        <v>22</v>
      </c>
      <c r="G806" s="250" t="s">
        <v>23</v>
      </c>
      <c r="H806" s="250" t="s">
        <v>1525</v>
      </c>
      <c r="I806" s="250">
        <v>201412</v>
      </c>
      <c r="J806" s="251">
        <v>14879.8</v>
      </c>
      <c r="K806" s="171">
        <f>VLOOKUP(I806,$T$9:$U$23,2)</f>
        <v>6</v>
      </c>
      <c r="L806" s="253">
        <v>1.4833299999999999E-3</v>
      </c>
      <c r="M806" s="251">
        <f>ROUND(J806*K806*L806,2)</f>
        <v>132.43</v>
      </c>
      <c r="N806" s="251">
        <f>ROUND(J806*L806*12,2)</f>
        <v>264.86</v>
      </c>
      <c r="O806" s="223"/>
      <c r="P806" s="210" t="str">
        <f>VLOOKUP(C806,'WO Descriptions'!$A$5:$D$384,4,FALSE)</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c r="Q806" s="210"/>
      <c r="R806" s="210"/>
    </row>
    <row r="807" spans="1:18" ht="210" outlineLevel="2">
      <c r="A807" s="223" t="s">
        <v>54</v>
      </c>
      <c r="B807" s="250" t="s">
        <v>813</v>
      </c>
      <c r="C807" s="250" t="s">
        <v>814</v>
      </c>
      <c r="D807" s="223" t="s">
        <v>815</v>
      </c>
      <c r="E807" s="250" t="s">
        <v>62</v>
      </c>
      <c r="F807" s="223" t="s">
        <v>22</v>
      </c>
      <c r="G807" s="250" t="s">
        <v>23</v>
      </c>
      <c r="H807" s="250" t="s">
        <v>1525</v>
      </c>
      <c r="I807" s="250">
        <v>201501</v>
      </c>
      <c r="J807" s="251">
        <v>-265.87</v>
      </c>
      <c r="K807" s="171">
        <f>VLOOKUP(I807,$T$9:$U$23,2)</f>
        <v>5</v>
      </c>
      <c r="L807" s="253">
        <v>1.4833299999999999E-3</v>
      </c>
      <c r="M807" s="251">
        <f>ROUND(J807*K807*L807,2)</f>
        <v>-1.97</v>
      </c>
      <c r="N807" s="251">
        <f>ROUND(J807*L807*12,2)</f>
        <v>-4.7300000000000004</v>
      </c>
      <c r="O807" s="223"/>
      <c r="P807" s="210" t="str">
        <f>VLOOKUP(C807,'WO Descriptions'!$A$5:$D$384,4,FALSE)</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c r="Q807" s="210"/>
      <c r="R807" s="210"/>
    </row>
    <row r="808" spans="1:18" ht="210" outlineLevel="2">
      <c r="A808" s="223" t="s">
        <v>54</v>
      </c>
      <c r="B808" s="250" t="s">
        <v>813</v>
      </c>
      <c r="C808" s="250" t="s">
        <v>814</v>
      </c>
      <c r="D808" s="223" t="s">
        <v>815</v>
      </c>
      <c r="E808" s="250" t="s">
        <v>62</v>
      </c>
      <c r="F808" s="223" t="s">
        <v>22</v>
      </c>
      <c r="G808" s="250" t="s">
        <v>23</v>
      </c>
      <c r="H808" s="250" t="s">
        <v>1525</v>
      </c>
      <c r="I808" s="250">
        <v>201502</v>
      </c>
      <c r="J808" s="251">
        <v>-456.88</v>
      </c>
      <c r="K808" s="171">
        <f>VLOOKUP(I808,$T$9:$U$23,2)</f>
        <v>4</v>
      </c>
      <c r="L808" s="253">
        <v>1.4833299999999999E-3</v>
      </c>
      <c r="M808" s="251">
        <f>ROUND(J808*K808*L808,2)</f>
        <v>-2.71</v>
      </c>
      <c r="N808" s="251">
        <f>ROUND(J808*L808*12,2)</f>
        <v>-8.1300000000000008</v>
      </c>
      <c r="O808" s="223"/>
      <c r="P808" s="210" t="str">
        <f>VLOOKUP(C808,'WO Descriptions'!$A$5:$D$384,4,FALSE)</f>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
      <c r="Q808" s="210"/>
      <c r="R808" s="210"/>
    </row>
    <row r="809" spans="1:18" outlineLevel="1">
      <c r="A809" s="223"/>
      <c r="B809" s="250"/>
      <c r="C809" s="254" t="s">
        <v>2005</v>
      </c>
      <c r="D809" s="223"/>
      <c r="E809" s="250"/>
      <c r="F809" s="223"/>
      <c r="G809" s="250"/>
      <c r="H809" s="250"/>
      <c r="I809" s="250"/>
      <c r="J809" s="251">
        <f>SUBTOTAL(9,J805:J808)</f>
        <v>625784.88</v>
      </c>
      <c r="K809" s="252"/>
      <c r="L809" s="253"/>
      <c r="M809" s="251">
        <f>SUBTOTAL(9,M805:M808)</f>
        <v>6478.47</v>
      </c>
      <c r="N809" s="251">
        <f>SUBTOTAL(9,N805:N808)</f>
        <v>11138.950000000003</v>
      </c>
      <c r="O809" s="223"/>
      <c r="P809" s="210"/>
      <c r="Q809" s="210" t="str">
        <f>VLOOKUP(C809,'Descriptions Sorted by WO '!$A$5:$S$977,18,FALSE)</f>
        <v>393.1009 (5) (a) (b)</v>
      </c>
      <c r="R809" s="210" t="str">
        <f>VLOOKUP(C809,'Descriptions Sorted by WO '!$A$5:$S$977,19,FALSE)</f>
        <v>A,B,C</v>
      </c>
    </row>
    <row r="810" spans="1:18" ht="180" outlineLevel="2">
      <c r="A810" s="223" t="s">
        <v>54</v>
      </c>
      <c r="B810" s="250" t="s">
        <v>2181</v>
      </c>
      <c r="C810" s="250" t="s">
        <v>1729</v>
      </c>
      <c r="D810" s="223" t="s">
        <v>1730</v>
      </c>
      <c r="E810" s="250" t="s">
        <v>62</v>
      </c>
      <c r="F810" s="223" t="s">
        <v>22</v>
      </c>
      <c r="G810" s="250" t="s">
        <v>23</v>
      </c>
      <c r="H810" s="250" t="s">
        <v>1525</v>
      </c>
      <c r="I810" s="250">
        <v>201501</v>
      </c>
      <c r="J810" s="251">
        <v>219686.48</v>
      </c>
      <c r="K810" s="171">
        <f>VLOOKUP(I810,$T$9:$U$23,2)</f>
        <v>5</v>
      </c>
      <c r="L810" s="253">
        <v>1.4833299999999999E-3</v>
      </c>
      <c r="M810" s="251">
        <f>ROUND(J810*K810*L810,2)</f>
        <v>1629.34</v>
      </c>
      <c r="N810" s="251">
        <f>ROUND(J810*L810*12,2)</f>
        <v>3910.41</v>
      </c>
      <c r="O810" s="223"/>
      <c r="P810" s="210" t="str">
        <f>VLOOKUP(C810,'WO Descriptions'!$A$5:$D$384,4,FALSE)</f>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
      <c r="Q810" s="210"/>
      <c r="R810" s="210"/>
    </row>
    <row r="811" spans="1:18" ht="180" outlineLevel="2">
      <c r="A811" s="223" t="s">
        <v>54</v>
      </c>
      <c r="B811" s="250" t="s">
        <v>2181</v>
      </c>
      <c r="C811" s="250" t="s">
        <v>1729</v>
      </c>
      <c r="D811" s="223" t="s">
        <v>1730</v>
      </c>
      <c r="E811" s="250" t="s">
        <v>62</v>
      </c>
      <c r="F811" s="223" t="s">
        <v>22</v>
      </c>
      <c r="G811" s="250" t="s">
        <v>23</v>
      </c>
      <c r="H811" s="250" t="s">
        <v>1525</v>
      </c>
      <c r="I811" s="250">
        <v>201502</v>
      </c>
      <c r="J811" s="251">
        <v>-1020.59</v>
      </c>
      <c r="K811" s="171">
        <f>VLOOKUP(I811,$T$9:$U$23,2)</f>
        <v>4</v>
      </c>
      <c r="L811" s="253">
        <v>1.4833299999999999E-3</v>
      </c>
      <c r="M811" s="251">
        <f>ROUND(J811*K811*L811,2)</f>
        <v>-6.06</v>
      </c>
      <c r="N811" s="251">
        <f>ROUND(J811*L811*12,2)</f>
        <v>-18.170000000000002</v>
      </c>
      <c r="O811" s="223"/>
      <c r="P811" s="210" t="str">
        <f>VLOOKUP(C811,'WO Descriptions'!$A$5:$D$384,4,FALSE)</f>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
      <c r="Q811" s="210"/>
      <c r="R811" s="210"/>
    </row>
    <row r="812" spans="1:18" outlineLevel="1">
      <c r="A812" s="223"/>
      <c r="B812" s="250"/>
      <c r="C812" s="254" t="s">
        <v>2318</v>
      </c>
      <c r="D812" s="223"/>
      <c r="E812" s="250"/>
      <c r="F812" s="223"/>
      <c r="G812" s="250"/>
      <c r="H812" s="250"/>
      <c r="I812" s="250"/>
      <c r="J812" s="251">
        <f>SUBTOTAL(9,J810:J811)</f>
        <v>218665.89</v>
      </c>
      <c r="K812" s="252"/>
      <c r="L812" s="253"/>
      <c r="M812" s="251">
        <f>SUBTOTAL(9,M810:M811)</f>
        <v>1623.28</v>
      </c>
      <c r="N812" s="251">
        <f>SUBTOTAL(9,N810:N811)</f>
        <v>3892.24</v>
      </c>
      <c r="O812" s="223"/>
      <c r="P812" s="210"/>
      <c r="Q812" s="210" t="s">
        <v>2097</v>
      </c>
      <c r="R812" s="210" t="s">
        <v>2098</v>
      </c>
    </row>
    <row r="813" spans="1:18" ht="75" outlineLevel="2">
      <c r="A813" s="223" t="s">
        <v>54</v>
      </c>
      <c r="B813" s="250" t="s">
        <v>816</v>
      </c>
      <c r="C813" s="250" t="s">
        <v>817</v>
      </c>
      <c r="D813" s="223" t="s">
        <v>818</v>
      </c>
      <c r="E813" s="250" t="s">
        <v>62</v>
      </c>
      <c r="F813" s="223" t="s">
        <v>22</v>
      </c>
      <c r="G813" s="250" t="s">
        <v>23</v>
      </c>
      <c r="H813" s="250" t="s">
        <v>1525</v>
      </c>
      <c r="I813" s="250">
        <v>201409</v>
      </c>
      <c r="J813" s="251">
        <v>-900.72</v>
      </c>
      <c r="K813" s="171">
        <f>VLOOKUP(I813,$T$9:$U$23,2)</f>
        <v>9</v>
      </c>
      <c r="L813" s="253">
        <v>1.4833299999999999E-3</v>
      </c>
      <c r="M813" s="251">
        <f>ROUND(J813*K813*L813,2)</f>
        <v>-12.02</v>
      </c>
      <c r="N813" s="251">
        <f>ROUND(J813*L813*12,2)</f>
        <v>-16.03</v>
      </c>
      <c r="O813" s="223"/>
      <c r="P813" s="210" t="str">
        <f>VLOOKUP(C813,'WO Descriptions'!$A$5:$D$384,4,FALSE)</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c r="Q813" s="210"/>
      <c r="R813" s="210"/>
    </row>
    <row r="814" spans="1:18" ht="75" outlineLevel="2">
      <c r="A814" s="223" t="s">
        <v>54</v>
      </c>
      <c r="B814" s="250" t="s">
        <v>816</v>
      </c>
      <c r="C814" s="250" t="s">
        <v>817</v>
      </c>
      <c r="D814" s="223" t="s">
        <v>818</v>
      </c>
      <c r="E814" s="250" t="s">
        <v>62</v>
      </c>
      <c r="F814" s="223" t="s">
        <v>22</v>
      </c>
      <c r="G814" s="250" t="s">
        <v>23</v>
      </c>
      <c r="H814" s="250" t="s">
        <v>1525</v>
      </c>
      <c r="I814" s="250">
        <v>201410</v>
      </c>
      <c r="J814" s="251">
        <v>-119.09</v>
      </c>
      <c r="K814" s="171">
        <f>VLOOKUP(I814,$T$9:$U$23,2)</f>
        <v>8</v>
      </c>
      <c r="L814" s="253">
        <v>1.4833299999999999E-3</v>
      </c>
      <c r="M814" s="251">
        <f>ROUND(J814*K814*L814,2)</f>
        <v>-1.41</v>
      </c>
      <c r="N814" s="251">
        <f>ROUND(J814*L814*12,2)</f>
        <v>-2.12</v>
      </c>
      <c r="O814" s="223"/>
      <c r="P814" s="210" t="str">
        <f>VLOOKUP(C814,'WO Descriptions'!$A$5:$D$384,4,FALSE)</f>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
      <c r="Q814" s="210"/>
      <c r="R814" s="210"/>
    </row>
    <row r="815" spans="1:18" outlineLevel="1">
      <c r="A815" s="223"/>
      <c r="B815" s="250"/>
      <c r="C815" s="254" t="s">
        <v>2006</v>
      </c>
      <c r="D815" s="223"/>
      <c r="E815" s="250"/>
      <c r="F815" s="223"/>
      <c r="G815" s="250"/>
      <c r="H815" s="250"/>
      <c r="I815" s="250"/>
      <c r="J815" s="251">
        <f>SUBTOTAL(9,J813:J814)</f>
        <v>-1019.8100000000001</v>
      </c>
      <c r="K815" s="252"/>
      <c r="L815" s="253"/>
      <c r="M815" s="251">
        <f>SUBTOTAL(9,M813:M814)</f>
        <v>-13.43</v>
      </c>
      <c r="N815" s="251">
        <f>SUBTOTAL(9,N813:N814)</f>
        <v>-18.150000000000002</v>
      </c>
      <c r="O815" s="223"/>
      <c r="P815" s="210"/>
      <c r="Q815" s="210" t="str">
        <f>VLOOKUP(C815,'Descriptions Sorted by WO '!$A$5:$S$977,18,FALSE)</f>
        <v>393.1009 (5) (a) (b)</v>
      </c>
      <c r="R815" s="210" t="str">
        <f>VLOOKUP(C815,'Descriptions Sorted by WO '!$A$5:$S$977,19,FALSE)</f>
        <v>A,B,C</v>
      </c>
    </row>
    <row r="816" spans="1:18" ht="150" outlineLevel="2">
      <c r="A816" s="223" t="s">
        <v>17</v>
      </c>
      <c r="B816" s="250" t="s">
        <v>819</v>
      </c>
      <c r="C816" s="250" t="s">
        <v>820</v>
      </c>
      <c r="D816" s="223" t="s">
        <v>821</v>
      </c>
      <c r="E816" s="250" t="s">
        <v>822</v>
      </c>
      <c r="F816" s="223" t="s">
        <v>823</v>
      </c>
      <c r="G816" s="250" t="s">
        <v>23</v>
      </c>
      <c r="H816" s="250" t="s">
        <v>1526</v>
      </c>
      <c r="I816" s="250">
        <v>201409</v>
      </c>
      <c r="J816" s="251">
        <v>-1563.62</v>
      </c>
      <c r="K816" s="171">
        <f t="shared" ref="K816:K821" si="90">VLOOKUP(I816,$T$9:$U$23,2)</f>
        <v>9</v>
      </c>
      <c r="L816" s="253">
        <v>1.4833299999999999E-3</v>
      </c>
      <c r="M816" s="251">
        <f t="shared" ref="M816:M821" si="91">ROUND(J816*K816*L816,2)</f>
        <v>-20.87</v>
      </c>
      <c r="N816" s="251">
        <f t="shared" ref="N816:N821" si="92">ROUND(J816*L816*12,2)</f>
        <v>-27.83</v>
      </c>
      <c r="O816" s="223"/>
      <c r="P816" s="210" t="str">
        <f>VLOOKUP(C816,'WO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16" s="210"/>
      <c r="R816" s="210"/>
    </row>
    <row r="817" spans="1:18" ht="150" outlineLevel="2">
      <c r="A817" s="223" t="s">
        <v>17</v>
      </c>
      <c r="B817" s="250" t="s">
        <v>819</v>
      </c>
      <c r="C817" s="250" t="s">
        <v>820</v>
      </c>
      <c r="D817" s="223" t="s">
        <v>821</v>
      </c>
      <c r="E817" s="250" t="s">
        <v>822</v>
      </c>
      <c r="F817" s="223" t="s">
        <v>823</v>
      </c>
      <c r="G817" s="250" t="s">
        <v>23</v>
      </c>
      <c r="H817" s="250" t="s">
        <v>1526</v>
      </c>
      <c r="I817" s="250">
        <v>201410</v>
      </c>
      <c r="J817" s="251">
        <v>-165.61</v>
      </c>
      <c r="K817" s="171">
        <f t="shared" si="90"/>
        <v>8</v>
      </c>
      <c r="L817" s="253">
        <v>1.4833299999999999E-3</v>
      </c>
      <c r="M817" s="251">
        <f t="shared" si="91"/>
        <v>-1.97</v>
      </c>
      <c r="N817" s="251">
        <f t="shared" si="92"/>
        <v>-2.95</v>
      </c>
      <c r="O817" s="223"/>
      <c r="P817" s="210" t="str">
        <f>VLOOKUP(C817,'WO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17" s="210"/>
      <c r="R817" s="210"/>
    </row>
    <row r="818" spans="1:18" ht="150" outlineLevel="2">
      <c r="A818" s="223" t="s">
        <v>17</v>
      </c>
      <c r="B818" s="250" t="s">
        <v>819</v>
      </c>
      <c r="C818" s="250" t="s">
        <v>820</v>
      </c>
      <c r="D818" s="223" t="s">
        <v>821</v>
      </c>
      <c r="E818" s="250" t="s">
        <v>822</v>
      </c>
      <c r="F818" s="223" t="s">
        <v>823</v>
      </c>
      <c r="G818" s="250" t="s">
        <v>23</v>
      </c>
      <c r="H818" s="250" t="s">
        <v>1526</v>
      </c>
      <c r="I818" s="250">
        <v>201411</v>
      </c>
      <c r="J818" s="251">
        <v>1769.72</v>
      </c>
      <c r="K818" s="171">
        <f t="shared" si="90"/>
        <v>7</v>
      </c>
      <c r="L818" s="253">
        <v>1.4833299999999999E-3</v>
      </c>
      <c r="M818" s="251">
        <f t="shared" si="91"/>
        <v>18.38</v>
      </c>
      <c r="N818" s="251">
        <f t="shared" si="92"/>
        <v>31.5</v>
      </c>
      <c r="O818" s="223"/>
      <c r="P818" s="210" t="str">
        <f>VLOOKUP(C818,'WO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18" s="210"/>
      <c r="R818" s="210"/>
    </row>
    <row r="819" spans="1:18" ht="150" outlineLevel="2">
      <c r="A819" s="223" t="s">
        <v>17</v>
      </c>
      <c r="B819" s="250" t="s">
        <v>819</v>
      </c>
      <c r="C819" s="250" t="s">
        <v>820</v>
      </c>
      <c r="D819" s="223" t="s">
        <v>821</v>
      </c>
      <c r="E819" s="250" t="s">
        <v>822</v>
      </c>
      <c r="F819" s="223" t="s">
        <v>823</v>
      </c>
      <c r="G819" s="250" t="s">
        <v>23</v>
      </c>
      <c r="H819" s="250" t="s">
        <v>1526</v>
      </c>
      <c r="I819" s="250">
        <v>201412</v>
      </c>
      <c r="J819" s="251">
        <v>-166.27</v>
      </c>
      <c r="K819" s="171">
        <f t="shared" si="90"/>
        <v>6</v>
      </c>
      <c r="L819" s="253">
        <v>1.4833299999999999E-3</v>
      </c>
      <c r="M819" s="251">
        <f t="shared" si="91"/>
        <v>-1.48</v>
      </c>
      <c r="N819" s="251">
        <f t="shared" si="92"/>
        <v>-2.96</v>
      </c>
      <c r="O819" s="223"/>
      <c r="P819" s="210" t="str">
        <f>VLOOKUP(C819,'WO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19" s="210"/>
      <c r="R819" s="210"/>
    </row>
    <row r="820" spans="1:18" ht="150" outlineLevel="2">
      <c r="A820" s="223" t="s">
        <v>17</v>
      </c>
      <c r="B820" s="250" t="s">
        <v>819</v>
      </c>
      <c r="C820" s="250" t="s">
        <v>820</v>
      </c>
      <c r="D820" s="223" t="s">
        <v>821</v>
      </c>
      <c r="E820" s="250" t="s">
        <v>822</v>
      </c>
      <c r="F820" s="223" t="s">
        <v>823</v>
      </c>
      <c r="G820" s="250" t="s">
        <v>23</v>
      </c>
      <c r="H820" s="250" t="s">
        <v>1526</v>
      </c>
      <c r="I820" s="250">
        <v>201501</v>
      </c>
      <c r="J820" s="251">
        <v>-2.89</v>
      </c>
      <c r="K820" s="171">
        <f t="shared" si="90"/>
        <v>5</v>
      </c>
      <c r="L820" s="253">
        <v>1.4833299999999999E-3</v>
      </c>
      <c r="M820" s="251">
        <f t="shared" si="91"/>
        <v>-0.02</v>
      </c>
      <c r="N820" s="251">
        <f t="shared" si="92"/>
        <v>-0.05</v>
      </c>
      <c r="O820" s="223"/>
      <c r="P820" s="210" t="str">
        <f>VLOOKUP(C820,'WO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20" s="210"/>
      <c r="R820" s="210"/>
    </row>
    <row r="821" spans="1:18" ht="150" outlineLevel="2">
      <c r="A821" s="223" t="s">
        <v>17</v>
      </c>
      <c r="B821" s="250" t="s">
        <v>819</v>
      </c>
      <c r="C821" s="250" t="s">
        <v>820</v>
      </c>
      <c r="D821" s="223" t="s">
        <v>821</v>
      </c>
      <c r="E821" s="250" t="s">
        <v>822</v>
      </c>
      <c r="F821" s="223" t="s">
        <v>823</v>
      </c>
      <c r="G821" s="250" t="s">
        <v>23</v>
      </c>
      <c r="H821" s="250" t="s">
        <v>1526</v>
      </c>
      <c r="I821" s="250">
        <v>201502</v>
      </c>
      <c r="J821" s="251">
        <v>-13.32</v>
      </c>
      <c r="K821" s="171">
        <f t="shared" si="90"/>
        <v>4</v>
      </c>
      <c r="L821" s="253">
        <v>1.4833299999999999E-3</v>
      </c>
      <c r="M821" s="251">
        <f t="shared" si="91"/>
        <v>-0.08</v>
      </c>
      <c r="N821" s="251">
        <f t="shared" si="92"/>
        <v>-0.24</v>
      </c>
      <c r="O821" s="223"/>
      <c r="P821" s="210" t="str">
        <f>VLOOKUP(C821,'WO Descriptions'!$A$5:$D$384,4,FALSE)</f>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
      <c r="Q821" s="210"/>
      <c r="R821" s="210"/>
    </row>
    <row r="822" spans="1:18" outlineLevel="1">
      <c r="A822" s="223"/>
      <c r="B822" s="250"/>
      <c r="C822" s="254" t="s">
        <v>2007</v>
      </c>
      <c r="D822" s="223"/>
      <c r="E822" s="250"/>
      <c r="F822" s="223"/>
      <c r="G822" s="250"/>
      <c r="H822" s="250"/>
      <c r="I822" s="250"/>
      <c r="J822" s="251">
        <f>SUBTOTAL(9,J816:J821)</f>
        <v>-141.98999999999998</v>
      </c>
      <c r="K822" s="252"/>
      <c r="L822" s="253"/>
      <c r="M822" s="251">
        <f>SUBTOTAL(9,M816:M821)</f>
        <v>-6.0400000000000009</v>
      </c>
      <c r="N822" s="251">
        <f>SUBTOTAL(9,N816:N821)</f>
        <v>-2.5299999999999976</v>
      </c>
      <c r="O822" s="223"/>
      <c r="P822" s="210"/>
      <c r="Q822" s="210" t="str">
        <f>VLOOKUP(C822,'Descriptions Sorted by WO '!$A$5:$S$977,18,FALSE)</f>
        <v>393.1009 (5) (C)</v>
      </c>
      <c r="R822" s="210"/>
    </row>
    <row r="823" spans="1:18" ht="60" outlineLevel="2">
      <c r="A823" s="223" t="s">
        <v>54</v>
      </c>
      <c r="B823" s="250" t="s">
        <v>824</v>
      </c>
      <c r="C823" s="250" t="s">
        <v>825</v>
      </c>
      <c r="D823" s="223" t="s">
        <v>826</v>
      </c>
      <c r="E823" s="250" t="s">
        <v>136</v>
      </c>
      <c r="F823" s="223" t="s">
        <v>137</v>
      </c>
      <c r="G823" s="250" t="s">
        <v>23</v>
      </c>
      <c r="H823" s="250" t="s">
        <v>1526</v>
      </c>
      <c r="I823" s="250">
        <v>201410</v>
      </c>
      <c r="J823" s="251">
        <v>6203.97</v>
      </c>
      <c r="K823" s="171">
        <f>VLOOKUP(I823,$T$9:$U$23,2)</f>
        <v>8</v>
      </c>
      <c r="L823" s="253">
        <v>1.4833299999999999E-3</v>
      </c>
      <c r="M823" s="251">
        <f>ROUND(J823*K823*L823,2)</f>
        <v>73.62</v>
      </c>
      <c r="N823" s="251">
        <f>ROUND(J823*L823*12,2)</f>
        <v>110.43</v>
      </c>
      <c r="O823" s="223"/>
      <c r="P823" s="210" t="str">
        <f>VLOOKUP(C823,'WO Descriptions'!$A$5:$D$384,4,FALSE)</f>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
      <c r="Q823" s="210"/>
      <c r="R823" s="210"/>
    </row>
    <row r="824" spans="1:18" outlineLevel="1">
      <c r="A824" s="223"/>
      <c r="B824" s="250"/>
      <c r="C824" s="254" t="s">
        <v>2008</v>
      </c>
      <c r="D824" s="223"/>
      <c r="E824" s="250"/>
      <c r="F824" s="223"/>
      <c r="G824" s="250"/>
      <c r="H824" s="250"/>
      <c r="I824" s="250"/>
      <c r="J824" s="251">
        <f>SUBTOTAL(9,J823:J823)</f>
        <v>6203.97</v>
      </c>
      <c r="K824" s="252"/>
      <c r="L824" s="253"/>
      <c r="M824" s="251">
        <f>SUBTOTAL(9,M823:M823)</f>
        <v>73.62</v>
      </c>
      <c r="N824" s="251">
        <f>SUBTOTAL(9,N823:N823)</f>
        <v>110.43</v>
      </c>
      <c r="O824" s="223"/>
      <c r="P824" s="210"/>
      <c r="Q824" s="210" t="str">
        <f>VLOOKUP(C824,'Descriptions Sorted by WO '!$A$5:$S$977,18,FALSE)</f>
        <v>393.1009 (5) (C)</v>
      </c>
      <c r="R824" s="210"/>
    </row>
    <row r="825" spans="1:18" ht="45" outlineLevel="2">
      <c r="A825" s="223" t="s">
        <v>54</v>
      </c>
      <c r="B825" s="250" t="s">
        <v>827</v>
      </c>
      <c r="C825" s="250" t="s">
        <v>828</v>
      </c>
      <c r="D825" s="223" t="s">
        <v>829</v>
      </c>
      <c r="E825" s="250" t="s">
        <v>62</v>
      </c>
      <c r="F825" s="223" t="s">
        <v>22</v>
      </c>
      <c r="G825" s="250" t="s">
        <v>23</v>
      </c>
      <c r="H825" s="250" t="s">
        <v>1525</v>
      </c>
      <c r="I825" s="250">
        <v>201409</v>
      </c>
      <c r="J825" s="251">
        <v>-72.66</v>
      </c>
      <c r="K825" s="171">
        <f>VLOOKUP(I825,$T$9:$U$23,2)</f>
        <v>9</v>
      </c>
      <c r="L825" s="253">
        <v>1.4833299999999999E-3</v>
      </c>
      <c r="M825" s="251">
        <f>ROUND(J825*K825*L825,2)</f>
        <v>-0.97</v>
      </c>
      <c r="N825" s="251">
        <f>ROUND(J825*L825*12,2)</f>
        <v>-1.29</v>
      </c>
      <c r="O825" s="223"/>
      <c r="P825" s="210" t="str">
        <f>VLOOKUP(C825,'WO Descriptions'!$A$5:$D$384,4,FALSE)</f>
        <v>Approved by: Ralph Janes on 04/04/2014,  Replace and abandon 520' - 2" pbs main (Work order unknown 1940) by installing 130' - 2" pe to clear 2 active leaks and due to condition of pipe.  (ISRS)</v>
      </c>
      <c r="Q825" s="210"/>
      <c r="R825" s="210"/>
    </row>
    <row r="826" spans="1:18" ht="45" outlineLevel="2">
      <c r="A826" s="223" t="s">
        <v>54</v>
      </c>
      <c r="B826" s="250" t="s">
        <v>827</v>
      </c>
      <c r="C826" s="250" t="s">
        <v>828</v>
      </c>
      <c r="D826" s="223" t="s">
        <v>829</v>
      </c>
      <c r="E826" s="250" t="s">
        <v>62</v>
      </c>
      <c r="F826" s="223" t="s">
        <v>22</v>
      </c>
      <c r="G826" s="250" t="s">
        <v>23</v>
      </c>
      <c r="H826" s="250" t="s">
        <v>1525</v>
      </c>
      <c r="I826" s="250">
        <v>201410</v>
      </c>
      <c r="J826" s="251">
        <v>0</v>
      </c>
      <c r="K826" s="171">
        <f>VLOOKUP(I826,$T$9:$U$23,2)</f>
        <v>8</v>
      </c>
      <c r="L826" s="253">
        <v>1.4833299999999999E-3</v>
      </c>
      <c r="M826" s="251">
        <f>ROUND(J826*K826*L826,2)</f>
        <v>0</v>
      </c>
      <c r="N826" s="251">
        <f>ROUND(J826*L826*12,2)</f>
        <v>0</v>
      </c>
      <c r="O826" s="223"/>
      <c r="P826" s="210" t="str">
        <f>VLOOKUP(C826,'WO Descriptions'!$A$5:$D$384,4,FALSE)</f>
        <v>Approved by: Ralph Janes on 04/04/2014,  Replace and abandon 520' - 2" pbs main (Work order unknown 1940) by installing 130' - 2" pe to clear 2 active leaks and due to condition of pipe.  (ISRS)</v>
      </c>
      <c r="Q826" s="210"/>
      <c r="R826" s="210"/>
    </row>
    <row r="827" spans="1:18" outlineLevel="1">
      <c r="A827" s="223"/>
      <c r="B827" s="250"/>
      <c r="C827" s="254" t="s">
        <v>2009</v>
      </c>
      <c r="D827" s="223"/>
      <c r="E827" s="250"/>
      <c r="F827" s="223"/>
      <c r="G827" s="250"/>
      <c r="H827" s="250"/>
      <c r="I827" s="250"/>
      <c r="J827" s="251">
        <f>SUBTOTAL(9,J825:J826)</f>
        <v>-72.66</v>
      </c>
      <c r="K827" s="252"/>
      <c r="L827" s="253"/>
      <c r="M827" s="251">
        <f>SUBTOTAL(9,M825:M826)</f>
        <v>-0.97</v>
      </c>
      <c r="N827" s="251">
        <f>SUBTOTAL(9,N825:N826)</f>
        <v>-1.29</v>
      </c>
      <c r="O827" s="223"/>
      <c r="P827" s="210"/>
      <c r="Q827" s="210" t="str">
        <f>VLOOKUP(C827,'Descriptions Sorted by WO '!$A$5:$S$977,18,FALSE)</f>
        <v>393.1009 (5) (a) (b)</v>
      </c>
      <c r="R827" s="210" t="str">
        <f>VLOOKUP(C827,'Descriptions Sorted by WO '!$A$5:$S$977,19,FALSE)</f>
        <v>A,B,C</v>
      </c>
    </row>
    <row r="828" spans="1:18" ht="60" outlineLevel="2">
      <c r="A828" s="223" t="s">
        <v>54</v>
      </c>
      <c r="B828" s="250" t="s">
        <v>830</v>
      </c>
      <c r="C828" s="250" t="s">
        <v>831</v>
      </c>
      <c r="D828" s="223" t="s">
        <v>832</v>
      </c>
      <c r="E828" s="250" t="s">
        <v>62</v>
      </c>
      <c r="F828" s="223" t="s">
        <v>22</v>
      </c>
      <c r="G828" s="250" t="s">
        <v>23</v>
      </c>
      <c r="H828" s="250" t="s">
        <v>1525</v>
      </c>
      <c r="I828" s="250">
        <v>201411</v>
      </c>
      <c r="J828" s="251">
        <v>35798.080000000002</v>
      </c>
      <c r="K828" s="171">
        <f>VLOOKUP(I828,$T$9:$U$23,2)</f>
        <v>7</v>
      </c>
      <c r="L828" s="253">
        <v>1.4833299999999999E-3</v>
      </c>
      <c r="M828" s="251">
        <f>ROUND(J828*K828*L828,2)</f>
        <v>371.7</v>
      </c>
      <c r="N828" s="251">
        <f>ROUND(J828*L828*12,2)</f>
        <v>637.20000000000005</v>
      </c>
      <c r="O828" s="223"/>
      <c r="P828" s="210" t="str">
        <f>VLOOKUP(C828,'WO Descriptions'!$A$5:$D$384,4,FALSE)</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c r="Q828" s="210"/>
      <c r="R828" s="210"/>
    </row>
    <row r="829" spans="1:18" ht="60" outlineLevel="2">
      <c r="A829" s="223" t="s">
        <v>54</v>
      </c>
      <c r="B829" s="250" t="s">
        <v>830</v>
      </c>
      <c r="C829" s="250" t="s">
        <v>831</v>
      </c>
      <c r="D829" s="223" t="s">
        <v>832</v>
      </c>
      <c r="E829" s="250" t="s">
        <v>62</v>
      </c>
      <c r="F829" s="223" t="s">
        <v>22</v>
      </c>
      <c r="G829" s="250" t="s">
        <v>23</v>
      </c>
      <c r="H829" s="250" t="s">
        <v>1525</v>
      </c>
      <c r="I829" s="250">
        <v>201412</v>
      </c>
      <c r="J829" s="251">
        <v>-96.51</v>
      </c>
      <c r="K829" s="171">
        <f>VLOOKUP(I829,$T$9:$U$23,2)</f>
        <v>6</v>
      </c>
      <c r="L829" s="253">
        <v>1.4833299999999999E-3</v>
      </c>
      <c r="M829" s="251">
        <f>ROUND(J829*K829*L829,2)</f>
        <v>-0.86</v>
      </c>
      <c r="N829" s="251">
        <f>ROUND(J829*L829*12,2)</f>
        <v>-1.72</v>
      </c>
      <c r="O829" s="223"/>
      <c r="P829" s="210" t="str">
        <f>VLOOKUP(C829,'WO Descriptions'!$A$5:$D$384,4,FALSE)</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c r="Q829" s="210"/>
      <c r="R829" s="210"/>
    </row>
    <row r="830" spans="1:18" ht="60" outlineLevel="2">
      <c r="A830" s="223" t="s">
        <v>54</v>
      </c>
      <c r="B830" s="250" t="s">
        <v>830</v>
      </c>
      <c r="C830" s="250" t="s">
        <v>831</v>
      </c>
      <c r="D830" s="223" t="s">
        <v>832</v>
      </c>
      <c r="E830" s="250" t="s">
        <v>62</v>
      </c>
      <c r="F830" s="223" t="s">
        <v>22</v>
      </c>
      <c r="G830" s="250" t="s">
        <v>23</v>
      </c>
      <c r="H830" s="250" t="s">
        <v>1525</v>
      </c>
      <c r="I830" s="250">
        <v>201501</v>
      </c>
      <c r="J830" s="251">
        <v>3752</v>
      </c>
      <c r="K830" s="171">
        <f>VLOOKUP(I830,$T$9:$U$23,2)</f>
        <v>5</v>
      </c>
      <c r="L830" s="253">
        <v>1.4833299999999999E-3</v>
      </c>
      <c r="M830" s="251">
        <f>ROUND(J830*K830*L830,2)</f>
        <v>27.83</v>
      </c>
      <c r="N830" s="251">
        <f>ROUND(J830*L830*12,2)</f>
        <v>66.790000000000006</v>
      </c>
      <c r="O830" s="223"/>
      <c r="P830" s="210" t="str">
        <f>VLOOKUP(C830,'WO Descriptions'!$A$5:$D$384,4,FALSE)</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c r="Q830" s="210"/>
      <c r="R830" s="210"/>
    </row>
    <row r="831" spans="1:18" ht="60" outlineLevel="2">
      <c r="A831" s="223" t="s">
        <v>54</v>
      </c>
      <c r="B831" s="250" t="s">
        <v>830</v>
      </c>
      <c r="C831" s="250" t="s">
        <v>831</v>
      </c>
      <c r="D831" s="223" t="s">
        <v>832</v>
      </c>
      <c r="E831" s="250" t="s">
        <v>62</v>
      </c>
      <c r="F831" s="223" t="s">
        <v>22</v>
      </c>
      <c r="G831" s="250" t="s">
        <v>23</v>
      </c>
      <c r="H831" s="250" t="s">
        <v>1525</v>
      </c>
      <c r="I831" s="250">
        <v>201502</v>
      </c>
      <c r="J831" s="251">
        <v>-70.510000000000005</v>
      </c>
      <c r="K831" s="171">
        <f>VLOOKUP(I831,$T$9:$U$23,2)</f>
        <v>4</v>
      </c>
      <c r="L831" s="253">
        <v>1.4833299999999999E-3</v>
      </c>
      <c r="M831" s="251">
        <f>ROUND(J831*K831*L831,2)</f>
        <v>-0.42</v>
      </c>
      <c r="N831" s="251">
        <f>ROUND(J831*L831*12,2)</f>
        <v>-1.26</v>
      </c>
      <c r="O831" s="223"/>
      <c r="P831" s="210" t="str">
        <f>VLOOKUP(C831,'WO Descriptions'!$A$5:$D$384,4,FALSE)</f>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
      <c r="Q831" s="210"/>
      <c r="R831" s="210"/>
    </row>
    <row r="832" spans="1:18" outlineLevel="1">
      <c r="A832" s="223"/>
      <c r="B832" s="250"/>
      <c r="C832" s="254" t="s">
        <v>2010</v>
      </c>
      <c r="D832" s="223"/>
      <c r="E832" s="250"/>
      <c r="F832" s="223"/>
      <c r="G832" s="250"/>
      <c r="H832" s="250"/>
      <c r="I832" s="250"/>
      <c r="J832" s="251">
        <f>SUBTOTAL(9,J828:J831)</f>
        <v>39383.06</v>
      </c>
      <c r="K832" s="252"/>
      <c r="L832" s="253"/>
      <c r="M832" s="251">
        <f>SUBTOTAL(9,M828:M831)</f>
        <v>398.24999999999994</v>
      </c>
      <c r="N832" s="251">
        <f>SUBTOTAL(9,N828:N831)</f>
        <v>701.01</v>
      </c>
      <c r="O832" s="223"/>
      <c r="P832" s="210"/>
      <c r="Q832" s="210" t="str">
        <f>VLOOKUP(C832,'Descriptions Sorted by WO '!$A$5:$S$977,18,FALSE)</f>
        <v>393.1009 (5) (a) (b)</v>
      </c>
      <c r="R832" s="210" t="str">
        <f>VLOOKUP(C832,'Descriptions Sorted by WO '!$A$5:$S$977,19,FALSE)</f>
        <v>A,B,C</v>
      </c>
    </row>
    <row r="833" spans="1:18" ht="45" outlineLevel="2">
      <c r="A833" s="223" t="s">
        <v>66</v>
      </c>
      <c r="B833" s="250" t="s">
        <v>833</v>
      </c>
      <c r="C833" s="250" t="s">
        <v>834</v>
      </c>
      <c r="D833" s="223" t="s">
        <v>835</v>
      </c>
      <c r="E833" s="250" t="s">
        <v>40</v>
      </c>
      <c r="F833" s="223" t="s">
        <v>41</v>
      </c>
      <c r="G833" s="250" t="s">
        <v>23</v>
      </c>
      <c r="H833" s="250" t="s">
        <v>1526</v>
      </c>
      <c r="I833" s="250">
        <v>201409</v>
      </c>
      <c r="J833" s="251">
        <v>-307.58</v>
      </c>
      <c r="K833" s="171">
        <f>VLOOKUP(I833,$T$9:$U$23,2)</f>
        <v>9</v>
      </c>
      <c r="L833" s="253">
        <v>2.23333E-3</v>
      </c>
      <c r="M833" s="251">
        <f>ROUND(J833*K833*L833,2)</f>
        <v>-6.18</v>
      </c>
      <c r="N833" s="251">
        <f>ROUND(J833*L833*12,2)</f>
        <v>-8.24</v>
      </c>
      <c r="O833" s="223"/>
      <c r="P833" s="210" t="str">
        <f>VLOOKUP(C833,'WO Descriptions'!$A$5:$D$384,4,FALSE)</f>
        <v>Approved by: Kevin Driskell on 04/04/2014,  (ISRS)  Replace and extend 8in steel service for 911 Main Street to new main location on WO 13-2400 (Streetcar Phase 2).  Location of valve for service to be determined in field.</v>
      </c>
      <c r="Q833" s="210"/>
      <c r="R833" s="210"/>
    </row>
    <row r="834" spans="1:18" outlineLevel="1">
      <c r="A834" s="223"/>
      <c r="B834" s="250"/>
      <c r="C834" s="254" t="s">
        <v>2011</v>
      </c>
      <c r="D834" s="223"/>
      <c r="E834" s="250"/>
      <c r="F834" s="223"/>
      <c r="G834" s="250"/>
      <c r="H834" s="250"/>
      <c r="I834" s="250"/>
      <c r="J834" s="251">
        <f>SUBTOTAL(9,J833:J833)</f>
        <v>-307.58</v>
      </c>
      <c r="K834" s="252"/>
      <c r="L834" s="253"/>
      <c r="M834" s="251">
        <f>SUBTOTAL(9,M833:M833)</f>
        <v>-6.18</v>
      </c>
      <c r="N834" s="251">
        <f>SUBTOTAL(9,N833:N833)</f>
        <v>-8.24</v>
      </c>
      <c r="O834" s="223"/>
      <c r="P834" s="210"/>
      <c r="Q834" s="210" t="str">
        <f>VLOOKUP(C834,'Descriptions Sorted by WO '!$A$5:$S$977,18,FALSE)</f>
        <v>393.1009 (5) (C)</v>
      </c>
      <c r="R834" s="210"/>
    </row>
    <row r="835" spans="1:18" ht="60" outlineLevel="2">
      <c r="A835" s="223" t="s">
        <v>54</v>
      </c>
      <c r="B835" s="250" t="s">
        <v>836</v>
      </c>
      <c r="C835" s="250" t="s">
        <v>837</v>
      </c>
      <c r="D835" s="223" t="s">
        <v>838</v>
      </c>
      <c r="E835" s="250" t="s">
        <v>21</v>
      </c>
      <c r="F835" s="223" t="s">
        <v>22</v>
      </c>
      <c r="G835" s="250" t="s">
        <v>23</v>
      </c>
      <c r="H835" s="250" t="s">
        <v>1525</v>
      </c>
      <c r="I835" s="250">
        <v>201409</v>
      </c>
      <c r="J835" s="251">
        <v>-828.96</v>
      </c>
      <c r="K835" s="171">
        <f>VLOOKUP(I835,$T$9:$U$23,2)</f>
        <v>9</v>
      </c>
      <c r="L835" s="253">
        <v>1.4833299999999999E-3</v>
      </c>
      <c r="M835" s="251">
        <f>ROUND(J835*K835*L835,2)</f>
        <v>-11.07</v>
      </c>
      <c r="N835" s="251">
        <f>ROUND(J835*L835*12,2)</f>
        <v>-14.76</v>
      </c>
      <c r="O835" s="223"/>
      <c r="P835" s="210" t="str">
        <f>VLOOKUP(C835,'WO Descriptions'!$A$5:$D$384,4,FALSE)</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c r="Q835" s="210"/>
      <c r="R835" s="210"/>
    </row>
    <row r="836" spans="1:18" ht="60" outlineLevel="2">
      <c r="A836" s="223" t="s">
        <v>54</v>
      </c>
      <c r="B836" s="250" t="s">
        <v>836</v>
      </c>
      <c r="C836" s="250" t="s">
        <v>837</v>
      </c>
      <c r="D836" s="223" t="s">
        <v>838</v>
      </c>
      <c r="E836" s="250" t="s">
        <v>21</v>
      </c>
      <c r="F836" s="223" t="s">
        <v>22</v>
      </c>
      <c r="G836" s="250" t="s">
        <v>23</v>
      </c>
      <c r="H836" s="250" t="s">
        <v>1525</v>
      </c>
      <c r="I836" s="250">
        <v>201410</v>
      </c>
      <c r="J836" s="251">
        <v>-81.62</v>
      </c>
      <c r="K836" s="171">
        <f>VLOOKUP(I836,$T$9:$U$23,2)</f>
        <v>8</v>
      </c>
      <c r="L836" s="253">
        <v>1.4833299999999999E-3</v>
      </c>
      <c r="M836" s="251">
        <f>ROUND(J836*K836*L836,2)</f>
        <v>-0.97</v>
      </c>
      <c r="N836" s="251">
        <f>ROUND(J836*L836*12,2)</f>
        <v>-1.45</v>
      </c>
      <c r="O836" s="223"/>
      <c r="P836" s="210" t="str">
        <f>VLOOKUP(C836,'WO Descriptions'!$A$5:$D$384,4,FALSE)</f>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
      <c r="Q836" s="210"/>
      <c r="R836" s="210"/>
    </row>
    <row r="837" spans="1:18" outlineLevel="1">
      <c r="A837" s="223"/>
      <c r="B837" s="250"/>
      <c r="C837" s="254" t="s">
        <v>2012</v>
      </c>
      <c r="D837" s="223"/>
      <c r="E837" s="250"/>
      <c r="F837" s="223"/>
      <c r="G837" s="250"/>
      <c r="H837" s="250"/>
      <c r="I837" s="250"/>
      <c r="J837" s="251">
        <f>SUBTOTAL(9,J835:J836)</f>
        <v>-910.58</v>
      </c>
      <c r="K837" s="252"/>
      <c r="L837" s="253"/>
      <c r="M837" s="251">
        <f>SUBTOTAL(9,M835:M836)</f>
        <v>-12.040000000000001</v>
      </c>
      <c r="N837" s="251">
        <f>SUBTOTAL(9,N835:N836)</f>
        <v>-16.21</v>
      </c>
      <c r="O837" s="223"/>
      <c r="P837" s="210"/>
      <c r="Q837" s="210" t="str">
        <f>VLOOKUP(C837,'Descriptions Sorted by WO '!$A$5:$S$977,18,FALSE)</f>
        <v>393.1009 (5) (a) (b)</v>
      </c>
      <c r="R837" s="210" t="str">
        <f>VLOOKUP(C837,'Descriptions Sorted by WO '!$A$5:$S$977,19,FALSE)</f>
        <v>A,B,C</v>
      </c>
    </row>
    <row r="838" spans="1:18" ht="30" outlineLevel="2">
      <c r="A838" s="223" t="s">
        <v>66</v>
      </c>
      <c r="B838" s="250" t="s">
        <v>839</v>
      </c>
      <c r="C838" s="250" t="s">
        <v>840</v>
      </c>
      <c r="D838" s="223" t="s">
        <v>841</v>
      </c>
      <c r="E838" s="250" t="s">
        <v>842</v>
      </c>
      <c r="F838" s="223" t="s">
        <v>624</v>
      </c>
      <c r="G838" s="250" t="s">
        <v>23</v>
      </c>
      <c r="H838" s="250" t="s">
        <v>1527</v>
      </c>
      <c r="I838" s="250">
        <v>201409</v>
      </c>
      <c r="J838" s="251">
        <v>-113.44</v>
      </c>
      <c r="K838" s="171">
        <f>VLOOKUP(I838,$T$9:$U$23,2)</f>
        <v>9</v>
      </c>
      <c r="L838" s="253">
        <v>2.23333E-3</v>
      </c>
      <c r="M838" s="251">
        <f>ROUND(J838*K838*L838,2)</f>
        <v>-2.2799999999999998</v>
      </c>
      <c r="N838" s="251">
        <f>ROUND(J838*L838*12,2)</f>
        <v>-3.04</v>
      </c>
      <c r="O838" s="223"/>
      <c r="P838" s="210" t="str">
        <f>VLOOKUP(C838,'WO Descriptions'!$A$5:$D$384,4,FALSE)</f>
        <v>Approved by: Kevin Driskell on 04/08/2014,  REPLACING 160ft-2in cs service line with 2in pe service line. Due to leak on service line.</v>
      </c>
      <c r="Q838" s="210"/>
      <c r="R838" s="210"/>
    </row>
    <row r="839" spans="1:18" outlineLevel="1">
      <c r="A839" s="223"/>
      <c r="B839" s="250"/>
      <c r="C839" s="254" t="s">
        <v>2013</v>
      </c>
      <c r="D839" s="223"/>
      <c r="E839" s="250"/>
      <c r="F839" s="223"/>
      <c r="G839" s="250"/>
      <c r="H839" s="250"/>
      <c r="I839" s="250"/>
      <c r="J839" s="251">
        <f>SUBTOTAL(9,J838:J838)</f>
        <v>-113.44</v>
      </c>
      <c r="K839" s="252"/>
      <c r="L839" s="253"/>
      <c r="M839" s="251">
        <f>SUBTOTAL(9,M838:M838)</f>
        <v>-2.2799999999999998</v>
      </c>
      <c r="N839" s="251">
        <f>SUBTOTAL(9,N838:N838)</f>
        <v>-3.04</v>
      </c>
      <c r="O839" s="223"/>
      <c r="P839" s="210"/>
      <c r="Q839" s="210" t="str">
        <f>VLOOKUP(C839,'Descriptions Sorted by WO '!$A$5:$S$977,18,FALSE)</f>
        <v>393.1009 (5) (a) (b)</v>
      </c>
      <c r="R839" s="210" t="str">
        <f>VLOOKUP(C839,'Descriptions Sorted by WO '!$A$5:$S$977,19,FALSE)</f>
        <v>A,B,D</v>
      </c>
    </row>
    <row r="840" spans="1:18" ht="30" outlineLevel="2">
      <c r="A840" s="223" t="s">
        <v>17</v>
      </c>
      <c r="B840" s="250" t="s">
        <v>843</v>
      </c>
      <c r="C840" s="250" t="s">
        <v>844</v>
      </c>
      <c r="D840" s="223" t="s">
        <v>845</v>
      </c>
      <c r="E840" s="250" t="s">
        <v>45</v>
      </c>
      <c r="F840" s="223" t="s">
        <v>22</v>
      </c>
      <c r="G840" s="250" t="s">
        <v>23</v>
      </c>
      <c r="H840" s="250" t="s">
        <v>1525</v>
      </c>
      <c r="I840" s="250">
        <v>201409</v>
      </c>
      <c r="J840" s="251">
        <v>149.26</v>
      </c>
      <c r="K840" s="171">
        <f t="shared" ref="K840:K845" si="93">VLOOKUP(I840,$T$9:$U$23,2)</f>
        <v>9</v>
      </c>
      <c r="L840" s="253">
        <v>1.4833299999999999E-3</v>
      </c>
      <c r="M840" s="251">
        <f t="shared" ref="M840:M845" si="94">ROUND(J840*K840*L840,2)</f>
        <v>1.99</v>
      </c>
      <c r="N840" s="251">
        <f t="shared" ref="N840:N845" si="95">ROUND(J840*L840*12,2)</f>
        <v>2.66</v>
      </c>
      <c r="O840" s="223"/>
      <c r="P840" s="210" t="str">
        <f>VLOOKUP(C840,'WO Descriptions'!$A$5:$D$384,4,FALSE)</f>
        <v>Approved by: Kevin Driskell on 04/07/2014,  Replace 3in and 2in PBS due to leak.  Lay 10'-3in thin film and 14'-2in thin film.  Work done by MGE crew.Original JO 7740C &amp; 7740B, year 1949</v>
      </c>
      <c r="Q840" s="210"/>
      <c r="R840" s="210"/>
    </row>
    <row r="841" spans="1:18" ht="30" outlineLevel="2">
      <c r="A841" s="223" t="s">
        <v>17</v>
      </c>
      <c r="B841" s="250" t="s">
        <v>843</v>
      </c>
      <c r="C841" s="250" t="s">
        <v>844</v>
      </c>
      <c r="D841" s="223" t="s">
        <v>845</v>
      </c>
      <c r="E841" s="250" t="s">
        <v>45</v>
      </c>
      <c r="F841" s="223" t="s">
        <v>22</v>
      </c>
      <c r="G841" s="250" t="s">
        <v>23</v>
      </c>
      <c r="H841" s="250" t="s">
        <v>1525</v>
      </c>
      <c r="I841" s="250">
        <v>201410</v>
      </c>
      <c r="J841" s="251">
        <v>1828.42</v>
      </c>
      <c r="K841" s="171">
        <f t="shared" si="93"/>
        <v>8</v>
      </c>
      <c r="L841" s="253">
        <v>1.4833299999999999E-3</v>
      </c>
      <c r="M841" s="251">
        <f t="shared" si="94"/>
        <v>21.7</v>
      </c>
      <c r="N841" s="251">
        <f t="shared" si="95"/>
        <v>32.549999999999997</v>
      </c>
      <c r="O841" s="223"/>
      <c r="P841" s="210" t="str">
        <f>VLOOKUP(C841,'WO Descriptions'!$A$5:$D$384,4,FALSE)</f>
        <v>Approved by: Kevin Driskell on 04/07/2014,  Replace 3in and 2in PBS due to leak.  Lay 10'-3in thin film and 14'-2in thin film.  Work done by MGE crew.Original JO 7740C &amp; 7740B, year 1949</v>
      </c>
      <c r="Q841" s="210"/>
      <c r="R841" s="210"/>
    </row>
    <row r="842" spans="1:18" ht="30" outlineLevel="2">
      <c r="A842" s="223" t="s">
        <v>17</v>
      </c>
      <c r="B842" s="250" t="s">
        <v>843</v>
      </c>
      <c r="C842" s="250" t="s">
        <v>844</v>
      </c>
      <c r="D842" s="223" t="s">
        <v>845</v>
      </c>
      <c r="E842" s="250" t="s">
        <v>45</v>
      </c>
      <c r="F842" s="223" t="s">
        <v>22</v>
      </c>
      <c r="G842" s="250" t="s">
        <v>23</v>
      </c>
      <c r="H842" s="250" t="s">
        <v>1525</v>
      </c>
      <c r="I842" s="250">
        <v>201411</v>
      </c>
      <c r="J842" s="251">
        <v>-85.84</v>
      </c>
      <c r="K842" s="171">
        <f t="shared" si="93"/>
        <v>7</v>
      </c>
      <c r="L842" s="253">
        <v>1.4833299999999999E-3</v>
      </c>
      <c r="M842" s="251">
        <f t="shared" si="94"/>
        <v>-0.89</v>
      </c>
      <c r="N842" s="251">
        <f t="shared" si="95"/>
        <v>-1.53</v>
      </c>
      <c r="O842" s="223"/>
      <c r="P842" s="210" t="str">
        <f>VLOOKUP(C842,'WO Descriptions'!$A$5:$D$384,4,FALSE)</f>
        <v>Approved by: Kevin Driskell on 04/07/2014,  Replace 3in and 2in PBS due to leak.  Lay 10'-3in thin film and 14'-2in thin film.  Work done by MGE crew.Original JO 7740C &amp; 7740B, year 1949</v>
      </c>
      <c r="Q842" s="210"/>
      <c r="R842" s="210"/>
    </row>
    <row r="843" spans="1:18" ht="30" outlineLevel="2">
      <c r="A843" s="223" t="s">
        <v>17</v>
      </c>
      <c r="B843" s="250" t="s">
        <v>843</v>
      </c>
      <c r="C843" s="250" t="s">
        <v>844</v>
      </c>
      <c r="D843" s="223" t="s">
        <v>845</v>
      </c>
      <c r="E843" s="250" t="s">
        <v>45</v>
      </c>
      <c r="F843" s="223" t="s">
        <v>22</v>
      </c>
      <c r="G843" s="250" t="s">
        <v>23</v>
      </c>
      <c r="H843" s="250" t="s">
        <v>1525</v>
      </c>
      <c r="I843" s="250">
        <v>201412</v>
      </c>
      <c r="J843" s="251">
        <v>-122.95</v>
      </c>
      <c r="K843" s="171">
        <f t="shared" si="93"/>
        <v>6</v>
      </c>
      <c r="L843" s="253">
        <v>1.4833299999999999E-3</v>
      </c>
      <c r="M843" s="251">
        <f t="shared" si="94"/>
        <v>-1.0900000000000001</v>
      </c>
      <c r="N843" s="251">
        <f t="shared" si="95"/>
        <v>-2.19</v>
      </c>
      <c r="O843" s="223"/>
      <c r="P843" s="210" t="str">
        <f>VLOOKUP(C843,'WO Descriptions'!$A$5:$D$384,4,FALSE)</f>
        <v>Approved by: Kevin Driskell on 04/07/2014,  Replace 3in and 2in PBS due to leak.  Lay 10'-3in thin film and 14'-2in thin film.  Work done by MGE crew.Original JO 7740C &amp; 7740B, year 1949</v>
      </c>
      <c r="Q843" s="210"/>
      <c r="R843" s="210"/>
    </row>
    <row r="844" spans="1:18" ht="30" outlineLevel="2">
      <c r="A844" s="223" t="s">
        <v>17</v>
      </c>
      <c r="B844" s="250" t="s">
        <v>843</v>
      </c>
      <c r="C844" s="250" t="s">
        <v>844</v>
      </c>
      <c r="D844" s="223" t="s">
        <v>845</v>
      </c>
      <c r="E844" s="250" t="s">
        <v>45</v>
      </c>
      <c r="F844" s="223" t="s">
        <v>22</v>
      </c>
      <c r="G844" s="250" t="s">
        <v>23</v>
      </c>
      <c r="H844" s="250" t="s">
        <v>1525</v>
      </c>
      <c r="I844" s="250">
        <v>201501</v>
      </c>
      <c r="J844" s="251">
        <v>-3.48</v>
      </c>
      <c r="K844" s="171">
        <f t="shared" si="93"/>
        <v>5</v>
      </c>
      <c r="L844" s="253">
        <v>1.4833299999999999E-3</v>
      </c>
      <c r="M844" s="251">
        <f t="shared" si="94"/>
        <v>-0.03</v>
      </c>
      <c r="N844" s="251">
        <f t="shared" si="95"/>
        <v>-0.06</v>
      </c>
      <c r="O844" s="223"/>
      <c r="P844" s="210" t="str">
        <f>VLOOKUP(C844,'WO Descriptions'!$A$5:$D$384,4,FALSE)</f>
        <v>Approved by: Kevin Driskell on 04/07/2014,  Replace 3in and 2in PBS due to leak.  Lay 10'-3in thin film and 14'-2in thin film.  Work done by MGE crew.Original JO 7740C &amp; 7740B, year 1949</v>
      </c>
      <c r="Q844" s="210"/>
      <c r="R844" s="210"/>
    </row>
    <row r="845" spans="1:18" ht="30" outlineLevel="2">
      <c r="A845" s="223" t="s">
        <v>17</v>
      </c>
      <c r="B845" s="250" t="s">
        <v>843</v>
      </c>
      <c r="C845" s="250" t="s">
        <v>844</v>
      </c>
      <c r="D845" s="223" t="s">
        <v>845</v>
      </c>
      <c r="E845" s="250" t="s">
        <v>45</v>
      </c>
      <c r="F845" s="223" t="s">
        <v>22</v>
      </c>
      <c r="G845" s="250" t="s">
        <v>23</v>
      </c>
      <c r="H845" s="250" t="s">
        <v>1525</v>
      </c>
      <c r="I845" s="250">
        <v>201502</v>
      </c>
      <c r="J845" s="251">
        <v>-13.96</v>
      </c>
      <c r="K845" s="171">
        <f t="shared" si="93"/>
        <v>4</v>
      </c>
      <c r="L845" s="253">
        <v>1.4833299999999999E-3</v>
      </c>
      <c r="M845" s="251">
        <f t="shared" si="94"/>
        <v>-0.08</v>
      </c>
      <c r="N845" s="251">
        <f t="shared" si="95"/>
        <v>-0.25</v>
      </c>
      <c r="O845" s="223"/>
      <c r="P845" s="210" t="str">
        <f>VLOOKUP(C845,'WO Descriptions'!$A$5:$D$384,4,FALSE)</f>
        <v>Approved by: Kevin Driskell on 04/07/2014,  Replace 3in and 2in PBS due to leak.  Lay 10'-3in thin film and 14'-2in thin film.  Work done by MGE crew.Original JO 7740C &amp; 7740B, year 1949</v>
      </c>
      <c r="Q845" s="210"/>
      <c r="R845" s="210"/>
    </row>
    <row r="846" spans="1:18" outlineLevel="1">
      <c r="A846" s="223"/>
      <c r="B846" s="250"/>
      <c r="C846" s="254" t="s">
        <v>2014</v>
      </c>
      <c r="D846" s="223"/>
      <c r="E846" s="250"/>
      <c r="F846" s="223"/>
      <c r="G846" s="250"/>
      <c r="H846" s="250"/>
      <c r="I846" s="250"/>
      <c r="J846" s="251">
        <f>SUBTOTAL(9,J840:J845)</f>
        <v>1751.45</v>
      </c>
      <c r="K846" s="252"/>
      <c r="L846" s="253"/>
      <c r="M846" s="251">
        <f>SUBTOTAL(9,M840:M845)</f>
        <v>21.599999999999998</v>
      </c>
      <c r="N846" s="251">
        <f>SUBTOTAL(9,N840:N845)</f>
        <v>31.179999999999993</v>
      </c>
      <c r="O846" s="223"/>
      <c r="P846" s="210"/>
      <c r="Q846" s="210" t="str">
        <f>VLOOKUP(C846,'Descriptions Sorted by WO '!$A$5:$S$977,18,FALSE)</f>
        <v>393.1009 (5) (a) (b)</v>
      </c>
      <c r="R846" s="210" t="str">
        <f>VLOOKUP(C846,'Descriptions Sorted by WO '!$A$5:$S$977,19,FALSE)</f>
        <v>A,B,C</v>
      </c>
    </row>
    <row r="847" spans="1:18" ht="135" outlineLevel="2">
      <c r="A847" s="223" t="s">
        <v>54</v>
      </c>
      <c r="B847" s="250" t="s">
        <v>846</v>
      </c>
      <c r="C847" s="250" t="s">
        <v>847</v>
      </c>
      <c r="D847" s="223" t="s">
        <v>848</v>
      </c>
      <c r="E847" s="250" t="s">
        <v>141</v>
      </c>
      <c r="F847" s="223" t="s">
        <v>142</v>
      </c>
      <c r="G847" s="250" t="s">
        <v>23</v>
      </c>
      <c r="H847" s="250" t="s">
        <v>1525</v>
      </c>
      <c r="I847" s="250">
        <v>201409</v>
      </c>
      <c r="J847" s="251">
        <v>1253310.78</v>
      </c>
      <c r="K847" s="171">
        <f t="shared" ref="K847:K852" si="96">VLOOKUP(I847,$T$9:$U$23,2)</f>
        <v>9</v>
      </c>
      <c r="L847" s="253">
        <v>1.4833299999999999E-3</v>
      </c>
      <c r="M847" s="251">
        <f t="shared" ref="M847:M852" si="97">ROUND(J847*K847*L847,2)</f>
        <v>16731.66</v>
      </c>
      <c r="N847" s="251">
        <f t="shared" ref="N847:N852" si="98">ROUND(J847*L847*12,2)</f>
        <v>22308.880000000001</v>
      </c>
      <c r="O847" s="223"/>
      <c r="P847" s="210" t="str">
        <f>VLOOKUP(C847,'WO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47" s="210"/>
      <c r="R847" s="210"/>
    </row>
    <row r="848" spans="1:18" ht="135" outlineLevel="2">
      <c r="A848" s="223" t="s">
        <v>54</v>
      </c>
      <c r="B848" s="250" t="s">
        <v>846</v>
      </c>
      <c r="C848" s="250" t="s">
        <v>847</v>
      </c>
      <c r="D848" s="223" t="s">
        <v>848</v>
      </c>
      <c r="E848" s="250" t="s">
        <v>141</v>
      </c>
      <c r="F848" s="223" t="s">
        <v>142</v>
      </c>
      <c r="G848" s="250" t="s">
        <v>23</v>
      </c>
      <c r="H848" s="250" t="s">
        <v>1525</v>
      </c>
      <c r="I848" s="250">
        <v>201410</v>
      </c>
      <c r="J848" s="251">
        <v>15539.61</v>
      </c>
      <c r="K848" s="171">
        <f t="shared" si="96"/>
        <v>8</v>
      </c>
      <c r="L848" s="253">
        <v>1.4833299999999999E-3</v>
      </c>
      <c r="M848" s="251">
        <f t="shared" si="97"/>
        <v>184.4</v>
      </c>
      <c r="N848" s="251">
        <f t="shared" si="98"/>
        <v>276.60000000000002</v>
      </c>
      <c r="O848" s="223"/>
      <c r="P848" s="210" t="str">
        <f>VLOOKUP(C848,'WO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48" s="210"/>
      <c r="R848" s="210"/>
    </row>
    <row r="849" spans="1:18" ht="135" outlineLevel="2">
      <c r="A849" s="223" t="s">
        <v>54</v>
      </c>
      <c r="B849" s="250" t="s">
        <v>846</v>
      </c>
      <c r="C849" s="250" t="s">
        <v>847</v>
      </c>
      <c r="D849" s="223" t="s">
        <v>848</v>
      </c>
      <c r="E849" s="250" t="s">
        <v>141</v>
      </c>
      <c r="F849" s="223" t="s">
        <v>142</v>
      </c>
      <c r="G849" s="250" t="s">
        <v>23</v>
      </c>
      <c r="H849" s="250" t="s">
        <v>1525</v>
      </c>
      <c r="I849" s="250">
        <v>201411</v>
      </c>
      <c r="J849" s="251">
        <v>11927.86</v>
      </c>
      <c r="K849" s="171">
        <f t="shared" si="96"/>
        <v>7</v>
      </c>
      <c r="L849" s="253">
        <v>1.4833299999999999E-3</v>
      </c>
      <c r="M849" s="251">
        <f t="shared" si="97"/>
        <v>123.85</v>
      </c>
      <c r="N849" s="251">
        <f t="shared" si="98"/>
        <v>212.32</v>
      </c>
      <c r="O849" s="223"/>
      <c r="P849" s="210" t="str">
        <f>VLOOKUP(C849,'WO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49" s="210"/>
      <c r="R849" s="210"/>
    </row>
    <row r="850" spans="1:18" ht="135" outlineLevel="2">
      <c r="A850" s="223" t="s">
        <v>54</v>
      </c>
      <c r="B850" s="250" t="s">
        <v>846</v>
      </c>
      <c r="C850" s="250" t="s">
        <v>847</v>
      </c>
      <c r="D850" s="223" t="s">
        <v>848</v>
      </c>
      <c r="E850" s="250" t="s">
        <v>141</v>
      </c>
      <c r="F850" s="223" t="s">
        <v>142</v>
      </c>
      <c r="G850" s="250" t="s">
        <v>23</v>
      </c>
      <c r="H850" s="250" t="s">
        <v>1525</v>
      </c>
      <c r="I850" s="250">
        <v>201412</v>
      </c>
      <c r="J850" s="251">
        <v>-1373.08</v>
      </c>
      <c r="K850" s="171">
        <f t="shared" si="96"/>
        <v>6</v>
      </c>
      <c r="L850" s="253">
        <v>1.4833299999999999E-3</v>
      </c>
      <c r="M850" s="251">
        <f t="shared" si="97"/>
        <v>-12.22</v>
      </c>
      <c r="N850" s="251">
        <f t="shared" si="98"/>
        <v>-24.44</v>
      </c>
      <c r="O850" s="223"/>
      <c r="P850" s="210" t="str">
        <f>VLOOKUP(C850,'WO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50" s="210"/>
      <c r="R850" s="210"/>
    </row>
    <row r="851" spans="1:18" ht="135" outlineLevel="2">
      <c r="A851" s="223" t="s">
        <v>54</v>
      </c>
      <c r="B851" s="250" t="s">
        <v>846</v>
      </c>
      <c r="C851" s="250" t="s">
        <v>847</v>
      </c>
      <c r="D851" s="223" t="s">
        <v>848</v>
      </c>
      <c r="E851" s="250" t="s">
        <v>141</v>
      </c>
      <c r="F851" s="223" t="s">
        <v>142</v>
      </c>
      <c r="G851" s="250" t="s">
        <v>23</v>
      </c>
      <c r="H851" s="250" t="s">
        <v>1525</v>
      </c>
      <c r="I851" s="250">
        <v>201501</v>
      </c>
      <c r="J851" s="251">
        <v>70805.5</v>
      </c>
      <c r="K851" s="171">
        <f t="shared" si="96"/>
        <v>5</v>
      </c>
      <c r="L851" s="253">
        <v>1.4833299999999999E-3</v>
      </c>
      <c r="M851" s="251">
        <f t="shared" si="97"/>
        <v>525.14</v>
      </c>
      <c r="N851" s="251">
        <f t="shared" si="98"/>
        <v>1260.3399999999999</v>
      </c>
      <c r="O851" s="223"/>
      <c r="P851" s="210" t="str">
        <f>VLOOKUP(C851,'WO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51" s="210"/>
      <c r="R851" s="210"/>
    </row>
    <row r="852" spans="1:18" ht="135" outlineLevel="2">
      <c r="A852" s="223" t="s">
        <v>54</v>
      </c>
      <c r="B852" s="250" t="s">
        <v>846</v>
      </c>
      <c r="C852" s="250" t="s">
        <v>847</v>
      </c>
      <c r="D852" s="223" t="s">
        <v>848</v>
      </c>
      <c r="E852" s="250" t="s">
        <v>141</v>
      </c>
      <c r="F852" s="223" t="s">
        <v>142</v>
      </c>
      <c r="G852" s="250" t="s">
        <v>23</v>
      </c>
      <c r="H852" s="250" t="s">
        <v>1525</v>
      </c>
      <c r="I852" s="250">
        <v>201502</v>
      </c>
      <c r="J852" s="251">
        <v>-99.76</v>
      </c>
      <c r="K852" s="171">
        <f t="shared" si="96"/>
        <v>4</v>
      </c>
      <c r="L852" s="253">
        <v>1.4833299999999999E-3</v>
      </c>
      <c r="M852" s="251">
        <f t="shared" si="97"/>
        <v>-0.59</v>
      </c>
      <c r="N852" s="251">
        <f t="shared" si="98"/>
        <v>-1.78</v>
      </c>
      <c r="O852" s="223"/>
      <c r="P852" s="210" t="str">
        <f>VLOOKUP(C852,'WO Descriptions'!$A$5:$D$384,4,FALSE)</f>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
      <c r="Q852" s="210"/>
      <c r="R852" s="210"/>
    </row>
    <row r="853" spans="1:18" outlineLevel="1">
      <c r="A853" s="223"/>
      <c r="B853" s="250"/>
      <c r="C853" s="254" t="s">
        <v>2015</v>
      </c>
      <c r="D853" s="223"/>
      <c r="E853" s="250"/>
      <c r="F853" s="223"/>
      <c r="G853" s="250"/>
      <c r="H853" s="250"/>
      <c r="I853" s="250"/>
      <c r="J853" s="251">
        <f>SUBTOTAL(9,J847:J852)</f>
        <v>1350110.9100000001</v>
      </c>
      <c r="K853" s="252"/>
      <c r="L853" s="253"/>
      <c r="M853" s="251">
        <f>SUBTOTAL(9,M847:M852)</f>
        <v>17552.239999999998</v>
      </c>
      <c r="N853" s="251">
        <f>SUBTOTAL(9,N847:N852)</f>
        <v>24031.920000000002</v>
      </c>
      <c r="O853" s="223"/>
      <c r="P853" s="210"/>
      <c r="Q853" s="210" t="str">
        <f>VLOOKUP(C853,'Descriptions Sorted by WO '!$A$5:$S$977,18,FALSE)</f>
        <v>393.1009 (5) (a) (b)</v>
      </c>
      <c r="R853" s="210" t="str">
        <f>VLOOKUP(C853,'Descriptions Sorted by WO '!$A$5:$S$977,19,FALSE)</f>
        <v>A,B,C,D,I</v>
      </c>
    </row>
    <row r="854" spans="1:18" ht="105" outlineLevel="2">
      <c r="A854" s="223" t="s">
        <v>54</v>
      </c>
      <c r="B854" s="250" t="s">
        <v>2258</v>
      </c>
      <c r="C854" s="250" t="s">
        <v>1720</v>
      </c>
      <c r="D854" s="223" t="s">
        <v>1721</v>
      </c>
      <c r="E854" s="250" t="s">
        <v>32</v>
      </c>
      <c r="F854" s="223" t="s">
        <v>22</v>
      </c>
      <c r="G854" s="250" t="s">
        <v>23</v>
      </c>
      <c r="H854" s="250" t="s">
        <v>1525</v>
      </c>
      <c r="I854" s="250">
        <v>201502</v>
      </c>
      <c r="J854" s="251">
        <v>107240.43</v>
      </c>
      <c r="K854" s="171">
        <f>VLOOKUP(I854,$T$9:$U$23,2)</f>
        <v>4</v>
      </c>
      <c r="L854" s="253">
        <v>1.4833299999999999E-3</v>
      </c>
      <c r="M854" s="251">
        <f>ROUND(J854*K854*L854,2)</f>
        <v>636.29</v>
      </c>
      <c r="N854" s="251">
        <f>ROUND(J854*L854*12,2)</f>
        <v>1908.88</v>
      </c>
      <c r="O854" s="223"/>
      <c r="P854" s="210" t="str">
        <f>VLOOKUP(C854,'WO Descriptions'!$A$5:$D$384,4,FALSE)</f>
        <v>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v>
      </c>
      <c r="Q854" s="210"/>
      <c r="R854" s="210"/>
    </row>
    <row r="855" spans="1:18" outlineLevel="1">
      <c r="A855" s="223"/>
      <c r="B855" s="250"/>
      <c r="C855" s="254" t="s">
        <v>2319</v>
      </c>
      <c r="D855" s="223"/>
      <c r="E855" s="250"/>
      <c r="F855" s="223"/>
      <c r="G855" s="250"/>
      <c r="H855" s="250"/>
      <c r="I855" s="250"/>
      <c r="J855" s="251">
        <f>SUBTOTAL(9,J854:J854)</f>
        <v>107240.43</v>
      </c>
      <c r="K855" s="252"/>
      <c r="L855" s="253"/>
      <c r="M855" s="251">
        <f>SUBTOTAL(9,M854:M854)</f>
        <v>636.29</v>
      </c>
      <c r="N855" s="251">
        <f>SUBTOTAL(9,N854:N854)</f>
        <v>1908.88</v>
      </c>
      <c r="O855" s="223"/>
      <c r="P855" s="210"/>
      <c r="Q855" s="210" t="s">
        <v>2097</v>
      </c>
      <c r="R855" s="210" t="s">
        <v>2100</v>
      </c>
    </row>
    <row r="856" spans="1:18" ht="60" outlineLevel="2">
      <c r="A856" s="223" t="s">
        <v>17</v>
      </c>
      <c r="B856" s="250" t="s">
        <v>849</v>
      </c>
      <c r="C856" s="250" t="s">
        <v>850</v>
      </c>
      <c r="D856" s="223" t="s">
        <v>851</v>
      </c>
      <c r="E856" s="250" t="s">
        <v>27</v>
      </c>
      <c r="F856" s="223" t="s">
        <v>28</v>
      </c>
      <c r="G856" s="250" t="s">
        <v>23</v>
      </c>
      <c r="H856" s="250" t="s">
        <v>1525</v>
      </c>
      <c r="I856" s="250">
        <v>201409</v>
      </c>
      <c r="J856" s="251">
        <v>-269.87</v>
      </c>
      <c r="K856" s="171">
        <f>VLOOKUP(I856,$T$9:$U$23,2)</f>
        <v>9</v>
      </c>
      <c r="L856" s="253">
        <v>1.4833299999999999E-3</v>
      </c>
      <c r="M856" s="251">
        <f>ROUND(J856*K856*L856,2)</f>
        <v>-3.6</v>
      </c>
      <c r="N856" s="251">
        <f>ROUND(J856*L856*12,2)</f>
        <v>-4.8</v>
      </c>
      <c r="O856" s="223"/>
      <c r="P856" s="210" t="str">
        <f>VLOOKUP(C856,'WO Descriptions'!$A$5:$D$384,4,FALSE)</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c r="Q856" s="210"/>
      <c r="R856" s="210"/>
    </row>
    <row r="857" spans="1:18" ht="60" outlineLevel="2">
      <c r="A857" s="223" t="s">
        <v>17</v>
      </c>
      <c r="B857" s="250" t="s">
        <v>849</v>
      </c>
      <c r="C857" s="250" t="s">
        <v>850</v>
      </c>
      <c r="D857" s="223" t="s">
        <v>851</v>
      </c>
      <c r="E857" s="250" t="s">
        <v>27</v>
      </c>
      <c r="F857" s="223" t="s">
        <v>28</v>
      </c>
      <c r="G857" s="250" t="s">
        <v>23</v>
      </c>
      <c r="H857" s="250" t="s">
        <v>1525</v>
      </c>
      <c r="I857" s="250">
        <v>201412</v>
      </c>
      <c r="J857" s="251">
        <v>58.38</v>
      </c>
      <c r="K857" s="171">
        <f>VLOOKUP(I857,$T$9:$U$23,2)</f>
        <v>6</v>
      </c>
      <c r="L857" s="253">
        <v>1.4833299999999999E-3</v>
      </c>
      <c r="M857" s="251">
        <f>ROUND(J857*K857*L857,2)</f>
        <v>0.52</v>
      </c>
      <c r="N857" s="251">
        <f>ROUND(J857*L857*12,2)</f>
        <v>1.04</v>
      </c>
      <c r="O857" s="223"/>
      <c r="P857" s="210" t="str">
        <f>VLOOKUP(C857,'WO Descriptions'!$A$5:$D$384,4,FALSE)</f>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
      <c r="Q857" s="210"/>
      <c r="R857" s="210"/>
    </row>
    <row r="858" spans="1:18" outlineLevel="1">
      <c r="A858" s="223"/>
      <c r="B858" s="250"/>
      <c r="C858" s="254" t="s">
        <v>2016</v>
      </c>
      <c r="D858" s="223"/>
      <c r="E858" s="250"/>
      <c r="F858" s="223"/>
      <c r="G858" s="250"/>
      <c r="H858" s="250"/>
      <c r="I858" s="250"/>
      <c r="J858" s="251">
        <f>SUBTOTAL(9,J856:J857)</f>
        <v>-211.49</v>
      </c>
      <c r="K858" s="252"/>
      <c r="L858" s="253"/>
      <c r="M858" s="251">
        <f>SUBTOTAL(9,M856:M857)</f>
        <v>-3.08</v>
      </c>
      <c r="N858" s="251">
        <f>SUBTOTAL(9,N856:N857)</f>
        <v>-3.76</v>
      </c>
      <c r="O858" s="223"/>
      <c r="P858" s="210"/>
      <c r="Q858" s="210" t="str">
        <f>VLOOKUP(C858,'Descriptions Sorted by WO '!$A$5:$S$977,18,FALSE)</f>
        <v>393.1009 (5) (a) (b)</v>
      </c>
      <c r="R858" s="210" t="str">
        <f>VLOOKUP(C858,'Descriptions Sorted by WO '!$A$5:$S$977,19,FALSE)</f>
        <v>A,B</v>
      </c>
    </row>
    <row r="859" spans="1:18" ht="75" outlineLevel="2">
      <c r="A859" s="223" t="s">
        <v>54</v>
      </c>
      <c r="B859" s="250" t="s">
        <v>852</v>
      </c>
      <c r="C859" s="250" t="s">
        <v>853</v>
      </c>
      <c r="D859" s="223" t="s">
        <v>854</v>
      </c>
      <c r="E859" s="250" t="s">
        <v>62</v>
      </c>
      <c r="F859" s="223" t="s">
        <v>22</v>
      </c>
      <c r="G859" s="250" t="s">
        <v>23</v>
      </c>
      <c r="H859" s="250" t="s">
        <v>1525</v>
      </c>
      <c r="I859" s="250">
        <v>201410</v>
      </c>
      <c r="J859" s="251">
        <v>27394.7</v>
      </c>
      <c r="K859" s="171">
        <f>VLOOKUP(I859,$T$9:$U$23,2)</f>
        <v>8</v>
      </c>
      <c r="L859" s="253">
        <v>1.4833299999999999E-3</v>
      </c>
      <c r="M859" s="251">
        <f>ROUND(J859*K859*L859,2)</f>
        <v>325.08</v>
      </c>
      <c r="N859" s="251">
        <f>ROUND(J859*L859*12,2)</f>
        <v>487.62</v>
      </c>
      <c r="O859" s="223"/>
      <c r="P859" s="210" t="str">
        <f>VLOOKUP(C859,'WO Descriptions'!$A$5:$D$384,4,FALSE)</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c r="Q859" s="210"/>
      <c r="R859" s="210"/>
    </row>
    <row r="860" spans="1:18" ht="75" outlineLevel="2">
      <c r="A860" s="223" t="s">
        <v>54</v>
      </c>
      <c r="B860" s="250" t="s">
        <v>852</v>
      </c>
      <c r="C860" s="250" t="s">
        <v>853</v>
      </c>
      <c r="D860" s="223" t="s">
        <v>854</v>
      </c>
      <c r="E860" s="250" t="s">
        <v>62</v>
      </c>
      <c r="F860" s="223" t="s">
        <v>22</v>
      </c>
      <c r="G860" s="250" t="s">
        <v>23</v>
      </c>
      <c r="H860" s="250" t="s">
        <v>1525</v>
      </c>
      <c r="I860" s="250">
        <v>201411</v>
      </c>
      <c r="J860" s="251">
        <v>2279.85</v>
      </c>
      <c r="K860" s="171">
        <f>VLOOKUP(I860,$T$9:$U$23,2)</f>
        <v>7</v>
      </c>
      <c r="L860" s="253">
        <v>1.4833299999999999E-3</v>
      </c>
      <c r="M860" s="251">
        <f>ROUND(J860*K860*L860,2)</f>
        <v>23.67</v>
      </c>
      <c r="N860" s="251">
        <f>ROUND(J860*L860*12,2)</f>
        <v>40.58</v>
      </c>
      <c r="O860" s="223"/>
      <c r="P860" s="210" t="str">
        <f>VLOOKUP(C860,'WO Descriptions'!$A$5:$D$384,4,FALSE)</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c r="Q860" s="210"/>
      <c r="R860" s="210"/>
    </row>
    <row r="861" spans="1:18" ht="75" outlineLevel="2">
      <c r="A861" s="223" t="s">
        <v>54</v>
      </c>
      <c r="B861" s="250" t="s">
        <v>852</v>
      </c>
      <c r="C861" s="250" t="s">
        <v>853</v>
      </c>
      <c r="D861" s="223" t="s">
        <v>854</v>
      </c>
      <c r="E861" s="250" t="s">
        <v>62</v>
      </c>
      <c r="F861" s="223" t="s">
        <v>22</v>
      </c>
      <c r="G861" s="250" t="s">
        <v>23</v>
      </c>
      <c r="H861" s="250" t="s">
        <v>1525</v>
      </c>
      <c r="I861" s="250">
        <v>201412</v>
      </c>
      <c r="J861" s="251">
        <v>-428.47</v>
      </c>
      <c r="K861" s="171">
        <f>VLOOKUP(I861,$T$9:$U$23,2)</f>
        <v>6</v>
      </c>
      <c r="L861" s="253">
        <v>1.4833299999999999E-3</v>
      </c>
      <c r="M861" s="251">
        <f>ROUND(J861*K861*L861,2)</f>
        <v>-3.81</v>
      </c>
      <c r="N861" s="251">
        <f>ROUND(J861*L861*12,2)</f>
        <v>-7.63</v>
      </c>
      <c r="O861" s="223"/>
      <c r="P861" s="210" t="str">
        <f>VLOOKUP(C861,'WO Descriptions'!$A$5:$D$384,4,FALSE)</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c r="Q861" s="210"/>
      <c r="R861" s="210"/>
    </row>
    <row r="862" spans="1:18" ht="75" outlineLevel="2">
      <c r="A862" s="223" t="s">
        <v>54</v>
      </c>
      <c r="B862" s="250" t="s">
        <v>852</v>
      </c>
      <c r="C862" s="250" t="s">
        <v>853</v>
      </c>
      <c r="D862" s="223" t="s">
        <v>854</v>
      </c>
      <c r="E862" s="250" t="s">
        <v>62</v>
      </c>
      <c r="F862" s="223" t="s">
        <v>22</v>
      </c>
      <c r="G862" s="250" t="s">
        <v>23</v>
      </c>
      <c r="H862" s="250" t="s">
        <v>1525</v>
      </c>
      <c r="I862" s="250">
        <v>201501</v>
      </c>
      <c r="J862" s="251">
        <v>1761.71</v>
      </c>
      <c r="K862" s="171">
        <f>VLOOKUP(I862,$T$9:$U$23,2)</f>
        <v>5</v>
      </c>
      <c r="L862" s="253">
        <v>1.4833299999999999E-3</v>
      </c>
      <c r="M862" s="251">
        <f>ROUND(J862*K862*L862,2)</f>
        <v>13.07</v>
      </c>
      <c r="N862" s="251">
        <f>ROUND(J862*L862*12,2)</f>
        <v>31.36</v>
      </c>
      <c r="O862" s="223"/>
      <c r="P862" s="210" t="str">
        <f>VLOOKUP(C862,'WO Descriptions'!$A$5:$D$384,4,FALSE)</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c r="Q862" s="210"/>
      <c r="R862" s="210"/>
    </row>
    <row r="863" spans="1:18" ht="75" outlineLevel="2">
      <c r="A863" s="223" t="s">
        <v>54</v>
      </c>
      <c r="B863" s="250" t="s">
        <v>852</v>
      </c>
      <c r="C863" s="250" t="s">
        <v>853</v>
      </c>
      <c r="D863" s="223" t="s">
        <v>854</v>
      </c>
      <c r="E863" s="250" t="s">
        <v>62</v>
      </c>
      <c r="F863" s="223" t="s">
        <v>22</v>
      </c>
      <c r="G863" s="250" t="s">
        <v>23</v>
      </c>
      <c r="H863" s="250" t="s">
        <v>1525</v>
      </c>
      <c r="I863" s="250">
        <v>201502</v>
      </c>
      <c r="J863" s="251">
        <v>-17.649999999999999</v>
      </c>
      <c r="K863" s="171">
        <f>VLOOKUP(I863,$T$9:$U$23,2)</f>
        <v>4</v>
      </c>
      <c r="L863" s="253">
        <v>1.4833299999999999E-3</v>
      </c>
      <c r="M863" s="251">
        <f>ROUND(J863*K863*L863,2)</f>
        <v>-0.1</v>
      </c>
      <c r="N863" s="251">
        <f>ROUND(J863*L863*12,2)</f>
        <v>-0.31</v>
      </c>
      <c r="O863" s="223"/>
      <c r="P863" s="210" t="str">
        <f>VLOOKUP(C863,'WO Descriptions'!$A$5:$D$384,4,FALSE)</f>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
      <c r="Q863" s="210"/>
      <c r="R863" s="210"/>
    </row>
    <row r="864" spans="1:18" outlineLevel="1">
      <c r="A864" s="223"/>
      <c r="B864" s="250"/>
      <c r="C864" s="254" t="s">
        <v>2017</v>
      </c>
      <c r="D864" s="223"/>
      <c r="E864" s="250"/>
      <c r="F864" s="223"/>
      <c r="G864" s="250"/>
      <c r="H864" s="250"/>
      <c r="I864" s="250"/>
      <c r="J864" s="251">
        <f>SUBTOTAL(9,J859:J863)</f>
        <v>30990.139999999996</v>
      </c>
      <c r="K864" s="252"/>
      <c r="L864" s="253"/>
      <c r="M864" s="251">
        <f>SUBTOTAL(9,M859:M863)</f>
        <v>357.90999999999997</v>
      </c>
      <c r="N864" s="251">
        <f>SUBTOTAL(9,N859:N863)</f>
        <v>551.62000000000012</v>
      </c>
      <c r="O864" s="223"/>
      <c r="P864" s="210"/>
      <c r="Q864" s="210" t="str">
        <f>VLOOKUP(C864,'Descriptions Sorted by WO '!$A$5:$S$977,18,FALSE)</f>
        <v>393.1009 (5) (a) (b)</v>
      </c>
      <c r="R864" s="210" t="str">
        <f>VLOOKUP(C864,'Descriptions Sorted by WO '!$A$5:$S$977,19,FALSE)</f>
        <v>A,B,C</v>
      </c>
    </row>
    <row r="865" spans="1:18" ht="75" outlineLevel="2">
      <c r="A865" s="223" t="s">
        <v>17</v>
      </c>
      <c r="B865" s="250" t="s">
        <v>2182</v>
      </c>
      <c r="C865" s="250" t="s">
        <v>1714</v>
      </c>
      <c r="D865" s="223" t="s">
        <v>1715</v>
      </c>
      <c r="E865" s="250" t="s">
        <v>574</v>
      </c>
      <c r="F865" s="223" t="s">
        <v>28</v>
      </c>
      <c r="G865" s="250" t="s">
        <v>23</v>
      </c>
      <c r="H865" s="250" t="s">
        <v>1525</v>
      </c>
      <c r="I865" s="250">
        <v>201501</v>
      </c>
      <c r="J865" s="251">
        <v>146040.44</v>
      </c>
      <c r="K865" s="171">
        <f>VLOOKUP(I865,$T$9:$U$23,2)</f>
        <v>5</v>
      </c>
      <c r="L865" s="253">
        <v>1.4833299999999999E-3</v>
      </c>
      <c r="M865" s="251">
        <f>ROUND(J865*K865*L865,2)</f>
        <v>1083.1300000000001</v>
      </c>
      <c r="N865" s="251">
        <f>ROUND(J865*L865*12,2)</f>
        <v>2599.5100000000002</v>
      </c>
      <c r="O865" s="223"/>
      <c r="P865" s="210" t="str">
        <f>VLOOKUP(C865,'WO Descriptions'!$A$5:$D$384,4,FALSE)</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c r="Q865" s="210"/>
      <c r="R865" s="210"/>
    </row>
    <row r="866" spans="1:18" ht="75" outlineLevel="2">
      <c r="A866" s="223" t="s">
        <v>17</v>
      </c>
      <c r="B866" s="250" t="s">
        <v>2182</v>
      </c>
      <c r="C866" s="250" t="s">
        <v>1714</v>
      </c>
      <c r="D866" s="223" t="s">
        <v>1715</v>
      </c>
      <c r="E866" s="250" t="s">
        <v>574</v>
      </c>
      <c r="F866" s="223" t="s">
        <v>28</v>
      </c>
      <c r="G866" s="250" t="s">
        <v>23</v>
      </c>
      <c r="H866" s="250" t="s">
        <v>1525</v>
      </c>
      <c r="I866" s="250">
        <v>201502</v>
      </c>
      <c r="J866" s="251">
        <v>4110.0200000000004</v>
      </c>
      <c r="K866" s="171">
        <f>VLOOKUP(I866,$T$9:$U$23,2)</f>
        <v>4</v>
      </c>
      <c r="L866" s="253">
        <v>1.4833299999999999E-3</v>
      </c>
      <c r="M866" s="251">
        <f>ROUND(J866*K866*L866,2)</f>
        <v>24.39</v>
      </c>
      <c r="N866" s="251">
        <f>ROUND(J866*L866*12,2)</f>
        <v>73.16</v>
      </c>
      <c r="O866" s="223"/>
      <c r="P866" s="210" t="str">
        <f>VLOOKUP(C866,'WO Descriptions'!$A$5:$D$384,4,FALSE)</f>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
      <c r="Q866" s="210"/>
      <c r="R866" s="210"/>
    </row>
    <row r="867" spans="1:18" outlineLevel="1">
      <c r="A867" s="223"/>
      <c r="B867" s="250"/>
      <c r="C867" s="254" t="s">
        <v>2320</v>
      </c>
      <c r="D867" s="223"/>
      <c r="E867" s="250"/>
      <c r="F867" s="223"/>
      <c r="G867" s="250"/>
      <c r="H867" s="250"/>
      <c r="I867" s="250"/>
      <c r="J867" s="251">
        <f>SUBTOTAL(9,J865:J866)</f>
        <v>150150.46</v>
      </c>
      <c r="K867" s="252"/>
      <c r="L867" s="253"/>
      <c r="M867" s="251">
        <f>SUBTOTAL(9,M865:M866)</f>
        <v>1107.5200000000002</v>
      </c>
      <c r="N867" s="251">
        <f>SUBTOTAL(9,N865:N866)</f>
        <v>2672.67</v>
      </c>
      <c r="O867" s="223"/>
      <c r="P867" s="210"/>
      <c r="Q867" s="210" t="s">
        <v>2097</v>
      </c>
      <c r="R867" s="210" t="s">
        <v>2098</v>
      </c>
    </row>
    <row r="868" spans="1:18" ht="45" outlineLevel="2">
      <c r="A868" s="223" t="s">
        <v>54</v>
      </c>
      <c r="B868" s="250" t="s">
        <v>855</v>
      </c>
      <c r="C868" s="250" t="s">
        <v>856</v>
      </c>
      <c r="D868" s="223" t="s">
        <v>857</v>
      </c>
      <c r="E868" s="250" t="s">
        <v>62</v>
      </c>
      <c r="F868" s="223" t="s">
        <v>22</v>
      </c>
      <c r="G868" s="250" t="s">
        <v>23</v>
      </c>
      <c r="H868" s="250" t="s">
        <v>1525</v>
      </c>
      <c r="I868" s="250">
        <v>201409</v>
      </c>
      <c r="J868" s="251">
        <v>1326.56</v>
      </c>
      <c r="K868" s="171">
        <f>VLOOKUP(I868,$T$9:$U$23,2)</f>
        <v>9</v>
      </c>
      <c r="L868" s="253">
        <v>1.4833299999999999E-3</v>
      </c>
      <c r="M868" s="251">
        <f>ROUND(J868*K868*L868,2)</f>
        <v>17.71</v>
      </c>
      <c r="N868" s="251">
        <f>ROUND(J868*L868*12,2)</f>
        <v>23.61</v>
      </c>
      <c r="O868" s="223"/>
      <c r="P868" s="210" t="str">
        <f>VLOOKUP(C868,'WO Descriptions'!$A$5:$D$384,4,FALSE)</f>
        <v>Approved by: Ralph Janes on 04/18/2014,  Replace 436' - 4" PBS (WO# 202) with 440' - 4" PE. The existing main is actively leaking and is isolated bare steel. Price per ft = $65.38 due to 12 tie-overs and anticipated paving repairs. (ISRS)</v>
      </c>
      <c r="Q868" s="210"/>
      <c r="R868" s="210"/>
    </row>
    <row r="869" spans="1:18" ht="45" outlineLevel="2">
      <c r="A869" s="223" t="s">
        <v>54</v>
      </c>
      <c r="B869" s="250" t="s">
        <v>855</v>
      </c>
      <c r="C869" s="250" t="s">
        <v>856</v>
      </c>
      <c r="D869" s="223" t="s">
        <v>857</v>
      </c>
      <c r="E869" s="250" t="s">
        <v>62</v>
      </c>
      <c r="F869" s="223" t="s">
        <v>22</v>
      </c>
      <c r="G869" s="250" t="s">
        <v>23</v>
      </c>
      <c r="H869" s="250" t="s">
        <v>1525</v>
      </c>
      <c r="I869" s="250">
        <v>201410</v>
      </c>
      <c r="J869" s="251">
        <v>-19.38</v>
      </c>
      <c r="K869" s="171">
        <f>VLOOKUP(I869,$T$9:$U$23,2)</f>
        <v>8</v>
      </c>
      <c r="L869" s="253">
        <v>1.4833299999999999E-3</v>
      </c>
      <c r="M869" s="251">
        <f>ROUND(J869*K869*L869,2)</f>
        <v>-0.23</v>
      </c>
      <c r="N869" s="251">
        <f>ROUND(J869*L869*12,2)</f>
        <v>-0.34</v>
      </c>
      <c r="O869" s="223"/>
      <c r="P869" s="210" t="str">
        <f>VLOOKUP(C869,'WO Descriptions'!$A$5:$D$384,4,FALSE)</f>
        <v>Approved by: Ralph Janes on 04/18/2014,  Replace 436' - 4" PBS (WO# 202) with 440' - 4" PE. The existing main is actively leaking and is isolated bare steel. Price per ft = $65.38 due to 12 tie-overs and anticipated paving repairs. (ISRS)</v>
      </c>
      <c r="Q869" s="210"/>
      <c r="R869" s="210"/>
    </row>
    <row r="870" spans="1:18" outlineLevel="1">
      <c r="A870" s="223"/>
      <c r="B870" s="250"/>
      <c r="C870" s="254" t="s">
        <v>2018</v>
      </c>
      <c r="D870" s="223"/>
      <c r="E870" s="250"/>
      <c r="F870" s="223"/>
      <c r="G870" s="250"/>
      <c r="H870" s="250"/>
      <c r="I870" s="250"/>
      <c r="J870" s="251">
        <f>SUBTOTAL(9,J868:J869)</f>
        <v>1307.1799999999998</v>
      </c>
      <c r="K870" s="252"/>
      <c r="L870" s="253"/>
      <c r="M870" s="251">
        <f>SUBTOTAL(9,M868:M869)</f>
        <v>17.48</v>
      </c>
      <c r="N870" s="251">
        <f>SUBTOTAL(9,N868:N869)</f>
        <v>23.27</v>
      </c>
      <c r="O870" s="223"/>
      <c r="P870" s="210"/>
      <c r="Q870" s="210" t="str">
        <f>VLOOKUP(C870,'Descriptions Sorted by WO '!$A$5:$S$977,18,FALSE)</f>
        <v>393.1009 (5) (a) (b)</v>
      </c>
      <c r="R870" s="210" t="str">
        <f>VLOOKUP(C870,'Descriptions Sorted by WO '!$A$5:$S$977,19,FALSE)</f>
        <v>A,B,C</v>
      </c>
    </row>
    <row r="871" spans="1:18" ht="180" outlineLevel="2">
      <c r="A871" s="223" t="s">
        <v>54</v>
      </c>
      <c r="B871" s="250" t="s">
        <v>858</v>
      </c>
      <c r="C871" s="250" t="s">
        <v>859</v>
      </c>
      <c r="D871" s="223" t="s">
        <v>860</v>
      </c>
      <c r="E871" s="250" t="s">
        <v>62</v>
      </c>
      <c r="F871" s="223" t="s">
        <v>22</v>
      </c>
      <c r="G871" s="250" t="s">
        <v>23</v>
      </c>
      <c r="H871" s="250" t="s">
        <v>1525</v>
      </c>
      <c r="I871" s="250">
        <v>201409</v>
      </c>
      <c r="J871" s="251">
        <v>89949.2</v>
      </c>
      <c r="K871" s="171">
        <f t="shared" ref="K871:K876" si="99">VLOOKUP(I871,$T$9:$U$23,2)</f>
        <v>9</v>
      </c>
      <c r="L871" s="253">
        <v>1.4833299999999999E-3</v>
      </c>
      <c r="M871" s="251">
        <f t="shared" ref="M871:M876" si="100">ROUND(J871*K871*L871,2)</f>
        <v>1200.82</v>
      </c>
      <c r="N871" s="251">
        <f t="shared" ref="N871:N876" si="101">ROUND(J871*L871*12,2)</f>
        <v>1601.09</v>
      </c>
      <c r="O871" s="223"/>
      <c r="P871" s="210" t="str">
        <f>VLOOKUP(C871,'WO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1" s="210"/>
      <c r="R871" s="210"/>
    </row>
    <row r="872" spans="1:18" ht="180" outlineLevel="2">
      <c r="A872" s="223" t="s">
        <v>54</v>
      </c>
      <c r="B872" s="250" t="s">
        <v>858</v>
      </c>
      <c r="C872" s="250" t="s">
        <v>859</v>
      </c>
      <c r="D872" s="223" t="s">
        <v>860</v>
      </c>
      <c r="E872" s="250" t="s">
        <v>62</v>
      </c>
      <c r="F872" s="223" t="s">
        <v>22</v>
      </c>
      <c r="G872" s="250" t="s">
        <v>23</v>
      </c>
      <c r="H872" s="250" t="s">
        <v>1525</v>
      </c>
      <c r="I872" s="250">
        <v>201410</v>
      </c>
      <c r="J872" s="251">
        <v>3048.22</v>
      </c>
      <c r="K872" s="171">
        <f t="shared" si="99"/>
        <v>8</v>
      </c>
      <c r="L872" s="253">
        <v>1.4833299999999999E-3</v>
      </c>
      <c r="M872" s="251">
        <f t="shared" si="100"/>
        <v>36.17</v>
      </c>
      <c r="N872" s="251">
        <f t="shared" si="101"/>
        <v>54.26</v>
      </c>
      <c r="O872" s="223"/>
      <c r="P872" s="210" t="str">
        <f>VLOOKUP(C872,'WO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2" s="210"/>
      <c r="R872" s="210"/>
    </row>
    <row r="873" spans="1:18" ht="180" outlineLevel="2">
      <c r="A873" s="223" t="s">
        <v>54</v>
      </c>
      <c r="B873" s="250" t="s">
        <v>858</v>
      </c>
      <c r="C873" s="250" t="s">
        <v>859</v>
      </c>
      <c r="D873" s="223" t="s">
        <v>860</v>
      </c>
      <c r="E873" s="250" t="s">
        <v>62</v>
      </c>
      <c r="F873" s="223" t="s">
        <v>22</v>
      </c>
      <c r="G873" s="250" t="s">
        <v>23</v>
      </c>
      <c r="H873" s="250" t="s">
        <v>1525</v>
      </c>
      <c r="I873" s="250">
        <v>201411</v>
      </c>
      <c r="J873" s="251">
        <v>-3013.95</v>
      </c>
      <c r="K873" s="171">
        <f t="shared" si="99"/>
        <v>7</v>
      </c>
      <c r="L873" s="253">
        <v>1.4833299999999999E-3</v>
      </c>
      <c r="M873" s="251">
        <f t="shared" si="100"/>
        <v>-31.29</v>
      </c>
      <c r="N873" s="251">
        <f t="shared" si="101"/>
        <v>-53.65</v>
      </c>
      <c r="O873" s="223"/>
      <c r="P873" s="210" t="str">
        <f>VLOOKUP(C873,'WO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3" s="210"/>
      <c r="R873" s="210"/>
    </row>
    <row r="874" spans="1:18" ht="180" outlineLevel="2">
      <c r="A874" s="223" t="s">
        <v>54</v>
      </c>
      <c r="B874" s="250" t="s">
        <v>858</v>
      </c>
      <c r="C874" s="250" t="s">
        <v>859</v>
      </c>
      <c r="D874" s="223" t="s">
        <v>860</v>
      </c>
      <c r="E874" s="250" t="s">
        <v>62</v>
      </c>
      <c r="F874" s="223" t="s">
        <v>22</v>
      </c>
      <c r="G874" s="250" t="s">
        <v>23</v>
      </c>
      <c r="H874" s="250" t="s">
        <v>1525</v>
      </c>
      <c r="I874" s="250">
        <v>201412</v>
      </c>
      <c r="J874" s="251">
        <v>45.84</v>
      </c>
      <c r="K874" s="171">
        <f t="shared" si="99"/>
        <v>6</v>
      </c>
      <c r="L874" s="253">
        <v>1.4833299999999999E-3</v>
      </c>
      <c r="M874" s="251">
        <f t="shared" si="100"/>
        <v>0.41</v>
      </c>
      <c r="N874" s="251">
        <f t="shared" si="101"/>
        <v>0.82</v>
      </c>
      <c r="O874" s="223"/>
      <c r="P874" s="210" t="str">
        <f>VLOOKUP(C874,'WO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4" s="210"/>
      <c r="R874" s="210"/>
    </row>
    <row r="875" spans="1:18" ht="180" outlineLevel="2">
      <c r="A875" s="223" t="s">
        <v>54</v>
      </c>
      <c r="B875" s="250" t="s">
        <v>858</v>
      </c>
      <c r="C875" s="250" t="s">
        <v>859</v>
      </c>
      <c r="D875" s="223" t="s">
        <v>860</v>
      </c>
      <c r="E875" s="250" t="s">
        <v>62</v>
      </c>
      <c r="F875" s="223" t="s">
        <v>22</v>
      </c>
      <c r="G875" s="250" t="s">
        <v>23</v>
      </c>
      <c r="H875" s="250" t="s">
        <v>1525</v>
      </c>
      <c r="I875" s="250">
        <v>201501</v>
      </c>
      <c r="J875" s="251">
        <v>-0.61</v>
      </c>
      <c r="K875" s="171">
        <f t="shared" si="99"/>
        <v>5</v>
      </c>
      <c r="L875" s="253">
        <v>1.4833299999999999E-3</v>
      </c>
      <c r="M875" s="251">
        <f t="shared" si="100"/>
        <v>0</v>
      </c>
      <c r="N875" s="251">
        <f t="shared" si="101"/>
        <v>-0.01</v>
      </c>
      <c r="O875" s="223"/>
      <c r="P875" s="210" t="str">
        <f>VLOOKUP(C875,'WO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5" s="210"/>
      <c r="R875" s="210"/>
    </row>
    <row r="876" spans="1:18" ht="180" outlineLevel="2">
      <c r="A876" s="223" t="s">
        <v>54</v>
      </c>
      <c r="B876" s="250" t="s">
        <v>858</v>
      </c>
      <c r="C876" s="250" t="s">
        <v>859</v>
      </c>
      <c r="D876" s="223" t="s">
        <v>860</v>
      </c>
      <c r="E876" s="250" t="s">
        <v>62</v>
      </c>
      <c r="F876" s="223" t="s">
        <v>22</v>
      </c>
      <c r="G876" s="250" t="s">
        <v>23</v>
      </c>
      <c r="H876" s="250" t="s">
        <v>1525</v>
      </c>
      <c r="I876" s="250">
        <v>201502</v>
      </c>
      <c r="J876" s="251">
        <v>-1.78</v>
      </c>
      <c r="K876" s="171">
        <f t="shared" si="99"/>
        <v>4</v>
      </c>
      <c r="L876" s="253">
        <v>1.4833299999999999E-3</v>
      </c>
      <c r="M876" s="251">
        <f t="shared" si="100"/>
        <v>-0.01</v>
      </c>
      <c r="N876" s="251">
        <f t="shared" si="101"/>
        <v>-0.03</v>
      </c>
      <c r="O876" s="223"/>
      <c r="P876" s="210" t="str">
        <f>VLOOKUP(C876,'WO Descriptions'!$A$5:$D$384,4,FALSE)</f>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
      <c r="Q876" s="210"/>
      <c r="R876" s="210"/>
    </row>
    <row r="877" spans="1:18" outlineLevel="1">
      <c r="A877" s="223"/>
      <c r="B877" s="250"/>
      <c r="C877" s="254" t="s">
        <v>2019</v>
      </c>
      <c r="D877" s="223"/>
      <c r="E877" s="250"/>
      <c r="F877" s="223"/>
      <c r="G877" s="250"/>
      <c r="H877" s="250"/>
      <c r="I877" s="250"/>
      <c r="J877" s="251">
        <f>SUBTOTAL(9,J871:J876)</f>
        <v>90026.92</v>
      </c>
      <c r="K877" s="252"/>
      <c r="L877" s="253"/>
      <c r="M877" s="251">
        <f>SUBTOTAL(9,M871:M876)</f>
        <v>1206.1000000000001</v>
      </c>
      <c r="N877" s="251">
        <f>SUBTOTAL(9,N871:N876)</f>
        <v>1602.4799999999998</v>
      </c>
      <c r="O877" s="223"/>
      <c r="P877" s="210"/>
      <c r="Q877" s="210" t="str">
        <f>VLOOKUP(C877,'Descriptions Sorted by WO '!$A$5:$S$977,18,FALSE)</f>
        <v>393.1009 (5) (a) (b)</v>
      </c>
      <c r="R877" s="210" t="str">
        <f>VLOOKUP(C877,'Descriptions Sorted by WO '!$A$5:$S$977,19,FALSE)</f>
        <v>A,B,C</v>
      </c>
    </row>
    <row r="878" spans="1:18" ht="30" outlineLevel="2">
      <c r="A878" s="223" t="s">
        <v>54</v>
      </c>
      <c r="B878" s="250" t="s">
        <v>861</v>
      </c>
      <c r="C878" s="250" t="s">
        <v>862</v>
      </c>
      <c r="D878" s="223" t="s">
        <v>863</v>
      </c>
      <c r="E878" s="250" t="s">
        <v>45</v>
      </c>
      <c r="F878" s="223" t="s">
        <v>22</v>
      </c>
      <c r="G878" s="250" t="s">
        <v>23</v>
      </c>
      <c r="H878" s="250" t="s">
        <v>1525</v>
      </c>
      <c r="I878" s="250">
        <v>201409</v>
      </c>
      <c r="J878" s="251">
        <v>-304.48</v>
      </c>
      <c r="K878" s="171">
        <f>VLOOKUP(I878,$T$9:$U$23,2)</f>
        <v>9</v>
      </c>
      <c r="L878" s="253">
        <v>1.4833299999999999E-3</v>
      </c>
      <c r="M878" s="251">
        <f>ROUND(J878*K878*L878,2)</f>
        <v>-4.0599999999999996</v>
      </c>
      <c r="N878" s="251">
        <f>ROUND(J878*L878*12,2)</f>
        <v>-5.42</v>
      </c>
      <c r="O878" s="223"/>
      <c r="P878" s="210" t="str">
        <f>VLOOKUP(C878,'WO Descriptions'!$A$5:$D$384,4,FALSE)</f>
        <v>Approved by: Gary Williams on 04/22/2014,  Replace 4'' PBS that is leaking with 4'' PE. Tie in 58' NNC Franklin and 30' SSC Franklin. Ensure north side is 4'WEC. Pressure System - C-001.</v>
      </c>
      <c r="Q878" s="210"/>
      <c r="R878" s="210"/>
    </row>
    <row r="879" spans="1:18" ht="30" outlineLevel="2">
      <c r="A879" s="223" t="s">
        <v>54</v>
      </c>
      <c r="B879" s="250" t="s">
        <v>861</v>
      </c>
      <c r="C879" s="250" t="s">
        <v>862</v>
      </c>
      <c r="D879" s="223" t="s">
        <v>863</v>
      </c>
      <c r="E879" s="250" t="s">
        <v>45</v>
      </c>
      <c r="F879" s="223" t="s">
        <v>22</v>
      </c>
      <c r="G879" s="250" t="s">
        <v>23</v>
      </c>
      <c r="H879" s="250" t="s">
        <v>1525</v>
      </c>
      <c r="I879" s="250">
        <v>201410</v>
      </c>
      <c r="J879" s="251">
        <v>-40.68</v>
      </c>
      <c r="K879" s="171">
        <f>VLOOKUP(I879,$T$9:$U$23,2)</f>
        <v>8</v>
      </c>
      <c r="L879" s="253">
        <v>1.4833299999999999E-3</v>
      </c>
      <c r="M879" s="251">
        <f>ROUND(J879*K879*L879,2)</f>
        <v>-0.48</v>
      </c>
      <c r="N879" s="251">
        <f>ROUND(J879*L879*12,2)</f>
        <v>-0.72</v>
      </c>
      <c r="O879" s="223"/>
      <c r="P879" s="210" t="str">
        <f>VLOOKUP(C879,'WO Descriptions'!$A$5:$D$384,4,FALSE)</f>
        <v>Approved by: Gary Williams on 04/22/2014,  Replace 4'' PBS that is leaking with 4'' PE. Tie in 58' NNC Franklin and 30' SSC Franklin. Ensure north side is 4'WEC. Pressure System - C-001.</v>
      </c>
      <c r="Q879" s="210"/>
      <c r="R879" s="210"/>
    </row>
    <row r="880" spans="1:18" outlineLevel="1">
      <c r="A880" s="223"/>
      <c r="B880" s="250"/>
      <c r="C880" s="254" t="s">
        <v>2020</v>
      </c>
      <c r="D880" s="223"/>
      <c r="E880" s="250"/>
      <c r="F880" s="223"/>
      <c r="G880" s="250"/>
      <c r="H880" s="250"/>
      <c r="I880" s="250"/>
      <c r="J880" s="251">
        <f>SUBTOTAL(9,J878:J879)</f>
        <v>-345.16</v>
      </c>
      <c r="K880" s="252"/>
      <c r="L880" s="253"/>
      <c r="M880" s="251">
        <f>SUBTOTAL(9,M878:M879)</f>
        <v>-4.5399999999999991</v>
      </c>
      <c r="N880" s="251">
        <f>SUBTOTAL(9,N878:N879)</f>
        <v>-6.14</v>
      </c>
      <c r="O880" s="223"/>
      <c r="P880" s="210"/>
      <c r="Q880" s="210" t="str">
        <f>VLOOKUP(C880,'Descriptions Sorted by WO '!$A$5:$S$977,18,FALSE)</f>
        <v>393.1009 (5) (a) (b)</v>
      </c>
      <c r="R880" s="210" t="str">
        <f>VLOOKUP(C880,'Descriptions Sorted by WO '!$A$5:$S$977,19,FALSE)</f>
        <v>A,B,C</v>
      </c>
    </row>
    <row r="881" spans="1:18" ht="60" outlineLevel="2">
      <c r="A881" s="223" t="s">
        <v>238</v>
      </c>
      <c r="B881" s="250" t="s">
        <v>1042</v>
      </c>
      <c r="C881" s="250" t="s">
        <v>1043</v>
      </c>
      <c r="D881" s="223" t="s">
        <v>1044</v>
      </c>
      <c r="E881" s="250" t="s">
        <v>168</v>
      </c>
      <c r="F881" s="223" t="s">
        <v>169</v>
      </c>
      <c r="G881" s="250" t="s">
        <v>23</v>
      </c>
      <c r="H881" s="250" t="s">
        <v>1528</v>
      </c>
      <c r="I881" s="250">
        <v>201412</v>
      </c>
      <c r="J881" s="251">
        <v>32263.57</v>
      </c>
      <c r="K881" s="171">
        <f>VLOOKUP(I881,$T$9:$U$23,2)</f>
        <v>6</v>
      </c>
      <c r="L881" s="253">
        <v>2.3833299999999999E-3</v>
      </c>
      <c r="M881" s="251">
        <f>ROUND(J881*K881*L881,2)</f>
        <v>461.37</v>
      </c>
      <c r="N881" s="251">
        <f>ROUND(J881*L881*12,2)</f>
        <v>922.74</v>
      </c>
      <c r="O881" s="223"/>
      <c r="P881" s="210" t="str">
        <f>VLOOKUP(C881,'WO Descriptions'!$A$5:$D$384,4,FALSE)</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c r="Q881" s="210"/>
      <c r="R881" s="210"/>
    </row>
    <row r="882" spans="1:18" ht="60" outlineLevel="2">
      <c r="A882" s="223" t="s">
        <v>238</v>
      </c>
      <c r="B882" s="250" t="s">
        <v>1042</v>
      </c>
      <c r="C882" s="250" t="s">
        <v>1043</v>
      </c>
      <c r="D882" s="223" t="s">
        <v>1044</v>
      </c>
      <c r="E882" s="250" t="s">
        <v>168</v>
      </c>
      <c r="F882" s="223" t="s">
        <v>169</v>
      </c>
      <c r="G882" s="250" t="s">
        <v>23</v>
      </c>
      <c r="H882" s="250" t="s">
        <v>1528</v>
      </c>
      <c r="I882" s="250">
        <v>201501</v>
      </c>
      <c r="J882" s="251">
        <v>1130.32</v>
      </c>
      <c r="K882" s="171">
        <f>VLOOKUP(I882,$T$9:$U$23,2)</f>
        <v>5</v>
      </c>
      <c r="L882" s="253">
        <v>2.3833299999999999E-3</v>
      </c>
      <c r="M882" s="251">
        <f>ROUND(J882*K882*L882,2)</f>
        <v>13.47</v>
      </c>
      <c r="N882" s="251">
        <f>ROUND(J882*L882*12,2)</f>
        <v>32.33</v>
      </c>
      <c r="O882" s="223"/>
      <c r="P882" s="210" t="str">
        <f>VLOOKUP(C882,'WO Descriptions'!$A$5:$D$384,4,FALSE)</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c r="Q882" s="210"/>
      <c r="R882" s="210"/>
    </row>
    <row r="883" spans="1:18" ht="60" outlineLevel="2">
      <c r="A883" s="223" t="s">
        <v>238</v>
      </c>
      <c r="B883" s="250" t="s">
        <v>1042</v>
      </c>
      <c r="C883" s="250" t="s">
        <v>1043</v>
      </c>
      <c r="D883" s="223" t="s">
        <v>1044</v>
      </c>
      <c r="E883" s="250" t="s">
        <v>168</v>
      </c>
      <c r="F883" s="223" t="s">
        <v>169</v>
      </c>
      <c r="G883" s="250" t="s">
        <v>23</v>
      </c>
      <c r="H883" s="250" t="s">
        <v>1528</v>
      </c>
      <c r="I883" s="250">
        <v>201502</v>
      </c>
      <c r="J883" s="251">
        <v>-383.4</v>
      </c>
      <c r="K883" s="171">
        <f>VLOOKUP(I883,$T$9:$U$23,2)</f>
        <v>4</v>
      </c>
      <c r="L883" s="253">
        <v>2.3833299999999999E-3</v>
      </c>
      <c r="M883" s="251">
        <f>ROUND(J883*K883*L883,2)</f>
        <v>-3.66</v>
      </c>
      <c r="N883" s="251">
        <f>ROUND(J883*L883*12,2)</f>
        <v>-10.97</v>
      </c>
      <c r="O883" s="223"/>
      <c r="P883" s="210" t="str">
        <f>VLOOKUP(C883,'WO Descriptions'!$A$5:$D$384,4,FALSE)</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c r="Q883" s="210"/>
      <c r="R883" s="210"/>
    </row>
    <row r="884" spans="1:18" outlineLevel="1">
      <c r="A884" s="223"/>
      <c r="B884" s="250"/>
      <c r="C884" s="254" t="s">
        <v>2021</v>
      </c>
      <c r="D884" s="223"/>
      <c r="E884" s="250"/>
      <c r="F884" s="223"/>
      <c r="G884" s="250"/>
      <c r="H884" s="250"/>
      <c r="I884" s="250"/>
      <c r="J884" s="251">
        <f>SUBTOTAL(9,J881:J883)</f>
        <v>33010.49</v>
      </c>
      <c r="K884" s="252"/>
      <c r="L884" s="253"/>
      <c r="M884" s="251">
        <f>SUBTOTAL(9,M881:M883)</f>
        <v>471.18</v>
      </c>
      <c r="N884" s="251">
        <f>SUBTOTAL(9,N881:N883)</f>
        <v>944.1</v>
      </c>
      <c r="O884" s="223"/>
      <c r="P884" s="210"/>
      <c r="Q884" s="210" t="str">
        <f>VLOOKUP(C884,'Descriptions Sorted by WO '!$A$5:$S$977,18,FALSE)</f>
        <v>393.1009 (5) (a) (b)</v>
      </c>
      <c r="R884" s="210" t="str">
        <f>VLOOKUP(C884,'Descriptions Sorted by WO '!$A$5:$S$977,19,FALSE)</f>
        <v>A,B</v>
      </c>
    </row>
    <row r="885" spans="1:18" ht="45" outlineLevel="2">
      <c r="A885" s="223" t="s">
        <v>54</v>
      </c>
      <c r="B885" s="250" t="s">
        <v>864</v>
      </c>
      <c r="C885" s="250" t="s">
        <v>865</v>
      </c>
      <c r="D885" s="223" t="s">
        <v>866</v>
      </c>
      <c r="E885" s="250" t="s">
        <v>141</v>
      </c>
      <c r="F885" s="223" t="s">
        <v>142</v>
      </c>
      <c r="G885" s="250" t="s">
        <v>23</v>
      </c>
      <c r="H885" s="250" t="s">
        <v>1525</v>
      </c>
      <c r="I885" s="250">
        <v>201409</v>
      </c>
      <c r="J885" s="251">
        <v>-738.77</v>
      </c>
      <c r="K885" s="171">
        <f>VLOOKUP(I885,$T$9:$U$23,2)</f>
        <v>9</v>
      </c>
      <c r="L885" s="253">
        <v>1.4833299999999999E-3</v>
      </c>
      <c r="M885" s="251">
        <f>ROUND(J885*K885*L885,2)</f>
        <v>-9.86</v>
      </c>
      <c r="N885" s="251">
        <f>ROUND(J885*L885*12,2)</f>
        <v>-13.15</v>
      </c>
      <c r="O885" s="223"/>
      <c r="P885" s="210" t="str">
        <f>VLOOKUP(C885,'WO Descriptions'!$A$5:$D$384,4,FALSE)</f>
        <v>Approved by: Gary Williams on 04/28/2014,  TO LAY 542FT -6IN PE MAIN,REPLACE 542FT-10IN CI MAIN (WO#94-0724 330FT,WO#77-1701 73FT,WO#06-0843 110FT). THIS WORK ORDER IS NECESSARY DUE TO LEAKAGE</v>
      </c>
      <c r="Q885" s="210"/>
      <c r="R885" s="210"/>
    </row>
    <row r="886" spans="1:18" ht="45" outlineLevel="2">
      <c r="A886" s="223" t="s">
        <v>54</v>
      </c>
      <c r="B886" s="250" t="s">
        <v>864</v>
      </c>
      <c r="C886" s="250" t="s">
        <v>865</v>
      </c>
      <c r="D886" s="223" t="s">
        <v>866</v>
      </c>
      <c r="E886" s="250" t="s">
        <v>141</v>
      </c>
      <c r="F886" s="223" t="s">
        <v>142</v>
      </c>
      <c r="G886" s="250" t="s">
        <v>23</v>
      </c>
      <c r="H886" s="250" t="s">
        <v>1525</v>
      </c>
      <c r="I886" s="250">
        <v>201410</v>
      </c>
      <c r="J886" s="251">
        <v>-89.02</v>
      </c>
      <c r="K886" s="171">
        <f>VLOOKUP(I886,$T$9:$U$23,2)</f>
        <v>8</v>
      </c>
      <c r="L886" s="253">
        <v>1.4833299999999999E-3</v>
      </c>
      <c r="M886" s="251">
        <f>ROUND(J886*K886*L886,2)</f>
        <v>-1.06</v>
      </c>
      <c r="N886" s="251">
        <f>ROUND(J886*L886*12,2)</f>
        <v>-1.58</v>
      </c>
      <c r="O886" s="223"/>
      <c r="P886" s="210" t="str">
        <f>VLOOKUP(C886,'WO Descriptions'!$A$5:$D$384,4,FALSE)</f>
        <v>Approved by: Gary Williams on 04/28/2014,  TO LAY 542FT -6IN PE MAIN,REPLACE 542FT-10IN CI MAIN (WO#94-0724 330FT,WO#77-1701 73FT,WO#06-0843 110FT). THIS WORK ORDER IS NECESSARY DUE TO LEAKAGE</v>
      </c>
      <c r="Q886" s="210"/>
      <c r="R886" s="210"/>
    </row>
    <row r="887" spans="1:18" outlineLevel="1">
      <c r="A887" s="223"/>
      <c r="B887" s="250"/>
      <c r="C887" s="254" t="s">
        <v>2022</v>
      </c>
      <c r="D887" s="223"/>
      <c r="E887" s="250"/>
      <c r="F887" s="223"/>
      <c r="G887" s="250"/>
      <c r="H887" s="250"/>
      <c r="I887" s="250"/>
      <c r="J887" s="251">
        <f>SUBTOTAL(9,J885:J886)</f>
        <v>-827.79</v>
      </c>
      <c r="K887" s="252"/>
      <c r="L887" s="253"/>
      <c r="M887" s="251">
        <f>SUBTOTAL(9,M885:M886)</f>
        <v>-10.92</v>
      </c>
      <c r="N887" s="251">
        <f>SUBTOTAL(9,N885:N886)</f>
        <v>-14.73</v>
      </c>
      <c r="O887" s="223"/>
      <c r="P887" s="210"/>
      <c r="Q887" s="210" t="str">
        <f>VLOOKUP(C887,'Descriptions Sorted by WO '!$A$5:$S$977,18,FALSE)</f>
        <v>393.1009 (5) (a) (b)</v>
      </c>
      <c r="R887" s="210" t="str">
        <f>VLOOKUP(C887,'Descriptions Sorted by WO '!$A$5:$S$977,19,FALSE)</f>
        <v>A,B,C,D,I</v>
      </c>
    </row>
    <row r="888" spans="1:18" ht="45" outlineLevel="2">
      <c r="A888" s="223" t="s">
        <v>54</v>
      </c>
      <c r="B888" s="250" t="s">
        <v>867</v>
      </c>
      <c r="C888" s="250" t="s">
        <v>868</v>
      </c>
      <c r="D888" s="223" t="s">
        <v>869</v>
      </c>
      <c r="E888" s="250" t="s">
        <v>36</v>
      </c>
      <c r="F888" s="223" t="s">
        <v>22</v>
      </c>
      <c r="G888" s="250" t="s">
        <v>23</v>
      </c>
      <c r="H888" s="250" t="s">
        <v>1525</v>
      </c>
      <c r="I888" s="250">
        <v>201409</v>
      </c>
      <c r="J888" s="251">
        <v>-73.569999999999993</v>
      </c>
      <c r="K888" s="171">
        <f>VLOOKUP(I888,$T$9:$U$23,2)</f>
        <v>9</v>
      </c>
      <c r="L888" s="253">
        <v>1.4833299999999999E-3</v>
      </c>
      <c r="M888" s="251">
        <f>ROUND(J888*K888*L888,2)</f>
        <v>-0.98</v>
      </c>
      <c r="N888" s="251">
        <f>ROUND(J888*L888*12,2)</f>
        <v>-1.31</v>
      </c>
      <c r="O888" s="223"/>
      <c r="P888" s="210" t="str">
        <f>VLOOKUP(C888,'WO Descriptions'!$A$5:$D$384,4,FALSE)</f>
        <v>Approved by: Gary Williams on 04/28/2014,  To lay 450' of 4"PE main to replace 450' of 4" bare steel main due to down project. Pressure System: C-O1: MOP : .88oz MAOP: .88oz Design MAOP: .88oz Pressure Test: 100 PSIG.</v>
      </c>
      <c r="Q888" s="210"/>
      <c r="R888" s="210"/>
    </row>
    <row r="889" spans="1:18" ht="45" outlineLevel="2">
      <c r="A889" s="223" t="s">
        <v>54</v>
      </c>
      <c r="B889" s="250" t="s">
        <v>867</v>
      </c>
      <c r="C889" s="250" t="s">
        <v>868</v>
      </c>
      <c r="D889" s="223" t="s">
        <v>869</v>
      </c>
      <c r="E889" s="250" t="s">
        <v>36</v>
      </c>
      <c r="F889" s="223" t="s">
        <v>22</v>
      </c>
      <c r="G889" s="250" t="s">
        <v>23</v>
      </c>
      <c r="H889" s="250" t="s">
        <v>1525</v>
      </c>
      <c r="I889" s="250">
        <v>201410</v>
      </c>
      <c r="J889" s="251">
        <v>-21.63</v>
      </c>
      <c r="K889" s="171">
        <f>VLOOKUP(I889,$T$9:$U$23,2)</f>
        <v>8</v>
      </c>
      <c r="L889" s="253">
        <v>1.4833299999999999E-3</v>
      </c>
      <c r="M889" s="251">
        <f>ROUND(J889*K889*L889,2)</f>
        <v>-0.26</v>
      </c>
      <c r="N889" s="251">
        <f>ROUND(J889*L889*12,2)</f>
        <v>-0.39</v>
      </c>
      <c r="O889" s="223"/>
      <c r="P889" s="210" t="str">
        <f>VLOOKUP(C889,'WO Descriptions'!$A$5:$D$384,4,FALSE)</f>
        <v>Approved by: Gary Williams on 04/28/2014,  To lay 450' of 4"PE main to replace 450' of 4" bare steel main due to down project. Pressure System: C-O1: MOP : .88oz MAOP: .88oz Design MAOP: .88oz Pressure Test: 100 PSIG.</v>
      </c>
      <c r="Q889" s="210"/>
      <c r="R889" s="210"/>
    </row>
    <row r="890" spans="1:18" outlineLevel="1">
      <c r="A890" s="223"/>
      <c r="B890" s="250"/>
      <c r="C890" s="254" t="s">
        <v>2023</v>
      </c>
      <c r="D890" s="223"/>
      <c r="E890" s="250"/>
      <c r="F890" s="223"/>
      <c r="G890" s="250"/>
      <c r="H890" s="250"/>
      <c r="I890" s="250"/>
      <c r="J890" s="251">
        <f>SUBTOTAL(9,J888:J889)</f>
        <v>-95.199999999999989</v>
      </c>
      <c r="K890" s="252"/>
      <c r="L890" s="253"/>
      <c r="M890" s="251">
        <f>SUBTOTAL(9,M888:M889)</f>
        <v>-1.24</v>
      </c>
      <c r="N890" s="251">
        <f>SUBTOTAL(9,N888:N889)</f>
        <v>-1.7000000000000002</v>
      </c>
      <c r="O890" s="223"/>
      <c r="P890" s="210"/>
      <c r="Q890" s="210" t="str">
        <f>VLOOKUP(C890,'Descriptions Sorted by WO '!$A$5:$S$977,18,FALSE)</f>
        <v>393.1009 (5) (a) (b)</v>
      </c>
      <c r="R890" s="210" t="str">
        <f>VLOOKUP(C890,'Descriptions Sorted by WO '!$A$5:$S$977,19,FALSE)</f>
        <v>A,B,C</v>
      </c>
    </row>
    <row r="891" spans="1:18" ht="30" outlineLevel="2">
      <c r="A891" s="223" t="s">
        <v>54</v>
      </c>
      <c r="B891" s="250" t="s">
        <v>870</v>
      </c>
      <c r="C891" s="250" t="s">
        <v>871</v>
      </c>
      <c r="D891" s="223" t="s">
        <v>872</v>
      </c>
      <c r="E891" s="250" t="s">
        <v>108</v>
      </c>
      <c r="F891" s="223" t="s">
        <v>28</v>
      </c>
      <c r="G891" s="250" t="s">
        <v>23</v>
      </c>
      <c r="H891" s="250" t="s">
        <v>1525</v>
      </c>
      <c r="I891" s="250">
        <v>201409</v>
      </c>
      <c r="J891" s="251">
        <v>-159.66</v>
      </c>
      <c r="K891" s="171">
        <f>VLOOKUP(I891,$T$9:$U$23,2)</f>
        <v>9</v>
      </c>
      <c r="L891" s="253">
        <v>1.4833299999999999E-3</v>
      </c>
      <c r="M891" s="251">
        <f>ROUND(J891*K891*L891,2)</f>
        <v>-2.13</v>
      </c>
      <c r="N891" s="251">
        <f>ROUND(J891*L891*12,2)</f>
        <v>-2.84</v>
      </c>
      <c r="O891" s="223"/>
      <c r="P891" s="210" t="str">
        <f>VLOOKUP(C891,'WO Descriptions'!$A$5:$D$384,4,FALSE)</f>
        <v>Approved by: Gary Williams on 04/28/2014,  TO LAY 103FT-2IN PE MAIN TO REPLACE 103FT-1 1/8 PE (WO#74-2599). Due to increased load.</v>
      </c>
      <c r="Q891" s="210"/>
      <c r="R891" s="210"/>
    </row>
    <row r="892" spans="1:18" ht="30" outlineLevel="2">
      <c r="A892" s="223" t="s">
        <v>54</v>
      </c>
      <c r="B892" s="250" t="s">
        <v>870</v>
      </c>
      <c r="C892" s="250" t="s">
        <v>871</v>
      </c>
      <c r="D892" s="223" t="s">
        <v>872</v>
      </c>
      <c r="E892" s="250" t="s">
        <v>108</v>
      </c>
      <c r="F892" s="223" t="s">
        <v>28</v>
      </c>
      <c r="G892" s="250" t="s">
        <v>23</v>
      </c>
      <c r="H892" s="250" t="s">
        <v>1525</v>
      </c>
      <c r="I892" s="250">
        <v>201410</v>
      </c>
      <c r="J892" s="251">
        <v>-10.32</v>
      </c>
      <c r="K892" s="171">
        <f>VLOOKUP(I892,$T$9:$U$23,2)</f>
        <v>8</v>
      </c>
      <c r="L892" s="253">
        <v>1.4833299999999999E-3</v>
      </c>
      <c r="M892" s="251">
        <f>ROUND(J892*K892*L892,2)</f>
        <v>-0.12</v>
      </c>
      <c r="N892" s="251">
        <f>ROUND(J892*L892*12,2)</f>
        <v>-0.18</v>
      </c>
      <c r="O892" s="223"/>
      <c r="P892" s="210" t="str">
        <f>VLOOKUP(C892,'WO Descriptions'!$A$5:$D$384,4,FALSE)</f>
        <v>Approved by: Gary Williams on 04/28/2014,  TO LAY 103FT-2IN PE MAIN TO REPLACE 103FT-1 1/8 PE (WO#74-2599). Due to increased load.</v>
      </c>
      <c r="Q892" s="210"/>
      <c r="R892" s="210"/>
    </row>
    <row r="893" spans="1:18" outlineLevel="1">
      <c r="A893" s="223"/>
      <c r="B893" s="250"/>
      <c r="C893" s="254" t="s">
        <v>2024</v>
      </c>
      <c r="D893" s="223"/>
      <c r="E893" s="250"/>
      <c r="F893" s="223"/>
      <c r="G893" s="250"/>
      <c r="H893" s="250"/>
      <c r="I893" s="250"/>
      <c r="J893" s="251">
        <f>SUBTOTAL(9,J891:J892)</f>
        <v>-169.98</v>
      </c>
      <c r="K893" s="252"/>
      <c r="L893" s="253"/>
      <c r="M893" s="251">
        <f>SUBTOTAL(9,M891:M892)</f>
        <v>-2.25</v>
      </c>
      <c r="N893" s="251">
        <f>SUBTOTAL(9,N891:N892)</f>
        <v>-3.02</v>
      </c>
      <c r="O893" s="223"/>
      <c r="P893" s="210"/>
      <c r="Q893" s="210" t="str">
        <f>VLOOKUP(C893,'Descriptions Sorted by WO '!$A$5:$S$977,18,FALSE)</f>
        <v>393.1009 (5) (a) (b)</v>
      </c>
      <c r="R893" s="210" t="str">
        <f>VLOOKUP(C893,'Descriptions Sorted by WO '!$A$5:$S$977,19,FALSE)</f>
        <v>A,B</v>
      </c>
    </row>
    <row r="894" spans="1:18" ht="45" outlineLevel="2">
      <c r="A894" s="223" t="s">
        <v>54</v>
      </c>
      <c r="B894" s="250" t="s">
        <v>873</v>
      </c>
      <c r="C894" s="250" t="s">
        <v>874</v>
      </c>
      <c r="D894" s="223" t="s">
        <v>875</v>
      </c>
      <c r="E894" s="250" t="s">
        <v>36</v>
      </c>
      <c r="F894" s="223" t="s">
        <v>22</v>
      </c>
      <c r="G894" s="250" t="s">
        <v>23</v>
      </c>
      <c r="H894" s="250" t="s">
        <v>1525</v>
      </c>
      <c r="I894" s="250">
        <v>201409</v>
      </c>
      <c r="J894" s="251">
        <v>-132.54</v>
      </c>
      <c r="K894" s="171">
        <f>VLOOKUP(I894,$T$9:$U$23,2)</f>
        <v>9</v>
      </c>
      <c r="L894" s="253">
        <v>1.4833299999999999E-3</v>
      </c>
      <c r="M894" s="251">
        <f>ROUND(J894*K894*L894,2)</f>
        <v>-1.77</v>
      </c>
      <c r="N894" s="251">
        <f>ROUND(J894*L894*12,2)</f>
        <v>-2.36</v>
      </c>
      <c r="O894" s="223"/>
      <c r="P894" s="210" t="str">
        <f>VLOOKUP(C894,'WO Descriptions'!$A$5:$D$384,4,FALSE)</f>
        <v>Approved by: Gary Williams on 04/28/2014,  To lay 150' of 4"PE main to replace 150' of 4" bare steel main due to down project. System: C-O1: MOP :14oz MAOP : .88oz Design MAOP : .88oz Pressure Test: 100 PSIG.</v>
      </c>
      <c r="Q894" s="210"/>
      <c r="R894" s="210"/>
    </row>
    <row r="895" spans="1:18" ht="45" outlineLevel="2">
      <c r="A895" s="223" t="s">
        <v>54</v>
      </c>
      <c r="B895" s="250" t="s">
        <v>873</v>
      </c>
      <c r="C895" s="250" t="s">
        <v>874</v>
      </c>
      <c r="D895" s="223" t="s">
        <v>875</v>
      </c>
      <c r="E895" s="250" t="s">
        <v>36</v>
      </c>
      <c r="F895" s="223" t="s">
        <v>22</v>
      </c>
      <c r="G895" s="250" t="s">
        <v>23</v>
      </c>
      <c r="H895" s="250" t="s">
        <v>1525</v>
      </c>
      <c r="I895" s="250">
        <v>201410</v>
      </c>
      <c r="J895" s="251">
        <v>-14.44</v>
      </c>
      <c r="K895" s="171">
        <f>VLOOKUP(I895,$T$9:$U$23,2)</f>
        <v>8</v>
      </c>
      <c r="L895" s="253">
        <v>1.4833299999999999E-3</v>
      </c>
      <c r="M895" s="251">
        <f>ROUND(J895*K895*L895,2)</f>
        <v>-0.17</v>
      </c>
      <c r="N895" s="251">
        <f>ROUND(J895*L895*12,2)</f>
        <v>-0.26</v>
      </c>
      <c r="O895" s="223"/>
      <c r="P895" s="210" t="str">
        <f>VLOOKUP(C895,'WO Descriptions'!$A$5:$D$384,4,FALSE)</f>
        <v>Approved by: Gary Williams on 04/28/2014,  To lay 150' of 4"PE main to replace 150' of 4" bare steel main due to down project. System: C-O1: MOP :14oz MAOP : .88oz Design MAOP : .88oz Pressure Test: 100 PSIG.</v>
      </c>
      <c r="Q895" s="210"/>
      <c r="R895" s="210"/>
    </row>
    <row r="896" spans="1:18" outlineLevel="1">
      <c r="A896" s="223"/>
      <c r="B896" s="250"/>
      <c r="C896" s="254" t="s">
        <v>2025</v>
      </c>
      <c r="D896" s="223"/>
      <c r="E896" s="250"/>
      <c r="F896" s="223"/>
      <c r="G896" s="250"/>
      <c r="H896" s="250"/>
      <c r="I896" s="250"/>
      <c r="J896" s="251">
        <f>SUBTOTAL(9,J894:J895)</f>
        <v>-146.97999999999999</v>
      </c>
      <c r="K896" s="252"/>
      <c r="L896" s="253"/>
      <c r="M896" s="251">
        <f>SUBTOTAL(9,M894:M895)</f>
        <v>-1.94</v>
      </c>
      <c r="N896" s="251">
        <f>SUBTOTAL(9,N894:N895)</f>
        <v>-2.62</v>
      </c>
      <c r="O896" s="223"/>
      <c r="P896" s="210"/>
      <c r="Q896" s="210" t="str">
        <f>VLOOKUP(C896,'Descriptions Sorted by WO '!$A$5:$S$977,18,FALSE)</f>
        <v>393.1009 (5) (a) (b)</v>
      </c>
      <c r="R896" s="210" t="str">
        <f>VLOOKUP(C896,'Descriptions Sorted by WO '!$A$5:$S$977,19,FALSE)</f>
        <v>A,B,C</v>
      </c>
    </row>
    <row r="897" spans="1:18" ht="60" outlineLevel="2">
      <c r="A897" s="223" t="s">
        <v>54</v>
      </c>
      <c r="B897" s="250" t="s">
        <v>876</v>
      </c>
      <c r="C897" s="250" t="s">
        <v>877</v>
      </c>
      <c r="D897" s="223" t="s">
        <v>878</v>
      </c>
      <c r="E897" s="250" t="s">
        <v>62</v>
      </c>
      <c r="F897" s="223" t="s">
        <v>22</v>
      </c>
      <c r="G897" s="250" t="s">
        <v>23</v>
      </c>
      <c r="H897" s="250" t="s">
        <v>1525</v>
      </c>
      <c r="I897" s="250">
        <v>201410</v>
      </c>
      <c r="J897" s="251">
        <v>40690.879999999997</v>
      </c>
      <c r="K897" s="171">
        <f t="shared" ref="K897:K902" si="102">VLOOKUP(I897,$T$9:$U$23,2)</f>
        <v>8</v>
      </c>
      <c r="L897" s="253">
        <v>1.4833299999999999E-3</v>
      </c>
      <c r="M897" s="251">
        <f t="shared" ref="M897:M902" si="103">ROUND(J897*K897*L897,2)</f>
        <v>482.86</v>
      </c>
      <c r="N897" s="251">
        <f t="shared" ref="N897:N902" si="104">ROUND(J897*L897*12,2)</f>
        <v>724.3</v>
      </c>
      <c r="O897" s="223"/>
      <c r="P897" s="210" t="str">
        <f>VLOOKUP(C897,'WO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897" s="210"/>
      <c r="R897" s="210"/>
    </row>
    <row r="898" spans="1:18" ht="60" outlineLevel="2">
      <c r="A898" s="223" t="s">
        <v>54</v>
      </c>
      <c r="B898" s="250" t="s">
        <v>876</v>
      </c>
      <c r="C898" s="250" t="s">
        <v>877</v>
      </c>
      <c r="D898" s="223" t="s">
        <v>878</v>
      </c>
      <c r="E898" s="250" t="s">
        <v>62</v>
      </c>
      <c r="F898" s="223" t="s">
        <v>22</v>
      </c>
      <c r="G898" s="250" t="s">
        <v>23</v>
      </c>
      <c r="H898" s="250" t="s">
        <v>1525</v>
      </c>
      <c r="I898" s="250">
        <v>201411</v>
      </c>
      <c r="J898" s="251">
        <v>8478.08</v>
      </c>
      <c r="K898" s="171">
        <f t="shared" si="102"/>
        <v>7</v>
      </c>
      <c r="L898" s="253">
        <v>1.4833299999999999E-3</v>
      </c>
      <c r="M898" s="251">
        <f t="shared" si="103"/>
        <v>88.03</v>
      </c>
      <c r="N898" s="251">
        <f t="shared" si="104"/>
        <v>150.91</v>
      </c>
      <c r="O898" s="223"/>
      <c r="P898" s="210" t="str">
        <f>VLOOKUP(C898,'WO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898" s="210"/>
      <c r="R898" s="210"/>
    </row>
    <row r="899" spans="1:18" ht="60" outlineLevel="2">
      <c r="A899" s="223" t="s">
        <v>54</v>
      </c>
      <c r="B899" s="250" t="s">
        <v>876</v>
      </c>
      <c r="C899" s="250" t="s">
        <v>877</v>
      </c>
      <c r="D899" s="223" t="s">
        <v>878</v>
      </c>
      <c r="E899" s="250" t="s">
        <v>62</v>
      </c>
      <c r="F899" s="223" t="s">
        <v>22</v>
      </c>
      <c r="G899" s="250" t="s">
        <v>23</v>
      </c>
      <c r="H899" s="250" t="s">
        <v>1525</v>
      </c>
      <c r="I899" s="250">
        <v>201412</v>
      </c>
      <c r="J899" s="251">
        <v>-865.92</v>
      </c>
      <c r="K899" s="171">
        <f t="shared" si="102"/>
        <v>6</v>
      </c>
      <c r="L899" s="253">
        <v>1.4833299999999999E-3</v>
      </c>
      <c r="M899" s="251">
        <f t="shared" si="103"/>
        <v>-7.71</v>
      </c>
      <c r="N899" s="251">
        <f t="shared" si="104"/>
        <v>-15.41</v>
      </c>
      <c r="O899" s="223"/>
      <c r="P899" s="210" t="str">
        <f>VLOOKUP(C899,'WO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899" s="210"/>
      <c r="R899" s="210"/>
    </row>
    <row r="900" spans="1:18" ht="60" outlineLevel="2">
      <c r="A900" s="223" t="s">
        <v>54</v>
      </c>
      <c r="B900" s="250" t="s">
        <v>876</v>
      </c>
      <c r="C900" s="250" t="s">
        <v>877</v>
      </c>
      <c r="D900" s="223" t="s">
        <v>878</v>
      </c>
      <c r="E900" s="250" t="s">
        <v>62</v>
      </c>
      <c r="F900" s="223" t="s">
        <v>22</v>
      </c>
      <c r="G900" s="250" t="s">
        <v>23</v>
      </c>
      <c r="H900" s="250" t="s">
        <v>1525</v>
      </c>
      <c r="I900" s="250">
        <v>201501</v>
      </c>
      <c r="J900" s="251">
        <v>48299.15</v>
      </c>
      <c r="K900" s="171">
        <f t="shared" si="102"/>
        <v>5</v>
      </c>
      <c r="L900" s="253">
        <v>1.4833299999999999E-3</v>
      </c>
      <c r="M900" s="251">
        <f t="shared" si="103"/>
        <v>358.22</v>
      </c>
      <c r="N900" s="251">
        <f t="shared" si="104"/>
        <v>859.72</v>
      </c>
      <c r="O900" s="223"/>
      <c r="P900" s="210" t="str">
        <f>VLOOKUP(C900,'WO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900" s="210"/>
      <c r="R900" s="210"/>
    </row>
    <row r="901" spans="1:18" ht="60" outlineLevel="2">
      <c r="A901" s="223" t="s">
        <v>54</v>
      </c>
      <c r="B901" s="250" t="s">
        <v>876</v>
      </c>
      <c r="C901" s="250" t="s">
        <v>877</v>
      </c>
      <c r="D901" s="223" t="s">
        <v>878</v>
      </c>
      <c r="E901" s="250" t="s">
        <v>62</v>
      </c>
      <c r="F901" s="223" t="s">
        <v>22</v>
      </c>
      <c r="G901" s="250" t="s">
        <v>23</v>
      </c>
      <c r="H901" s="250" t="s">
        <v>1525</v>
      </c>
      <c r="I901" s="250">
        <v>201501</v>
      </c>
      <c r="J901" s="251">
        <v>-48303.040000000001</v>
      </c>
      <c r="K901" s="171">
        <f t="shared" si="102"/>
        <v>5</v>
      </c>
      <c r="L901" s="253">
        <v>1.4833299999999999E-3</v>
      </c>
      <c r="M901" s="251">
        <f t="shared" si="103"/>
        <v>-358.25</v>
      </c>
      <c r="N901" s="251">
        <f t="shared" si="104"/>
        <v>-859.79</v>
      </c>
      <c r="O901" s="223"/>
      <c r="P901" s="210" t="str">
        <f>VLOOKUP(C901,'WO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901" s="210"/>
      <c r="R901" s="210"/>
    </row>
    <row r="902" spans="1:18" ht="60" outlineLevel="2">
      <c r="A902" s="223" t="s">
        <v>54</v>
      </c>
      <c r="B902" s="250" t="s">
        <v>876</v>
      </c>
      <c r="C902" s="250" t="s">
        <v>877</v>
      </c>
      <c r="D902" s="223" t="s">
        <v>878</v>
      </c>
      <c r="E902" s="250" t="s">
        <v>62</v>
      </c>
      <c r="F902" s="223" t="s">
        <v>22</v>
      </c>
      <c r="G902" s="250" t="s">
        <v>23</v>
      </c>
      <c r="H902" s="250" t="s">
        <v>1525</v>
      </c>
      <c r="I902" s="250">
        <v>201502</v>
      </c>
      <c r="J902" s="251">
        <v>2933.77</v>
      </c>
      <c r="K902" s="171">
        <f t="shared" si="102"/>
        <v>4</v>
      </c>
      <c r="L902" s="253">
        <v>1.4833299999999999E-3</v>
      </c>
      <c r="M902" s="251">
        <f t="shared" si="103"/>
        <v>17.41</v>
      </c>
      <c r="N902" s="251">
        <f t="shared" si="104"/>
        <v>52.22</v>
      </c>
      <c r="O902" s="223"/>
      <c r="P902" s="210" t="str">
        <f>VLOOKUP(C902,'WO Descriptions'!$A$5:$D$384,4,FALSE)</f>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
      <c r="Q902" s="210"/>
      <c r="R902" s="210"/>
    </row>
    <row r="903" spans="1:18" outlineLevel="1">
      <c r="A903" s="223"/>
      <c r="B903" s="250"/>
      <c r="C903" s="254" t="s">
        <v>2026</v>
      </c>
      <c r="D903" s="223"/>
      <c r="E903" s="250"/>
      <c r="F903" s="223"/>
      <c r="G903" s="250"/>
      <c r="H903" s="250"/>
      <c r="I903" s="250"/>
      <c r="J903" s="251">
        <f>SUBTOTAL(9,J897:J902)</f>
        <v>51232.92</v>
      </c>
      <c r="K903" s="252"/>
      <c r="L903" s="253"/>
      <c r="M903" s="251">
        <f>SUBTOTAL(9,M897:M902)</f>
        <v>580.55999999999995</v>
      </c>
      <c r="N903" s="251">
        <f>SUBTOTAL(9,N897:N902)</f>
        <v>911.95</v>
      </c>
      <c r="O903" s="223"/>
      <c r="P903" s="210"/>
      <c r="Q903" s="210" t="str">
        <f>VLOOKUP(C903,'Descriptions Sorted by WO '!$A$5:$S$977,18,FALSE)</f>
        <v>393.1009 (5) (a) (b)</v>
      </c>
      <c r="R903" s="210" t="str">
        <f>VLOOKUP(C903,'Descriptions Sorted by WO '!$A$5:$S$977,19,FALSE)</f>
        <v>A,B,C</v>
      </c>
    </row>
    <row r="904" spans="1:18" ht="195" outlineLevel="2">
      <c r="A904" s="223" t="s">
        <v>54</v>
      </c>
      <c r="B904" s="250" t="s">
        <v>2183</v>
      </c>
      <c r="C904" s="250" t="s">
        <v>2184</v>
      </c>
      <c r="D904" s="223" t="s">
        <v>2185</v>
      </c>
      <c r="E904" s="250" t="s">
        <v>62</v>
      </c>
      <c r="F904" s="223" t="s">
        <v>22</v>
      </c>
      <c r="G904" s="250" t="s">
        <v>23</v>
      </c>
      <c r="H904" s="250" t="s">
        <v>1525</v>
      </c>
      <c r="I904" s="250">
        <v>201501</v>
      </c>
      <c r="J904" s="251">
        <v>93860.72</v>
      </c>
      <c r="K904" s="171">
        <f>VLOOKUP(I904,$T$9:$U$23,2)</f>
        <v>5</v>
      </c>
      <c r="L904" s="253">
        <v>1.4833299999999999E-3</v>
      </c>
      <c r="M904" s="251">
        <f>ROUND(J904*K904*L904,2)</f>
        <v>696.13</v>
      </c>
      <c r="N904" s="251">
        <f>ROUND(J904*L904*12,2)</f>
        <v>1670.72</v>
      </c>
      <c r="O904" s="223"/>
      <c r="P904" s="210" t="str">
        <f>VLOOKUP(C904,'WO Descriptions'!$A$5:$D$384,4,FALSE)</f>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
      <c r="Q904" s="210"/>
      <c r="R904" s="210"/>
    </row>
    <row r="905" spans="1:18" ht="195" outlineLevel="2">
      <c r="A905" s="223" t="s">
        <v>54</v>
      </c>
      <c r="B905" s="250" t="s">
        <v>2183</v>
      </c>
      <c r="C905" s="250" t="s">
        <v>2184</v>
      </c>
      <c r="D905" s="223" t="s">
        <v>2185</v>
      </c>
      <c r="E905" s="250" t="s">
        <v>62</v>
      </c>
      <c r="F905" s="223" t="s">
        <v>22</v>
      </c>
      <c r="G905" s="250" t="s">
        <v>23</v>
      </c>
      <c r="H905" s="250" t="s">
        <v>1525</v>
      </c>
      <c r="I905" s="250">
        <v>201502</v>
      </c>
      <c r="J905" s="251">
        <v>7017.73</v>
      </c>
      <c r="K905" s="171">
        <f>VLOOKUP(I905,$T$9:$U$23,2)</f>
        <v>4</v>
      </c>
      <c r="L905" s="253">
        <v>1.4833299999999999E-3</v>
      </c>
      <c r="M905" s="251">
        <f>ROUND(J905*K905*L905,2)</f>
        <v>41.64</v>
      </c>
      <c r="N905" s="251">
        <f>ROUND(J905*L905*12,2)</f>
        <v>124.92</v>
      </c>
      <c r="O905" s="223"/>
      <c r="P905" s="210" t="str">
        <f>VLOOKUP(C905,'WO Descriptions'!$A$5:$D$384,4,FALSE)</f>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
      <c r="Q905" s="210"/>
      <c r="R905" s="210"/>
    </row>
    <row r="906" spans="1:18" outlineLevel="1">
      <c r="A906" s="223"/>
      <c r="B906" s="250"/>
      <c r="C906" s="254" t="s">
        <v>2321</v>
      </c>
      <c r="D906" s="223"/>
      <c r="E906" s="250"/>
      <c r="F906" s="223"/>
      <c r="G906" s="250"/>
      <c r="H906" s="250"/>
      <c r="I906" s="250"/>
      <c r="J906" s="251">
        <f>SUBTOTAL(9,J904:J905)</f>
        <v>100878.45</v>
      </c>
      <c r="K906" s="252"/>
      <c r="L906" s="253"/>
      <c r="M906" s="251">
        <f>SUBTOTAL(9,M904:M905)</f>
        <v>737.77</v>
      </c>
      <c r="N906" s="251">
        <f>SUBTOTAL(9,N904:N905)</f>
        <v>1795.64</v>
      </c>
      <c r="O906" s="223"/>
      <c r="P906" s="210"/>
      <c r="Q906" s="210" t="s">
        <v>2097</v>
      </c>
      <c r="R906" s="210" t="s">
        <v>2100</v>
      </c>
    </row>
    <row r="907" spans="1:18" ht="30" outlineLevel="2">
      <c r="A907" s="223" t="s">
        <v>54</v>
      </c>
      <c r="B907" s="250" t="s">
        <v>1045</v>
      </c>
      <c r="C907" s="250" t="s">
        <v>1046</v>
      </c>
      <c r="D907" s="223" t="s">
        <v>1047</v>
      </c>
      <c r="E907" s="250" t="s">
        <v>462</v>
      </c>
      <c r="F907" s="223" t="s">
        <v>142</v>
      </c>
      <c r="G907" s="250" t="s">
        <v>23</v>
      </c>
      <c r="H907" s="250" t="s">
        <v>1525</v>
      </c>
      <c r="I907" s="250">
        <v>201412</v>
      </c>
      <c r="J907" s="251">
        <v>5321.09</v>
      </c>
      <c r="K907" s="171">
        <f>VLOOKUP(I907,$T$9:$U$23,2)</f>
        <v>6</v>
      </c>
      <c r="L907" s="253">
        <v>1.4833299999999999E-3</v>
      </c>
      <c r="M907" s="251">
        <f>ROUND(J907*K907*L907,2)</f>
        <v>47.36</v>
      </c>
      <c r="N907" s="251">
        <f>ROUND(J907*L907*12,2)</f>
        <v>94.72</v>
      </c>
      <c r="O907" s="223"/>
      <c r="P907" s="210" t="str">
        <f>VLOOKUP(C907,'WO Descriptions'!$A$5:$D$384,4,FALSE)</f>
        <v>Approved by: Kevin Driskell on 03/28/2014,  Replace 4in CI w/ 190'-4in PE due to leak.  Tie-over 3 services and replace 1 service.</v>
      </c>
      <c r="Q907" s="210"/>
      <c r="R907" s="210"/>
    </row>
    <row r="908" spans="1:18" ht="30" outlineLevel="2">
      <c r="A908" s="223" t="s">
        <v>54</v>
      </c>
      <c r="B908" s="250" t="s">
        <v>1045</v>
      </c>
      <c r="C908" s="250" t="s">
        <v>1046</v>
      </c>
      <c r="D908" s="223" t="s">
        <v>1047</v>
      </c>
      <c r="E908" s="250" t="s">
        <v>462</v>
      </c>
      <c r="F908" s="223" t="s">
        <v>142</v>
      </c>
      <c r="G908" s="250" t="s">
        <v>23</v>
      </c>
      <c r="H908" s="250" t="s">
        <v>1525</v>
      </c>
      <c r="I908" s="250">
        <v>201501</v>
      </c>
      <c r="J908" s="251">
        <v>4423.05</v>
      </c>
      <c r="K908" s="171">
        <f>VLOOKUP(I908,$T$9:$U$23,2)</f>
        <v>5</v>
      </c>
      <c r="L908" s="253">
        <v>1.4833299999999999E-3</v>
      </c>
      <c r="M908" s="251">
        <f>ROUND(J908*K908*L908,2)</f>
        <v>32.799999999999997</v>
      </c>
      <c r="N908" s="251">
        <f>ROUND(J908*L908*12,2)</f>
        <v>78.73</v>
      </c>
      <c r="O908" s="223"/>
      <c r="P908" s="210" t="str">
        <f>VLOOKUP(C908,'WO Descriptions'!$A$5:$D$384,4,FALSE)</f>
        <v>Approved by: Kevin Driskell on 03/28/2014,  Replace 4in CI w/ 190'-4in PE due to leak.  Tie-over 3 services and replace 1 service.</v>
      </c>
      <c r="Q908" s="210"/>
      <c r="R908" s="210"/>
    </row>
    <row r="909" spans="1:18" ht="30" outlineLevel="2">
      <c r="A909" s="223" t="s">
        <v>54</v>
      </c>
      <c r="B909" s="250" t="s">
        <v>1045</v>
      </c>
      <c r="C909" s="250" t="s">
        <v>1046</v>
      </c>
      <c r="D909" s="223" t="s">
        <v>1047</v>
      </c>
      <c r="E909" s="250" t="s">
        <v>462</v>
      </c>
      <c r="F909" s="223" t="s">
        <v>142</v>
      </c>
      <c r="G909" s="250" t="s">
        <v>23</v>
      </c>
      <c r="H909" s="250" t="s">
        <v>1525</v>
      </c>
      <c r="I909" s="250">
        <v>201502</v>
      </c>
      <c r="J909" s="251">
        <v>6074.92</v>
      </c>
      <c r="K909" s="171">
        <f>VLOOKUP(I909,$T$9:$U$23,2)</f>
        <v>4</v>
      </c>
      <c r="L909" s="253">
        <v>1.4833299999999999E-3</v>
      </c>
      <c r="M909" s="251">
        <f>ROUND(J909*K909*L909,2)</f>
        <v>36.04</v>
      </c>
      <c r="N909" s="251">
        <f>ROUND(J909*L909*12,2)</f>
        <v>108.13</v>
      </c>
      <c r="O909" s="223"/>
      <c r="P909" s="210" t="str">
        <f>VLOOKUP(C909,'WO Descriptions'!$A$5:$D$384,4,FALSE)</f>
        <v>Approved by: Kevin Driskell on 03/28/2014,  Replace 4in CI w/ 190'-4in PE due to leak.  Tie-over 3 services and replace 1 service.</v>
      </c>
      <c r="Q909" s="210"/>
      <c r="R909" s="210"/>
    </row>
    <row r="910" spans="1:18" outlineLevel="1">
      <c r="A910" s="223"/>
      <c r="B910" s="250"/>
      <c r="C910" s="254" t="s">
        <v>2027</v>
      </c>
      <c r="D910" s="223"/>
      <c r="E910" s="250"/>
      <c r="F910" s="223"/>
      <c r="G910" s="250"/>
      <c r="H910" s="250"/>
      <c r="I910" s="250"/>
      <c r="J910" s="251">
        <f>SUBTOTAL(9,J907:J909)</f>
        <v>15819.06</v>
      </c>
      <c r="K910" s="252"/>
      <c r="L910" s="253"/>
      <c r="M910" s="251">
        <f>SUBTOTAL(9,M907:M909)</f>
        <v>116.19999999999999</v>
      </c>
      <c r="N910" s="251">
        <f>SUBTOTAL(9,N907:N909)</f>
        <v>281.58</v>
      </c>
      <c r="O910" s="223"/>
      <c r="P910" s="210"/>
      <c r="Q910" s="210" t="str">
        <f>VLOOKUP(C910,'Descriptions Sorted by WO '!$A$5:$S$977,18,FALSE)</f>
        <v>393.1009 (5) (a) (b)</v>
      </c>
      <c r="R910" s="210" t="str">
        <f>VLOOKUP(C910,'Descriptions Sorted by WO '!$A$5:$S$977,19,FALSE)</f>
        <v>A,B,C,D,I</v>
      </c>
    </row>
    <row r="911" spans="1:18" ht="60" outlineLevel="2">
      <c r="A911" s="223" t="s">
        <v>54</v>
      </c>
      <c r="B911" s="250" t="s">
        <v>879</v>
      </c>
      <c r="C911" s="250" t="s">
        <v>880</v>
      </c>
      <c r="D911" s="223" t="s">
        <v>881</v>
      </c>
      <c r="E911" s="250" t="s">
        <v>53</v>
      </c>
      <c r="F911" s="223" t="s">
        <v>41</v>
      </c>
      <c r="G911" s="250" t="s">
        <v>23</v>
      </c>
      <c r="H911" s="250" t="s">
        <v>1526</v>
      </c>
      <c r="I911" s="250">
        <v>201409</v>
      </c>
      <c r="J911" s="251">
        <v>-421.12</v>
      </c>
      <c r="K911" s="171">
        <f t="shared" ref="K911:K916" si="105">VLOOKUP(I911,$T$9:$U$23,2)</f>
        <v>9</v>
      </c>
      <c r="L911" s="253">
        <v>1.4833299999999999E-3</v>
      </c>
      <c r="M911" s="251">
        <f t="shared" ref="M911:M916" si="106">ROUND(J911*K911*L911,2)</f>
        <v>-5.62</v>
      </c>
      <c r="N911" s="251">
        <f t="shared" ref="N911:N916" si="107">ROUND(J911*L911*12,2)</f>
        <v>-7.5</v>
      </c>
      <c r="O911" s="223"/>
      <c r="P911" s="210" t="str">
        <f>VLOOKUP(C911,'WO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1" s="210"/>
      <c r="R911" s="210"/>
    </row>
    <row r="912" spans="1:18" ht="60" outlineLevel="2">
      <c r="A912" s="223" t="s">
        <v>54</v>
      </c>
      <c r="B912" s="250" t="s">
        <v>879</v>
      </c>
      <c r="C912" s="250" t="s">
        <v>880</v>
      </c>
      <c r="D912" s="223" t="s">
        <v>881</v>
      </c>
      <c r="E912" s="250" t="s">
        <v>53</v>
      </c>
      <c r="F912" s="223" t="s">
        <v>41</v>
      </c>
      <c r="G912" s="250" t="s">
        <v>23</v>
      </c>
      <c r="H912" s="250" t="s">
        <v>1526</v>
      </c>
      <c r="I912" s="250">
        <v>201410</v>
      </c>
      <c r="J912" s="251">
        <v>-7153.05</v>
      </c>
      <c r="K912" s="171">
        <f t="shared" si="105"/>
        <v>8</v>
      </c>
      <c r="L912" s="253">
        <v>1.4833299999999999E-3</v>
      </c>
      <c r="M912" s="251">
        <f t="shared" si="106"/>
        <v>-84.88</v>
      </c>
      <c r="N912" s="251">
        <f t="shared" si="107"/>
        <v>-127.32</v>
      </c>
      <c r="O912" s="223"/>
      <c r="P912" s="210" t="str">
        <f>VLOOKUP(C912,'WO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2" s="210"/>
      <c r="R912" s="210"/>
    </row>
    <row r="913" spans="1:18" ht="60" outlineLevel="2">
      <c r="A913" s="223" t="s">
        <v>54</v>
      </c>
      <c r="B913" s="250" t="s">
        <v>879</v>
      </c>
      <c r="C913" s="250" t="s">
        <v>880</v>
      </c>
      <c r="D913" s="223" t="s">
        <v>881</v>
      </c>
      <c r="E913" s="250" t="s">
        <v>53</v>
      </c>
      <c r="F913" s="223" t="s">
        <v>41</v>
      </c>
      <c r="G913" s="250" t="s">
        <v>23</v>
      </c>
      <c r="H913" s="250" t="s">
        <v>1526</v>
      </c>
      <c r="I913" s="250">
        <v>201411</v>
      </c>
      <c r="J913" s="251">
        <v>195.47</v>
      </c>
      <c r="K913" s="171">
        <f t="shared" si="105"/>
        <v>7</v>
      </c>
      <c r="L913" s="253">
        <v>1.4833299999999999E-3</v>
      </c>
      <c r="M913" s="251">
        <f t="shared" si="106"/>
        <v>2.0299999999999998</v>
      </c>
      <c r="N913" s="251">
        <f t="shared" si="107"/>
        <v>3.48</v>
      </c>
      <c r="O913" s="223"/>
      <c r="P913" s="210" t="str">
        <f>VLOOKUP(C913,'WO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3" s="210"/>
      <c r="R913" s="210"/>
    </row>
    <row r="914" spans="1:18" ht="60" outlineLevel="2">
      <c r="A914" s="223" t="s">
        <v>54</v>
      </c>
      <c r="B914" s="250" t="s">
        <v>879</v>
      </c>
      <c r="C914" s="250" t="s">
        <v>880</v>
      </c>
      <c r="D914" s="223" t="s">
        <v>881</v>
      </c>
      <c r="E914" s="250" t="s">
        <v>53</v>
      </c>
      <c r="F914" s="223" t="s">
        <v>41</v>
      </c>
      <c r="G914" s="250" t="s">
        <v>23</v>
      </c>
      <c r="H914" s="250" t="s">
        <v>1526</v>
      </c>
      <c r="I914" s="250">
        <v>201412</v>
      </c>
      <c r="J914" s="251">
        <v>544.26</v>
      </c>
      <c r="K914" s="171">
        <f t="shared" si="105"/>
        <v>6</v>
      </c>
      <c r="L914" s="253">
        <v>1.4833299999999999E-3</v>
      </c>
      <c r="M914" s="251">
        <f t="shared" si="106"/>
        <v>4.84</v>
      </c>
      <c r="N914" s="251">
        <f t="shared" si="107"/>
        <v>9.69</v>
      </c>
      <c r="O914" s="223"/>
      <c r="P914" s="210" t="str">
        <f>VLOOKUP(C914,'WO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4" s="210"/>
      <c r="R914" s="210"/>
    </row>
    <row r="915" spans="1:18" ht="60" outlineLevel="2">
      <c r="A915" s="223" t="s">
        <v>54</v>
      </c>
      <c r="B915" s="250" t="s">
        <v>879</v>
      </c>
      <c r="C915" s="250" t="s">
        <v>880</v>
      </c>
      <c r="D915" s="223" t="s">
        <v>881</v>
      </c>
      <c r="E915" s="250" t="s">
        <v>53</v>
      </c>
      <c r="F915" s="223" t="s">
        <v>41</v>
      </c>
      <c r="G915" s="250" t="s">
        <v>23</v>
      </c>
      <c r="H915" s="250" t="s">
        <v>1526</v>
      </c>
      <c r="I915" s="250">
        <v>201501</v>
      </c>
      <c r="J915" s="251">
        <v>12</v>
      </c>
      <c r="K915" s="171">
        <f t="shared" si="105"/>
        <v>5</v>
      </c>
      <c r="L915" s="253">
        <v>1.4833299999999999E-3</v>
      </c>
      <c r="M915" s="251">
        <f t="shared" si="106"/>
        <v>0.09</v>
      </c>
      <c r="N915" s="251">
        <f t="shared" si="107"/>
        <v>0.21</v>
      </c>
      <c r="O915" s="223"/>
      <c r="P915" s="210" t="str">
        <f>VLOOKUP(C915,'WO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5" s="210"/>
      <c r="R915" s="210"/>
    </row>
    <row r="916" spans="1:18" ht="60" outlineLevel="2">
      <c r="A916" s="223" t="s">
        <v>54</v>
      </c>
      <c r="B916" s="250" t="s">
        <v>879</v>
      </c>
      <c r="C916" s="250" t="s">
        <v>880</v>
      </c>
      <c r="D916" s="223" t="s">
        <v>881</v>
      </c>
      <c r="E916" s="250" t="s">
        <v>53</v>
      </c>
      <c r="F916" s="223" t="s">
        <v>41</v>
      </c>
      <c r="G916" s="250" t="s">
        <v>23</v>
      </c>
      <c r="H916" s="250" t="s">
        <v>1526</v>
      </c>
      <c r="I916" s="250">
        <v>201502</v>
      </c>
      <c r="J916" s="251">
        <v>54.07</v>
      </c>
      <c r="K916" s="171">
        <f t="shared" si="105"/>
        <v>4</v>
      </c>
      <c r="L916" s="253">
        <v>1.4833299999999999E-3</v>
      </c>
      <c r="M916" s="251">
        <f t="shared" si="106"/>
        <v>0.32</v>
      </c>
      <c r="N916" s="251">
        <f t="shared" si="107"/>
        <v>0.96</v>
      </c>
      <c r="O916" s="223"/>
      <c r="P916" s="210" t="str">
        <f>VLOOKUP(C916,'WO Descriptions'!$A$5:$D$384,4,FALSE)</f>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
      <c r="Q916" s="210"/>
      <c r="R916" s="210"/>
    </row>
    <row r="917" spans="1:18" outlineLevel="1">
      <c r="A917" s="223"/>
      <c r="B917" s="250"/>
      <c r="C917" s="254" t="s">
        <v>2028</v>
      </c>
      <c r="D917" s="223"/>
      <c r="E917" s="250"/>
      <c r="F917" s="223"/>
      <c r="G917" s="250"/>
      <c r="H917" s="250"/>
      <c r="I917" s="250"/>
      <c r="J917" s="251">
        <f>SUBTOTAL(9,J911:J916)</f>
        <v>-6768.37</v>
      </c>
      <c r="K917" s="252"/>
      <c r="L917" s="253"/>
      <c r="M917" s="251">
        <f>SUBTOTAL(9,M911:M916)</f>
        <v>-83.22</v>
      </c>
      <c r="N917" s="251">
        <f>SUBTOTAL(9,N911:N916)</f>
        <v>-120.48000000000002</v>
      </c>
      <c r="O917" s="223"/>
      <c r="P917" s="210"/>
      <c r="Q917" s="210" t="str">
        <f>VLOOKUP(C917,'Descriptions Sorted by WO '!$A$5:$S$977,18,FALSE)</f>
        <v>393.1009 (5) (C)</v>
      </c>
      <c r="R917" s="210"/>
    </row>
    <row r="918" spans="1:18" ht="75" outlineLevel="2">
      <c r="A918" s="223" t="s">
        <v>54</v>
      </c>
      <c r="B918" s="250" t="s">
        <v>1048</v>
      </c>
      <c r="C918" s="250" t="s">
        <v>1049</v>
      </c>
      <c r="D918" s="223" t="s">
        <v>1050</v>
      </c>
      <c r="E918" s="250" t="s">
        <v>925</v>
      </c>
      <c r="F918" s="223" t="s">
        <v>41</v>
      </c>
      <c r="G918" s="250" t="s">
        <v>23</v>
      </c>
      <c r="H918" s="250" t="s">
        <v>1526</v>
      </c>
      <c r="I918" s="250">
        <v>201412</v>
      </c>
      <c r="J918" s="251">
        <v>310904.90000000002</v>
      </c>
      <c r="K918" s="171">
        <f>VLOOKUP(I918,$T$9:$U$23,2)</f>
        <v>6</v>
      </c>
      <c r="L918" s="253">
        <v>1.4833299999999999E-3</v>
      </c>
      <c r="M918" s="251">
        <f>ROUND(J918*K918*L918,2)</f>
        <v>2767.05</v>
      </c>
      <c r="N918" s="251">
        <f>ROUND(J918*L918*12,2)</f>
        <v>5534.09</v>
      </c>
      <c r="O918" s="223"/>
      <c r="P918" s="210" t="str">
        <f>VLOOKUP(C918,'WO Descriptions'!$A$5:$D$384,4,FALSE)</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c r="Q918" s="210"/>
      <c r="R918" s="210"/>
    </row>
    <row r="919" spans="1:18" ht="75" outlineLevel="2">
      <c r="A919" s="223" t="s">
        <v>54</v>
      </c>
      <c r="B919" s="250" t="s">
        <v>1048</v>
      </c>
      <c r="C919" s="250" t="s">
        <v>1049</v>
      </c>
      <c r="D919" s="223" t="s">
        <v>1050</v>
      </c>
      <c r="E919" s="250" t="s">
        <v>925</v>
      </c>
      <c r="F919" s="223" t="s">
        <v>41</v>
      </c>
      <c r="G919" s="250" t="s">
        <v>23</v>
      </c>
      <c r="H919" s="250" t="s">
        <v>1526</v>
      </c>
      <c r="I919" s="250">
        <v>201501</v>
      </c>
      <c r="J919" s="251">
        <v>12220.11</v>
      </c>
      <c r="K919" s="171">
        <f>VLOOKUP(I919,$T$9:$U$23,2)</f>
        <v>5</v>
      </c>
      <c r="L919" s="253">
        <v>1.4833299999999999E-3</v>
      </c>
      <c r="M919" s="251">
        <f>ROUND(J919*K919*L919,2)</f>
        <v>90.63</v>
      </c>
      <c r="N919" s="251">
        <f>ROUND(J919*L919*12,2)</f>
        <v>217.52</v>
      </c>
      <c r="O919" s="223"/>
      <c r="P919" s="210" t="str">
        <f>VLOOKUP(C919,'WO Descriptions'!$A$5:$D$384,4,FALSE)</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c r="Q919" s="210"/>
      <c r="R919" s="210"/>
    </row>
    <row r="920" spans="1:18" ht="75" outlineLevel="2">
      <c r="A920" s="223" t="s">
        <v>54</v>
      </c>
      <c r="B920" s="250" t="s">
        <v>1048</v>
      </c>
      <c r="C920" s="250" t="s">
        <v>1049</v>
      </c>
      <c r="D920" s="223" t="s">
        <v>1050</v>
      </c>
      <c r="E920" s="250" t="s">
        <v>925</v>
      </c>
      <c r="F920" s="223" t="s">
        <v>41</v>
      </c>
      <c r="G920" s="250" t="s">
        <v>23</v>
      </c>
      <c r="H920" s="250" t="s">
        <v>1526</v>
      </c>
      <c r="I920" s="250">
        <v>201502</v>
      </c>
      <c r="J920" s="251">
        <v>9930.83</v>
      </c>
      <c r="K920" s="171">
        <f>VLOOKUP(I920,$T$9:$U$23,2)</f>
        <v>4</v>
      </c>
      <c r="L920" s="253">
        <v>1.4833299999999999E-3</v>
      </c>
      <c r="M920" s="251">
        <f>ROUND(J920*K920*L920,2)</f>
        <v>58.92</v>
      </c>
      <c r="N920" s="251">
        <f>ROUND(J920*L920*12,2)</f>
        <v>176.77</v>
      </c>
      <c r="O920" s="223"/>
      <c r="P920" s="210" t="str">
        <f>VLOOKUP(C920,'WO Descriptions'!$A$5:$D$384,4,FALSE)</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c r="Q920" s="210"/>
      <c r="R920" s="210"/>
    </row>
    <row r="921" spans="1:18" outlineLevel="1">
      <c r="A921" s="223"/>
      <c r="B921" s="250"/>
      <c r="C921" s="254" t="s">
        <v>2029</v>
      </c>
      <c r="D921" s="223"/>
      <c r="E921" s="250"/>
      <c r="F921" s="223"/>
      <c r="G921" s="250"/>
      <c r="H921" s="250"/>
      <c r="I921" s="250"/>
      <c r="J921" s="251">
        <f>SUBTOTAL(9,J918:J920)</f>
        <v>333055.84000000003</v>
      </c>
      <c r="K921" s="252"/>
      <c r="L921" s="253"/>
      <c r="M921" s="251">
        <f>SUBTOTAL(9,M918:M920)</f>
        <v>2916.6000000000004</v>
      </c>
      <c r="N921" s="251">
        <f>SUBTOTAL(9,N918:N920)</f>
        <v>5928.380000000001</v>
      </c>
      <c r="O921" s="223"/>
      <c r="P921" s="210"/>
      <c r="Q921" s="210" t="str">
        <f>VLOOKUP(C921,'Descriptions Sorted by WO '!$A$5:$S$977,18,FALSE)</f>
        <v>393.1009 (5) (C)</v>
      </c>
      <c r="R921" s="210"/>
    </row>
    <row r="922" spans="1:18" ht="60" outlineLevel="2">
      <c r="A922" s="223" t="s">
        <v>17</v>
      </c>
      <c r="B922" s="250" t="s">
        <v>882</v>
      </c>
      <c r="C922" s="250" t="s">
        <v>883</v>
      </c>
      <c r="D922" s="223" t="s">
        <v>884</v>
      </c>
      <c r="E922" s="250" t="s">
        <v>216</v>
      </c>
      <c r="F922" s="223" t="s">
        <v>22</v>
      </c>
      <c r="G922" s="250" t="s">
        <v>23</v>
      </c>
      <c r="H922" s="250" t="s">
        <v>1525</v>
      </c>
      <c r="I922" s="250">
        <v>201409</v>
      </c>
      <c r="J922" s="251">
        <v>-0.43</v>
      </c>
      <c r="K922" s="171">
        <f>VLOOKUP(I922,$T$9:$U$23,2)</f>
        <v>9</v>
      </c>
      <c r="L922" s="253">
        <v>1.4833299999999999E-3</v>
      </c>
      <c r="M922" s="251">
        <f>ROUND(J922*K922*L922,2)</f>
        <v>-0.01</v>
      </c>
      <c r="N922" s="251">
        <f>ROUND(J922*L922*12,2)</f>
        <v>-0.01</v>
      </c>
      <c r="O922" s="223"/>
      <c r="P922" s="210" t="str">
        <f>VLOOKUP(C922,'WO Descriptions'!$A$5:$D$384,4,FALSE)</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c r="Q922" s="210"/>
      <c r="R922" s="210"/>
    </row>
    <row r="923" spans="1:18" ht="60" outlineLevel="2">
      <c r="A923" s="223" t="s">
        <v>54</v>
      </c>
      <c r="B923" s="250" t="s">
        <v>882</v>
      </c>
      <c r="C923" s="250" t="s">
        <v>883</v>
      </c>
      <c r="D923" s="223" t="s">
        <v>884</v>
      </c>
      <c r="E923" s="250" t="s">
        <v>216</v>
      </c>
      <c r="F923" s="223" t="s">
        <v>22</v>
      </c>
      <c r="G923" s="250" t="s">
        <v>23</v>
      </c>
      <c r="H923" s="250" t="s">
        <v>1525</v>
      </c>
      <c r="I923" s="250">
        <v>201409</v>
      </c>
      <c r="J923" s="251">
        <v>-114.88</v>
      </c>
      <c r="K923" s="171">
        <f>VLOOKUP(I923,$T$9:$U$23,2)</f>
        <v>9</v>
      </c>
      <c r="L923" s="253">
        <v>1.4833299999999999E-3</v>
      </c>
      <c r="M923" s="251">
        <f>ROUND(J923*K923*L923,2)</f>
        <v>-1.53</v>
      </c>
      <c r="N923" s="251">
        <f>ROUND(J923*L923*12,2)</f>
        <v>-2.04</v>
      </c>
      <c r="O923" s="223"/>
      <c r="P923" s="210" t="str">
        <f>VLOOKUP(C923,'WO Descriptions'!$A$5:$D$384,4,FALSE)</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c r="Q923" s="210"/>
      <c r="R923" s="210"/>
    </row>
    <row r="924" spans="1:18" ht="60" outlineLevel="2">
      <c r="A924" s="223" t="s">
        <v>17</v>
      </c>
      <c r="B924" s="250" t="s">
        <v>882</v>
      </c>
      <c r="C924" s="250" t="s">
        <v>883</v>
      </c>
      <c r="D924" s="223" t="s">
        <v>884</v>
      </c>
      <c r="E924" s="250" t="s">
        <v>216</v>
      </c>
      <c r="F924" s="223" t="s">
        <v>22</v>
      </c>
      <c r="G924" s="250" t="s">
        <v>23</v>
      </c>
      <c r="H924" s="250" t="s">
        <v>1525</v>
      </c>
      <c r="I924" s="250">
        <v>201410</v>
      </c>
      <c r="J924" s="251">
        <v>-23.54</v>
      </c>
      <c r="K924" s="171">
        <f>VLOOKUP(I924,$T$9:$U$23,2)</f>
        <v>8</v>
      </c>
      <c r="L924" s="253">
        <v>1.4833299999999999E-3</v>
      </c>
      <c r="M924" s="251">
        <f>ROUND(J924*K924*L924,2)</f>
        <v>-0.28000000000000003</v>
      </c>
      <c r="N924" s="251">
        <f>ROUND(J924*L924*12,2)</f>
        <v>-0.42</v>
      </c>
      <c r="O924" s="223"/>
      <c r="P924" s="210" t="str">
        <f>VLOOKUP(C924,'WO Descriptions'!$A$5:$D$384,4,FALSE)</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c r="Q924" s="210"/>
      <c r="R924" s="210"/>
    </row>
    <row r="925" spans="1:18" ht="60" outlineLevel="2">
      <c r="A925" s="223" t="s">
        <v>54</v>
      </c>
      <c r="B925" s="250" t="s">
        <v>882</v>
      </c>
      <c r="C925" s="250" t="s">
        <v>883</v>
      </c>
      <c r="D925" s="223" t="s">
        <v>884</v>
      </c>
      <c r="E925" s="250" t="s">
        <v>216</v>
      </c>
      <c r="F925" s="223" t="s">
        <v>22</v>
      </c>
      <c r="G925" s="250" t="s">
        <v>23</v>
      </c>
      <c r="H925" s="250" t="s">
        <v>1525</v>
      </c>
      <c r="I925" s="250">
        <v>201410</v>
      </c>
      <c r="J925" s="251">
        <v>5.81</v>
      </c>
      <c r="K925" s="171">
        <f>VLOOKUP(I925,$T$9:$U$23,2)</f>
        <v>8</v>
      </c>
      <c r="L925" s="253">
        <v>1.4833299999999999E-3</v>
      </c>
      <c r="M925" s="251">
        <f>ROUND(J925*K925*L925,2)</f>
        <v>7.0000000000000007E-2</v>
      </c>
      <c r="N925" s="251">
        <f>ROUND(J925*L925*12,2)</f>
        <v>0.1</v>
      </c>
      <c r="O925" s="223"/>
      <c r="P925" s="210" t="str">
        <f>VLOOKUP(C925,'WO Descriptions'!$A$5:$D$384,4,FALSE)</f>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
      <c r="Q925" s="210"/>
      <c r="R925" s="210"/>
    </row>
    <row r="926" spans="1:18" outlineLevel="1">
      <c r="A926" s="223"/>
      <c r="B926" s="250"/>
      <c r="C926" s="254" t="s">
        <v>2030</v>
      </c>
      <c r="D926" s="223"/>
      <c r="E926" s="250"/>
      <c r="F926" s="223"/>
      <c r="G926" s="250"/>
      <c r="H926" s="250"/>
      <c r="I926" s="250"/>
      <c r="J926" s="251">
        <f>SUBTOTAL(9,J922:J925)</f>
        <v>-133.04</v>
      </c>
      <c r="K926" s="252"/>
      <c r="L926" s="253"/>
      <c r="M926" s="251">
        <f>SUBTOTAL(9,M922:M925)</f>
        <v>-1.75</v>
      </c>
      <c r="N926" s="251">
        <f>SUBTOTAL(9,N922:N925)</f>
        <v>-2.3699999999999997</v>
      </c>
      <c r="O926" s="223"/>
      <c r="P926" s="210"/>
      <c r="Q926" s="210" t="str">
        <f>VLOOKUP(C926,'Descriptions Sorted by WO '!$A$5:$S$977,18,FALSE)</f>
        <v>393.1009 (5) (a) (b)</v>
      </c>
      <c r="R926" s="210" t="str">
        <f>VLOOKUP(C926,'Descriptions Sorted by WO '!$A$5:$S$977,19,FALSE)</f>
        <v>A,B,C</v>
      </c>
    </row>
    <row r="927" spans="1:18" ht="120" outlineLevel="2">
      <c r="A927" s="223" t="s">
        <v>54</v>
      </c>
      <c r="B927" s="250" t="s">
        <v>2186</v>
      </c>
      <c r="C927" s="250" t="s">
        <v>2187</v>
      </c>
      <c r="D927" s="223" t="s">
        <v>2188</v>
      </c>
      <c r="E927" s="250" t="s">
        <v>27</v>
      </c>
      <c r="F927" s="223" t="s">
        <v>28</v>
      </c>
      <c r="G927" s="250" t="s">
        <v>23</v>
      </c>
      <c r="H927" s="250" t="s">
        <v>1525</v>
      </c>
      <c r="I927" s="250">
        <v>201501</v>
      </c>
      <c r="J927" s="251">
        <v>21847.29</v>
      </c>
      <c r="K927" s="171">
        <f>VLOOKUP(I927,$T$9:$U$23,2)</f>
        <v>5</v>
      </c>
      <c r="L927" s="253">
        <v>1.4833299999999999E-3</v>
      </c>
      <c r="M927" s="251">
        <f>ROUND(J927*K927*L927,2)</f>
        <v>162.03</v>
      </c>
      <c r="N927" s="251">
        <f>ROUND(J927*L927*12,2)</f>
        <v>388.88</v>
      </c>
      <c r="O927" s="223"/>
      <c r="P927" s="210" t="str">
        <f>VLOOKUP(C927,'WO Descriptions'!$A$5:$D$384,4,FALSE)</f>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
      <c r="Q927" s="210"/>
      <c r="R927" s="210"/>
    </row>
    <row r="928" spans="1:18" ht="120" outlineLevel="2">
      <c r="A928" s="223" t="s">
        <v>54</v>
      </c>
      <c r="B928" s="250" t="s">
        <v>2186</v>
      </c>
      <c r="C928" s="250" t="s">
        <v>2187</v>
      </c>
      <c r="D928" s="223" t="s">
        <v>2188</v>
      </c>
      <c r="E928" s="250" t="s">
        <v>27</v>
      </c>
      <c r="F928" s="223" t="s">
        <v>28</v>
      </c>
      <c r="G928" s="250" t="s">
        <v>23</v>
      </c>
      <c r="H928" s="250" t="s">
        <v>1525</v>
      </c>
      <c r="I928" s="250">
        <v>201502</v>
      </c>
      <c r="J928" s="251">
        <v>-182.96</v>
      </c>
      <c r="K928" s="171">
        <f>VLOOKUP(I928,$T$9:$U$23,2)</f>
        <v>4</v>
      </c>
      <c r="L928" s="253">
        <v>1.4833299999999999E-3</v>
      </c>
      <c r="M928" s="251">
        <f>ROUND(J928*K928*L928,2)</f>
        <v>-1.0900000000000001</v>
      </c>
      <c r="N928" s="251">
        <f>ROUND(J928*L928*12,2)</f>
        <v>-3.26</v>
      </c>
      <c r="O928" s="223"/>
      <c r="P928" s="210" t="str">
        <f>VLOOKUP(C928,'WO Descriptions'!$A$5:$D$384,4,FALSE)</f>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
      <c r="Q928" s="210"/>
      <c r="R928" s="210"/>
    </row>
    <row r="929" spans="1:18" outlineLevel="1">
      <c r="A929" s="223"/>
      <c r="B929" s="250"/>
      <c r="C929" s="254" t="s">
        <v>2322</v>
      </c>
      <c r="D929" s="223"/>
      <c r="E929" s="250"/>
      <c r="F929" s="223"/>
      <c r="G929" s="250"/>
      <c r="H929" s="250"/>
      <c r="I929" s="250"/>
      <c r="J929" s="251">
        <f>SUBTOTAL(9,J927:J928)</f>
        <v>21664.33</v>
      </c>
      <c r="K929" s="252"/>
      <c r="L929" s="253"/>
      <c r="M929" s="251">
        <f>SUBTOTAL(9,M927:M928)</f>
        <v>160.94</v>
      </c>
      <c r="N929" s="251">
        <f>SUBTOTAL(9,N927:N928)</f>
        <v>385.62</v>
      </c>
      <c r="O929" s="223"/>
      <c r="P929" s="210"/>
      <c r="Q929" s="210" t="s">
        <v>2097</v>
      </c>
      <c r="R929" s="210" t="s">
        <v>2098</v>
      </c>
    </row>
    <row r="930" spans="1:18" ht="120" outlineLevel="2">
      <c r="A930" s="223" t="s">
        <v>54</v>
      </c>
      <c r="B930" s="250" t="s">
        <v>2259</v>
      </c>
      <c r="C930" s="250" t="s">
        <v>1723</v>
      </c>
      <c r="D930" s="223" t="s">
        <v>1724</v>
      </c>
      <c r="E930" s="250" t="s">
        <v>62</v>
      </c>
      <c r="F930" s="223" t="s">
        <v>22</v>
      </c>
      <c r="G930" s="250" t="s">
        <v>23</v>
      </c>
      <c r="H930" s="250" t="s">
        <v>1525</v>
      </c>
      <c r="I930" s="250">
        <v>201502</v>
      </c>
      <c r="J930" s="251">
        <v>901406.9</v>
      </c>
      <c r="K930" s="171">
        <f>VLOOKUP(I930,$T$9:$U$23,2)</f>
        <v>4</v>
      </c>
      <c r="L930" s="253">
        <v>1.4833299999999999E-3</v>
      </c>
      <c r="M930" s="251">
        <f>ROUND(J930*K930*L930,2)</f>
        <v>5348.34</v>
      </c>
      <c r="N930" s="251">
        <f>ROUND(J930*L930*12,2)</f>
        <v>16045.01</v>
      </c>
      <c r="O930" s="223"/>
      <c r="P930" s="210" t="str">
        <f>VLOOKUP(C930,'WO Descriptions'!$A$5:$D$384,4,FALSE)</f>
        <v>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v>
      </c>
      <c r="Q930" s="210"/>
      <c r="R930" s="210"/>
    </row>
    <row r="931" spans="1:18" outlineLevel="1">
      <c r="A931" s="223"/>
      <c r="B931" s="250"/>
      <c r="C931" s="254" t="s">
        <v>2323</v>
      </c>
      <c r="D931" s="223"/>
      <c r="E931" s="250"/>
      <c r="F931" s="223"/>
      <c r="G931" s="250"/>
      <c r="H931" s="250"/>
      <c r="I931" s="250"/>
      <c r="J931" s="251">
        <f>SUBTOTAL(9,J930:J930)</f>
        <v>901406.9</v>
      </c>
      <c r="K931" s="252"/>
      <c r="L931" s="253"/>
      <c r="M931" s="251">
        <f>SUBTOTAL(9,M930:M930)</f>
        <v>5348.34</v>
      </c>
      <c r="N931" s="251">
        <f>SUBTOTAL(9,N930:N930)</f>
        <v>16045.01</v>
      </c>
      <c r="O931" s="223"/>
      <c r="P931" s="210"/>
      <c r="Q931" s="210" t="s">
        <v>2097</v>
      </c>
      <c r="R931" s="210" t="s">
        <v>2098</v>
      </c>
    </row>
    <row r="932" spans="1:18" ht="30" outlineLevel="2">
      <c r="A932" s="223" t="s">
        <v>54</v>
      </c>
      <c r="B932" s="250" t="s">
        <v>885</v>
      </c>
      <c r="C932" s="250" t="s">
        <v>886</v>
      </c>
      <c r="D932" s="223" t="s">
        <v>887</v>
      </c>
      <c r="E932" s="250" t="s">
        <v>141</v>
      </c>
      <c r="F932" s="223" t="s">
        <v>142</v>
      </c>
      <c r="G932" s="250" t="s">
        <v>23</v>
      </c>
      <c r="H932" s="250" t="s">
        <v>1525</v>
      </c>
      <c r="I932" s="250">
        <v>201409</v>
      </c>
      <c r="J932" s="251">
        <v>45.46</v>
      </c>
      <c r="K932" s="171">
        <f>VLOOKUP(I932,$T$9:$U$23,2)</f>
        <v>9</v>
      </c>
      <c r="L932" s="253">
        <v>1.4833299999999999E-3</v>
      </c>
      <c r="M932" s="251">
        <f>ROUND(J932*K932*L932,2)</f>
        <v>0.61</v>
      </c>
      <c r="N932" s="251">
        <f>ROUND(J932*L932*12,2)</f>
        <v>0.81</v>
      </c>
      <c r="O932" s="223"/>
      <c r="P932" s="210" t="str">
        <f>VLOOKUP(C932,'WO Descriptions'!$A$5:$D$384,4,FALSE)</f>
        <v>Approved by: Kevin Driskell on 05/13/2014,  6'' CI was replaced with 6'' PE. Pressure system - C-001</v>
      </c>
      <c r="Q932" s="210"/>
      <c r="R932" s="210"/>
    </row>
    <row r="933" spans="1:18" ht="30" outlineLevel="2">
      <c r="A933" s="223" t="s">
        <v>54</v>
      </c>
      <c r="B933" s="250" t="s">
        <v>885</v>
      </c>
      <c r="C933" s="250" t="s">
        <v>886</v>
      </c>
      <c r="D933" s="223" t="s">
        <v>887</v>
      </c>
      <c r="E933" s="250" t="s">
        <v>141</v>
      </c>
      <c r="F933" s="223" t="s">
        <v>142</v>
      </c>
      <c r="G933" s="250" t="s">
        <v>23</v>
      </c>
      <c r="H933" s="250" t="s">
        <v>1525</v>
      </c>
      <c r="I933" s="250">
        <v>201410</v>
      </c>
      <c r="J933" s="251">
        <v>9.77</v>
      </c>
      <c r="K933" s="171">
        <f>VLOOKUP(I933,$T$9:$U$23,2)</f>
        <v>8</v>
      </c>
      <c r="L933" s="253">
        <v>1.4833299999999999E-3</v>
      </c>
      <c r="M933" s="251">
        <f>ROUND(J933*K933*L933,2)</f>
        <v>0.12</v>
      </c>
      <c r="N933" s="251">
        <f>ROUND(J933*L933*12,2)</f>
        <v>0.17</v>
      </c>
      <c r="O933" s="223"/>
      <c r="P933" s="210" t="str">
        <f>VLOOKUP(C933,'WO Descriptions'!$A$5:$D$384,4,FALSE)</f>
        <v>Approved by: Kevin Driskell on 05/13/2014,  6'' CI was replaced with 6'' PE. Pressure system - C-001</v>
      </c>
      <c r="Q933" s="210"/>
      <c r="R933" s="210"/>
    </row>
    <row r="934" spans="1:18" outlineLevel="1">
      <c r="A934" s="223"/>
      <c r="B934" s="250"/>
      <c r="C934" s="254" t="s">
        <v>2031</v>
      </c>
      <c r="D934" s="223"/>
      <c r="E934" s="250"/>
      <c r="F934" s="223"/>
      <c r="G934" s="250"/>
      <c r="H934" s="250"/>
      <c r="I934" s="250"/>
      <c r="J934" s="251">
        <f>SUBTOTAL(9,J932:J933)</f>
        <v>55.230000000000004</v>
      </c>
      <c r="K934" s="252"/>
      <c r="L934" s="253"/>
      <c r="M934" s="251">
        <f>SUBTOTAL(9,M932:M933)</f>
        <v>0.73</v>
      </c>
      <c r="N934" s="251">
        <f>SUBTOTAL(9,N932:N933)</f>
        <v>0.98000000000000009</v>
      </c>
      <c r="O934" s="223"/>
      <c r="P934" s="210"/>
      <c r="Q934" s="210" t="str">
        <f>VLOOKUP(C934,'Descriptions Sorted by WO '!$A$5:$S$977,18,FALSE)</f>
        <v>393.1009 (5) (a) (b)</v>
      </c>
      <c r="R934" s="210" t="str">
        <f>VLOOKUP(C934,'Descriptions Sorted by WO '!$A$5:$S$977,19,FALSE)</f>
        <v>A,B,C,D,I</v>
      </c>
    </row>
    <row r="935" spans="1:18" ht="60" outlineLevel="2">
      <c r="A935" s="223" t="s">
        <v>54</v>
      </c>
      <c r="B935" s="250" t="s">
        <v>1051</v>
      </c>
      <c r="C935" s="250" t="s">
        <v>1052</v>
      </c>
      <c r="D935" s="223" t="s">
        <v>1053</v>
      </c>
      <c r="E935" s="250" t="s">
        <v>45</v>
      </c>
      <c r="F935" s="223" t="s">
        <v>22</v>
      </c>
      <c r="G935" s="250" t="s">
        <v>23</v>
      </c>
      <c r="H935" s="250" t="s">
        <v>1525</v>
      </c>
      <c r="I935" s="250">
        <v>201412</v>
      </c>
      <c r="J935" s="251">
        <v>74180.240000000005</v>
      </c>
      <c r="K935" s="171">
        <f>VLOOKUP(I935,$T$9:$U$23,2)</f>
        <v>6</v>
      </c>
      <c r="L935" s="253">
        <v>1.4833299999999999E-3</v>
      </c>
      <c r="M935" s="251">
        <f>ROUND(J935*K935*L935,2)</f>
        <v>660.2</v>
      </c>
      <c r="N935" s="251">
        <f>ROUND(J935*L935*12,2)</f>
        <v>1320.41</v>
      </c>
      <c r="O935" s="223"/>
      <c r="P935" s="210" t="str">
        <f>VLOOKUP(C935,'WO Descriptions'!$A$5:$D$384,4,FALSE)</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c r="Q935" s="210"/>
      <c r="R935" s="210"/>
    </row>
    <row r="936" spans="1:18" ht="60" outlineLevel="2">
      <c r="A936" s="223" t="s">
        <v>54</v>
      </c>
      <c r="B936" s="250" t="s">
        <v>1051</v>
      </c>
      <c r="C936" s="250" t="s">
        <v>1052</v>
      </c>
      <c r="D936" s="223" t="s">
        <v>1053</v>
      </c>
      <c r="E936" s="250" t="s">
        <v>45</v>
      </c>
      <c r="F936" s="223" t="s">
        <v>22</v>
      </c>
      <c r="G936" s="250" t="s">
        <v>23</v>
      </c>
      <c r="H936" s="250" t="s">
        <v>1525</v>
      </c>
      <c r="I936" s="250">
        <v>201501</v>
      </c>
      <c r="J936" s="251">
        <v>7190.75</v>
      </c>
      <c r="K936" s="171">
        <f>VLOOKUP(I936,$T$9:$U$23,2)</f>
        <v>5</v>
      </c>
      <c r="L936" s="253">
        <v>1.4833299999999999E-3</v>
      </c>
      <c r="M936" s="251">
        <f>ROUND(J936*K936*L936,2)</f>
        <v>53.33</v>
      </c>
      <c r="N936" s="251">
        <f>ROUND(J936*L936*12,2)</f>
        <v>128</v>
      </c>
      <c r="O936" s="223"/>
      <c r="P936" s="210" t="str">
        <f>VLOOKUP(C936,'WO Descriptions'!$A$5:$D$384,4,FALSE)</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c r="Q936" s="210"/>
      <c r="R936" s="210"/>
    </row>
    <row r="937" spans="1:18" ht="60" outlineLevel="2">
      <c r="A937" s="223" t="s">
        <v>54</v>
      </c>
      <c r="B937" s="250" t="s">
        <v>1051</v>
      </c>
      <c r="C937" s="250" t="s">
        <v>1052</v>
      </c>
      <c r="D937" s="223" t="s">
        <v>1053</v>
      </c>
      <c r="E937" s="250" t="s">
        <v>45</v>
      </c>
      <c r="F937" s="223" t="s">
        <v>22</v>
      </c>
      <c r="G937" s="250" t="s">
        <v>23</v>
      </c>
      <c r="H937" s="250" t="s">
        <v>1525</v>
      </c>
      <c r="I937" s="250">
        <v>201502</v>
      </c>
      <c r="J937" s="251">
        <v>-989.1</v>
      </c>
      <c r="K937" s="171">
        <f>VLOOKUP(I937,$T$9:$U$23,2)</f>
        <v>4</v>
      </c>
      <c r="L937" s="253">
        <v>1.4833299999999999E-3</v>
      </c>
      <c r="M937" s="251">
        <f>ROUND(J937*K937*L937,2)</f>
        <v>-5.87</v>
      </c>
      <c r="N937" s="251">
        <f>ROUND(J937*L937*12,2)</f>
        <v>-17.61</v>
      </c>
      <c r="O937" s="223"/>
      <c r="P937" s="210" t="str">
        <f>VLOOKUP(C937,'WO Descriptions'!$A$5:$D$384,4,FALSE)</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c r="Q937" s="210"/>
      <c r="R937" s="210"/>
    </row>
    <row r="938" spans="1:18" outlineLevel="1">
      <c r="A938" s="223"/>
      <c r="B938" s="250"/>
      <c r="C938" s="254" t="s">
        <v>2032</v>
      </c>
      <c r="D938" s="223"/>
      <c r="E938" s="250"/>
      <c r="F938" s="223"/>
      <c r="G938" s="250"/>
      <c r="H938" s="250"/>
      <c r="I938" s="250"/>
      <c r="J938" s="251">
        <f>SUBTOTAL(9,J935:J937)</f>
        <v>80381.89</v>
      </c>
      <c r="K938" s="252"/>
      <c r="L938" s="253"/>
      <c r="M938" s="251">
        <f>SUBTOTAL(9,M935:M937)</f>
        <v>707.66000000000008</v>
      </c>
      <c r="N938" s="251">
        <f>SUBTOTAL(9,N935:N937)</f>
        <v>1430.8000000000002</v>
      </c>
      <c r="O938" s="223"/>
      <c r="P938" s="210"/>
      <c r="Q938" s="210" t="str">
        <f>VLOOKUP(C938,'Descriptions Sorted by WO '!$A$5:$S$977,18,FALSE)</f>
        <v>393.1009 (5) (a) (b)</v>
      </c>
      <c r="R938" s="210" t="str">
        <f>VLOOKUP(C938,'Descriptions Sorted by WO '!$A$5:$S$977,19,FALSE)</f>
        <v>A,B,C</v>
      </c>
    </row>
    <row r="939" spans="1:18" ht="75" outlineLevel="2">
      <c r="A939" s="223" t="s">
        <v>54</v>
      </c>
      <c r="B939" s="250" t="s">
        <v>888</v>
      </c>
      <c r="C939" s="250" t="s">
        <v>889</v>
      </c>
      <c r="D939" s="223" t="s">
        <v>890</v>
      </c>
      <c r="E939" s="250" t="s">
        <v>32</v>
      </c>
      <c r="F939" s="223" t="s">
        <v>22</v>
      </c>
      <c r="G939" s="250" t="s">
        <v>23</v>
      </c>
      <c r="H939" s="250" t="s">
        <v>1525</v>
      </c>
      <c r="I939" s="250">
        <v>201409</v>
      </c>
      <c r="J939" s="251">
        <v>-1910.67</v>
      </c>
      <c r="K939" s="171">
        <f>VLOOKUP(I939,$T$9:$U$23,2)</f>
        <v>9</v>
      </c>
      <c r="L939" s="253">
        <v>1.4833299999999999E-3</v>
      </c>
      <c r="M939" s="251">
        <f>ROUND(J939*K939*L939,2)</f>
        <v>-25.51</v>
      </c>
      <c r="N939" s="251">
        <f>ROUND(J939*L939*12,2)</f>
        <v>-34.01</v>
      </c>
      <c r="O939" s="223"/>
      <c r="P939" s="210" t="str">
        <f>VLOOKUP(C939,'WO Descriptions'!$A$5:$D$384,4,FALSE)</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c r="Q939" s="210"/>
      <c r="R939" s="210"/>
    </row>
    <row r="940" spans="1:18" ht="75" outlineLevel="2">
      <c r="A940" s="223" t="s">
        <v>54</v>
      </c>
      <c r="B940" s="250" t="s">
        <v>888</v>
      </c>
      <c r="C940" s="250" t="s">
        <v>889</v>
      </c>
      <c r="D940" s="223" t="s">
        <v>890</v>
      </c>
      <c r="E940" s="250" t="s">
        <v>32</v>
      </c>
      <c r="F940" s="223" t="s">
        <v>22</v>
      </c>
      <c r="G940" s="250" t="s">
        <v>23</v>
      </c>
      <c r="H940" s="250" t="s">
        <v>1525</v>
      </c>
      <c r="I940" s="250">
        <v>201501</v>
      </c>
      <c r="J940" s="251">
        <v>0.26</v>
      </c>
      <c r="K940" s="171">
        <f>VLOOKUP(I940,$T$9:$U$23,2)</f>
        <v>5</v>
      </c>
      <c r="L940" s="253">
        <v>1.4833299999999999E-3</v>
      </c>
      <c r="M940" s="251">
        <f>ROUND(J940*K940*L940,2)</f>
        <v>0</v>
      </c>
      <c r="N940" s="251">
        <f>ROUND(J940*L940*12,2)</f>
        <v>0</v>
      </c>
      <c r="O940" s="223"/>
      <c r="P940" s="210" t="str">
        <f>VLOOKUP(C940,'WO Descriptions'!$A$5:$D$384,4,FALSE)</f>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
      <c r="Q940" s="210"/>
      <c r="R940" s="210"/>
    </row>
    <row r="941" spans="1:18" outlineLevel="1">
      <c r="A941" s="223"/>
      <c r="B941" s="250"/>
      <c r="C941" s="254" t="s">
        <v>2033</v>
      </c>
      <c r="D941" s="223"/>
      <c r="E941" s="250"/>
      <c r="F941" s="223"/>
      <c r="G941" s="250"/>
      <c r="H941" s="250"/>
      <c r="I941" s="250"/>
      <c r="J941" s="251">
        <f>SUBTOTAL(9,J939:J940)</f>
        <v>-1910.41</v>
      </c>
      <c r="K941" s="252"/>
      <c r="L941" s="253"/>
      <c r="M941" s="251">
        <f>SUBTOTAL(9,M939:M940)</f>
        <v>-25.51</v>
      </c>
      <c r="N941" s="251">
        <f>SUBTOTAL(9,N939:N940)</f>
        <v>-34.01</v>
      </c>
      <c r="O941" s="223"/>
      <c r="P941" s="210"/>
      <c r="Q941" s="210" t="str">
        <f>VLOOKUP(C941,'Descriptions Sorted by WO '!$A$5:$S$977,18,FALSE)</f>
        <v>393.1009 (5) (a) (b)</v>
      </c>
      <c r="R941" s="210" t="str">
        <f>VLOOKUP(C941,'Descriptions Sorted by WO '!$A$5:$S$977,19,FALSE)</f>
        <v>A,B,C</v>
      </c>
    </row>
    <row r="942" spans="1:18" ht="45" outlineLevel="2">
      <c r="A942" s="223" t="s">
        <v>66</v>
      </c>
      <c r="B942" s="250" t="s">
        <v>1102</v>
      </c>
      <c r="C942" s="250" t="s">
        <v>1103</v>
      </c>
      <c r="D942" s="223" t="s">
        <v>1104</v>
      </c>
      <c r="E942" s="250" t="s">
        <v>466</v>
      </c>
      <c r="F942" s="223" t="s">
        <v>467</v>
      </c>
      <c r="G942" s="250" t="s">
        <v>23</v>
      </c>
      <c r="H942" s="250" t="s">
        <v>1527</v>
      </c>
      <c r="I942" s="250">
        <v>201409</v>
      </c>
      <c r="J942" s="251">
        <v>4582.03</v>
      </c>
      <c r="K942" s="171">
        <f>VLOOKUP(I942,$T$9:$U$23,2)</f>
        <v>9</v>
      </c>
      <c r="L942" s="253">
        <v>2.23333E-3</v>
      </c>
      <c r="M942" s="251">
        <f>ROUND(J942*K942*L942,2)</f>
        <v>92.1</v>
      </c>
      <c r="N942" s="251">
        <f>ROUND(J942*L942*12,2)</f>
        <v>122.8</v>
      </c>
      <c r="O942" s="223"/>
      <c r="P942" s="210" t="str">
        <f>VLOOKUP(C942,'WO Descriptions'!$A$5:$D$384,4,FALSE)</f>
        <v>Approved by: Kevin Driskell on 05/18/2014,  Repl 120ft-1 1/4in pe service line WITH 120ft-2in pe service line due to increase in load (17,900 cfh). Tie-in 4in cs (wo#89-6994). ECONOMIC EVALUATION WILL COVER THIS PROJECT.</v>
      </c>
      <c r="Q942" s="210"/>
      <c r="R942" s="210"/>
    </row>
    <row r="943" spans="1:18" ht="45" outlineLevel="2">
      <c r="A943" s="223" t="s">
        <v>66</v>
      </c>
      <c r="B943" s="250" t="s">
        <v>1102</v>
      </c>
      <c r="C943" s="250" t="s">
        <v>1103</v>
      </c>
      <c r="D943" s="223" t="s">
        <v>1104</v>
      </c>
      <c r="E943" s="250" t="s">
        <v>466</v>
      </c>
      <c r="F943" s="223" t="s">
        <v>467</v>
      </c>
      <c r="G943" s="250" t="s">
        <v>23</v>
      </c>
      <c r="H943" s="250" t="s">
        <v>1527</v>
      </c>
      <c r="I943" s="250">
        <v>201410</v>
      </c>
      <c r="J943" s="251">
        <v>-0.01</v>
      </c>
      <c r="K943" s="171">
        <f>VLOOKUP(I943,$T$9:$U$23,2)</f>
        <v>8</v>
      </c>
      <c r="L943" s="253">
        <v>2.23333E-3</v>
      </c>
      <c r="M943" s="251">
        <f>ROUND(J943*K943*L943,2)</f>
        <v>0</v>
      </c>
      <c r="N943" s="251">
        <f>ROUND(J943*L943*12,2)</f>
        <v>0</v>
      </c>
      <c r="O943" s="223"/>
      <c r="P943" s="210" t="str">
        <f>VLOOKUP(C943,'WO Descriptions'!$A$5:$D$384,4,FALSE)</f>
        <v>Approved by: Kevin Driskell on 05/18/2014,  Repl 120ft-1 1/4in pe service line WITH 120ft-2in pe service line due to increase in load (17,900 cfh). Tie-in 4in cs (wo#89-6994). ECONOMIC EVALUATION WILL COVER THIS PROJECT.</v>
      </c>
      <c r="Q943" s="210"/>
      <c r="R943" s="210"/>
    </row>
    <row r="944" spans="1:18" outlineLevel="1">
      <c r="A944" s="223"/>
      <c r="B944" s="250"/>
      <c r="C944" s="254" t="s">
        <v>2034</v>
      </c>
      <c r="D944" s="223"/>
      <c r="E944" s="250"/>
      <c r="F944" s="223"/>
      <c r="G944" s="250"/>
      <c r="H944" s="250"/>
      <c r="I944" s="250"/>
      <c r="J944" s="251">
        <f>SUBTOTAL(9,J942:J943)</f>
        <v>4582.0199999999995</v>
      </c>
      <c r="K944" s="252"/>
      <c r="L944" s="253"/>
      <c r="M944" s="251">
        <f>SUBTOTAL(9,M942:M943)</f>
        <v>92.1</v>
      </c>
      <c r="N944" s="251">
        <f>SUBTOTAL(9,N942:N943)</f>
        <v>122.8</v>
      </c>
      <c r="O944" s="223"/>
      <c r="P944" s="210"/>
      <c r="Q944" s="210" t="str">
        <f>VLOOKUP(C944,'Descriptions Sorted by WO '!$A$5:$S$977,18,FALSE)</f>
        <v>393.1009 (5) (a) (b)</v>
      </c>
      <c r="R944" s="210" t="str">
        <f>VLOOKUP(C944,'Descriptions Sorted by WO '!$A$5:$S$977,19,FALSE)</f>
        <v>A,B,D</v>
      </c>
    </row>
    <row r="945" spans="1:18" ht="135" outlineLevel="2">
      <c r="A945" s="223" t="s">
        <v>17</v>
      </c>
      <c r="B945" s="250" t="s">
        <v>891</v>
      </c>
      <c r="C945" s="250" t="s">
        <v>892</v>
      </c>
      <c r="D945" s="223" t="s">
        <v>893</v>
      </c>
      <c r="E945" s="250" t="s">
        <v>32</v>
      </c>
      <c r="F945" s="223" t="s">
        <v>22</v>
      </c>
      <c r="G945" s="250" t="s">
        <v>23</v>
      </c>
      <c r="H945" s="250" t="s">
        <v>1525</v>
      </c>
      <c r="I945" s="250">
        <v>201409</v>
      </c>
      <c r="J945" s="251">
        <v>946.06</v>
      </c>
      <c r="K945" s="171">
        <f>VLOOKUP(I945,$T$9:$U$23,2)</f>
        <v>9</v>
      </c>
      <c r="L945" s="253">
        <v>1.4833299999999999E-3</v>
      </c>
      <c r="M945" s="251">
        <f>ROUND(J945*K945*L945,2)</f>
        <v>12.63</v>
      </c>
      <c r="N945" s="251">
        <f>ROUND(J945*L945*12,2)</f>
        <v>16.84</v>
      </c>
      <c r="O945" s="223"/>
      <c r="P945" s="210" t="str">
        <f>VLOOKUP(C945,'WO Descriptions'!$A$5:$D$384,4,FALSE)</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c r="Q945" s="210"/>
      <c r="R945" s="210"/>
    </row>
    <row r="946" spans="1:18" ht="135" outlineLevel="2">
      <c r="A946" s="223" t="s">
        <v>17</v>
      </c>
      <c r="B946" s="250" t="s">
        <v>891</v>
      </c>
      <c r="C946" s="250" t="s">
        <v>892</v>
      </c>
      <c r="D946" s="223" t="s">
        <v>893</v>
      </c>
      <c r="E946" s="250" t="s">
        <v>32</v>
      </c>
      <c r="F946" s="223" t="s">
        <v>22</v>
      </c>
      <c r="G946" s="250" t="s">
        <v>23</v>
      </c>
      <c r="H946" s="250" t="s">
        <v>1525</v>
      </c>
      <c r="I946" s="250">
        <v>201412</v>
      </c>
      <c r="J946" s="251">
        <v>-568.53</v>
      </c>
      <c r="K946" s="171">
        <f>VLOOKUP(I946,$T$9:$U$23,2)</f>
        <v>6</v>
      </c>
      <c r="L946" s="253">
        <v>1.4833299999999999E-3</v>
      </c>
      <c r="M946" s="251">
        <f>ROUND(J946*K946*L946,2)</f>
        <v>-5.0599999999999996</v>
      </c>
      <c r="N946" s="251">
        <f>ROUND(J946*L946*12,2)</f>
        <v>-10.119999999999999</v>
      </c>
      <c r="O946" s="223"/>
      <c r="P946" s="210" t="str">
        <f>VLOOKUP(C946,'WO Descriptions'!$A$5:$D$384,4,FALSE)</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c r="Q946" s="210"/>
      <c r="R946" s="210"/>
    </row>
    <row r="947" spans="1:18" ht="135" outlineLevel="2">
      <c r="A947" s="223" t="s">
        <v>54</v>
      </c>
      <c r="B947" s="250" t="s">
        <v>891</v>
      </c>
      <c r="C947" s="250" t="s">
        <v>892</v>
      </c>
      <c r="D947" s="223" t="s">
        <v>893</v>
      </c>
      <c r="E947" s="250" t="s">
        <v>32</v>
      </c>
      <c r="F947" s="223" t="s">
        <v>22</v>
      </c>
      <c r="G947" s="250" t="s">
        <v>23</v>
      </c>
      <c r="H947" s="250" t="s">
        <v>1525</v>
      </c>
      <c r="I947" s="250">
        <v>201412</v>
      </c>
      <c r="J947" s="251">
        <v>446.02</v>
      </c>
      <c r="K947" s="171">
        <f>VLOOKUP(I947,$T$9:$U$23,2)</f>
        <v>6</v>
      </c>
      <c r="L947" s="253">
        <v>1.4833299999999999E-3</v>
      </c>
      <c r="M947" s="251">
        <f>ROUND(J947*K947*L947,2)</f>
        <v>3.97</v>
      </c>
      <c r="N947" s="251">
        <f>ROUND(J947*L947*12,2)</f>
        <v>7.94</v>
      </c>
      <c r="O947" s="223"/>
      <c r="P947" s="210" t="str">
        <f>VLOOKUP(C947,'WO Descriptions'!$A$5:$D$384,4,FALSE)</f>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
      <c r="Q947" s="210"/>
      <c r="R947" s="210"/>
    </row>
    <row r="948" spans="1:18" outlineLevel="1">
      <c r="A948" s="223"/>
      <c r="B948" s="250"/>
      <c r="C948" s="254" t="s">
        <v>2035</v>
      </c>
      <c r="D948" s="223"/>
      <c r="E948" s="250"/>
      <c r="F948" s="223"/>
      <c r="G948" s="250"/>
      <c r="H948" s="250"/>
      <c r="I948" s="250"/>
      <c r="J948" s="251">
        <f>SUBTOTAL(9,J945:J947)</f>
        <v>823.55</v>
      </c>
      <c r="K948" s="252"/>
      <c r="L948" s="253"/>
      <c r="M948" s="251">
        <f>SUBTOTAL(9,M945:M947)</f>
        <v>11.540000000000001</v>
      </c>
      <c r="N948" s="251">
        <f>SUBTOTAL(9,N945:N947)</f>
        <v>14.66</v>
      </c>
      <c r="O948" s="223"/>
      <c r="P948" s="210"/>
      <c r="Q948" s="210" t="str">
        <f>VLOOKUP(C948,'Descriptions Sorted by WO '!$A$5:$S$977,18,FALSE)</f>
        <v>393.1009 (5) (a) (b)</v>
      </c>
      <c r="R948" s="210" t="str">
        <f>VLOOKUP(C948,'Descriptions Sorted by WO '!$A$5:$S$977,19,FALSE)</f>
        <v>A,B,C</v>
      </c>
    </row>
    <row r="949" spans="1:18" ht="30" outlineLevel="2">
      <c r="A949" s="223" t="s">
        <v>17</v>
      </c>
      <c r="B949" s="250" t="s">
        <v>894</v>
      </c>
      <c r="C949" s="250" t="s">
        <v>895</v>
      </c>
      <c r="D949" s="223" t="s">
        <v>896</v>
      </c>
      <c r="E949" s="250" t="s">
        <v>440</v>
      </c>
      <c r="F949" s="223" t="s">
        <v>28</v>
      </c>
      <c r="G949" s="250" t="s">
        <v>23</v>
      </c>
      <c r="H949" s="250" t="s">
        <v>1525</v>
      </c>
      <c r="I949" s="250">
        <v>201409</v>
      </c>
      <c r="J949" s="251">
        <v>-159.26</v>
      </c>
      <c r="K949" s="171">
        <f>VLOOKUP(I949,$T$9:$U$23,2)</f>
        <v>9</v>
      </c>
      <c r="L949" s="253">
        <v>1.4833299999999999E-3</v>
      </c>
      <c r="M949" s="251">
        <f>ROUND(J949*K949*L949,2)</f>
        <v>-2.13</v>
      </c>
      <c r="N949" s="251">
        <f>ROUND(J949*L949*12,2)</f>
        <v>-2.83</v>
      </c>
      <c r="O949" s="223"/>
      <c r="P949" s="210" t="str">
        <f>VLOOKUP(C949,'WO Descriptions'!$A$5:$D$384,4,FALSE)</f>
        <v>Approved by: Kevin Driskell on 05/28/2014,  Replace 16ft of 8'' PCS due to 3rd party damage. Pressure system C-041 Ret 16'-8in coated steel, year 1967, wo 67-1440.</v>
      </c>
      <c r="Q949" s="210"/>
      <c r="R949" s="210"/>
    </row>
    <row r="950" spans="1:18" ht="30" outlineLevel="2">
      <c r="A950" s="223" t="s">
        <v>17</v>
      </c>
      <c r="B950" s="250" t="s">
        <v>894</v>
      </c>
      <c r="C950" s="250" t="s">
        <v>895</v>
      </c>
      <c r="D950" s="223" t="s">
        <v>896</v>
      </c>
      <c r="E950" s="250" t="s">
        <v>440</v>
      </c>
      <c r="F950" s="223" t="s">
        <v>28</v>
      </c>
      <c r="G950" s="250" t="s">
        <v>23</v>
      </c>
      <c r="H950" s="250" t="s">
        <v>1525</v>
      </c>
      <c r="I950" s="250">
        <v>201410</v>
      </c>
      <c r="J950" s="251">
        <v>0</v>
      </c>
      <c r="K950" s="171">
        <f>VLOOKUP(I950,$T$9:$U$23,2)</f>
        <v>8</v>
      </c>
      <c r="L950" s="253">
        <v>1.4833299999999999E-3</v>
      </c>
      <c r="M950" s="251">
        <f>ROUND(J950*K950*L950,2)</f>
        <v>0</v>
      </c>
      <c r="N950" s="251">
        <f>ROUND(J950*L950*12,2)</f>
        <v>0</v>
      </c>
      <c r="O950" s="223"/>
      <c r="P950" s="210" t="str">
        <f>VLOOKUP(C950,'WO Descriptions'!$A$5:$D$384,4,FALSE)</f>
        <v>Approved by: Kevin Driskell on 05/28/2014,  Replace 16ft of 8'' PCS due to 3rd party damage. Pressure system C-041 Ret 16'-8in coated steel, year 1967, wo 67-1440.</v>
      </c>
      <c r="Q950" s="210"/>
      <c r="R950" s="210"/>
    </row>
    <row r="951" spans="1:18" ht="30" outlineLevel="2">
      <c r="A951" s="223" t="s">
        <v>17</v>
      </c>
      <c r="B951" s="250" t="s">
        <v>894</v>
      </c>
      <c r="C951" s="250" t="s">
        <v>895</v>
      </c>
      <c r="D951" s="223" t="s">
        <v>896</v>
      </c>
      <c r="E951" s="250" t="s">
        <v>440</v>
      </c>
      <c r="F951" s="223" t="s">
        <v>28</v>
      </c>
      <c r="G951" s="250" t="s">
        <v>23</v>
      </c>
      <c r="H951" s="250" t="s">
        <v>1525</v>
      </c>
      <c r="I951" s="250">
        <v>201411</v>
      </c>
      <c r="J951" s="251">
        <v>63.81</v>
      </c>
      <c r="K951" s="171">
        <f>VLOOKUP(I951,$T$9:$U$23,2)</f>
        <v>7</v>
      </c>
      <c r="L951" s="253">
        <v>1.4833299999999999E-3</v>
      </c>
      <c r="M951" s="251">
        <f>ROUND(J951*K951*L951,2)</f>
        <v>0.66</v>
      </c>
      <c r="N951" s="251">
        <f>ROUND(J951*L951*12,2)</f>
        <v>1.1399999999999999</v>
      </c>
      <c r="O951" s="223"/>
      <c r="P951" s="210" t="str">
        <f>VLOOKUP(C951,'WO Descriptions'!$A$5:$D$384,4,FALSE)</f>
        <v>Approved by: Kevin Driskell on 05/28/2014,  Replace 16ft of 8'' PCS due to 3rd party damage. Pressure system C-041 Ret 16'-8in coated steel, year 1967, wo 67-1440.</v>
      </c>
      <c r="Q951" s="210"/>
      <c r="R951" s="210"/>
    </row>
    <row r="952" spans="1:18" outlineLevel="1">
      <c r="A952" s="223"/>
      <c r="B952" s="250"/>
      <c r="C952" s="254" t="s">
        <v>2036</v>
      </c>
      <c r="D952" s="223"/>
      <c r="E952" s="250"/>
      <c r="F952" s="223"/>
      <c r="G952" s="250"/>
      <c r="H952" s="250"/>
      <c r="I952" s="250"/>
      <c r="J952" s="251">
        <f>SUBTOTAL(9,J949:J951)</f>
        <v>-95.449999999999989</v>
      </c>
      <c r="K952" s="252"/>
      <c r="L952" s="253"/>
      <c r="M952" s="251">
        <f>SUBTOTAL(9,M949:M951)</f>
        <v>-1.4699999999999998</v>
      </c>
      <c r="N952" s="251">
        <f>SUBTOTAL(9,N949:N951)</f>
        <v>-1.6900000000000002</v>
      </c>
      <c r="O952" s="223"/>
      <c r="P952" s="210"/>
      <c r="Q952" s="210" t="str">
        <f>VLOOKUP(C952,'Descriptions Sorted by WO '!$A$5:$S$977,18,FALSE)</f>
        <v>393.1009 (5) (a) (b)</v>
      </c>
      <c r="R952" s="210" t="str">
        <f>VLOOKUP(C952,'Descriptions Sorted by WO '!$A$5:$S$977,19,FALSE)</f>
        <v>A,B</v>
      </c>
    </row>
    <row r="953" spans="1:18" ht="60" outlineLevel="2">
      <c r="A953" s="223" t="s">
        <v>54</v>
      </c>
      <c r="B953" s="250" t="s">
        <v>2189</v>
      </c>
      <c r="C953" s="250" t="s">
        <v>1731</v>
      </c>
      <c r="D953" s="223" t="s">
        <v>1732</v>
      </c>
      <c r="E953" s="250" t="s">
        <v>62</v>
      </c>
      <c r="F953" s="223" t="s">
        <v>22</v>
      </c>
      <c r="G953" s="250" t="s">
        <v>23</v>
      </c>
      <c r="H953" s="250" t="s">
        <v>1525</v>
      </c>
      <c r="I953" s="250">
        <v>201501</v>
      </c>
      <c r="J953" s="251">
        <v>769399.64</v>
      </c>
      <c r="K953" s="171">
        <f>VLOOKUP(I953,$T$9:$U$23,2)</f>
        <v>5</v>
      </c>
      <c r="L953" s="253">
        <v>1.4833299999999999E-3</v>
      </c>
      <c r="M953" s="251">
        <f>ROUND(J953*K953*L953,2)</f>
        <v>5706.37</v>
      </c>
      <c r="N953" s="251">
        <f>ROUND(J953*L953*12,2)</f>
        <v>13695.28</v>
      </c>
      <c r="O953" s="223"/>
      <c r="P953" s="210" t="str">
        <f>VLOOKUP(C953,'WO Descriptions'!$A$5:$D$384,4,FALSE)</f>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
      <c r="Q953" s="210"/>
      <c r="R953" s="210"/>
    </row>
    <row r="954" spans="1:18" ht="60" outlineLevel="2">
      <c r="A954" s="223" t="s">
        <v>54</v>
      </c>
      <c r="B954" s="250" t="s">
        <v>2189</v>
      </c>
      <c r="C954" s="250" t="s">
        <v>1731</v>
      </c>
      <c r="D954" s="223" t="s">
        <v>1732</v>
      </c>
      <c r="E954" s="250" t="s">
        <v>62</v>
      </c>
      <c r="F954" s="223" t="s">
        <v>22</v>
      </c>
      <c r="G954" s="250" t="s">
        <v>23</v>
      </c>
      <c r="H954" s="250" t="s">
        <v>1525</v>
      </c>
      <c r="I954" s="250">
        <v>201502</v>
      </c>
      <c r="J954" s="251">
        <v>45942.82</v>
      </c>
      <c r="K954" s="171">
        <f>VLOOKUP(I954,$T$9:$U$23,2)</f>
        <v>4</v>
      </c>
      <c r="L954" s="253">
        <v>1.4833299999999999E-3</v>
      </c>
      <c r="M954" s="251">
        <f>ROUND(J954*K954*L954,2)</f>
        <v>272.58999999999997</v>
      </c>
      <c r="N954" s="251">
        <f>ROUND(J954*L954*12,2)</f>
        <v>817.78</v>
      </c>
      <c r="O954" s="223"/>
      <c r="P954" s="210" t="str">
        <f>VLOOKUP(C954,'WO Descriptions'!$A$5:$D$384,4,FALSE)</f>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
      <c r="Q954" s="210"/>
      <c r="R954" s="210"/>
    </row>
    <row r="955" spans="1:18" outlineLevel="1">
      <c r="A955" s="223"/>
      <c r="B955" s="250"/>
      <c r="C955" s="254" t="s">
        <v>2324</v>
      </c>
      <c r="D955" s="223"/>
      <c r="E955" s="250"/>
      <c r="F955" s="223"/>
      <c r="G955" s="250"/>
      <c r="H955" s="250"/>
      <c r="I955" s="250"/>
      <c r="J955" s="251">
        <f>SUBTOTAL(9,J953:J954)</f>
        <v>815342.46</v>
      </c>
      <c r="K955" s="252"/>
      <c r="L955" s="253"/>
      <c r="M955" s="251">
        <f>SUBTOTAL(9,M953:M954)</f>
        <v>5978.96</v>
      </c>
      <c r="N955" s="251">
        <f>SUBTOTAL(9,N953:N954)</f>
        <v>14513.060000000001</v>
      </c>
      <c r="O955" s="223"/>
      <c r="P955" s="210"/>
      <c r="Q955" s="210" t="s">
        <v>2097</v>
      </c>
      <c r="R955" s="210" t="s">
        <v>2098</v>
      </c>
    </row>
    <row r="956" spans="1:18" ht="30" outlineLevel="2">
      <c r="A956" s="223" t="s">
        <v>54</v>
      </c>
      <c r="B956" s="250" t="s">
        <v>897</v>
      </c>
      <c r="C956" s="250" t="s">
        <v>898</v>
      </c>
      <c r="D956" s="223" t="s">
        <v>899</v>
      </c>
      <c r="E956" s="250" t="s">
        <v>45</v>
      </c>
      <c r="F956" s="223" t="s">
        <v>22</v>
      </c>
      <c r="G956" s="250" t="s">
        <v>23</v>
      </c>
      <c r="H956" s="250" t="s">
        <v>1525</v>
      </c>
      <c r="I956" s="250">
        <v>201409</v>
      </c>
      <c r="J956" s="251">
        <v>-4885.22</v>
      </c>
      <c r="K956" s="171">
        <f>VLOOKUP(I956,$T$9:$U$23,2)</f>
        <v>9</v>
      </c>
      <c r="L956" s="253">
        <v>1.4833299999999999E-3</v>
      </c>
      <c r="M956" s="251">
        <f>ROUND(J956*K956*L956,2)</f>
        <v>-65.22</v>
      </c>
      <c r="N956" s="251">
        <f>ROUND(J956*L956*12,2)</f>
        <v>-86.96</v>
      </c>
      <c r="O956" s="223"/>
      <c r="P956" s="210" t="str">
        <f>VLOOKUP(C956,'WO Descriptions'!$A$5:$D$384,4,FALSE)</f>
        <v>Approved by: Steve Holcomb on 05/28/2014,  Replace 4'' PBS, 4'' PCS, and 3'' PCS with 2" and 4" PE due to down project. Pressure System - C-02</v>
      </c>
      <c r="Q956" s="210"/>
      <c r="R956" s="210"/>
    </row>
    <row r="957" spans="1:18" ht="30" outlineLevel="2">
      <c r="A957" s="223" t="s">
        <v>54</v>
      </c>
      <c r="B957" s="250" t="s">
        <v>897</v>
      </c>
      <c r="C957" s="250" t="s">
        <v>898</v>
      </c>
      <c r="D957" s="223" t="s">
        <v>899</v>
      </c>
      <c r="E957" s="250" t="s">
        <v>45</v>
      </c>
      <c r="F957" s="223" t="s">
        <v>22</v>
      </c>
      <c r="G957" s="250" t="s">
        <v>23</v>
      </c>
      <c r="H957" s="250" t="s">
        <v>1525</v>
      </c>
      <c r="I957" s="250">
        <v>201410</v>
      </c>
      <c r="J957" s="251">
        <v>422.88</v>
      </c>
      <c r="K957" s="171">
        <f>VLOOKUP(I957,$T$9:$U$23,2)</f>
        <v>8</v>
      </c>
      <c r="L957" s="253">
        <v>1.4833299999999999E-3</v>
      </c>
      <c r="M957" s="251">
        <f>ROUND(J957*K957*L957,2)</f>
        <v>5.0199999999999996</v>
      </c>
      <c r="N957" s="251">
        <f>ROUND(J957*L957*12,2)</f>
        <v>7.53</v>
      </c>
      <c r="O957" s="223"/>
      <c r="P957" s="210" t="str">
        <f>VLOOKUP(C957,'WO Descriptions'!$A$5:$D$384,4,FALSE)</f>
        <v>Approved by: Steve Holcomb on 05/28/2014,  Replace 4'' PBS, 4'' PCS, and 3'' PCS with 2" and 4" PE due to down project. Pressure System - C-02</v>
      </c>
      <c r="Q957" s="210"/>
      <c r="R957" s="210"/>
    </row>
    <row r="958" spans="1:18" ht="30" outlineLevel="2">
      <c r="A958" s="223" t="s">
        <v>54</v>
      </c>
      <c r="B958" s="250" t="s">
        <v>897</v>
      </c>
      <c r="C958" s="250" t="s">
        <v>898</v>
      </c>
      <c r="D958" s="223" t="s">
        <v>899</v>
      </c>
      <c r="E958" s="250" t="s">
        <v>45</v>
      </c>
      <c r="F958" s="223" t="s">
        <v>22</v>
      </c>
      <c r="G958" s="250" t="s">
        <v>23</v>
      </c>
      <c r="H958" s="250" t="s">
        <v>1525</v>
      </c>
      <c r="I958" s="250">
        <v>201501</v>
      </c>
      <c r="J958" s="251">
        <v>0</v>
      </c>
      <c r="K958" s="171">
        <f>VLOOKUP(I958,$T$9:$U$23,2)</f>
        <v>5</v>
      </c>
      <c r="L958" s="253">
        <v>1.4833299999999999E-3</v>
      </c>
      <c r="M958" s="251">
        <f>ROUND(J958*K958*L958,2)</f>
        <v>0</v>
      </c>
      <c r="N958" s="251">
        <f>ROUND(J958*L958*12,2)</f>
        <v>0</v>
      </c>
      <c r="O958" s="223"/>
      <c r="P958" s="210" t="str">
        <f>VLOOKUP(C958,'WO Descriptions'!$A$5:$D$384,4,FALSE)</f>
        <v>Approved by: Steve Holcomb on 05/28/2014,  Replace 4'' PBS, 4'' PCS, and 3'' PCS with 2" and 4" PE due to down project. Pressure System - C-02</v>
      </c>
      <c r="Q958" s="210"/>
      <c r="R958" s="210"/>
    </row>
    <row r="959" spans="1:18" outlineLevel="1">
      <c r="A959" s="223"/>
      <c r="B959" s="250"/>
      <c r="C959" s="254" t="s">
        <v>2037</v>
      </c>
      <c r="D959" s="223"/>
      <c r="E959" s="250"/>
      <c r="F959" s="223"/>
      <c r="G959" s="250"/>
      <c r="H959" s="250"/>
      <c r="I959" s="250"/>
      <c r="J959" s="251">
        <f>SUBTOTAL(9,J956:J958)</f>
        <v>-4462.34</v>
      </c>
      <c r="K959" s="252"/>
      <c r="L959" s="253"/>
      <c r="M959" s="251">
        <f>SUBTOTAL(9,M956:M958)</f>
        <v>-60.2</v>
      </c>
      <c r="N959" s="251">
        <f>SUBTOTAL(9,N956:N958)</f>
        <v>-79.429999999999993</v>
      </c>
      <c r="O959" s="223"/>
      <c r="P959" s="210"/>
      <c r="Q959" s="210" t="str">
        <f>VLOOKUP(C959,'Descriptions Sorted by WO '!$A$5:$S$977,18,FALSE)</f>
        <v>393.1009 (5) (a) (b)</v>
      </c>
      <c r="R959" s="210" t="str">
        <f>VLOOKUP(C959,'Descriptions Sorted by WO '!$A$5:$S$977,19,FALSE)</f>
        <v>A,B,C</v>
      </c>
    </row>
    <row r="960" spans="1:18" ht="120" outlineLevel="2">
      <c r="A960" s="223" t="s">
        <v>54</v>
      </c>
      <c r="B960" s="250" t="s">
        <v>1054</v>
      </c>
      <c r="C960" s="250" t="s">
        <v>1055</v>
      </c>
      <c r="D960" s="223" t="s">
        <v>1056</v>
      </c>
      <c r="E960" s="250" t="s">
        <v>141</v>
      </c>
      <c r="F960" s="223" t="s">
        <v>142</v>
      </c>
      <c r="G960" s="250" t="s">
        <v>23</v>
      </c>
      <c r="H960" s="250" t="s">
        <v>1525</v>
      </c>
      <c r="I960" s="250">
        <v>201412</v>
      </c>
      <c r="J960" s="251">
        <v>887506.89</v>
      </c>
      <c r="K960" s="171">
        <f>VLOOKUP(I960,$T$9:$U$23,2)</f>
        <v>6</v>
      </c>
      <c r="L960" s="253">
        <v>1.4833299999999999E-3</v>
      </c>
      <c r="M960" s="251">
        <f>ROUND(J960*K960*L960,2)</f>
        <v>7898.79</v>
      </c>
      <c r="N960" s="251">
        <f>ROUND(J960*L960*12,2)</f>
        <v>15797.59</v>
      </c>
      <c r="O960" s="223"/>
      <c r="P960" s="210" t="str">
        <f>VLOOKUP(C960,'WO Descriptions'!$A$5:$D$384,4,FALSE)</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c r="Q960" s="210"/>
      <c r="R960" s="210"/>
    </row>
    <row r="961" spans="1:18" ht="120" outlineLevel="2">
      <c r="A961" s="223" t="s">
        <v>54</v>
      </c>
      <c r="B961" s="250" t="s">
        <v>1054</v>
      </c>
      <c r="C961" s="250" t="s">
        <v>1055</v>
      </c>
      <c r="D961" s="223" t="s">
        <v>1056</v>
      </c>
      <c r="E961" s="250" t="s">
        <v>141</v>
      </c>
      <c r="F961" s="223" t="s">
        <v>142</v>
      </c>
      <c r="G961" s="250" t="s">
        <v>23</v>
      </c>
      <c r="H961" s="250" t="s">
        <v>1525</v>
      </c>
      <c r="I961" s="250">
        <v>201501</v>
      </c>
      <c r="J961" s="251">
        <v>18395.05</v>
      </c>
      <c r="K961" s="171">
        <f>VLOOKUP(I961,$T$9:$U$23,2)</f>
        <v>5</v>
      </c>
      <c r="L961" s="253">
        <v>1.4833299999999999E-3</v>
      </c>
      <c r="M961" s="251">
        <f>ROUND(J961*K961*L961,2)</f>
        <v>136.43</v>
      </c>
      <c r="N961" s="251">
        <f>ROUND(J961*L961*12,2)</f>
        <v>327.43</v>
      </c>
      <c r="O961" s="223"/>
      <c r="P961" s="210" t="str">
        <f>VLOOKUP(C961,'WO Descriptions'!$A$5:$D$384,4,FALSE)</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c r="Q961" s="210"/>
      <c r="R961" s="210"/>
    </row>
    <row r="962" spans="1:18" ht="120" outlineLevel="2">
      <c r="A962" s="223" t="s">
        <v>54</v>
      </c>
      <c r="B962" s="250" t="s">
        <v>1054</v>
      </c>
      <c r="C962" s="250" t="s">
        <v>1055</v>
      </c>
      <c r="D962" s="223" t="s">
        <v>1056</v>
      </c>
      <c r="E962" s="250" t="s">
        <v>141</v>
      </c>
      <c r="F962" s="223" t="s">
        <v>142</v>
      </c>
      <c r="G962" s="250" t="s">
        <v>23</v>
      </c>
      <c r="H962" s="250" t="s">
        <v>1525</v>
      </c>
      <c r="I962" s="250">
        <v>201502</v>
      </c>
      <c r="J962" s="251">
        <v>35739.47</v>
      </c>
      <c r="K962" s="171">
        <f>VLOOKUP(I962,$T$9:$U$23,2)</f>
        <v>4</v>
      </c>
      <c r="L962" s="253">
        <v>1.4833299999999999E-3</v>
      </c>
      <c r="M962" s="251">
        <f>ROUND(J962*K962*L962,2)</f>
        <v>212.05</v>
      </c>
      <c r="N962" s="251">
        <f>ROUND(J962*L962*12,2)</f>
        <v>636.16</v>
      </c>
      <c r="O962" s="223"/>
      <c r="P962" s="210" t="str">
        <f>VLOOKUP(C962,'WO Descriptions'!$A$5:$D$384,4,FALSE)</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c r="Q962" s="210"/>
      <c r="R962" s="210"/>
    </row>
    <row r="963" spans="1:18" outlineLevel="1">
      <c r="A963" s="223"/>
      <c r="B963" s="250"/>
      <c r="C963" s="254" t="s">
        <v>2038</v>
      </c>
      <c r="D963" s="223"/>
      <c r="E963" s="250"/>
      <c r="F963" s="223"/>
      <c r="G963" s="250"/>
      <c r="H963" s="250"/>
      <c r="I963" s="250"/>
      <c r="J963" s="251">
        <f>SUBTOTAL(9,J960:J962)</f>
        <v>941641.41</v>
      </c>
      <c r="K963" s="252"/>
      <c r="L963" s="253"/>
      <c r="M963" s="251">
        <f>SUBTOTAL(9,M960:M962)</f>
        <v>8247.27</v>
      </c>
      <c r="N963" s="251">
        <f>SUBTOTAL(9,N960:N962)</f>
        <v>16761.18</v>
      </c>
      <c r="O963" s="223"/>
      <c r="P963" s="210"/>
      <c r="Q963" s="210" t="str">
        <f>VLOOKUP(C963,'Descriptions Sorted by WO '!$A$5:$S$977,18,FALSE)</f>
        <v>393.1009 (5) (a) (b)</v>
      </c>
      <c r="R963" s="210" t="str">
        <f>VLOOKUP(C963,'Descriptions Sorted by WO '!$A$5:$S$977,19,FALSE)</f>
        <v>A,B,C,D,I</v>
      </c>
    </row>
    <row r="964" spans="1:18" ht="45" outlineLevel="2">
      <c r="A964" s="223" t="s">
        <v>54</v>
      </c>
      <c r="B964" s="250" t="s">
        <v>900</v>
      </c>
      <c r="C964" s="250" t="s">
        <v>901</v>
      </c>
      <c r="D964" s="223" t="s">
        <v>902</v>
      </c>
      <c r="E964" s="250" t="s">
        <v>462</v>
      </c>
      <c r="F964" s="223" t="s">
        <v>142</v>
      </c>
      <c r="G964" s="250" t="s">
        <v>23</v>
      </c>
      <c r="H964" s="250" t="s">
        <v>1525</v>
      </c>
      <c r="I964" s="250">
        <v>201409</v>
      </c>
      <c r="J964" s="251">
        <v>1294.2</v>
      </c>
      <c r="K964" s="171">
        <f>VLOOKUP(I964,$T$9:$U$23,2)</f>
        <v>9</v>
      </c>
      <c r="L964" s="253">
        <v>1.4833299999999999E-3</v>
      </c>
      <c r="M964" s="251">
        <f>ROUND(J964*K964*L964,2)</f>
        <v>17.28</v>
      </c>
      <c r="N964" s="251">
        <f>ROUND(J964*L964*12,2)</f>
        <v>23.04</v>
      </c>
      <c r="O964" s="223"/>
      <c r="P964" s="210" t="str">
        <f>VLOOKUP(C964,'WO Descriptions'!$A$5:$D$384,4,FALSE)</f>
        <v>Approved by: Kevin Driskell on 06/05/2014,  ISRS LAY 101' - 4" PE DUE TO LEAK ON EXISTING 4" CI MAIN ON EAST SIDE OF BROOKLYN AVE.  ABANDON 112'-4" CI (UNKNOWN W.O.).  ONE WAY FEED.</v>
      </c>
      <c r="Q964" s="210">
        <f>VLOOKUP(C964,'Descriptions Sorted by WO '!$A$5:$S$977,18,FALSE)</f>
        <v>0</v>
      </c>
      <c r="R964" s="210">
        <f>VLOOKUP(C964,'Descriptions Sorted by WO '!$A$5:$S$977,19,FALSE)</f>
        <v>0</v>
      </c>
    </row>
    <row r="965" spans="1:18" ht="45" outlineLevel="2">
      <c r="A965" s="223" t="s">
        <v>54</v>
      </c>
      <c r="B965" s="250" t="s">
        <v>900</v>
      </c>
      <c r="C965" s="250" t="s">
        <v>901</v>
      </c>
      <c r="D965" s="223" t="s">
        <v>902</v>
      </c>
      <c r="E965" s="250" t="s">
        <v>462</v>
      </c>
      <c r="F965" s="223" t="s">
        <v>142</v>
      </c>
      <c r="G965" s="250" t="s">
        <v>23</v>
      </c>
      <c r="H965" s="250" t="s">
        <v>1525</v>
      </c>
      <c r="I965" s="250">
        <v>201410</v>
      </c>
      <c r="J965" s="251">
        <v>8.59</v>
      </c>
      <c r="K965" s="171">
        <f>VLOOKUP(I965,$T$9:$U$23,2)</f>
        <v>8</v>
      </c>
      <c r="L965" s="253">
        <v>1.4833299999999999E-3</v>
      </c>
      <c r="M965" s="251">
        <f>ROUND(J965*K965*L965,2)</f>
        <v>0.1</v>
      </c>
      <c r="N965" s="251">
        <f>ROUND(J965*L965*12,2)</f>
        <v>0.15</v>
      </c>
      <c r="O965" s="223"/>
      <c r="P965" s="210" t="str">
        <f>VLOOKUP(C965,'WO Descriptions'!$A$5:$D$384,4,FALSE)</f>
        <v>Approved by: Kevin Driskell on 06/05/2014,  ISRS LAY 101' - 4" PE DUE TO LEAK ON EXISTING 4" CI MAIN ON EAST SIDE OF BROOKLYN AVE.  ABANDON 112'-4" CI (UNKNOWN W.O.).  ONE WAY FEED.</v>
      </c>
      <c r="Q965" s="210"/>
      <c r="R965" s="210"/>
    </row>
    <row r="966" spans="1:18" outlineLevel="1">
      <c r="A966" s="223"/>
      <c r="B966" s="250"/>
      <c r="C966" s="254" t="s">
        <v>2039</v>
      </c>
      <c r="D966" s="223"/>
      <c r="E966" s="250"/>
      <c r="F966" s="223"/>
      <c r="G966" s="250"/>
      <c r="H966" s="250"/>
      <c r="I966" s="250"/>
      <c r="J966" s="251">
        <f>SUBTOTAL(9,J964:J965)</f>
        <v>1302.79</v>
      </c>
      <c r="K966" s="252"/>
      <c r="L966" s="253"/>
      <c r="M966" s="251">
        <f>SUBTOTAL(9,M964:M965)</f>
        <v>17.380000000000003</v>
      </c>
      <c r="N966" s="251">
        <f>SUBTOTAL(9,N964:N965)</f>
        <v>23.189999999999998</v>
      </c>
      <c r="O966" s="223"/>
      <c r="P966" s="210"/>
      <c r="Q966" s="210" t="str">
        <f>VLOOKUP(C966,'Descriptions Sorted by WO '!$A$5:$S$977,18,FALSE)</f>
        <v>393.1009 (5) (a) (b)</v>
      </c>
      <c r="R966" s="210" t="str">
        <f>VLOOKUP(C966,'Descriptions Sorted by WO '!$A$5:$S$977,19,FALSE)</f>
        <v>A,B,C,D,I</v>
      </c>
    </row>
    <row r="967" spans="1:18" ht="60" outlineLevel="2">
      <c r="A967" s="223" t="s">
        <v>17</v>
      </c>
      <c r="B967" s="250" t="s">
        <v>903</v>
      </c>
      <c r="C967" s="250" t="s">
        <v>904</v>
      </c>
      <c r="D967" s="223" t="s">
        <v>905</v>
      </c>
      <c r="E967" s="250" t="s">
        <v>49</v>
      </c>
      <c r="F967" s="223" t="s">
        <v>22</v>
      </c>
      <c r="G967" s="250" t="s">
        <v>23</v>
      </c>
      <c r="H967" s="250" t="s">
        <v>1525</v>
      </c>
      <c r="I967" s="250">
        <v>201409</v>
      </c>
      <c r="J967" s="251">
        <v>2797.11</v>
      </c>
      <c r="K967" s="171">
        <f t="shared" ref="K967:K972" si="108">VLOOKUP(I967,$T$9:$U$23,2)</f>
        <v>9</v>
      </c>
      <c r="L967" s="253">
        <v>1.4833299999999999E-3</v>
      </c>
      <c r="M967" s="251">
        <f t="shared" ref="M967:M972" si="109">ROUND(J967*K967*L967,2)</f>
        <v>37.340000000000003</v>
      </c>
      <c r="N967" s="251">
        <f t="shared" ref="N967:N972" si="110">ROUND(J967*L967*12,2)</f>
        <v>49.79</v>
      </c>
      <c r="O967" s="223"/>
      <c r="P967" s="210" t="str">
        <f>VLOOKUP(C967,'WO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67" s="210"/>
      <c r="R967" s="210"/>
    </row>
    <row r="968" spans="1:18" ht="60" outlineLevel="2">
      <c r="A968" s="223" t="s">
        <v>17</v>
      </c>
      <c r="B968" s="250" t="s">
        <v>903</v>
      </c>
      <c r="C968" s="250" t="s">
        <v>904</v>
      </c>
      <c r="D968" s="223" t="s">
        <v>905</v>
      </c>
      <c r="E968" s="250" t="s">
        <v>49</v>
      </c>
      <c r="F968" s="223" t="s">
        <v>22</v>
      </c>
      <c r="G968" s="250" t="s">
        <v>23</v>
      </c>
      <c r="H968" s="250" t="s">
        <v>1525</v>
      </c>
      <c r="I968" s="250">
        <v>201410</v>
      </c>
      <c r="J968" s="251">
        <v>343.32</v>
      </c>
      <c r="K968" s="171">
        <f t="shared" si="108"/>
        <v>8</v>
      </c>
      <c r="L968" s="253">
        <v>1.4833299999999999E-3</v>
      </c>
      <c r="M968" s="251">
        <f t="shared" si="109"/>
        <v>4.07</v>
      </c>
      <c r="N968" s="251">
        <f t="shared" si="110"/>
        <v>6.11</v>
      </c>
      <c r="O968" s="223"/>
      <c r="P968" s="210" t="str">
        <f>VLOOKUP(C968,'WO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68" s="210"/>
      <c r="R968" s="210"/>
    </row>
    <row r="969" spans="1:18" ht="60" outlineLevel="2">
      <c r="A969" s="223" t="s">
        <v>17</v>
      </c>
      <c r="B969" s="250" t="s">
        <v>903</v>
      </c>
      <c r="C969" s="250" t="s">
        <v>904</v>
      </c>
      <c r="D969" s="223" t="s">
        <v>905</v>
      </c>
      <c r="E969" s="250" t="s">
        <v>49</v>
      </c>
      <c r="F969" s="223" t="s">
        <v>22</v>
      </c>
      <c r="G969" s="250" t="s">
        <v>23</v>
      </c>
      <c r="H969" s="250" t="s">
        <v>1525</v>
      </c>
      <c r="I969" s="250">
        <v>201411</v>
      </c>
      <c r="J969" s="251">
        <v>-25.51</v>
      </c>
      <c r="K969" s="171">
        <f t="shared" si="108"/>
        <v>7</v>
      </c>
      <c r="L969" s="253">
        <v>1.4833299999999999E-3</v>
      </c>
      <c r="M969" s="251">
        <f t="shared" si="109"/>
        <v>-0.26</v>
      </c>
      <c r="N969" s="251">
        <f t="shared" si="110"/>
        <v>-0.45</v>
      </c>
      <c r="O969" s="223"/>
      <c r="P969" s="210" t="str">
        <f>VLOOKUP(C969,'WO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69" s="210"/>
      <c r="R969" s="210"/>
    </row>
    <row r="970" spans="1:18" ht="60" outlineLevel="2">
      <c r="A970" s="223" t="s">
        <v>17</v>
      </c>
      <c r="B970" s="250" t="s">
        <v>903</v>
      </c>
      <c r="C970" s="250" t="s">
        <v>904</v>
      </c>
      <c r="D970" s="223" t="s">
        <v>905</v>
      </c>
      <c r="E970" s="250" t="s">
        <v>49</v>
      </c>
      <c r="F970" s="223" t="s">
        <v>22</v>
      </c>
      <c r="G970" s="250" t="s">
        <v>23</v>
      </c>
      <c r="H970" s="250" t="s">
        <v>1525</v>
      </c>
      <c r="I970" s="250">
        <v>201412</v>
      </c>
      <c r="J970" s="251">
        <v>-20.71</v>
      </c>
      <c r="K970" s="171">
        <f t="shared" si="108"/>
        <v>6</v>
      </c>
      <c r="L970" s="253">
        <v>1.4833299999999999E-3</v>
      </c>
      <c r="M970" s="251">
        <f t="shared" si="109"/>
        <v>-0.18</v>
      </c>
      <c r="N970" s="251">
        <f t="shared" si="110"/>
        <v>-0.37</v>
      </c>
      <c r="O970" s="223"/>
      <c r="P970" s="210" t="str">
        <f>VLOOKUP(C970,'WO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70" s="210"/>
      <c r="R970" s="210"/>
    </row>
    <row r="971" spans="1:18" ht="60" outlineLevel="2">
      <c r="A971" s="223" t="s">
        <v>17</v>
      </c>
      <c r="B971" s="250" t="s">
        <v>903</v>
      </c>
      <c r="C971" s="250" t="s">
        <v>904</v>
      </c>
      <c r="D971" s="223" t="s">
        <v>905</v>
      </c>
      <c r="E971" s="250" t="s">
        <v>49</v>
      </c>
      <c r="F971" s="223" t="s">
        <v>22</v>
      </c>
      <c r="G971" s="250" t="s">
        <v>23</v>
      </c>
      <c r="H971" s="250" t="s">
        <v>1525</v>
      </c>
      <c r="I971" s="250">
        <v>201501</v>
      </c>
      <c r="J971" s="251">
        <v>0.2</v>
      </c>
      <c r="K971" s="171">
        <f t="shared" si="108"/>
        <v>5</v>
      </c>
      <c r="L971" s="253">
        <v>1.4833299999999999E-3</v>
      </c>
      <c r="M971" s="251">
        <f t="shared" si="109"/>
        <v>0</v>
      </c>
      <c r="N971" s="251">
        <f t="shared" si="110"/>
        <v>0</v>
      </c>
      <c r="O971" s="223"/>
      <c r="P971" s="210" t="str">
        <f>VLOOKUP(C971,'WO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71" s="210"/>
      <c r="R971" s="210"/>
    </row>
    <row r="972" spans="1:18" ht="60" outlineLevel="2">
      <c r="A972" s="223" t="s">
        <v>17</v>
      </c>
      <c r="B972" s="250" t="s">
        <v>903</v>
      </c>
      <c r="C972" s="250" t="s">
        <v>904</v>
      </c>
      <c r="D972" s="223" t="s">
        <v>905</v>
      </c>
      <c r="E972" s="250" t="s">
        <v>49</v>
      </c>
      <c r="F972" s="223" t="s">
        <v>22</v>
      </c>
      <c r="G972" s="250" t="s">
        <v>23</v>
      </c>
      <c r="H972" s="250" t="s">
        <v>1525</v>
      </c>
      <c r="I972" s="250">
        <v>201502</v>
      </c>
      <c r="J972" s="251">
        <v>3.63</v>
      </c>
      <c r="K972" s="171">
        <f t="shared" si="108"/>
        <v>4</v>
      </c>
      <c r="L972" s="253">
        <v>1.4833299999999999E-3</v>
      </c>
      <c r="M972" s="251">
        <f t="shared" si="109"/>
        <v>0.02</v>
      </c>
      <c r="N972" s="251">
        <f t="shared" si="110"/>
        <v>0.06</v>
      </c>
      <c r="O972" s="223"/>
      <c r="P972" s="210" t="str">
        <f>VLOOKUP(C972,'WO Descriptions'!$A$5:$D$384,4,FALSE)</f>
        <v>Approved by: Galen Shoemaker on 06/06/2014,  To lay 50ft of 2in Coated Steel Main to replace 40ft of 2in Protected Bare Steel from WO 14582 and 10ft of 2in Coated Steel Main from WO 631926. Active #3 leak 14-31 will be repaired with this replacement. MAOP=44# MOP=40# SYSTEM=C-1 TEST=100#</v>
      </c>
      <c r="Q972" s="210"/>
      <c r="R972" s="210"/>
    </row>
    <row r="973" spans="1:18" outlineLevel="1">
      <c r="A973" s="223"/>
      <c r="B973" s="250"/>
      <c r="C973" s="254" t="s">
        <v>2040</v>
      </c>
      <c r="D973" s="223"/>
      <c r="E973" s="250"/>
      <c r="F973" s="223"/>
      <c r="G973" s="250"/>
      <c r="H973" s="250"/>
      <c r="I973" s="250"/>
      <c r="J973" s="251">
        <f>SUBTOTAL(9,J967:J972)</f>
        <v>3098.04</v>
      </c>
      <c r="K973" s="252"/>
      <c r="L973" s="253"/>
      <c r="M973" s="251">
        <f>SUBTOTAL(9,M967:M972)</f>
        <v>40.990000000000009</v>
      </c>
      <c r="N973" s="251">
        <f>SUBTOTAL(9,N967:N972)</f>
        <v>55.14</v>
      </c>
      <c r="O973" s="223"/>
      <c r="P973" s="210"/>
      <c r="Q973" s="210" t="str">
        <f>VLOOKUP(C973,'Descriptions Sorted by WO '!$A$5:$S$977,18,FALSE)</f>
        <v>393.1009 (5) (a) (b)</v>
      </c>
      <c r="R973" s="210" t="str">
        <f>VLOOKUP(C973,'Descriptions Sorted by WO '!$A$5:$S$977,19,FALSE)</f>
        <v>A,B,C</v>
      </c>
    </row>
    <row r="974" spans="1:18" ht="30" outlineLevel="2">
      <c r="A974" s="223" t="s">
        <v>54</v>
      </c>
      <c r="B974" s="250" t="s">
        <v>906</v>
      </c>
      <c r="C974" s="250" t="s">
        <v>907</v>
      </c>
      <c r="D974" s="223" t="s">
        <v>908</v>
      </c>
      <c r="E974" s="250" t="s">
        <v>909</v>
      </c>
      <c r="F974" s="223" t="s">
        <v>22</v>
      </c>
      <c r="G974" s="250" t="s">
        <v>23</v>
      </c>
      <c r="H974" s="250" t="s">
        <v>1525</v>
      </c>
      <c r="I974" s="250">
        <v>201409</v>
      </c>
      <c r="J974" s="251">
        <v>-193.96</v>
      </c>
      <c r="K974" s="171">
        <f>VLOOKUP(I974,$T$9:$U$23,2)</f>
        <v>9</v>
      </c>
      <c r="L974" s="253">
        <v>1.4833299999999999E-3</v>
      </c>
      <c r="M974" s="251">
        <f>ROUND(J974*K974*L974,2)</f>
        <v>-2.59</v>
      </c>
      <c r="N974" s="251">
        <f>ROUND(J974*L974*12,2)</f>
        <v>-3.45</v>
      </c>
      <c r="O974" s="223"/>
      <c r="P974" s="210" t="str">
        <f>VLOOKUP(C974,'WO Descriptions'!$A$5:$D$384,4,FALSE)</f>
        <v>Approved by: Gary Williams on 06/10/2014,  Replace PBS due to down project. Pressure system C-01</v>
      </c>
      <c r="Q974" s="210"/>
      <c r="R974" s="210"/>
    </row>
    <row r="975" spans="1:18" ht="30" outlineLevel="2">
      <c r="A975" s="223" t="s">
        <v>54</v>
      </c>
      <c r="B975" s="250" t="s">
        <v>906</v>
      </c>
      <c r="C975" s="250" t="s">
        <v>907</v>
      </c>
      <c r="D975" s="223" t="s">
        <v>908</v>
      </c>
      <c r="E975" s="250" t="s">
        <v>909</v>
      </c>
      <c r="F975" s="223" t="s">
        <v>22</v>
      </c>
      <c r="G975" s="250" t="s">
        <v>23</v>
      </c>
      <c r="H975" s="250" t="s">
        <v>1525</v>
      </c>
      <c r="I975" s="250">
        <v>201411</v>
      </c>
      <c r="J975" s="251">
        <v>0</v>
      </c>
      <c r="K975" s="171">
        <f>VLOOKUP(I975,$T$9:$U$23,2)</f>
        <v>7</v>
      </c>
      <c r="L975" s="253">
        <v>1.4833299999999999E-3</v>
      </c>
      <c r="M975" s="251">
        <f>ROUND(J975*K975*L975,2)</f>
        <v>0</v>
      </c>
      <c r="N975" s="251">
        <f>ROUND(J975*L975*12,2)</f>
        <v>0</v>
      </c>
      <c r="O975" s="223"/>
      <c r="P975" s="210" t="str">
        <f>VLOOKUP(C975,'WO Descriptions'!$A$5:$D$384,4,FALSE)</f>
        <v>Approved by: Gary Williams on 06/10/2014,  Replace PBS due to down project. Pressure system C-01</v>
      </c>
      <c r="Q975" s="210"/>
      <c r="R975" s="210"/>
    </row>
    <row r="976" spans="1:18" ht="30" outlineLevel="2">
      <c r="A976" s="223" t="s">
        <v>54</v>
      </c>
      <c r="B976" s="250" t="s">
        <v>906</v>
      </c>
      <c r="C976" s="250" t="s">
        <v>907</v>
      </c>
      <c r="D976" s="223" t="s">
        <v>908</v>
      </c>
      <c r="E976" s="250" t="s">
        <v>909</v>
      </c>
      <c r="F976" s="223" t="s">
        <v>22</v>
      </c>
      <c r="G976" s="250" t="s">
        <v>23</v>
      </c>
      <c r="H976" s="250" t="s">
        <v>1525</v>
      </c>
      <c r="I976" s="250">
        <v>201412</v>
      </c>
      <c r="J976" s="251">
        <v>1.08</v>
      </c>
      <c r="K976" s="171">
        <f>VLOOKUP(I976,$T$9:$U$23,2)</f>
        <v>6</v>
      </c>
      <c r="L976" s="253">
        <v>1.4833299999999999E-3</v>
      </c>
      <c r="M976" s="251">
        <f>ROUND(J976*K976*L976,2)</f>
        <v>0.01</v>
      </c>
      <c r="N976" s="251">
        <f>ROUND(J976*L976*12,2)</f>
        <v>0.02</v>
      </c>
      <c r="O976" s="223"/>
      <c r="P976" s="210" t="str">
        <f>VLOOKUP(C976,'WO Descriptions'!$A$5:$D$384,4,FALSE)</f>
        <v>Approved by: Gary Williams on 06/10/2014,  Replace PBS due to down project. Pressure system C-01</v>
      </c>
      <c r="Q976" s="210"/>
      <c r="R976" s="210"/>
    </row>
    <row r="977" spans="1:18" outlineLevel="1">
      <c r="A977" s="223"/>
      <c r="B977" s="250"/>
      <c r="C977" s="254" t="s">
        <v>2041</v>
      </c>
      <c r="D977" s="223"/>
      <c r="E977" s="250"/>
      <c r="F977" s="223"/>
      <c r="G977" s="250"/>
      <c r="H977" s="250"/>
      <c r="I977" s="250"/>
      <c r="J977" s="251">
        <f>SUBTOTAL(9,J974:J976)</f>
        <v>-192.88</v>
      </c>
      <c r="K977" s="252"/>
      <c r="L977" s="253"/>
      <c r="M977" s="251">
        <f>SUBTOTAL(9,M974:M976)</f>
        <v>-2.58</v>
      </c>
      <c r="N977" s="251">
        <f>SUBTOTAL(9,N974:N976)</f>
        <v>-3.43</v>
      </c>
      <c r="O977" s="223"/>
      <c r="P977" s="210"/>
      <c r="Q977" s="210" t="str">
        <f>VLOOKUP(C977,'Descriptions Sorted by WO '!$A$5:$S$977,18,FALSE)</f>
        <v>393.1009 (5) (a) (b)</v>
      </c>
      <c r="R977" s="210" t="str">
        <f>VLOOKUP(C977,'Descriptions Sorted by WO '!$A$5:$S$977,19,FALSE)</f>
        <v>A,B,C</v>
      </c>
    </row>
    <row r="978" spans="1:18" ht="45" outlineLevel="2">
      <c r="A978" s="223" t="s">
        <v>17</v>
      </c>
      <c r="B978" s="250" t="s">
        <v>910</v>
      </c>
      <c r="C978" s="250" t="s">
        <v>911</v>
      </c>
      <c r="D978" s="223" t="s">
        <v>912</v>
      </c>
      <c r="E978" s="250" t="s">
        <v>362</v>
      </c>
      <c r="F978" s="223" t="s">
        <v>41</v>
      </c>
      <c r="G978" s="250" t="s">
        <v>23</v>
      </c>
      <c r="H978" s="250" t="s">
        <v>1526</v>
      </c>
      <c r="I978" s="250">
        <v>201409</v>
      </c>
      <c r="J978" s="251">
        <v>-58.71</v>
      </c>
      <c r="K978" s="171">
        <f>VLOOKUP(I978,$T$9:$U$23,2)</f>
        <v>9</v>
      </c>
      <c r="L978" s="253">
        <v>1.4833299999999999E-3</v>
      </c>
      <c r="M978" s="251">
        <f>ROUND(J978*K978*L978,2)</f>
        <v>-0.78</v>
      </c>
      <c r="N978" s="251">
        <f>ROUND(J978*L978*12,2)</f>
        <v>-1.05</v>
      </c>
      <c r="O978" s="223"/>
      <c r="P978" s="210" t="str">
        <f>VLOOKUP(C978,'WO Descriptions'!$A$5:$D$384,4,FALSE)</f>
        <v>Approved by: Galen Shoemaker on 06/10/2014,  To replace 6ft of 3in Coated Steel Main from WO 7906K with 3in Coated Steel to lower Main to allow for a 24in Plastic Drain to be installed in the path of our existing Main. MOP=25# MAOP=25# SYSTEM=S-3 TEST=100# ISRS</v>
      </c>
      <c r="Q978" s="210"/>
      <c r="R978" s="210"/>
    </row>
    <row r="979" spans="1:18" ht="45" outlineLevel="2">
      <c r="A979" s="223" t="s">
        <v>17</v>
      </c>
      <c r="B979" s="250" t="s">
        <v>910</v>
      </c>
      <c r="C979" s="250" t="s">
        <v>911</v>
      </c>
      <c r="D979" s="223" t="s">
        <v>912</v>
      </c>
      <c r="E979" s="250" t="s">
        <v>362</v>
      </c>
      <c r="F979" s="223" t="s">
        <v>41</v>
      </c>
      <c r="G979" s="250" t="s">
        <v>23</v>
      </c>
      <c r="H979" s="250" t="s">
        <v>1526</v>
      </c>
      <c r="I979" s="250">
        <v>201410</v>
      </c>
      <c r="J979" s="251">
        <v>0</v>
      </c>
      <c r="K979" s="171">
        <f>VLOOKUP(I979,$T$9:$U$23,2)</f>
        <v>8</v>
      </c>
      <c r="L979" s="253">
        <v>1.4833299999999999E-3</v>
      </c>
      <c r="M979" s="251">
        <f>ROUND(J979*K979*L979,2)</f>
        <v>0</v>
      </c>
      <c r="N979" s="251">
        <f>ROUND(J979*L979*12,2)</f>
        <v>0</v>
      </c>
      <c r="O979" s="223"/>
      <c r="P979" s="210" t="str">
        <f>VLOOKUP(C979,'WO Descriptions'!$A$5:$D$384,4,FALSE)</f>
        <v>Approved by: Galen Shoemaker on 06/10/2014,  To replace 6ft of 3in Coated Steel Main from WO 7906K with 3in Coated Steel to lower Main to allow for a 24in Plastic Drain to be installed in the path of our existing Main. MOP=25# MAOP=25# SYSTEM=S-3 TEST=100# ISRS</v>
      </c>
      <c r="Q979" s="210"/>
      <c r="R979" s="210"/>
    </row>
    <row r="980" spans="1:18" ht="45" outlineLevel="2">
      <c r="A980" s="223" t="s">
        <v>17</v>
      </c>
      <c r="B980" s="250" t="s">
        <v>910</v>
      </c>
      <c r="C980" s="250" t="s">
        <v>911</v>
      </c>
      <c r="D980" s="223" t="s">
        <v>912</v>
      </c>
      <c r="E980" s="250" t="s">
        <v>362</v>
      </c>
      <c r="F980" s="223" t="s">
        <v>41</v>
      </c>
      <c r="G980" s="250" t="s">
        <v>23</v>
      </c>
      <c r="H980" s="250" t="s">
        <v>1526</v>
      </c>
      <c r="I980" s="250">
        <v>201411</v>
      </c>
      <c r="J980" s="251">
        <v>0.95</v>
      </c>
      <c r="K980" s="171">
        <f>VLOOKUP(I980,$T$9:$U$23,2)</f>
        <v>7</v>
      </c>
      <c r="L980" s="253">
        <v>1.4833299999999999E-3</v>
      </c>
      <c r="M980" s="251">
        <f>ROUND(J980*K980*L980,2)</f>
        <v>0.01</v>
      </c>
      <c r="N980" s="251">
        <f>ROUND(J980*L980*12,2)</f>
        <v>0.02</v>
      </c>
      <c r="O980" s="223"/>
      <c r="P980" s="210" t="str">
        <f>VLOOKUP(C980,'WO Descriptions'!$A$5:$D$384,4,FALSE)</f>
        <v>Approved by: Galen Shoemaker on 06/10/2014,  To replace 6ft of 3in Coated Steel Main from WO 7906K with 3in Coated Steel to lower Main to allow for a 24in Plastic Drain to be installed in the path of our existing Main. MOP=25# MAOP=25# SYSTEM=S-3 TEST=100# ISRS</v>
      </c>
      <c r="Q980" s="210"/>
      <c r="R980" s="210"/>
    </row>
    <row r="981" spans="1:18" outlineLevel="1">
      <c r="A981" s="223"/>
      <c r="B981" s="250"/>
      <c r="C981" s="254" t="s">
        <v>2042</v>
      </c>
      <c r="D981" s="223"/>
      <c r="E981" s="250"/>
      <c r="F981" s="223"/>
      <c r="G981" s="250"/>
      <c r="H981" s="250"/>
      <c r="I981" s="250"/>
      <c r="J981" s="251">
        <f>SUBTOTAL(9,J978:J980)</f>
        <v>-57.76</v>
      </c>
      <c r="K981" s="252"/>
      <c r="L981" s="253"/>
      <c r="M981" s="251">
        <f>SUBTOTAL(9,M978:M980)</f>
        <v>-0.77</v>
      </c>
      <c r="N981" s="251">
        <f>SUBTOTAL(9,N978:N980)</f>
        <v>-1.03</v>
      </c>
      <c r="O981" s="223"/>
      <c r="P981" s="210"/>
      <c r="Q981" s="210" t="str">
        <f>VLOOKUP(C981,'Descriptions Sorted by WO '!$A$5:$S$977,18,FALSE)</f>
        <v>393.1009 (5) (C)</v>
      </c>
      <c r="R981" s="210"/>
    </row>
    <row r="982" spans="1:18" outlineLevel="2">
      <c r="A982" s="223" t="s">
        <v>54</v>
      </c>
      <c r="B982" s="250" t="s">
        <v>913</v>
      </c>
      <c r="C982" s="250" t="s">
        <v>914</v>
      </c>
      <c r="D982" s="223" t="s">
        <v>915</v>
      </c>
      <c r="E982" s="250" t="s">
        <v>36</v>
      </c>
      <c r="F982" s="223" t="s">
        <v>22</v>
      </c>
      <c r="G982" s="250" t="s">
        <v>23</v>
      </c>
      <c r="H982" s="250" t="s">
        <v>1525</v>
      </c>
      <c r="I982" s="250">
        <v>201409</v>
      </c>
      <c r="J982" s="251">
        <v>10702.77</v>
      </c>
      <c r="K982" s="171">
        <f t="shared" ref="K982:K987" si="111">VLOOKUP(I982,$T$9:$U$23,2)</f>
        <v>9</v>
      </c>
      <c r="L982" s="253">
        <v>1.4833299999999999E-3</v>
      </c>
      <c r="M982" s="251">
        <f t="shared" ref="M982:M987" si="112">ROUND(J982*K982*L982,2)</f>
        <v>142.88</v>
      </c>
      <c r="N982" s="251">
        <f t="shared" ref="N982:N987" si="113">ROUND(J982*L982*12,2)</f>
        <v>190.51</v>
      </c>
      <c r="O982" s="223"/>
      <c r="P982" s="210" t="str">
        <f>VLOOKUP(C982,'WO Descriptions'!$A$5:$D$384,4,FALSE)</f>
        <v>Approved by: Gary Williams on 06/10/2014,  Replace PBS due to down project</v>
      </c>
      <c r="Q982" s="210"/>
      <c r="R982" s="210"/>
    </row>
    <row r="983" spans="1:18" outlineLevel="2">
      <c r="A983" s="223" t="s">
        <v>54</v>
      </c>
      <c r="B983" s="250" t="s">
        <v>913</v>
      </c>
      <c r="C983" s="250" t="s">
        <v>914</v>
      </c>
      <c r="D983" s="223" t="s">
        <v>915</v>
      </c>
      <c r="E983" s="250" t="s">
        <v>36</v>
      </c>
      <c r="F983" s="223" t="s">
        <v>22</v>
      </c>
      <c r="G983" s="250" t="s">
        <v>23</v>
      </c>
      <c r="H983" s="250" t="s">
        <v>1525</v>
      </c>
      <c r="I983" s="250">
        <v>201410</v>
      </c>
      <c r="J983" s="251">
        <v>38.01</v>
      </c>
      <c r="K983" s="171">
        <f t="shared" si="111"/>
        <v>8</v>
      </c>
      <c r="L983" s="253">
        <v>1.4833299999999999E-3</v>
      </c>
      <c r="M983" s="251">
        <f t="shared" si="112"/>
        <v>0.45</v>
      </c>
      <c r="N983" s="251">
        <f t="shared" si="113"/>
        <v>0.68</v>
      </c>
      <c r="O983" s="223"/>
      <c r="P983" s="210" t="str">
        <f>VLOOKUP(C983,'WO Descriptions'!$A$5:$D$384,4,FALSE)</f>
        <v>Approved by: Gary Williams on 06/10/2014,  Replace PBS due to down project</v>
      </c>
      <c r="Q983" s="210"/>
      <c r="R983" s="210"/>
    </row>
    <row r="984" spans="1:18" outlineLevel="2">
      <c r="A984" s="223" t="s">
        <v>54</v>
      </c>
      <c r="B984" s="250" t="s">
        <v>913</v>
      </c>
      <c r="C984" s="250" t="s">
        <v>914</v>
      </c>
      <c r="D984" s="223" t="s">
        <v>915</v>
      </c>
      <c r="E984" s="250" t="s">
        <v>36</v>
      </c>
      <c r="F984" s="223" t="s">
        <v>22</v>
      </c>
      <c r="G984" s="250" t="s">
        <v>23</v>
      </c>
      <c r="H984" s="250" t="s">
        <v>1525</v>
      </c>
      <c r="I984" s="250">
        <v>201411</v>
      </c>
      <c r="J984" s="251">
        <v>-1080.8800000000001</v>
      </c>
      <c r="K984" s="171">
        <f t="shared" si="111"/>
        <v>7</v>
      </c>
      <c r="L984" s="253">
        <v>1.4833299999999999E-3</v>
      </c>
      <c r="M984" s="251">
        <f t="shared" si="112"/>
        <v>-11.22</v>
      </c>
      <c r="N984" s="251">
        <f t="shared" si="113"/>
        <v>-19.239999999999998</v>
      </c>
      <c r="O984" s="223"/>
      <c r="P984" s="210" t="str">
        <f>VLOOKUP(C984,'WO Descriptions'!$A$5:$D$384,4,FALSE)</f>
        <v>Approved by: Gary Williams on 06/10/2014,  Replace PBS due to down project</v>
      </c>
      <c r="Q984" s="210"/>
      <c r="R984" s="210"/>
    </row>
    <row r="985" spans="1:18" outlineLevel="2">
      <c r="A985" s="223" t="s">
        <v>54</v>
      </c>
      <c r="B985" s="250" t="s">
        <v>913</v>
      </c>
      <c r="C985" s="250" t="s">
        <v>914</v>
      </c>
      <c r="D985" s="223" t="s">
        <v>915</v>
      </c>
      <c r="E985" s="250" t="s">
        <v>36</v>
      </c>
      <c r="F985" s="223" t="s">
        <v>22</v>
      </c>
      <c r="G985" s="250" t="s">
        <v>23</v>
      </c>
      <c r="H985" s="250" t="s">
        <v>1525</v>
      </c>
      <c r="I985" s="250">
        <v>201412</v>
      </c>
      <c r="J985" s="251">
        <v>136.69</v>
      </c>
      <c r="K985" s="171">
        <f t="shared" si="111"/>
        <v>6</v>
      </c>
      <c r="L985" s="253">
        <v>1.4833299999999999E-3</v>
      </c>
      <c r="M985" s="251">
        <f t="shared" si="112"/>
        <v>1.22</v>
      </c>
      <c r="N985" s="251">
        <f t="shared" si="113"/>
        <v>2.4300000000000002</v>
      </c>
      <c r="O985" s="223"/>
      <c r="P985" s="210" t="str">
        <f>VLOOKUP(C985,'WO Descriptions'!$A$5:$D$384,4,FALSE)</f>
        <v>Approved by: Gary Williams on 06/10/2014,  Replace PBS due to down project</v>
      </c>
      <c r="Q985" s="210"/>
      <c r="R985" s="210"/>
    </row>
    <row r="986" spans="1:18" outlineLevel="2">
      <c r="A986" s="223" t="s">
        <v>54</v>
      </c>
      <c r="B986" s="250" t="s">
        <v>913</v>
      </c>
      <c r="C986" s="250" t="s">
        <v>914</v>
      </c>
      <c r="D986" s="223" t="s">
        <v>915</v>
      </c>
      <c r="E986" s="250" t="s">
        <v>36</v>
      </c>
      <c r="F986" s="223" t="s">
        <v>22</v>
      </c>
      <c r="G986" s="250" t="s">
        <v>23</v>
      </c>
      <c r="H986" s="250" t="s">
        <v>1525</v>
      </c>
      <c r="I986" s="250">
        <v>201501</v>
      </c>
      <c r="J986" s="251">
        <v>47.73</v>
      </c>
      <c r="K986" s="171">
        <f t="shared" si="111"/>
        <v>5</v>
      </c>
      <c r="L986" s="253">
        <v>1.4833299999999999E-3</v>
      </c>
      <c r="M986" s="251">
        <f t="shared" si="112"/>
        <v>0.35</v>
      </c>
      <c r="N986" s="251">
        <f t="shared" si="113"/>
        <v>0.85</v>
      </c>
      <c r="O986" s="223"/>
      <c r="P986" s="210" t="str">
        <f>VLOOKUP(C986,'WO Descriptions'!$A$5:$D$384,4,FALSE)</f>
        <v>Approved by: Gary Williams on 06/10/2014,  Replace PBS due to down project</v>
      </c>
      <c r="Q986" s="210"/>
      <c r="R986" s="210"/>
    </row>
    <row r="987" spans="1:18" outlineLevel="2">
      <c r="A987" s="223" t="s">
        <v>54</v>
      </c>
      <c r="B987" s="250" t="s">
        <v>913</v>
      </c>
      <c r="C987" s="250" t="s">
        <v>914</v>
      </c>
      <c r="D987" s="223" t="s">
        <v>915</v>
      </c>
      <c r="E987" s="250" t="s">
        <v>36</v>
      </c>
      <c r="F987" s="223" t="s">
        <v>22</v>
      </c>
      <c r="G987" s="250" t="s">
        <v>23</v>
      </c>
      <c r="H987" s="250" t="s">
        <v>1525</v>
      </c>
      <c r="I987" s="250">
        <v>201502</v>
      </c>
      <c r="J987" s="251">
        <v>17.23</v>
      </c>
      <c r="K987" s="171">
        <f t="shared" si="111"/>
        <v>4</v>
      </c>
      <c r="L987" s="253">
        <v>1.4833299999999999E-3</v>
      </c>
      <c r="M987" s="251">
        <f t="shared" si="112"/>
        <v>0.1</v>
      </c>
      <c r="N987" s="251">
        <f t="shared" si="113"/>
        <v>0.31</v>
      </c>
      <c r="O987" s="223"/>
      <c r="P987" s="210" t="str">
        <f>VLOOKUP(C987,'WO Descriptions'!$A$5:$D$384,4,FALSE)</f>
        <v>Approved by: Gary Williams on 06/10/2014,  Replace PBS due to down project</v>
      </c>
      <c r="Q987" s="210"/>
      <c r="R987" s="210"/>
    </row>
    <row r="988" spans="1:18" outlineLevel="1">
      <c r="A988" s="223"/>
      <c r="B988" s="250"/>
      <c r="C988" s="254" t="s">
        <v>2043</v>
      </c>
      <c r="D988" s="223"/>
      <c r="E988" s="250"/>
      <c r="F988" s="223"/>
      <c r="G988" s="250"/>
      <c r="H988" s="250"/>
      <c r="I988" s="250"/>
      <c r="J988" s="251">
        <f>SUBTOTAL(9,J982:J987)</f>
        <v>9861.5500000000011</v>
      </c>
      <c r="K988" s="252"/>
      <c r="L988" s="253"/>
      <c r="M988" s="251">
        <f>SUBTOTAL(9,M982:M987)</f>
        <v>133.77999999999997</v>
      </c>
      <c r="N988" s="251">
        <f>SUBTOTAL(9,N982:N987)</f>
        <v>175.54</v>
      </c>
      <c r="O988" s="223"/>
      <c r="P988" s="210"/>
      <c r="Q988" s="210" t="str">
        <f>VLOOKUP(C988,'Descriptions Sorted by WO '!$A$5:$S$977,18,FALSE)</f>
        <v>393.1009 (5) (a) (b)</v>
      </c>
      <c r="R988" s="210" t="str">
        <f>VLOOKUP(C988,'Descriptions Sorted by WO '!$A$5:$S$977,19,FALSE)</f>
        <v>A,B,C</v>
      </c>
    </row>
    <row r="989" spans="1:18" ht="30" outlineLevel="2">
      <c r="A989" s="223" t="s">
        <v>54</v>
      </c>
      <c r="B989" s="250" t="s">
        <v>916</v>
      </c>
      <c r="C989" s="250" t="s">
        <v>917</v>
      </c>
      <c r="D989" s="223" t="s">
        <v>918</v>
      </c>
      <c r="E989" s="250" t="s">
        <v>909</v>
      </c>
      <c r="F989" s="223" t="s">
        <v>22</v>
      </c>
      <c r="G989" s="250" t="s">
        <v>23</v>
      </c>
      <c r="H989" s="250" t="s">
        <v>1525</v>
      </c>
      <c r="I989" s="250">
        <v>201409</v>
      </c>
      <c r="J989" s="251">
        <v>6119.67</v>
      </c>
      <c r="K989" s="171">
        <f>VLOOKUP(I989,$T$9:$U$23,2)</f>
        <v>9</v>
      </c>
      <c r="L989" s="253">
        <v>1.4833299999999999E-3</v>
      </c>
      <c r="M989" s="251">
        <f>ROUND(J989*K989*L989,2)</f>
        <v>81.7</v>
      </c>
      <c r="N989" s="251">
        <f>ROUND(J989*L989*12,2)</f>
        <v>108.93</v>
      </c>
      <c r="O989" s="223"/>
      <c r="P989" s="210" t="str">
        <f>VLOOKUP(C989,'WO Descriptions'!$A$5:$D$384,4,FALSE)</f>
        <v>Approved by: Gary Williams on 06/10/2014,  Replace PBS due to down project. Pressure system C-01</v>
      </c>
      <c r="Q989" s="210"/>
      <c r="R989" s="210"/>
    </row>
    <row r="990" spans="1:18" ht="30" outlineLevel="2">
      <c r="A990" s="223" t="s">
        <v>54</v>
      </c>
      <c r="B990" s="250" t="s">
        <v>916</v>
      </c>
      <c r="C990" s="250" t="s">
        <v>917</v>
      </c>
      <c r="D990" s="223" t="s">
        <v>918</v>
      </c>
      <c r="E990" s="250" t="s">
        <v>909</v>
      </c>
      <c r="F990" s="223" t="s">
        <v>22</v>
      </c>
      <c r="G990" s="250" t="s">
        <v>23</v>
      </c>
      <c r="H990" s="250" t="s">
        <v>1525</v>
      </c>
      <c r="I990" s="250">
        <v>201410</v>
      </c>
      <c r="J990" s="251">
        <v>0.82</v>
      </c>
      <c r="K990" s="171">
        <f>VLOOKUP(I990,$T$9:$U$23,2)</f>
        <v>8</v>
      </c>
      <c r="L990" s="253">
        <v>1.4833299999999999E-3</v>
      </c>
      <c r="M990" s="251">
        <f>ROUND(J990*K990*L990,2)</f>
        <v>0.01</v>
      </c>
      <c r="N990" s="251">
        <f>ROUND(J990*L990*12,2)</f>
        <v>0.01</v>
      </c>
      <c r="O990" s="223"/>
      <c r="P990" s="210" t="str">
        <f>VLOOKUP(C990,'WO Descriptions'!$A$5:$D$384,4,FALSE)</f>
        <v>Approved by: Gary Williams on 06/10/2014,  Replace PBS due to down project. Pressure system C-01</v>
      </c>
      <c r="Q990" s="210"/>
      <c r="R990" s="210"/>
    </row>
    <row r="991" spans="1:18" ht="30" outlineLevel="2">
      <c r="A991" s="223" t="s">
        <v>54</v>
      </c>
      <c r="B991" s="250" t="s">
        <v>916</v>
      </c>
      <c r="C991" s="250" t="s">
        <v>917</v>
      </c>
      <c r="D991" s="223" t="s">
        <v>918</v>
      </c>
      <c r="E991" s="250" t="s">
        <v>909</v>
      </c>
      <c r="F991" s="223" t="s">
        <v>22</v>
      </c>
      <c r="G991" s="250" t="s">
        <v>23</v>
      </c>
      <c r="H991" s="250" t="s">
        <v>1525</v>
      </c>
      <c r="I991" s="250">
        <v>201501</v>
      </c>
      <c r="J991" s="251">
        <v>0</v>
      </c>
      <c r="K991" s="171">
        <f>VLOOKUP(I991,$T$9:$U$23,2)</f>
        <v>5</v>
      </c>
      <c r="L991" s="253">
        <v>1.4833299999999999E-3</v>
      </c>
      <c r="M991" s="251">
        <f>ROUND(J991*K991*L991,2)</f>
        <v>0</v>
      </c>
      <c r="N991" s="251">
        <f>ROUND(J991*L991*12,2)</f>
        <v>0</v>
      </c>
      <c r="O991" s="223"/>
      <c r="P991" s="210" t="str">
        <f>VLOOKUP(C991,'WO Descriptions'!$A$5:$D$384,4,FALSE)</f>
        <v>Approved by: Gary Williams on 06/10/2014,  Replace PBS due to down project. Pressure system C-01</v>
      </c>
      <c r="Q991" s="210"/>
      <c r="R991" s="210"/>
    </row>
    <row r="992" spans="1:18" outlineLevel="1">
      <c r="A992" s="223"/>
      <c r="B992" s="250"/>
      <c r="C992" s="254" t="s">
        <v>2044</v>
      </c>
      <c r="D992" s="223"/>
      <c r="E992" s="250"/>
      <c r="F992" s="223"/>
      <c r="G992" s="250"/>
      <c r="H992" s="250"/>
      <c r="I992" s="250"/>
      <c r="J992" s="251">
        <f>SUBTOTAL(9,J989:J991)</f>
        <v>6120.49</v>
      </c>
      <c r="K992" s="252"/>
      <c r="L992" s="253"/>
      <c r="M992" s="251">
        <f>SUBTOTAL(9,M989:M991)</f>
        <v>81.710000000000008</v>
      </c>
      <c r="N992" s="251">
        <f>SUBTOTAL(9,N989:N991)</f>
        <v>108.94000000000001</v>
      </c>
      <c r="O992" s="223"/>
      <c r="P992" s="210"/>
      <c r="Q992" s="210" t="str">
        <f>VLOOKUP(C992,'Descriptions Sorted by WO '!$A$5:$S$977,18,FALSE)</f>
        <v>393.1009 (5) (a) (b)</v>
      </c>
      <c r="R992" s="210" t="str">
        <f>VLOOKUP(C992,'Descriptions Sorted by WO '!$A$5:$S$977,19,FALSE)</f>
        <v>A,B,C</v>
      </c>
    </row>
    <row r="993" spans="1:18" ht="75" outlineLevel="2">
      <c r="A993" s="223" t="s">
        <v>54</v>
      </c>
      <c r="B993" s="250" t="s">
        <v>2190</v>
      </c>
      <c r="C993" s="250" t="s">
        <v>1733</v>
      </c>
      <c r="D993" s="223" t="s">
        <v>1734</v>
      </c>
      <c r="E993" s="250" t="s">
        <v>216</v>
      </c>
      <c r="F993" s="223" t="s">
        <v>22</v>
      </c>
      <c r="G993" s="250" t="s">
        <v>23</v>
      </c>
      <c r="H993" s="250" t="s">
        <v>1525</v>
      </c>
      <c r="I993" s="250">
        <v>201501</v>
      </c>
      <c r="J993" s="251">
        <v>34182.43</v>
      </c>
      <c r="K993" s="171">
        <f>VLOOKUP(I993,$T$9:$U$23,2)</f>
        <v>5</v>
      </c>
      <c r="L993" s="253">
        <v>1.4833299999999999E-3</v>
      </c>
      <c r="M993" s="251">
        <f>ROUND(J993*K993*L993,2)</f>
        <v>253.52</v>
      </c>
      <c r="N993" s="251">
        <f>ROUND(J993*L993*12,2)</f>
        <v>608.45000000000005</v>
      </c>
      <c r="O993" s="223"/>
      <c r="P993" s="210" t="str">
        <f>VLOOKUP(C993,'WO Descriptions'!$A$5:$D$384,4,FALSE)</f>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
      <c r="Q993" s="210"/>
      <c r="R993" s="210"/>
    </row>
    <row r="994" spans="1:18" ht="75" outlineLevel="2">
      <c r="A994" s="223" t="s">
        <v>54</v>
      </c>
      <c r="B994" s="250" t="s">
        <v>2190</v>
      </c>
      <c r="C994" s="250" t="s">
        <v>1733</v>
      </c>
      <c r="D994" s="223" t="s">
        <v>1734</v>
      </c>
      <c r="E994" s="250" t="s">
        <v>216</v>
      </c>
      <c r="F994" s="223" t="s">
        <v>22</v>
      </c>
      <c r="G994" s="250" t="s">
        <v>23</v>
      </c>
      <c r="H994" s="250" t="s">
        <v>1525</v>
      </c>
      <c r="I994" s="250">
        <v>201502</v>
      </c>
      <c r="J994" s="251">
        <v>236.56</v>
      </c>
      <c r="K994" s="171">
        <f>VLOOKUP(I994,$T$9:$U$23,2)</f>
        <v>4</v>
      </c>
      <c r="L994" s="253">
        <v>1.4833299999999999E-3</v>
      </c>
      <c r="M994" s="251">
        <f>ROUND(J994*K994*L994,2)</f>
        <v>1.4</v>
      </c>
      <c r="N994" s="251">
        <f>ROUND(J994*L994*12,2)</f>
        <v>4.21</v>
      </c>
      <c r="O994" s="223"/>
      <c r="P994" s="210" t="str">
        <f>VLOOKUP(C994,'WO Descriptions'!$A$5:$D$384,4,FALSE)</f>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
      <c r="Q994" s="210"/>
      <c r="R994" s="210"/>
    </row>
    <row r="995" spans="1:18" outlineLevel="1">
      <c r="A995" s="223"/>
      <c r="B995" s="250"/>
      <c r="C995" s="254" t="s">
        <v>2325</v>
      </c>
      <c r="D995" s="223"/>
      <c r="E995" s="250"/>
      <c r="F995" s="223"/>
      <c r="G995" s="250"/>
      <c r="H995" s="250"/>
      <c r="I995" s="250"/>
      <c r="J995" s="251">
        <f>SUBTOTAL(9,J993:J994)</f>
        <v>34418.99</v>
      </c>
      <c r="K995" s="252"/>
      <c r="L995" s="253"/>
      <c r="M995" s="251">
        <f>SUBTOTAL(9,M993:M994)</f>
        <v>254.92000000000002</v>
      </c>
      <c r="N995" s="251">
        <f>SUBTOTAL(9,N993:N994)</f>
        <v>612.66000000000008</v>
      </c>
      <c r="O995" s="223"/>
      <c r="P995" s="210"/>
      <c r="Q995" s="210" t="s">
        <v>2097</v>
      </c>
      <c r="R995" s="210" t="s">
        <v>2098</v>
      </c>
    </row>
    <row r="996" spans="1:18" ht="120" outlineLevel="2">
      <c r="A996" s="223" t="s">
        <v>54</v>
      </c>
      <c r="B996" s="250" t="s">
        <v>919</v>
      </c>
      <c r="C996" s="250" t="s">
        <v>920</v>
      </c>
      <c r="D996" s="223" t="s">
        <v>921</v>
      </c>
      <c r="E996" s="250" t="s">
        <v>362</v>
      </c>
      <c r="F996" s="223" t="s">
        <v>41</v>
      </c>
      <c r="G996" s="250" t="s">
        <v>23</v>
      </c>
      <c r="H996" s="250" t="s">
        <v>1526</v>
      </c>
      <c r="I996" s="250">
        <v>201411</v>
      </c>
      <c r="J996" s="251">
        <v>156809.47</v>
      </c>
      <c r="K996" s="171">
        <f>VLOOKUP(I996,$T$9:$U$23,2)</f>
        <v>7</v>
      </c>
      <c r="L996" s="253">
        <v>1.4833299999999999E-3</v>
      </c>
      <c r="M996" s="251">
        <f>ROUND(J996*K996*L996,2)</f>
        <v>1628.2</v>
      </c>
      <c r="N996" s="251">
        <f>ROUND(J996*L996*12,2)</f>
        <v>2791.2</v>
      </c>
      <c r="O996" s="223"/>
      <c r="P996" s="210" t="str">
        <f>VLOOKUP(C996,'WO Descriptions'!$A$5:$D$384,4,FALSE)</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c r="Q996" s="210"/>
      <c r="R996" s="210"/>
    </row>
    <row r="997" spans="1:18" ht="120" outlineLevel="2">
      <c r="A997" s="223" t="s">
        <v>54</v>
      </c>
      <c r="B997" s="250" t="s">
        <v>919</v>
      </c>
      <c r="C997" s="250" t="s">
        <v>920</v>
      </c>
      <c r="D997" s="223" t="s">
        <v>921</v>
      </c>
      <c r="E997" s="250" t="s">
        <v>362</v>
      </c>
      <c r="F997" s="223" t="s">
        <v>41</v>
      </c>
      <c r="G997" s="250" t="s">
        <v>23</v>
      </c>
      <c r="H997" s="250" t="s">
        <v>1526</v>
      </c>
      <c r="I997" s="250">
        <v>201412</v>
      </c>
      <c r="J997" s="251">
        <v>-653.91</v>
      </c>
      <c r="K997" s="171">
        <f>VLOOKUP(I997,$T$9:$U$23,2)</f>
        <v>6</v>
      </c>
      <c r="L997" s="253">
        <v>1.4833299999999999E-3</v>
      </c>
      <c r="M997" s="251">
        <f>ROUND(J997*K997*L997,2)</f>
        <v>-5.82</v>
      </c>
      <c r="N997" s="251">
        <f>ROUND(J997*L997*12,2)</f>
        <v>-11.64</v>
      </c>
      <c r="O997" s="223"/>
      <c r="P997" s="210" t="str">
        <f>VLOOKUP(C997,'WO Descriptions'!$A$5:$D$384,4,FALSE)</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c r="Q997" s="210"/>
      <c r="R997" s="210"/>
    </row>
    <row r="998" spans="1:18" ht="120" outlineLevel="2">
      <c r="A998" s="223" t="s">
        <v>54</v>
      </c>
      <c r="B998" s="250" t="s">
        <v>919</v>
      </c>
      <c r="C998" s="250" t="s">
        <v>920</v>
      </c>
      <c r="D998" s="223" t="s">
        <v>921</v>
      </c>
      <c r="E998" s="250" t="s">
        <v>362</v>
      </c>
      <c r="F998" s="223" t="s">
        <v>41</v>
      </c>
      <c r="G998" s="250" t="s">
        <v>23</v>
      </c>
      <c r="H998" s="250" t="s">
        <v>1526</v>
      </c>
      <c r="I998" s="250">
        <v>201501</v>
      </c>
      <c r="J998" s="251">
        <v>-229.26</v>
      </c>
      <c r="K998" s="171">
        <f>VLOOKUP(I998,$T$9:$U$23,2)</f>
        <v>5</v>
      </c>
      <c r="L998" s="253">
        <v>1.4833299999999999E-3</v>
      </c>
      <c r="M998" s="251">
        <f>ROUND(J998*K998*L998,2)</f>
        <v>-1.7</v>
      </c>
      <c r="N998" s="251">
        <f>ROUND(J998*L998*12,2)</f>
        <v>-4.08</v>
      </c>
      <c r="O998" s="223"/>
      <c r="P998" s="210" t="str">
        <f>VLOOKUP(C998,'WO Descriptions'!$A$5:$D$384,4,FALSE)</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c r="Q998" s="210"/>
      <c r="R998" s="210"/>
    </row>
    <row r="999" spans="1:18" ht="120" outlineLevel="2">
      <c r="A999" s="223" t="s">
        <v>54</v>
      </c>
      <c r="B999" s="250" t="s">
        <v>919</v>
      </c>
      <c r="C999" s="250" t="s">
        <v>920</v>
      </c>
      <c r="D999" s="223" t="s">
        <v>921</v>
      </c>
      <c r="E999" s="250" t="s">
        <v>362</v>
      </c>
      <c r="F999" s="223" t="s">
        <v>41</v>
      </c>
      <c r="G999" s="250" t="s">
        <v>23</v>
      </c>
      <c r="H999" s="250" t="s">
        <v>1526</v>
      </c>
      <c r="I999" s="250">
        <v>201502</v>
      </c>
      <c r="J999" s="251">
        <v>2559.34</v>
      </c>
      <c r="K999" s="171">
        <f>VLOOKUP(I999,$T$9:$U$23,2)</f>
        <v>4</v>
      </c>
      <c r="L999" s="253">
        <v>1.4833299999999999E-3</v>
      </c>
      <c r="M999" s="251">
        <f>ROUND(J999*K999*L999,2)</f>
        <v>15.19</v>
      </c>
      <c r="N999" s="251">
        <f>ROUND(J999*L999*12,2)</f>
        <v>45.56</v>
      </c>
      <c r="O999" s="223"/>
      <c r="P999" s="210" t="str">
        <f>VLOOKUP(C999,'WO Descriptions'!$A$5:$D$384,4,FALSE)</f>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
      <c r="Q999" s="210"/>
      <c r="R999" s="210"/>
    </row>
    <row r="1000" spans="1:18" outlineLevel="1">
      <c r="A1000" s="223"/>
      <c r="B1000" s="250"/>
      <c r="C1000" s="254" t="s">
        <v>2045</v>
      </c>
      <c r="D1000" s="223"/>
      <c r="E1000" s="250"/>
      <c r="F1000" s="223"/>
      <c r="G1000" s="250"/>
      <c r="H1000" s="250"/>
      <c r="I1000" s="250"/>
      <c r="J1000" s="251">
        <f>SUBTOTAL(9,J996:J999)</f>
        <v>158485.63999999998</v>
      </c>
      <c r="K1000" s="252"/>
      <c r="L1000" s="253"/>
      <c r="M1000" s="251">
        <f>SUBTOTAL(9,M996:M999)</f>
        <v>1635.8700000000001</v>
      </c>
      <c r="N1000" s="251">
        <f>SUBTOTAL(9,N996:N999)</f>
        <v>2821.04</v>
      </c>
      <c r="O1000" s="223"/>
      <c r="P1000" s="210"/>
      <c r="Q1000" s="210" t="str">
        <f>VLOOKUP(C1000,'Descriptions Sorted by WO '!$A$5:$S$977,18,FALSE)</f>
        <v>393.1009 (5) (C)</v>
      </c>
      <c r="R1000" s="210"/>
    </row>
    <row r="1001" spans="1:18" ht="45" outlineLevel="2">
      <c r="A1001" s="223" t="s">
        <v>17</v>
      </c>
      <c r="B1001" s="250" t="s">
        <v>1057</v>
      </c>
      <c r="C1001" s="250" t="s">
        <v>1058</v>
      </c>
      <c r="D1001" s="223" t="s">
        <v>1059</v>
      </c>
      <c r="E1001" s="250" t="s">
        <v>925</v>
      </c>
      <c r="F1001" s="223" t="s">
        <v>41</v>
      </c>
      <c r="G1001" s="250" t="s">
        <v>23</v>
      </c>
      <c r="H1001" s="250" t="s">
        <v>1526</v>
      </c>
      <c r="I1001" s="250">
        <v>201412</v>
      </c>
      <c r="J1001" s="251">
        <v>37991.93</v>
      </c>
      <c r="K1001" s="171">
        <f>VLOOKUP(I1001,$T$9:$U$23,2)</f>
        <v>6</v>
      </c>
      <c r="L1001" s="253">
        <v>1.4833299999999999E-3</v>
      </c>
      <c r="M1001" s="251">
        <f>ROUND(J1001*K1001*L1001,2)</f>
        <v>338.13</v>
      </c>
      <c r="N1001" s="251">
        <f>ROUND(J1001*L1001*12,2)</f>
        <v>676.25</v>
      </c>
      <c r="O1001" s="223"/>
      <c r="P1001" s="210" t="str">
        <f>VLOOKUP(C1001,'WO Descriptions'!$A$5:$D$384,4,FALSE)</f>
        <v>Approved by: Gary Williams on 06/13/2014,  (ISRS)  Lay 325'-6in thin film for MODOT project J4I3005 under I-35.  Main needs to be 12' deep under the highway due to cuts.  No services to tie-over.  Retire 325'-10in PCS, WO 67-5537, Year 1967.  COST PER FOOT $132.92</v>
      </c>
      <c r="Q1001" s="210"/>
      <c r="R1001" s="210"/>
    </row>
    <row r="1002" spans="1:18" ht="45" outlineLevel="2">
      <c r="A1002" s="223" t="s">
        <v>17</v>
      </c>
      <c r="B1002" s="250" t="s">
        <v>1057</v>
      </c>
      <c r="C1002" s="250" t="s">
        <v>1058</v>
      </c>
      <c r="D1002" s="223" t="s">
        <v>1059</v>
      </c>
      <c r="E1002" s="250" t="s">
        <v>925</v>
      </c>
      <c r="F1002" s="223" t="s">
        <v>41</v>
      </c>
      <c r="G1002" s="250" t="s">
        <v>23</v>
      </c>
      <c r="H1002" s="250" t="s">
        <v>1526</v>
      </c>
      <c r="I1002" s="250">
        <v>201501</v>
      </c>
      <c r="J1002" s="251">
        <v>-3547.65</v>
      </c>
      <c r="K1002" s="171">
        <f>VLOOKUP(I1002,$T$9:$U$23,2)</f>
        <v>5</v>
      </c>
      <c r="L1002" s="253">
        <v>1.4833299999999999E-3</v>
      </c>
      <c r="M1002" s="251">
        <f>ROUND(J1002*K1002*L1002,2)</f>
        <v>-26.31</v>
      </c>
      <c r="N1002" s="251">
        <f>ROUND(J1002*L1002*12,2)</f>
        <v>-63.15</v>
      </c>
      <c r="O1002" s="223"/>
      <c r="P1002" s="210" t="str">
        <f>VLOOKUP(C1002,'WO Descriptions'!$A$5:$D$384,4,FALSE)</f>
        <v>Approved by: Gary Williams on 06/13/2014,  (ISRS)  Lay 325'-6in thin film for MODOT project J4I3005 under I-35.  Main needs to be 12' deep under the highway due to cuts.  No services to tie-over.  Retire 325'-10in PCS, WO 67-5537, Year 1967.  COST PER FOOT $132.92</v>
      </c>
      <c r="Q1002" s="210"/>
      <c r="R1002" s="210"/>
    </row>
    <row r="1003" spans="1:18" ht="45" outlineLevel="2">
      <c r="A1003" s="223" t="s">
        <v>17</v>
      </c>
      <c r="B1003" s="250" t="s">
        <v>1057</v>
      </c>
      <c r="C1003" s="250" t="s">
        <v>1058</v>
      </c>
      <c r="D1003" s="223" t="s">
        <v>1059</v>
      </c>
      <c r="E1003" s="250" t="s">
        <v>925</v>
      </c>
      <c r="F1003" s="223" t="s">
        <v>41</v>
      </c>
      <c r="G1003" s="250" t="s">
        <v>23</v>
      </c>
      <c r="H1003" s="250" t="s">
        <v>1526</v>
      </c>
      <c r="I1003" s="250">
        <v>201502</v>
      </c>
      <c r="J1003" s="251">
        <v>3353.87</v>
      </c>
      <c r="K1003" s="171">
        <f>VLOOKUP(I1003,$T$9:$U$23,2)</f>
        <v>4</v>
      </c>
      <c r="L1003" s="253">
        <v>1.4833299999999999E-3</v>
      </c>
      <c r="M1003" s="251">
        <f>ROUND(J1003*K1003*L1003,2)</f>
        <v>19.899999999999999</v>
      </c>
      <c r="N1003" s="251">
        <f>ROUND(J1003*L1003*12,2)</f>
        <v>59.7</v>
      </c>
      <c r="O1003" s="223"/>
      <c r="P1003" s="210" t="str">
        <f>VLOOKUP(C1003,'WO Descriptions'!$A$5:$D$384,4,FALSE)</f>
        <v>Approved by: Gary Williams on 06/13/2014,  (ISRS)  Lay 325'-6in thin film for MODOT project J4I3005 under I-35.  Main needs to be 12' deep under the highway due to cuts.  No services to tie-over.  Retire 325'-10in PCS, WO 67-5537, Year 1967.  COST PER FOOT $132.92</v>
      </c>
      <c r="Q1003" s="210"/>
      <c r="R1003" s="210"/>
    </row>
    <row r="1004" spans="1:18" outlineLevel="1">
      <c r="A1004" s="223"/>
      <c r="B1004" s="250"/>
      <c r="C1004" s="254" t="s">
        <v>2046</v>
      </c>
      <c r="D1004" s="223"/>
      <c r="E1004" s="250"/>
      <c r="F1004" s="223"/>
      <c r="G1004" s="250"/>
      <c r="H1004" s="250"/>
      <c r="I1004" s="250"/>
      <c r="J1004" s="251">
        <f>SUBTOTAL(9,J1001:J1003)</f>
        <v>37798.15</v>
      </c>
      <c r="K1004" s="252"/>
      <c r="L1004" s="253"/>
      <c r="M1004" s="251">
        <f>SUBTOTAL(9,M1001:M1003)</f>
        <v>331.71999999999997</v>
      </c>
      <c r="N1004" s="251">
        <f>SUBTOTAL(9,N1001:N1003)</f>
        <v>672.80000000000007</v>
      </c>
      <c r="O1004" s="223"/>
      <c r="P1004" s="210"/>
      <c r="Q1004" s="210" t="str">
        <f>VLOOKUP(C1004,'Descriptions Sorted by WO '!$A$5:$S$977,18,FALSE)</f>
        <v>393.1009 (5) (C)</v>
      </c>
      <c r="R1004" s="210"/>
    </row>
    <row r="1005" spans="1:18" ht="75" outlineLevel="2">
      <c r="A1005" s="223" t="s">
        <v>54</v>
      </c>
      <c r="B1005" s="250" t="s">
        <v>922</v>
      </c>
      <c r="C1005" s="250" t="s">
        <v>923</v>
      </c>
      <c r="D1005" s="223" t="s">
        <v>924</v>
      </c>
      <c r="E1005" s="250" t="s">
        <v>925</v>
      </c>
      <c r="F1005" s="223" t="s">
        <v>41</v>
      </c>
      <c r="G1005" s="250" t="s">
        <v>23</v>
      </c>
      <c r="H1005" s="250" t="s">
        <v>1526</v>
      </c>
      <c r="I1005" s="250">
        <v>201411</v>
      </c>
      <c r="J1005" s="251">
        <v>100429.48</v>
      </c>
      <c r="K1005" s="171">
        <f>VLOOKUP(I1005,$T$9:$U$23,2)</f>
        <v>7</v>
      </c>
      <c r="L1005" s="253">
        <v>1.4833299999999999E-3</v>
      </c>
      <c r="M1005" s="251">
        <f>ROUND(J1005*K1005*L1005,2)</f>
        <v>1042.79</v>
      </c>
      <c r="N1005" s="251">
        <f>ROUND(J1005*L1005*12,2)</f>
        <v>1787.64</v>
      </c>
      <c r="O1005" s="223"/>
      <c r="P1005" s="210" t="str">
        <f>VLOOKUP(C1005,'WO Descriptions'!$A$5:$D$384,4,FALSE)</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c r="Q1005" s="210"/>
      <c r="R1005" s="210"/>
    </row>
    <row r="1006" spans="1:18" ht="75" outlineLevel="2">
      <c r="A1006" s="223" t="s">
        <v>54</v>
      </c>
      <c r="B1006" s="250" t="s">
        <v>922</v>
      </c>
      <c r="C1006" s="250" t="s">
        <v>923</v>
      </c>
      <c r="D1006" s="223" t="s">
        <v>924</v>
      </c>
      <c r="E1006" s="250" t="s">
        <v>925</v>
      </c>
      <c r="F1006" s="223" t="s">
        <v>41</v>
      </c>
      <c r="G1006" s="250" t="s">
        <v>23</v>
      </c>
      <c r="H1006" s="250" t="s">
        <v>1526</v>
      </c>
      <c r="I1006" s="250">
        <v>201412</v>
      </c>
      <c r="J1006" s="251">
        <v>1865.84</v>
      </c>
      <c r="K1006" s="171">
        <f>VLOOKUP(I1006,$T$9:$U$23,2)</f>
        <v>6</v>
      </c>
      <c r="L1006" s="253">
        <v>1.4833299999999999E-3</v>
      </c>
      <c r="M1006" s="251">
        <f>ROUND(J1006*K1006*L1006,2)</f>
        <v>16.61</v>
      </c>
      <c r="N1006" s="251">
        <f>ROUND(J1006*L1006*12,2)</f>
        <v>33.21</v>
      </c>
      <c r="O1006" s="223"/>
      <c r="P1006" s="210" t="str">
        <f>VLOOKUP(C1006,'WO Descriptions'!$A$5:$D$384,4,FALSE)</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c r="Q1006" s="210"/>
      <c r="R1006" s="210"/>
    </row>
    <row r="1007" spans="1:18" ht="75" outlineLevel="2">
      <c r="A1007" s="223" t="s">
        <v>54</v>
      </c>
      <c r="B1007" s="250" t="s">
        <v>922</v>
      </c>
      <c r="C1007" s="250" t="s">
        <v>923</v>
      </c>
      <c r="D1007" s="223" t="s">
        <v>924</v>
      </c>
      <c r="E1007" s="250" t="s">
        <v>925</v>
      </c>
      <c r="F1007" s="223" t="s">
        <v>41</v>
      </c>
      <c r="G1007" s="250" t="s">
        <v>23</v>
      </c>
      <c r="H1007" s="250" t="s">
        <v>1526</v>
      </c>
      <c r="I1007" s="250">
        <v>201501</v>
      </c>
      <c r="J1007" s="251">
        <v>-961.44</v>
      </c>
      <c r="K1007" s="171">
        <f>VLOOKUP(I1007,$T$9:$U$23,2)</f>
        <v>5</v>
      </c>
      <c r="L1007" s="253">
        <v>1.4833299999999999E-3</v>
      </c>
      <c r="M1007" s="251">
        <f>ROUND(J1007*K1007*L1007,2)</f>
        <v>-7.13</v>
      </c>
      <c r="N1007" s="251">
        <f>ROUND(J1007*L1007*12,2)</f>
        <v>-17.11</v>
      </c>
      <c r="O1007" s="223"/>
      <c r="P1007" s="210" t="str">
        <f>VLOOKUP(C1007,'WO Descriptions'!$A$5:$D$384,4,FALSE)</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c r="Q1007" s="210"/>
      <c r="R1007" s="210"/>
    </row>
    <row r="1008" spans="1:18" ht="75" outlineLevel="2">
      <c r="A1008" s="14" t="s">
        <v>54</v>
      </c>
      <c r="B1008" s="15" t="s">
        <v>922</v>
      </c>
      <c r="C1008" s="15" t="s">
        <v>923</v>
      </c>
      <c r="D1008" s="14" t="s">
        <v>924</v>
      </c>
      <c r="E1008" s="15" t="s">
        <v>925</v>
      </c>
      <c r="F1008" s="14" t="s">
        <v>41</v>
      </c>
      <c r="G1008" s="15" t="s">
        <v>23</v>
      </c>
      <c r="H1008" s="15" t="s">
        <v>1526</v>
      </c>
      <c r="I1008" s="15">
        <v>201502</v>
      </c>
      <c r="J1008" s="16">
        <v>-1192.06</v>
      </c>
      <c r="K1008" s="171">
        <f>VLOOKUP(I1008,$T$9:$U$23,2)</f>
        <v>4</v>
      </c>
      <c r="L1008" s="17">
        <v>1.4833299999999999E-3</v>
      </c>
      <c r="M1008" s="16">
        <f>ROUND(J1008*K1008*L1008,2)</f>
        <v>-7.07</v>
      </c>
      <c r="N1008" s="16">
        <f>ROUND(J1008*L1008*12,2)</f>
        <v>-21.22</v>
      </c>
      <c r="O1008" s="14"/>
      <c r="P1008" s="210" t="str">
        <f>VLOOKUP(C1008,'WO Descriptions'!$A$5:$D$384,4,FALSE)</f>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
      <c r="Q1008" s="210"/>
      <c r="R1008" s="210"/>
    </row>
    <row r="1009" spans="1:18" outlineLevel="1">
      <c r="A1009" s="223"/>
      <c r="B1009" s="250"/>
      <c r="C1009" s="254" t="s">
        <v>2047</v>
      </c>
      <c r="D1009" s="223"/>
      <c r="E1009" s="250"/>
      <c r="F1009" s="223"/>
      <c r="G1009" s="250"/>
      <c r="H1009" s="250"/>
      <c r="I1009" s="250"/>
      <c r="J1009" s="251">
        <f>SUBTOTAL(9,J1005:J1008)</f>
        <v>100141.81999999999</v>
      </c>
      <c r="K1009" s="252"/>
      <c r="L1009" s="253"/>
      <c r="M1009" s="251">
        <f>SUBTOTAL(9,M1005:M1008)</f>
        <v>1045.1999999999998</v>
      </c>
      <c r="N1009" s="251">
        <f>SUBTOTAL(9,N1005:N1008)</f>
        <v>1782.5200000000002</v>
      </c>
      <c r="O1009" s="223"/>
      <c r="P1009" s="210"/>
      <c r="Q1009" s="210" t="str">
        <f>VLOOKUP(C1009,'Descriptions Sorted by WO '!$A$5:$S$977,18,FALSE)</f>
        <v>393.1009 (5) (C)</v>
      </c>
      <c r="R1009" s="210"/>
    </row>
    <row r="1010" spans="1:18" ht="45" outlineLevel="2">
      <c r="A1010" s="14" t="s">
        <v>54</v>
      </c>
      <c r="B1010" s="15" t="s">
        <v>926</v>
      </c>
      <c r="C1010" s="15" t="s">
        <v>927</v>
      </c>
      <c r="D1010" s="14" t="s">
        <v>928</v>
      </c>
      <c r="E1010" s="15" t="s">
        <v>141</v>
      </c>
      <c r="F1010" s="14" t="s">
        <v>142</v>
      </c>
      <c r="G1010" s="15" t="s">
        <v>23</v>
      </c>
      <c r="H1010" s="15" t="s">
        <v>1525</v>
      </c>
      <c r="I1010" s="15">
        <v>201409</v>
      </c>
      <c r="J1010" s="16">
        <v>10991.12</v>
      </c>
      <c r="K1010" s="171">
        <f>VLOOKUP(I1010,$T$9:$U$23,2)</f>
        <v>9</v>
      </c>
      <c r="L1010" s="17">
        <v>1.4833299999999999E-3</v>
      </c>
      <c r="M1010" s="16">
        <f>ROUND(J1010*K1010*L1010,2)</f>
        <v>146.72999999999999</v>
      </c>
      <c r="N1010" s="16">
        <f>ROUND(J1010*L1010*12,2)</f>
        <v>195.64</v>
      </c>
      <c r="O1010" s="14"/>
      <c r="P1010" s="210" t="str">
        <f>VLOOKUP(C1010,'WO Descriptions'!$A$5:$D$384,4,FALSE)</f>
        <v>Approved by: Gary Williams on 06/13/2014,  ISRS Replace 1124' of 4'' CI with 2'' PE (due to graphitization). Current CI is tied onto pressure system: C-1 . New 2'' PE tie in will be on 16'' CS. Service tie overs 14. Pressure system:C-3. Be sure to abandon east of CI break 12-1014.</v>
      </c>
      <c r="Q1010" s="210"/>
      <c r="R1010" s="210"/>
    </row>
    <row r="1011" spans="1:18" ht="45" outlineLevel="2">
      <c r="A1011" s="14" t="s">
        <v>54</v>
      </c>
      <c r="B1011" s="15" t="s">
        <v>926</v>
      </c>
      <c r="C1011" s="15" t="s">
        <v>927</v>
      </c>
      <c r="D1011" s="14" t="s">
        <v>928</v>
      </c>
      <c r="E1011" s="15" t="s">
        <v>141</v>
      </c>
      <c r="F1011" s="14" t="s">
        <v>142</v>
      </c>
      <c r="G1011" s="15" t="s">
        <v>23</v>
      </c>
      <c r="H1011" s="15" t="s">
        <v>1525</v>
      </c>
      <c r="I1011" s="15">
        <v>201410</v>
      </c>
      <c r="J1011" s="16">
        <v>129.80000000000001</v>
      </c>
      <c r="K1011" s="171">
        <f>VLOOKUP(I1011,$T$9:$U$23,2)</f>
        <v>8</v>
      </c>
      <c r="L1011" s="17">
        <v>1.4833299999999999E-3</v>
      </c>
      <c r="M1011" s="16">
        <f>ROUND(J1011*K1011*L1011,2)</f>
        <v>1.54</v>
      </c>
      <c r="N1011" s="16">
        <f>ROUND(J1011*L1011*12,2)</f>
        <v>2.31</v>
      </c>
      <c r="O1011" s="14"/>
      <c r="P1011" s="210" t="str">
        <f>VLOOKUP(C1011,'WO Descriptions'!$A$5:$D$384,4,FALSE)</f>
        <v>Approved by: Gary Williams on 06/13/2014,  ISRS Replace 1124' of 4'' CI with 2'' PE (due to graphitization). Current CI is tied onto pressure system: C-1 . New 2'' PE tie in will be on 16'' CS. Service tie overs 14. Pressure system:C-3. Be sure to abandon east of CI break 12-1014.</v>
      </c>
      <c r="Q1011" s="210"/>
      <c r="R1011" s="210"/>
    </row>
    <row r="1012" spans="1:18" outlineLevel="1">
      <c r="A1012" s="223"/>
      <c r="B1012" s="250"/>
      <c r="C1012" s="254" t="s">
        <v>2048</v>
      </c>
      <c r="D1012" s="223"/>
      <c r="E1012" s="250"/>
      <c r="F1012" s="223"/>
      <c r="G1012" s="250"/>
      <c r="H1012" s="250"/>
      <c r="I1012" s="250"/>
      <c r="J1012" s="251">
        <f>SUBTOTAL(9,J1010:J1011)</f>
        <v>11120.92</v>
      </c>
      <c r="K1012" s="252"/>
      <c r="L1012" s="253"/>
      <c r="M1012" s="251">
        <f>SUBTOTAL(9,M1010:M1011)</f>
        <v>148.26999999999998</v>
      </c>
      <c r="N1012" s="251">
        <f>SUBTOTAL(9,N1010:N1011)</f>
        <v>197.95</v>
      </c>
      <c r="O1012" s="223"/>
      <c r="P1012" s="210"/>
      <c r="Q1012" s="210" t="str">
        <f>VLOOKUP(C1012,'Descriptions Sorted by WO '!$A$5:$S$977,18,FALSE)</f>
        <v>393.1009 (5) (a) (b)</v>
      </c>
      <c r="R1012" s="210" t="str">
        <f>VLOOKUP(C1012,'Descriptions Sorted by WO '!$A$5:$S$977,19,FALSE)</f>
        <v>A,B,C,D,I</v>
      </c>
    </row>
    <row r="1013" spans="1:18" ht="60" outlineLevel="2">
      <c r="A1013" s="14" t="s">
        <v>17</v>
      </c>
      <c r="B1013" s="15" t="s">
        <v>2283</v>
      </c>
      <c r="C1013" s="15" t="s">
        <v>1735</v>
      </c>
      <c r="D1013" s="14" t="s">
        <v>1736</v>
      </c>
      <c r="E1013" s="15" t="s">
        <v>104</v>
      </c>
      <c r="F1013" s="14" t="s">
        <v>41</v>
      </c>
      <c r="G1013" s="15" t="s">
        <v>23</v>
      </c>
      <c r="H1013" s="15" t="s">
        <v>1526</v>
      </c>
      <c r="I1013" s="15">
        <v>201502</v>
      </c>
      <c r="J1013" s="16">
        <v>5271.89</v>
      </c>
      <c r="K1013" s="171">
        <f>VLOOKUP(I1013,$T$9:$U$23,2)</f>
        <v>4</v>
      </c>
      <c r="L1013" s="17">
        <v>1.4833299999999999E-3</v>
      </c>
      <c r="M1013" s="16">
        <f>ROUND(J1013*K1013*L1013,2)</f>
        <v>31.28</v>
      </c>
      <c r="N1013" s="16">
        <f>ROUND(J1013*L1013*12,2)</f>
        <v>93.84</v>
      </c>
      <c r="O1013" s="14"/>
      <c r="P1013" s="210" t="str">
        <f>VLOOKUP(C1013,'WO Descriptions'!$A$5:$D$384,4,FALSE)</f>
        <v>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v>
      </c>
      <c r="Q1013" s="210"/>
      <c r="R1013" s="210"/>
    </row>
    <row r="1014" spans="1:18" outlineLevel="1">
      <c r="A1014" s="223"/>
      <c r="B1014" s="250"/>
      <c r="C1014" s="254" t="s">
        <v>2326</v>
      </c>
      <c r="D1014" s="223"/>
      <c r="E1014" s="250"/>
      <c r="F1014" s="223"/>
      <c r="G1014" s="250"/>
      <c r="H1014" s="250"/>
      <c r="I1014" s="250"/>
      <c r="J1014" s="251">
        <f>SUBTOTAL(9,J1013:J1013)</f>
        <v>5271.89</v>
      </c>
      <c r="K1014" s="252"/>
      <c r="L1014" s="253"/>
      <c r="M1014" s="251">
        <f>SUBTOTAL(9,M1013:M1013)</f>
        <v>31.28</v>
      </c>
      <c r="N1014" s="251">
        <f>SUBTOTAL(9,N1013:N1013)</f>
        <v>93.84</v>
      </c>
      <c r="O1014" s="223"/>
      <c r="P1014" s="210"/>
      <c r="Q1014" s="210" t="s">
        <v>2096</v>
      </c>
      <c r="R1014" s="210"/>
    </row>
    <row r="1015" spans="1:18" ht="90" outlineLevel="2">
      <c r="A1015" s="14" t="s">
        <v>54</v>
      </c>
      <c r="B1015" s="15" t="s">
        <v>929</v>
      </c>
      <c r="C1015" s="15" t="s">
        <v>930</v>
      </c>
      <c r="D1015" s="14" t="s">
        <v>931</v>
      </c>
      <c r="E1015" s="15" t="s">
        <v>394</v>
      </c>
      <c r="F1015" s="14" t="s">
        <v>137</v>
      </c>
      <c r="G1015" s="15" t="s">
        <v>23</v>
      </c>
      <c r="H1015" s="15" t="s">
        <v>1526</v>
      </c>
      <c r="I1015" s="15">
        <v>201411</v>
      </c>
      <c r="J1015" s="16">
        <v>37016.21</v>
      </c>
      <c r="K1015" s="171">
        <f>VLOOKUP(I1015,$T$9:$U$23,2)</f>
        <v>7</v>
      </c>
      <c r="L1015" s="17">
        <v>1.4833299999999999E-3</v>
      </c>
      <c r="M1015" s="16">
        <f>ROUND(J1015*K1015*L1015,2)</f>
        <v>384.35</v>
      </c>
      <c r="N1015" s="16">
        <f>ROUND(J1015*L1015*12,2)</f>
        <v>658.89</v>
      </c>
      <c r="O1015" s="14"/>
      <c r="P1015" s="210" t="str">
        <f>VLOOKUP(C1015,'WO Descriptions'!$A$5:$D$384,4,FALSE)</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c r="Q1015" s="210"/>
      <c r="R1015" s="210"/>
    </row>
    <row r="1016" spans="1:18" ht="90" outlineLevel="2">
      <c r="A1016" s="14" t="s">
        <v>54</v>
      </c>
      <c r="B1016" s="15" t="s">
        <v>929</v>
      </c>
      <c r="C1016" s="15" t="s">
        <v>930</v>
      </c>
      <c r="D1016" s="14" t="s">
        <v>931</v>
      </c>
      <c r="E1016" s="15" t="s">
        <v>394</v>
      </c>
      <c r="F1016" s="14" t="s">
        <v>137</v>
      </c>
      <c r="G1016" s="15" t="s">
        <v>23</v>
      </c>
      <c r="H1016" s="15" t="s">
        <v>1526</v>
      </c>
      <c r="I1016" s="15">
        <v>201412</v>
      </c>
      <c r="J1016" s="16">
        <v>237.88</v>
      </c>
      <c r="K1016" s="171">
        <f>VLOOKUP(I1016,$T$9:$U$23,2)</f>
        <v>6</v>
      </c>
      <c r="L1016" s="17">
        <v>1.4833299999999999E-3</v>
      </c>
      <c r="M1016" s="16">
        <f>ROUND(J1016*K1016*L1016,2)</f>
        <v>2.12</v>
      </c>
      <c r="N1016" s="16">
        <f>ROUND(J1016*L1016*12,2)</f>
        <v>4.2300000000000004</v>
      </c>
      <c r="O1016" s="14"/>
      <c r="P1016" s="210" t="str">
        <f>VLOOKUP(C1016,'WO Descriptions'!$A$5:$D$384,4,FALSE)</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c r="Q1016" s="210"/>
      <c r="R1016" s="210"/>
    </row>
    <row r="1017" spans="1:18" ht="90" outlineLevel="2">
      <c r="A1017" s="14" t="s">
        <v>54</v>
      </c>
      <c r="B1017" s="15" t="s">
        <v>929</v>
      </c>
      <c r="C1017" s="15" t="s">
        <v>930</v>
      </c>
      <c r="D1017" s="14" t="s">
        <v>931</v>
      </c>
      <c r="E1017" s="15" t="s">
        <v>394</v>
      </c>
      <c r="F1017" s="14" t="s">
        <v>137</v>
      </c>
      <c r="G1017" s="15" t="s">
        <v>23</v>
      </c>
      <c r="H1017" s="15" t="s">
        <v>1526</v>
      </c>
      <c r="I1017" s="15">
        <v>201501</v>
      </c>
      <c r="J1017" s="16">
        <v>171.63</v>
      </c>
      <c r="K1017" s="171">
        <f>VLOOKUP(I1017,$T$9:$U$23,2)</f>
        <v>5</v>
      </c>
      <c r="L1017" s="17">
        <v>1.4833299999999999E-3</v>
      </c>
      <c r="M1017" s="16">
        <f>ROUND(J1017*K1017*L1017,2)</f>
        <v>1.27</v>
      </c>
      <c r="N1017" s="16">
        <f>ROUND(J1017*L1017*12,2)</f>
        <v>3.06</v>
      </c>
      <c r="O1017" s="14"/>
      <c r="P1017" s="210" t="str">
        <f>VLOOKUP(C1017,'WO Descriptions'!$A$5:$D$384,4,FALSE)</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c r="Q1017" s="210"/>
      <c r="R1017" s="210"/>
    </row>
    <row r="1018" spans="1:18" ht="90" outlineLevel="2">
      <c r="A1018" s="14" t="s">
        <v>54</v>
      </c>
      <c r="B1018" s="15" t="s">
        <v>929</v>
      </c>
      <c r="C1018" s="15" t="s">
        <v>930</v>
      </c>
      <c r="D1018" s="14" t="s">
        <v>931</v>
      </c>
      <c r="E1018" s="15" t="s">
        <v>394</v>
      </c>
      <c r="F1018" s="14" t="s">
        <v>137</v>
      </c>
      <c r="G1018" s="15" t="s">
        <v>23</v>
      </c>
      <c r="H1018" s="15" t="s">
        <v>1526</v>
      </c>
      <c r="I1018" s="15">
        <v>201502</v>
      </c>
      <c r="J1018" s="16">
        <v>2.68</v>
      </c>
      <c r="K1018" s="171">
        <f>VLOOKUP(I1018,$T$9:$U$23,2)</f>
        <v>4</v>
      </c>
      <c r="L1018" s="17">
        <v>1.4833299999999999E-3</v>
      </c>
      <c r="M1018" s="16">
        <f>ROUND(J1018*K1018*L1018,2)</f>
        <v>0.02</v>
      </c>
      <c r="N1018" s="16">
        <f>ROUND(J1018*L1018*12,2)</f>
        <v>0.05</v>
      </c>
      <c r="O1018" s="14"/>
      <c r="P1018" s="210" t="str">
        <f>VLOOKUP(C1018,'WO Descriptions'!$A$5:$D$384,4,FALSE)</f>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
      <c r="Q1018" s="210"/>
      <c r="R1018" s="210"/>
    </row>
    <row r="1019" spans="1:18" outlineLevel="1">
      <c r="A1019" s="223"/>
      <c r="B1019" s="250"/>
      <c r="C1019" s="254" t="s">
        <v>2049</v>
      </c>
      <c r="D1019" s="223"/>
      <c r="E1019" s="250"/>
      <c r="F1019" s="223"/>
      <c r="G1019" s="250"/>
      <c r="H1019" s="250"/>
      <c r="I1019" s="250"/>
      <c r="J1019" s="251">
        <f>SUBTOTAL(9,J1015:J1018)</f>
        <v>37428.399999999994</v>
      </c>
      <c r="K1019" s="252"/>
      <c r="L1019" s="253"/>
      <c r="M1019" s="251">
        <f>SUBTOTAL(9,M1015:M1018)</f>
        <v>387.76</v>
      </c>
      <c r="N1019" s="251">
        <f>SUBTOTAL(9,N1015:N1018)</f>
        <v>666.2299999999999</v>
      </c>
      <c r="O1019" s="223"/>
      <c r="P1019" s="210"/>
      <c r="Q1019" s="210" t="str">
        <f>VLOOKUP(C1019,'Descriptions Sorted by WO '!$A$5:$S$977,18,FALSE)</f>
        <v>393.1009 (5) (C)</v>
      </c>
      <c r="R1019" s="210"/>
    </row>
    <row r="1020" spans="1:18" ht="90" outlineLevel="2">
      <c r="A1020" s="14" t="s">
        <v>54</v>
      </c>
      <c r="B1020" s="15" t="s">
        <v>1060</v>
      </c>
      <c r="C1020" s="15" t="s">
        <v>1061</v>
      </c>
      <c r="D1020" s="14" t="s">
        <v>1062</v>
      </c>
      <c r="E1020" s="15" t="s">
        <v>53</v>
      </c>
      <c r="F1020" s="14" t="s">
        <v>41</v>
      </c>
      <c r="G1020" s="15" t="s">
        <v>23</v>
      </c>
      <c r="H1020" s="15" t="s">
        <v>1526</v>
      </c>
      <c r="I1020" s="15">
        <v>201412</v>
      </c>
      <c r="J1020" s="16">
        <v>116872.01</v>
      </c>
      <c r="K1020" s="171">
        <f>VLOOKUP(I1020,$T$9:$U$23,2)</f>
        <v>6</v>
      </c>
      <c r="L1020" s="17">
        <v>1.4833299999999999E-3</v>
      </c>
      <c r="M1020" s="16">
        <f>ROUND(J1020*K1020*L1020,2)</f>
        <v>1040.1600000000001</v>
      </c>
      <c r="N1020" s="16">
        <f>ROUND(J1020*L1020*12,2)</f>
        <v>2080.3200000000002</v>
      </c>
      <c r="O1020" s="14"/>
      <c r="P1020" s="210" t="str">
        <f>VLOOKUP(C1020,'WO Descriptions'!$A$5:$D$384,4,FALSE)</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c r="Q1020" s="210"/>
      <c r="R1020" s="210"/>
    </row>
    <row r="1021" spans="1:18" ht="90" outlineLevel="2">
      <c r="A1021" s="14" t="s">
        <v>54</v>
      </c>
      <c r="B1021" s="15" t="s">
        <v>1060</v>
      </c>
      <c r="C1021" s="15" t="s">
        <v>1061</v>
      </c>
      <c r="D1021" s="14" t="s">
        <v>1062</v>
      </c>
      <c r="E1021" s="15" t="s">
        <v>53</v>
      </c>
      <c r="F1021" s="14" t="s">
        <v>41</v>
      </c>
      <c r="G1021" s="15" t="s">
        <v>23</v>
      </c>
      <c r="H1021" s="15" t="s">
        <v>1526</v>
      </c>
      <c r="I1021" s="15">
        <v>201501</v>
      </c>
      <c r="J1021" s="16">
        <v>-53.39</v>
      </c>
      <c r="K1021" s="171">
        <f>VLOOKUP(I1021,$T$9:$U$23,2)</f>
        <v>5</v>
      </c>
      <c r="L1021" s="17">
        <v>1.4833299999999999E-3</v>
      </c>
      <c r="M1021" s="16">
        <f>ROUND(J1021*K1021*L1021,2)</f>
        <v>-0.4</v>
      </c>
      <c r="N1021" s="16">
        <f>ROUND(J1021*L1021*12,2)</f>
        <v>-0.95</v>
      </c>
      <c r="O1021" s="14"/>
      <c r="P1021" s="210" t="str">
        <f>VLOOKUP(C1021,'WO Descriptions'!$A$5:$D$384,4,FALSE)</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c r="Q1021" s="210"/>
      <c r="R1021" s="210"/>
    </row>
    <row r="1022" spans="1:18" ht="90" outlineLevel="2">
      <c r="A1022" s="14" t="s">
        <v>54</v>
      </c>
      <c r="B1022" s="15" t="s">
        <v>1060</v>
      </c>
      <c r="C1022" s="15" t="s">
        <v>1061</v>
      </c>
      <c r="D1022" s="14" t="s">
        <v>1062</v>
      </c>
      <c r="E1022" s="15" t="s">
        <v>53</v>
      </c>
      <c r="F1022" s="14" t="s">
        <v>41</v>
      </c>
      <c r="G1022" s="15" t="s">
        <v>23</v>
      </c>
      <c r="H1022" s="15" t="s">
        <v>1526</v>
      </c>
      <c r="I1022" s="15">
        <v>201502</v>
      </c>
      <c r="J1022" s="16">
        <v>-331.76</v>
      </c>
      <c r="K1022" s="171">
        <f>VLOOKUP(I1022,$T$9:$U$23,2)</f>
        <v>4</v>
      </c>
      <c r="L1022" s="17">
        <v>1.4833299999999999E-3</v>
      </c>
      <c r="M1022" s="16">
        <f>ROUND(J1022*K1022*L1022,2)</f>
        <v>-1.97</v>
      </c>
      <c r="N1022" s="16">
        <f>ROUND(J1022*L1022*12,2)</f>
        <v>-5.91</v>
      </c>
      <c r="O1022" s="14"/>
      <c r="P1022" s="210" t="str">
        <f>VLOOKUP(C1022,'WO Descriptions'!$A$5:$D$384,4,FALSE)</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v>
      </c>
      <c r="Q1022" s="210"/>
      <c r="R1022" s="210"/>
    </row>
    <row r="1023" spans="1:18" outlineLevel="1">
      <c r="A1023" s="223"/>
      <c r="B1023" s="250"/>
      <c r="C1023" s="254" t="s">
        <v>2050</v>
      </c>
      <c r="D1023" s="223"/>
      <c r="E1023" s="250"/>
      <c r="F1023" s="223"/>
      <c r="G1023" s="250"/>
      <c r="H1023" s="250"/>
      <c r="I1023" s="250"/>
      <c r="J1023" s="251">
        <f>SUBTOTAL(9,J1020:J1022)</f>
        <v>116486.86</v>
      </c>
      <c r="K1023" s="252"/>
      <c r="L1023" s="253"/>
      <c r="M1023" s="251">
        <f>SUBTOTAL(9,M1020:M1022)</f>
        <v>1037.79</v>
      </c>
      <c r="N1023" s="251">
        <f>SUBTOTAL(9,N1020:N1022)</f>
        <v>2073.4600000000005</v>
      </c>
      <c r="O1023" s="223"/>
      <c r="P1023" s="210"/>
      <c r="Q1023" s="210" t="str">
        <f>VLOOKUP(C1023,'Descriptions Sorted by WO '!$A$5:$S$977,18,FALSE)</f>
        <v>393.1009 (5) (C)</v>
      </c>
      <c r="R1023" s="210"/>
    </row>
    <row r="1024" spans="1:18" ht="45" outlineLevel="2">
      <c r="A1024" s="14" t="s">
        <v>17</v>
      </c>
      <c r="B1024" s="15" t="s">
        <v>932</v>
      </c>
      <c r="C1024" s="15" t="s">
        <v>933</v>
      </c>
      <c r="D1024" s="14" t="s">
        <v>934</v>
      </c>
      <c r="E1024" s="15" t="s">
        <v>925</v>
      </c>
      <c r="F1024" s="14" t="s">
        <v>41</v>
      </c>
      <c r="G1024" s="15" t="s">
        <v>23</v>
      </c>
      <c r="H1024" s="15" t="s">
        <v>1526</v>
      </c>
      <c r="I1024" s="15">
        <v>201409</v>
      </c>
      <c r="J1024" s="16">
        <v>72544.160000000003</v>
      </c>
      <c r="K1024" s="171">
        <f>VLOOKUP(I1024,$T$9:$U$23,2)</f>
        <v>9</v>
      </c>
      <c r="L1024" s="17">
        <v>1.4833299999999999E-3</v>
      </c>
      <c r="M1024" s="16">
        <f>ROUND(J1024*K1024*L1024,2)</f>
        <v>968.46</v>
      </c>
      <c r="N1024" s="16">
        <f>ROUND(J1024*L1024*12,2)</f>
        <v>1291.28</v>
      </c>
      <c r="O1024" s="14"/>
      <c r="P1024" s="210" t="str">
        <f>VLOOKUP(C1024,'WO Descriptions'!$A$5:$D$384,4,FALSE)</f>
        <v>Approved by: Steve Holcomb on 06/25/2014,  (ISRS).  Relocate 8in PBS &amp; PCS with 410'-8in PCS due to public improvement project. City is cutting in a new street on an old vacant right of way. Tie over 3 services.  MODOT permit needed for project.</v>
      </c>
      <c r="Q1024" s="210"/>
      <c r="R1024" s="210"/>
    </row>
    <row r="1025" spans="1:18" ht="45" outlineLevel="2">
      <c r="A1025" s="14" t="s">
        <v>17</v>
      </c>
      <c r="B1025" s="15" t="s">
        <v>932</v>
      </c>
      <c r="C1025" s="15" t="s">
        <v>933</v>
      </c>
      <c r="D1025" s="14" t="s">
        <v>934</v>
      </c>
      <c r="E1025" s="15" t="s">
        <v>925</v>
      </c>
      <c r="F1025" s="14" t="s">
        <v>41</v>
      </c>
      <c r="G1025" s="15" t="s">
        <v>23</v>
      </c>
      <c r="H1025" s="15" t="s">
        <v>1526</v>
      </c>
      <c r="I1025" s="15">
        <v>201410</v>
      </c>
      <c r="J1025" s="16">
        <v>163.34</v>
      </c>
      <c r="K1025" s="171">
        <f>VLOOKUP(I1025,$T$9:$U$23,2)</f>
        <v>8</v>
      </c>
      <c r="L1025" s="17">
        <v>1.4833299999999999E-3</v>
      </c>
      <c r="M1025" s="16">
        <f>ROUND(J1025*K1025*L1025,2)</f>
        <v>1.94</v>
      </c>
      <c r="N1025" s="16">
        <f>ROUND(J1025*L1025*12,2)</f>
        <v>2.91</v>
      </c>
      <c r="O1025" s="14"/>
      <c r="P1025" s="210" t="str">
        <f>VLOOKUP(C1025,'WO Descriptions'!$A$5:$D$384,4,FALSE)</f>
        <v>Approved by: Steve Holcomb on 06/25/2014,  (ISRS).  Relocate 8in PBS &amp; PCS with 410'-8in PCS due to public improvement project. City is cutting in a new street on an old vacant right of way. Tie over 3 services.  MODOT permit needed for project.</v>
      </c>
      <c r="Q1025" s="210"/>
      <c r="R1025" s="210"/>
    </row>
    <row r="1026" spans="1:18" outlineLevel="1">
      <c r="A1026" s="223"/>
      <c r="B1026" s="250"/>
      <c r="C1026" s="254" t="s">
        <v>2051</v>
      </c>
      <c r="D1026" s="223"/>
      <c r="E1026" s="250"/>
      <c r="F1026" s="223"/>
      <c r="G1026" s="250"/>
      <c r="H1026" s="250"/>
      <c r="I1026" s="250"/>
      <c r="J1026" s="251">
        <f>SUBTOTAL(9,J1024:J1025)</f>
        <v>72707.5</v>
      </c>
      <c r="K1026" s="252"/>
      <c r="L1026" s="253"/>
      <c r="M1026" s="251">
        <f>SUBTOTAL(9,M1024:M1025)</f>
        <v>970.40000000000009</v>
      </c>
      <c r="N1026" s="251">
        <f>SUBTOTAL(9,N1024:N1025)</f>
        <v>1294.19</v>
      </c>
      <c r="O1026" s="223"/>
      <c r="P1026" s="210"/>
      <c r="Q1026" s="210" t="str">
        <f>VLOOKUP(C1026,'Descriptions Sorted by WO '!$A$5:$S$977,18,FALSE)</f>
        <v>393.1009 (5) (C)</v>
      </c>
      <c r="R1026" s="210"/>
    </row>
    <row r="1027" spans="1:18" ht="75" outlineLevel="2">
      <c r="A1027" s="14" t="s">
        <v>17</v>
      </c>
      <c r="B1027" s="15" t="s">
        <v>935</v>
      </c>
      <c r="C1027" s="15" t="s">
        <v>936</v>
      </c>
      <c r="D1027" s="14" t="s">
        <v>937</v>
      </c>
      <c r="E1027" s="15" t="s">
        <v>53</v>
      </c>
      <c r="F1027" s="14" t="s">
        <v>41</v>
      </c>
      <c r="G1027" s="15" t="s">
        <v>23</v>
      </c>
      <c r="H1027" s="15" t="s">
        <v>1526</v>
      </c>
      <c r="I1027" s="15">
        <v>201409</v>
      </c>
      <c r="J1027" s="16">
        <v>319.49</v>
      </c>
      <c r="K1027" s="171">
        <f>VLOOKUP(I1027,$T$9:$U$23,2)</f>
        <v>9</v>
      </c>
      <c r="L1027" s="17">
        <v>1.4833299999999999E-3</v>
      </c>
      <c r="M1027" s="16">
        <f>ROUND(J1027*K1027*L1027,2)</f>
        <v>4.2699999999999996</v>
      </c>
      <c r="N1027" s="16">
        <f>ROUND(J1027*L1027*12,2)</f>
        <v>5.69</v>
      </c>
      <c r="O1027" s="14"/>
      <c r="P1027" s="210" t="str">
        <f>VLOOKUP(C1027,'WO Descriptions'!$A$5:$D$384,4,FALSE)</f>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
      <c r="Q1027" s="210"/>
      <c r="R1027" s="210"/>
    </row>
    <row r="1028" spans="1:18" outlineLevel="1">
      <c r="A1028" s="223"/>
      <c r="B1028" s="250"/>
      <c r="C1028" s="254" t="s">
        <v>2052</v>
      </c>
      <c r="D1028" s="223"/>
      <c r="E1028" s="250"/>
      <c r="F1028" s="223"/>
      <c r="G1028" s="250"/>
      <c r="H1028" s="250"/>
      <c r="I1028" s="250"/>
      <c r="J1028" s="251">
        <f>SUBTOTAL(9,J1027:J1027)</f>
        <v>319.49</v>
      </c>
      <c r="K1028" s="252"/>
      <c r="L1028" s="253"/>
      <c r="M1028" s="251">
        <f>SUBTOTAL(9,M1027:M1027)</f>
        <v>4.2699999999999996</v>
      </c>
      <c r="N1028" s="251">
        <f>SUBTOTAL(9,N1027:N1027)</f>
        <v>5.69</v>
      </c>
      <c r="O1028" s="223"/>
      <c r="P1028" s="210"/>
      <c r="Q1028" s="210" t="str">
        <f>VLOOKUP(C1028,'Descriptions Sorted by WO '!$A$5:$S$977,18,FALSE)</f>
        <v>393.1009 (5) (C)</v>
      </c>
      <c r="R1028" s="210"/>
    </row>
    <row r="1029" spans="1:18" ht="30" outlineLevel="2">
      <c r="A1029" s="14" t="s">
        <v>54</v>
      </c>
      <c r="B1029" s="15" t="s">
        <v>938</v>
      </c>
      <c r="C1029" s="15" t="s">
        <v>939</v>
      </c>
      <c r="D1029" s="14" t="s">
        <v>940</v>
      </c>
      <c r="E1029" s="15" t="s">
        <v>141</v>
      </c>
      <c r="F1029" s="14" t="s">
        <v>142</v>
      </c>
      <c r="G1029" s="15" t="s">
        <v>23</v>
      </c>
      <c r="H1029" s="15" t="s">
        <v>1525</v>
      </c>
      <c r="I1029" s="15">
        <v>201409</v>
      </c>
      <c r="J1029" s="16">
        <v>32210.09</v>
      </c>
      <c r="K1029" s="171">
        <f t="shared" ref="K1029:K1034" si="114">VLOOKUP(I1029,$T$9:$U$23,2)</f>
        <v>9</v>
      </c>
      <c r="L1029" s="17">
        <v>1.4833299999999999E-3</v>
      </c>
      <c r="M1029" s="16">
        <f t="shared" ref="M1029:M1034" si="115">ROUND(J1029*K1029*L1029,2)</f>
        <v>430</v>
      </c>
      <c r="N1029" s="16">
        <f t="shared" ref="N1029:N1034" si="116">ROUND(J1029*L1029*12,2)</f>
        <v>573.34</v>
      </c>
      <c r="O1029" s="14"/>
      <c r="P1029" s="210" t="str">
        <f>VLOOKUP(C1029,'WO Descriptions'!$A$5:$D$384,4,FALSE)</f>
        <v>Approved by: Steve Holcomb on 06/30/2014,  Replace 8'' CI WITH 6'' PE DUE TO LEAKS. PRESSURE SYSTEM C-01</v>
      </c>
      <c r="Q1029" s="210"/>
      <c r="R1029" s="210"/>
    </row>
    <row r="1030" spans="1:18" ht="30" outlineLevel="2">
      <c r="A1030" s="14" t="s">
        <v>54</v>
      </c>
      <c r="B1030" s="15" t="s">
        <v>938</v>
      </c>
      <c r="C1030" s="15" t="s">
        <v>939</v>
      </c>
      <c r="D1030" s="14" t="s">
        <v>940</v>
      </c>
      <c r="E1030" s="15" t="s">
        <v>141</v>
      </c>
      <c r="F1030" s="14" t="s">
        <v>142</v>
      </c>
      <c r="G1030" s="15" t="s">
        <v>23</v>
      </c>
      <c r="H1030" s="15" t="s">
        <v>1525</v>
      </c>
      <c r="I1030" s="15">
        <v>201410</v>
      </c>
      <c r="J1030" s="16">
        <v>9145.27</v>
      </c>
      <c r="K1030" s="171">
        <f t="shared" si="114"/>
        <v>8</v>
      </c>
      <c r="L1030" s="17">
        <v>1.4833299999999999E-3</v>
      </c>
      <c r="M1030" s="16">
        <f t="shared" si="115"/>
        <v>108.52</v>
      </c>
      <c r="N1030" s="16">
        <f t="shared" si="116"/>
        <v>162.79</v>
      </c>
      <c r="O1030" s="14"/>
      <c r="P1030" s="210" t="str">
        <f>VLOOKUP(C1030,'WO Descriptions'!$A$5:$D$384,4,FALSE)</f>
        <v>Approved by: Steve Holcomb on 06/30/2014,  Replace 8'' CI WITH 6'' PE DUE TO LEAKS. PRESSURE SYSTEM C-01</v>
      </c>
      <c r="Q1030" s="210"/>
      <c r="R1030" s="210"/>
    </row>
    <row r="1031" spans="1:18" ht="30" outlineLevel="2">
      <c r="A1031" s="14" t="s">
        <v>54</v>
      </c>
      <c r="B1031" s="15" t="s">
        <v>938</v>
      </c>
      <c r="C1031" s="15" t="s">
        <v>939</v>
      </c>
      <c r="D1031" s="14" t="s">
        <v>940</v>
      </c>
      <c r="E1031" s="15" t="s">
        <v>141</v>
      </c>
      <c r="F1031" s="14" t="s">
        <v>142</v>
      </c>
      <c r="G1031" s="15" t="s">
        <v>23</v>
      </c>
      <c r="H1031" s="15" t="s">
        <v>1525</v>
      </c>
      <c r="I1031" s="15">
        <v>201411</v>
      </c>
      <c r="J1031" s="16">
        <v>-767.04</v>
      </c>
      <c r="K1031" s="171">
        <f t="shared" si="114"/>
        <v>7</v>
      </c>
      <c r="L1031" s="17">
        <v>1.4833299999999999E-3</v>
      </c>
      <c r="M1031" s="16">
        <f t="shared" si="115"/>
        <v>-7.96</v>
      </c>
      <c r="N1031" s="16">
        <f t="shared" si="116"/>
        <v>-13.65</v>
      </c>
      <c r="O1031" s="14"/>
      <c r="P1031" s="210" t="str">
        <f>VLOOKUP(C1031,'WO Descriptions'!$A$5:$D$384,4,FALSE)</f>
        <v>Approved by: Steve Holcomb on 06/30/2014,  Replace 8'' CI WITH 6'' PE DUE TO LEAKS. PRESSURE SYSTEM C-01</v>
      </c>
      <c r="Q1031" s="210"/>
      <c r="R1031" s="210"/>
    </row>
    <row r="1032" spans="1:18" ht="30" outlineLevel="2">
      <c r="A1032" s="14" t="s">
        <v>54</v>
      </c>
      <c r="B1032" s="15" t="s">
        <v>938</v>
      </c>
      <c r="C1032" s="15" t="s">
        <v>939</v>
      </c>
      <c r="D1032" s="14" t="s">
        <v>940</v>
      </c>
      <c r="E1032" s="15" t="s">
        <v>141</v>
      </c>
      <c r="F1032" s="14" t="s">
        <v>142</v>
      </c>
      <c r="G1032" s="15" t="s">
        <v>23</v>
      </c>
      <c r="H1032" s="15" t="s">
        <v>1525</v>
      </c>
      <c r="I1032" s="15">
        <v>201412</v>
      </c>
      <c r="J1032" s="16">
        <v>-683.61</v>
      </c>
      <c r="K1032" s="171">
        <f t="shared" si="114"/>
        <v>6</v>
      </c>
      <c r="L1032" s="17">
        <v>1.4833299999999999E-3</v>
      </c>
      <c r="M1032" s="16">
        <f t="shared" si="115"/>
        <v>-6.08</v>
      </c>
      <c r="N1032" s="16">
        <f t="shared" si="116"/>
        <v>-12.17</v>
      </c>
      <c r="O1032" s="14"/>
      <c r="P1032" s="210" t="str">
        <f>VLOOKUP(C1032,'WO Descriptions'!$A$5:$D$384,4,FALSE)</f>
        <v>Approved by: Steve Holcomb on 06/30/2014,  Replace 8'' CI WITH 6'' PE DUE TO LEAKS. PRESSURE SYSTEM C-01</v>
      </c>
      <c r="Q1032" s="210"/>
      <c r="R1032" s="210"/>
    </row>
    <row r="1033" spans="1:18" ht="30" outlineLevel="2">
      <c r="A1033" s="14" t="s">
        <v>54</v>
      </c>
      <c r="B1033" s="15" t="s">
        <v>938</v>
      </c>
      <c r="C1033" s="15" t="s">
        <v>939</v>
      </c>
      <c r="D1033" s="14" t="s">
        <v>940</v>
      </c>
      <c r="E1033" s="15" t="s">
        <v>141</v>
      </c>
      <c r="F1033" s="14" t="s">
        <v>142</v>
      </c>
      <c r="G1033" s="15" t="s">
        <v>23</v>
      </c>
      <c r="H1033" s="15" t="s">
        <v>1525</v>
      </c>
      <c r="I1033" s="15">
        <v>201501</v>
      </c>
      <c r="J1033" s="16">
        <v>-2.04</v>
      </c>
      <c r="K1033" s="171">
        <f t="shared" si="114"/>
        <v>5</v>
      </c>
      <c r="L1033" s="17">
        <v>1.4833299999999999E-3</v>
      </c>
      <c r="M1033" s="16">
        <f t="shared" si="115"/>
        <v>-0.02</v>
      </c>
      <c r="N1033" s="16">
        <f t="shared" si="116"/>
        <v>-0.04</v>
      </c>
      <c r="O1033" s="14"/>
      <c r="P1033" s="210" t="str">
        <f>VLOOKUP(C1033,'WO Descriptions'!$A$5:$D$384,4,FALSE)</f>
        <v>Approved by: Steve Holcomb on 06/30/2014,  Replace 8'' CI WITH 6'' PE DUE TO LEAKS. PRESSURE SYSTEM C-01</v>
      </c>
      <c r="Q1033" s="210"/>
      <c r="R1033" s="210"/>
    </row>
    <row r="1034" spans="1:18" ht="30" outlineLevel="2">
      <c r="A1034" s="14" t="s">
        <v>54</v>
      </c>
      <c r="B1034" s="15" t="s">
        <v>938</v>
      </c>
      <c r="C1034" s="15" t="s">
        <v>939</v>
      </c>
      <c r="D1034" s="14" t="s">
        <v>940</v>
      </c>
      <c r="E1034" s="15" t="s">
        <v>141</v>
      </c>
      <c r="F1034" s="14" t="s">
        <v>142</v>
      </c>
      <c r="G1034" s="15" t="s">
        <v>23</v>
      </c>
      <c r="H1034" s="15" t="s">
        <v>1525</v>
      </c>
      <c r="I1034" s="15">
        <v>201502</v>
      </c>
      <c r="J1034" s="16">
        <v>-64.540000000000006</v>
      </c>
      <c r="K1034" s="171">
        <f t="shared" si="114"/>
        <v>4</v>
      </c>
      <c r="L1034" s="17">
        <v>1.4833299999999999E-3</v>
      </c>
      <c r="M1034" s="16">
        <f t="shared" si="115"/>
        <v>-0.38</v>
      </c>
      <c r="N1034" s="16">
        <f t="shared" si="116"/>
        <v>-1.1499999999999999</v>
      </c>
      <c r="O1034" s="14"/>
      <c r="P1034" s="210" t="str">
        <f>VLOOKUP(C1034,'WO Descriptions'!$A$5:$D$384,4,FALSE)</f>
        <v>Approved by: Steve Holcomb on 06/30/2014,  Replace 8'' CI WITH 6'' PE DUE TO LEAKS. PRESSURE SYSTEM C-01</v>
      </c>
      <c r="Q1034" s="210"/>
      <c r="R1034" s="210"/>
    </row>
    <row r="1035" spans="1:18" outlineLevel="1">
      <c r="A1035" s="223"/>
      <c r="B1035" s="250"/>
      <c r="C1035" s="254" t="s">
        <v>2053</v>
      </c>
      <c r="D1035" s="223"/>
      <c r="E1035" s="250"/>
      <c r="F1035" s="223"/>
      <c r="G1035" s="250"/>
      <c r="H1035" s="250"/>
      <c r="I1035" s="250"/>
      <c r="J1035" s="251">
        <f>SUBTOTAL(9,J1029:J1034)</f>
        <v>39838.129999999997</v>
      </c>
      <c r="K1035" s="252"/>
      <c r="L1035" s="253"/>
      <c r="M1035" s="251">
        <f>SUBTOTAL(9,M1029:M1034)</f>
        <v>524.07999999999993</v>
      </c>
      <c r="N1035" s="251">
        <f>SUBTOTAL(9,N1029:N1034)</f>
        <v>709.12000000000012</v>
      </c>
      <c r="O1035" s="223"/>
      <c r="P1035" s="210"/>
      <c r="Q1035" s="210" t="str">
        <f>VLOOKUP(C1035,'Descriptions Sorted by WO '!$A$5:$S$977,18,FALSE)</f>
        <v>393.1009 (5) (a) (b)</v>
      </c>
      <c r="R1035" s="210" t="str">
        <f>VLOOKUP(C1035,'Descriptions Sorted by WO '!$A$5:$S$977,19,FALSE)</f>
        <v>A,B,C,D,I</v>
      </c>
    </row>
    <row r="1036" spans="1:18" ht="45" outlineLevel="2">
      <c r="A1036" s="14" t="s">
        <v>66</v>
      </c>
      <c r="B1036" s="15" t="s">
        <v>941</v>
      </c>
      <c r="C1036" s="15" t="s">
        <v>942</v>
      </c>
      <c r="D1036" s="14" t="s">
        <v>943</v>
      </c>
      <c r="E1036" s="15" t="s">
        <v>369</v>
      </c>
      <c r="F1036" s="14" t="s">
        <v>41</v>
      </c>
      <c r="G1036" s="15" t="s">
        <v>23</v>
      </c>
      <c r="H1036" s="15" t="s">
        <v>1526</v>
      </c>
      <c r="I1036" s="15">
        <v>201409</v>
      </c>
      <c r="J1036" s="16">
        <v>-49.67</v>
      </c>
      <c r="K1036" s="171">
        <f>VLOOKUP(I1036,$T$9:$U$23,2)</f>
        <v>9</v>
      </c>
      <c r="L1036" s="17">
        <v>2.23333E-3</v>
      </c>
      <c r="M1036" s="16">
        <f>ROUND(J1036*K1036*L1036,2)</f>
        <v>-1</v>
      </c>
      <c r="N1036" s="16">
        <f>ROUND(J1036*L1036*12,2)</f>
        <v>-1.33</v>
      </c>
      <c r="O1036" s="14"/>
      <c r="P1036" s="210" t="str">
        <f>VLOOKUP(C1036,'WO Descriptions'!$A$5:$D$384,4,FALSE)</f>
        <v>Approved by: Ralph Janes on 06/23/2014,  Relocate and retire 120' - 2" pe service line (work order 05-8339) by installing 135' - 2" pe service line to allow the Holden School District to build a new Childhood Development Center.</v>
      </c>
      <c r="Q1036" s="210"/>
      <c r="R1036" s="210"/>
    </row>
    <row r="1037" spans="1:18" outlineLevel="1">
      <c r="A1037" s="223"/>
      <c r="B1037" s="250"/>
      <c r="C1037" s="254" t="s">
        <v>2054</v>
      </c>
      <c r="D1037" s="223"/>
      <c r="E1037" s="250"/>
      <c r="F1037" s="223"/>
      <c r="G1037" s="250"/>
      <c r="H1037" s="250"/>
      <c r="I1037" s="250"/>
      <c r="J1037" s="251">
        <f>SUBTOTAL(9,J1036:J1036)</f>
        <v>-49.67</v>
      </c>
      <c r="K1037" s="252"/>
      <c r="L1037" s="253"/>
      <c r="M1037" s="251">
        <f>SUBTOTAL(9,M1036:M1036)</f>
        <v>-1</v>
      </c>
      <c r="N1037" s="251">
        <f>SUBTOTAL(9,N1036:N1036)</f>
        <v>-1.33</v>
      </c>
      <c r="O1037" s="223"/>
      <c r="P1037" s="210"/>
      <c r="Q1037" s="210" t="str">
        <f>VLOOKUP(C1037,'Descriptions Sorted by WO '!$A$5:$S$977,18,FALSE)</f>
        <v>393.1009 (5) (C)</v>
      </c>
      <c r="R1037" s="210"/>
    </row>
    <row r="1038" spans="1:18" outlineLevel="2">
      <c r="A1038" s="14" t="s">
        <v>54</v>
      </c>
      <c r="B1038" s="15" t="s">
        <v>2191</v>
      </c>
      <c r="C1038" s="15" t="s">
        <v>2192</v>
      </c>
      <c r="D1038" s="14" t="s">
        <v>2193</v>
      </c>
      <c r="E1038" s="15" t="s">
        <v>45</v>
      </c>
      <c r="F1038" s="14" t="s">
        <v>22</v>
      </c>
      <c r="G1038" s="15" t="s">
        <v>23</v>
      </c>
      <c r="H1038" s="15" t="s">
        <v>1525</v>
      </c>
      <c r="I1038" s="15">
        <v>201501</v>
      </c>
      <c r="J1038" s="16">
        <v>2643.04</v>
      </c>
      <c r="K1038" s="171">
        <f>VLOOKUP(I1038,$T$9:$U$23,2)</f>
        <v>5</v>
      </c>
      <c r="L1038" s="17">
        <v>1.4833299999999999E-3</v>
      </c>
      <c r="M1038" s="16">
        <f>ROUND(J1038*K1038*L1038,2)</f>
        <v>19.600000000000001</v>
      </c>
      <c r="N1038" s="16">
        <f>ROUND(J1038*L1038*12,2)</f>
        <v>47.05</v>
      </c>
      <c r="O1038" s="14"/>
      <c r="P1038" s="210" t="e">
        <f>VLOOKUP(C1038,'WO Descriptions'!$A$5:$D$384,4,FALSE)</f>
        <v>#N/A</v>
      </c>
      <c r="Q1038" s="210"/>
      <c r="R1038" s="210"/>
    </row>
    <row r="1039" spans="1:18" outlineLevel="2">
      <c r="A1039" s="14" t="s">
        <v>54</v>
      </c>
      <c r="B1039" s="15" t="s">
        <v>2191</v>
      </c>
      <c r="C1039" s="15" t="s">
        <v>2192</v>
      </c>
      <c r="D1039" s="14" t="s">
        <v>2193</v>
      </c>
      <c r="E1039" s="15" t="s">
        <v>45</v>
      </c>
      <c r="F1039" s="14" t="s">
        <v>22</v>
      </c>
      <c r="G1039" s="15" t="s">
        <v>23</v>
      </c>
      <c r="H1039" s="15" t="s">
        <v>1525</v>
      </c>
      <c r="I1039" s="15">
        <v>201502</v>
      </c>
      <c r="J1039" s="16">
        <v>-99.33</v>
      </c>
      <c r="K1039" s="171">
        <f>VLOOKUP(I1039,$T$9:$U$23,2)</f>
        <v>4</v>
      </c>
      <c r="L1039" s="17">
        <v>1.4833299999999999E-3</v>
      </c>
      <c r="M1039" s="16">
        <f>ROUND(J1039*K1039*L1039,2)</f>
        <v>-0.59</v>
      </c>
      <c r="N1039" s="16">
        <f>ROUND(J1039*L1039*12,2)</f>
        <v>-1.77</v>
      </c>
      <c r="O1039" s="14"/>
      <c r="P1039" s="210" t="e">
        <f>VLOOKUP(C1039,'WO Descriptions'!$A$5:$D$384,4,FALSE)</f>
        <v>#N/A</v>
      </c>
      <c r="Q1039" s="210"/>
      <c r="R1039" s="210"/>
    </row>
    <row r="1040" spans="1:18" outlineLevel="1">
      <c r="A1040" s="223"/>
      <c r="B1040" s="250"/>
      <c r="C1040" s="254" t="s">
        <v>2327</v>
      </c>
      <c r="D1040" s="223"/>
      <c r="E1040" s="250"/>
      <c r="F1040" s="223"/>
      <c r="G1040" s="250"/>
      <c r="H1040" s="250"/>
      <c r="I1040" s="250"/>
      <c r="J1040" s="251">
        <f>SUBTOTAL(9,J1038:J1039)</f>
        <v>2543.71</v>
      </c>
      <c r="K1040" s="252"/>
      <c r="L1040" s="253"/>
      <c r="M1040" s="251">
        <f>SUBTOTAL(9,M1038:M1039)</f>
        <v>19.010000000000002</v>
      </c>
      <c r="N1040" s="251">
        <f>SUBTOTAL(9,N1038:N1039)</f>
        <v>45.279999999999994</v>
      </c>
      <c r="O1040" s="223"/>
      <c r="P1040" s="210"/>
      <c r="Q1040" s="210" t="s">
        <v>2097</v>
      </c>
      <c r="R1040" s="210" t="s">
        <v>2100</v>
      </c>
    </row>
    <row r="1041" spans="1:18" ht="30" outlineLevel="2">
      <c r="A1041" s="14" t="s">
        <v>17</v>
      </c>
      <c r="B1041" s="15" t="s">
        <v>944</v>
      </c>
      <c r="C1041" s="15" t="s">
        <v>945</v>
      </c>
      <c r="D1041" s="14" t="s">
        <v>946</v>
      </c>
      <c r="E1041" s="15" t="s">
        <v>104</v>
      </c>
      <c r="F1041" s="14" t="s">
        <v>41</v>
      </c>
      <c r="G1041" s="15" t="s">
        <v>23</v>
      </c>
      <c r="H1041" s="15" t="s">
        <v>1526</v>
      </c>
      <c r="I1041" s="15">
        <v>201409</v>
      </c>
      <c r="J1041" s="16">
        <v>3364.94</v>
      </c>
      <c r="K1041" s="171">
        <f t="shared" ref="K1041:K1046" si="117">VLOOKUP(I1041,$T$9:$U$23,2)</f>
        <v>9</v>
      </c>
      <c r="L1041" s="17">
        <v>1.4833299999999999E-3</v>
      </c>
      <c r="M1041" s="16">
        <f t="shared" ref="M1041:M1046" si="118">ROUND(J1041*K1041*L1041,2)</f>
        <v>44.92</v>
      </c>
      <c r="N1041" s="16">
        <f t="shared" ref="N1041:N1046" si="119">ROUND(J1041*L1041*12,2)</f>
        <v>59.9</v>
      </c>
      <c r="O1041" s="14"/>
      <c r="P1041" s="210" t="str">
        <f>VLOOKUP(C1041,'WO Descriptions'!$A$5:$D$384,4,FALSE)</f>
        <v>Approved by: Ralph Janes on 07/02/2014,  Relocate and abandon 8' - 6" pcs main (work order 132741) by installing 16' - 6" pcs main to allow City to install new strom sewer structure. (ISRS)</v>
      </c>
      <c r="Q1041" s="210"/>
      <c r="R1041" s="210"/>
    </row>
    <row r="1042" spans="1:18" ht="30" outlineLevel="2">
      <c r="A1042" s="14" t="s">
        <v>17</v>
      </c>
      <c r="B1042" s="15" t="s">
        <v>944</v>
      </c>
      <c r="C1042" s="15" t="s">
        <v>945</v>
      </c>
      <c r="D1042" s="14" t="s">
        <v>946</v>
      </c>
      <c r="E1042" s="15" t="s">
        <v>104</v>
      </c>
      <c r="F1042" s="14" t="s">
        <v>41</v>
      </c>
      <c r="G1042" s="15" t="s">
        <v>23</v>
      </c>
      <c r="H1042" s="15" t="s">
        <v>1526</v>
      </c>
      <c r="I1042" s="15">
        <v>201410</v>
      </c>
      <c r="J1042" s="16">
        <v>904.96</v>
      </c>
      <c r="K1042" s="171">
        <f t="shared" si="117"/>
        <v>8</v>
      </c>
      <c r="L1042" s="17">
        <v>1.4833299999999999E-3</v>
      </c>
      <c r="M1042" s="16">
        <f t="shared" si="118"/>
        <v>10.74</v>
      </c>
      <c r="N1042" s="16">
        <f t="shared" si="119"/>
        <v>16.11</v>
      </c>
      <c r="O1042" s="14"/>
      <c r="P1042" s="210" t="str">
        <f>VLOOKUP(C1042,'WO Descriptions'!$A$5:$D$384,4,FALSE)</f>
        <v>Approved by: Ralph Janes on 07/02/2014,  Relocate and abandon 8' - 6" pcs main (work order 132741) by installing 16' - 6" pcs main to allow City to install new strom sewer structure. (ISRS)</v>
      </c>
      <c r="Q1042" s="210"/>
      <c r="R1042" s="210"/>
    </row>
    <row r="1043" spans="1:18" ht="30" outlineLevel="2">
      <c r="A1043" s="14" t="s">
        <v>17</v>
      </c>
      <c r="B1043" s="15" t="s">
        <v>944</v>
      </c>
      <c r="C1043" s="15" t="s">
        <v>945</v>
      </c>
      <c r="D1043" s="14" t="s">
        <v>946</v>
      </c>
      <c r="E1043" s="15" t="s">
        <v>104</v>
      </c>
      <c r="F1043" s="14" t="s">
        <v>41</v>
      </c>
      <c r="G1043" s="15" t="s">
        <v>23</v>
      </c>
      <c r="H1043" s="15" t="s">
        <v>1526</v>
      </c>
      <c r="I1043" s="15">
        <v>201411</v>
      </c>
      <c r="J1043" s="16">
        <v>-42.39</v>
      </c>
      <c r="K1043" s="171">
        <f t="shared" si="117"/>
        <v>7</v>
      </c>
      <c r="L1043" s="17">
        <v>1.4833299999999999E-3</v>
      </c>
      <c r="M1043" s="16">
        <f t="shared" si="118"/>
        <v>-0.44</v>
      </c>
      <c r="N1043" s="16">
        <f t="shared" si="119"/>
        <v>-0.75</v>
      </c>
      <c r="O1043" s="14"/>
      <c r="P1043" s="210" t="str">
        <f>VLOOKUP(C1043,'WO Descriptions'!$A$5:$D$384,4,FALSE)</f>
        <v>Approved by: Ralph Janes on 07/02/2014,  Relocate and abandon 8' - 6" pcs main (work order 132741) by installing 16' - 6" pcs main to allow City to install new strom sewer structure. (ISRS)</v>
      </c>
      <c r="Q1043" s="210"/>
      <c r="R1043" s="210"/>
    </row>
    <row r="1044" spans="1:18" ht="30" outlineLevel="2">
      <c r="A1044" s="14" t="s">
        <v>17</v>
      </c>
      <c r="B1044" s="15" t="s">
        <v>944</v>
      </c>
      <c r="C1044" s="15" t="s">
        <v>945</v>
      </c>
      <c r="D1044" s="14" t="s">
        <v>946</v>
      </c>
      <c r="E1044" s="15" t="s">
        <v>104</v>
      </c>
      <c r="F1044" s="14" t="s">
        <v>41</v>
      </c>
      <c r="G1044" s="15" t="s">
        <v>23</v>
      </c>
      <c r="H1044" s="15" t="s">
        <v>1526</v>
      </c>
      <c r="I1044" s="15">
        <v>201412</v>
      </c>
      <c r="J1044" s="16">
        <v>-69.72</v>
      </c>
      <c r="K1044" s="171">
        <f t="shared" si="117"/>
        <v>6</v>
      </c>
      <c r="L1044" s="17">
        <v>1.4833299999999999E-3</v>
      </c>
      <c r="M1044" s="16">
        <f t="shared" si="118"/>
        <v>-0.62</v>
      </c>
      <c r="N1044" s="16">
        <f t="shared" si="119"/>
        <v>-1.24</v>
      </c>
      <c r="O1044" s="14"/>
      <c r="P1044" s="210" t="str">
        <f>VLOOKUP(C1044,'WO Descriptions'!$A$5:$D$384,4,FALSE)</f>
        <v>Approved by: Ralph Janes on 07/02/2014,  Relocate and abandon 8' - 6" pcs main (work order 132741) by installing 16' - 6" pcs main to allow City to install new strom sewer structure. (ISRS)</v>
      </c>
      <c r="Q1044" s="210"/>
      <c r="R1044" s="210"/>
    </row>
    <row r="1045" spans="1:18" ht="30" outlineLevel="2">
      <c r="A1045" s="14" t="s">
        <v>17</v>
      </c>
      <c r="B1045" s="15" t="s">
        <v>944</v>
      </c>
      <c r="C1045" s="15" t="s">
        <v>945</v>
      </c>
      <c r="D1045" s="14" t="s">
        <v>946</v>
      </c>
      <c r="E1045" s="15" t="s">
        <v>104</v>
      </c>
      <c r="F1045" s="14" t="s">
        <v>41</v>
      </c>
      <c r="G1045" s="15" t="s">
        <v>23</v>
      </c>
      <c r="H1045" s="15" t="s">
        <v>1526</v>
      </c>
      <c r="I1045" s="15">
        <v>201501</v>
      </c>
      <c r="J1045" s="16">
        <v>-1.72</v>
      </c>
      <c r="K1045" s="171">
        <f t="shared" si="117"/>
        <v>5</v>
      </c>
      <c r="L1045" s="17">
        <v>1.4833299999999999E-3</v>
      </c>
      <c r="M1045" s="16">
        <f t="shared" si="118"/>
        <v>-0.01</v>
      </c>
      <c r="N1045" s="16">
        <f t="shared" si="119"/>
        <v>-0.03</v>
      </c>
      <c r="O1045" s="14"/>
      <c r="P1045" s="210" t="str">
        <f>VLOOKUP(C1045,'WO Descriptions'!$A$5:$D$384,4,FALSE)</f>
        <v>Approved by: Ralph Janes on 07/02/2014,  Relocate and abandon 8' - 6" pcs main (work order 132741) by installing 16' - 6" pcs main to allow City to install new strom sewer structure. (ISRS)</v>
      </c>
      <c r="Q1045" s="210"/>
      <c r="R1045" s="210"/>
    </row>
    <row r="1046" spans="1:18" ht="30" outlineLevel="2">
      <c r="A1046" s="14" t="s">
        <v>17</v>
      </c>
      <c r="B1046" s="15" t="s">
        <v>944</v>
      </c>
      <c r="C1046" s="15" t="s">
        <v>945</v>
      </c>
      <c r="D1046" s="14" t="s">
        <v>946</v>
      </c>
      <c r="E1046" s="15" t="s">
        <v>104</v>
      </c>
      <c r="F1046" s="14" t="s">
        <v>41</v>
      </c>
      <c r="G1046" s="15" t="s">
        <v>23</v>
      </c>
      <c r="H1046" s="15" t="s">
        <v>1526</v>
      </c>
      <c r="I1046" s="15">
        <v>201502</v>
      </c>
      <c r="J1046" s="16">
        <v>-6.95</v>
      </c>
      <c r="K1046" s="171">
        <f t="shared" si="117"/>
        <v>4</v>
      </c>
      <c r="L1046" s="17">
        <v>1.4833299999999999E-3</v>
      </c>
      <c r="M1046" s="16">
        <f t="shared" si="118"/>
        <v>-0.04</v>
      </c>
      <c r="N1046" s="16">
        <f t="shared" si="119"/>
        <v>-0.12</v>
      </c>
      <c r="O1046" s="14"/>
      <c r="P1046" s="210" t="str">
        <f>VLOOKUP(C1046,'WO Descriptions'!$A$5:$D$384,4,FALSE)</f>
        <v>Approved by: Ralph Janes on 07/02/2014,  Relocate and abandon 8' - 6" pcs main (work order 132741) by installing 16' - 6" pcs main to allow City to install new strom sewer structure. (ISRS)</v>
      </c>
      <c r="Q1046" s="210"/>
      <c r="R1046" s="210"/>
    </row>
    <row r="1047" spans="1:18" outlineLevel="1">
      <c r="A1047" s="223"/>
      <c r="B1047" s="250"/>
      <c r="C1047" s="254" t="s">
        <v>2055</v>
      </c>
      <c r="D1047" s="223"/>
      <c r="E1047" s="250"/>
      <c r="F1047" s="223"/>
      <c r="G1047" s="250"/>
      <c r="H1047" s="250"/>
      <c r="I1047" s="250"/>
      <c r="J1047" s="251">
        <f>SUBTOTAL(9,J1041:J1046)</f>
        <v>4149.119999999999</v>
      </c>
      <c r="K1047" s="252"/>
      <c r="L1047" s="253"/>
      <c r="M1047" s="251">
        <f>SUBTOTAL(9,M1041:M1046)</f>
        <v>54.550000000000011</v>
      </c>
      <c r="N1047" s="251">
        <f>SUBTOTAL(9,N1041:N1046)</f>
        <v>73.86999999999999</v>
      </c>
      <c r="O1047" s="223"/>
      <c r="P1047" s="210"/>
      <c r="Q1047" s="210" t="str">
        <f>VLOOKUP(C1047,'Descriptions Sorted by WO '!$A$5:$S$977,18,FALSE)</f>
        <v>393.1009 (5) (C)</v>
      </c>
      <c r="R1047" s="210"/>
    </row>
    <row r="1048" spans="1:18" ht="75" outlineLevel="2">
      <c r="A1048" s="14" t="s">
        <v>54</v>
      </c>
      <c r="B1048" s="15" t="s">
        <v>947</v>
      </c>
      <c r="C1048" s="15" t="s">
        <v>948</v>
      </c>
      <c r="D1048" s="14" t="s">
        <v>949</v>
      </c>
      <c r="E1048" s="15" t="s">
        <v>141</v>
      </c>
      <c r="F1048" s="14" t="s">
        <v>142</v>
      </c>
      <c r="G1048" s="15" t="s">
        <v>23</v>
      </c>
      <c r="H1048" s="15" t="s">
        <v>1525</v>
      </c>
      <c r="I1048" s="15">
        <v>201410</v>
      </c>
      <c r="J1048" s="16">
        <v>110798.91</v>
      </c>
      <c r="K1048" s="171">
        <f>VLOOKUP(I1048,$T$9:$U$23,2)</f>
        <v>8</v>
      </c>
      <c r="L1048" s="17">
        <v>1.4833299999999999E-3</v>
      </c>
      <c r="M1048" s="16">
        <f>ROUND(J1048*K1048*L1048,2)</f>
        <v>1314.81</v>
      </c>
      <c r="N1048" s="16">
        <f>ROUND(J1048*L1048*12,2)</f>
        <v>1972.22</v>
      </c>
      <c r="O1048" s="14"/>
      <c r="P1048" s="210" t="str">
        <f>VLOOKUP(C1048,'WO Descriptions'!$A$5:$D$384,4,FALSE)</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c r="Q1048" s="210"/>
      <c r="R1048" s="210"/>
    </row>
    <row r="1049" spans="1:18" ht="75" outlineLevel="2">
      <c r="A1049" s="14" t="s">
        <v>54</v>
      </c>
      <c r="B1049" s="15" t="s">
        <v>947</v>
      </c>
      <c r="C1049" s="15" t="s">
        <v>948</v>
      </c>
      <c r="D1049" s="14" t="s">
        <v>949</v>
      </c>
      <c r="E1049" s="15" t="s">
        <v>141</v>
      </c>
      <c r="F1049" s="14" t="s">
        <v>142</v>
      </c>
      <c r="G1049" s="15" t="s">
        <v>23</v>
      </c>
      <c r="H1049" s="15" t="s">
        <v>1525</v>
      </c>
      <c r="I1049" s="15">
        <v>201411</v>
      </c>
      <c r="J1049" s="16">
        <v>88675.88</v>
      </c>
      <c r="K1049" s="171">
        <f>VLOOKUP(I1049,$T$9:$U$23,2)</f>
        <v>7</v>
      </c>
      <c r="L1049" s="17">
        <v>1.4833299999999999E-3</v>
      </c>
      <c r="M1049" s="16">
        <f>ROUND(J1049*K1049*L1049,2)</f>
        <v>920.75</v>
      </c>
      <c r="N1049" s="16">
        <f>ROUND(J1049*L1049*12,2)</f>
        <v>1578.43</v>
      </c>
      <c r="O1049" s="14"/>
      <c r="P1049" s="210" t="str">
        <f>VLOOKUP(C1049,'WO Descriptions'!$A$5:$D$384,4,FALSE)</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c r="Q1049" s="210"/>
      <c r="R1049" s="210"/>
    </row>
    <row r="1050" spans="1:18" ht="75" outlineLevel="2">
      <c r="A1050" s="14" t="s">
        <v>54</v>
      </c>
      <c r="B1050" s="15" t="s">
        <v>947</v>
      </c>
      <c r="C1050" s="15" t="s">
        <v>948</v>
      </c>
      <c r="D1050" s="14" t="s">
        <v>949</v>
      </c>
      <c r="E1050" s="15" t="s">
        <v>141</v>
      </c>
      <c r="F1050" s="14" t="s">
        <v>142</v>
      </c>
      <c r="G1050" s="15" t="s">
        <v>23</v>
      </c>
      <c r="H1050" s="15" t="s">
        <v>1525</v>
      </c>
      <c r="I1050" s="15">
        <v>201412</v>
      </c>
      <c r="J1050" s="16">
        <v>18827.39</v>
      </c>
      <c r="K1050" s="171">
        <f>VLOOKUP(I1050,$T$9:$U$23,2)</f>
        <v>6</v>
      </c>
      <c r="L1050" s="17">
        <v>1.4833299999999999E-3</v>
      </c>
      <c r="M1050" s="16">
        <f>ROUND(J1050*K1050*L1050,2)</f>
        <v>167.56</v>
      </c>
      <c r="N1050" s="16">
        <f>ROUND(J1050*L1050*12,2)</f>
        <v>335.13</v>
      </c>
      <c r="O1050" s="14"/>
      <c r="P1050" s="210" t="str">
        <f>VLOOKUP(C1050,'WO Descriptions'!$A$5:$D$384,4,FALSE)</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c r="Q1050" s="210"/>
      <c r="R1050" s="210"/>
    </row>
    <row r="1051" spans="1:18" ht="75" outlineLevel="2">
      <c r="A1051" s="14" t="s">
        <v>54</v>
      </c>
      <c r="B1051" s="15" t="s">
        <v>947</v>
      </c>
      <c r="C1051" s="15" t="s">
        <v>948</v>
      </c>
      <c r="D1051" s="14" t="s">
        <v>949</v>
      </c>
      <c r="E1051" s="15" t="s">
        <v>141</v>
      </c>
      <c r="F1051" s="14" t="s">
        <v>142</v>
      </c>
      <c r="G1051" s="15" t="s">
        <v>23</v>
      </c>
      <c r="H1051" s="15" t="s">
        <v>1525</v>
      </c>
      <c r="I1051" s="15">
        <v>201501</v>
      </c>
      <c r="J1051" s="16">
        <v>-20078.13</v>
      </c>
      <c r="K1051" s="171">
        <f>VLOOKUP(I1051,$T$9:$U$23,2)</f>
        <v>5</v>
      </c>
      <c r="L1051" s="17">
        <v>1.4833299999999999E-3</v>
      </c>
      <c r="M1051" s="16">
        <f>ROUND(J1051*K1051*L1051,2)</f>
        <v>-148.91</v>
      </c>
      <c r="N1051" s="16">
        <f>ROUND(J1051*L1051*12,2)</f>
        <v>-357.39</v>
      </c>
      <c r="O1051" s="14"/>
      <c r="P1051" s="210" t="str">
        <f>VLOOKUP(C1051,'WO Descriptions'!$A$5:$D$384,4,FALSE)</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c r="Q1051" s="210"/>
      <c r="R1051" s="210"/>
    </row>
    <row r="1052" spans="1:18" ht="75" outlineLevel="2">
      <c r="A1052" s="14" t="s">
        <v>54</v>
      </c>
      <c r="B1052" s="15" t="s">
        <v>947</v>
      </c>
      <c r="C1052" s="15" t="s">
        <v>948</v>
      </c>
      <c r="D1052" s="14" t="s">
        <v>949</v>
      </c>
      <c r="E1052" s="15" t="s">
        <v>141</v>
      </c>
      <c r="F1052" s="14" t="s">
        <v>142</v>
      </c>
      <c r="G1052" s="15" t="s">
        <v>23</v>
      </c>
      <c r="H1052" s="15" t="s">
        <v>1525</v>
      </c>
      <c r="I1052" s="15">
        <v>201502</v>
      </c>
      <c r="J1052" s="16">
        <v>-1756.58</v>
      </c>
      <c r="K1052" s="171">
        <f>VLOOKUP(I1052,$T$9:$U$23,2)</f>
        <v>4</v>
      </c>
      <c r="L1052" s="17">
        <v>1.4833299999999999E-3</v>
      </c>
      <c r="M1052" s="16">
        <f>ROUND(J1052*K1052*L1052,2)</f>
        <v>-10.42</v>
      </c>
      <c r="N1052" s="16">
        <f>ROUND(J1052*L1052*12,2)</f>
        <v>-31.27</v>
      </c>
      <c r="O1052" s="14"/>
      <c r="P1052" s="210" t="str">
        <f>VLOOKUP(C1052,'WO Descriptions'!$A$5:$D$384,4,FALSE)</f>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
      <c r="Q1052" s="210"/>
      <c r="R1052" s="210"/>
    </row>
    <row r="1053" spans="1:18" outlineLevel="1">
      <c r="A1053" s="223"/>
      <c r="B1053" s="250"/>
      <c r="C1053" s="254" t="s">
        <v>2056</v>
      </c>
      <c r="D1053" s="223"/>
      <c r="E1053" s="250"/>
      <c r="F1053" s="223"/>
      <c r="G1053" s="250"/>
      <c r="H1053" s="250"/>
      <c r="I1053" s="250"/>
      <c r="J1053" s="251">
        <f>SUBTOTAL(9,J1048:J1052)</f>
        <v>196467.47</v>
      </c>
      <c r="K1053" s="252"/>
      <c r="L1053" s="253"/>
      <c r="M1053" s="251">
        <f>SUBTOTAL(9,M1048:M1052)</f>
        <v>2243.79</v>
      </c>
      <c r="N1053" s="251">
        <f>SUBTOTAL(9,N1048:N1052)</f>
        <v>3497.1200000000003</v>
      </c>
      <c r="O1053" s="223"/>
      <c r="P1053" s="210"/>
      <c r="Q1053" s="210" t="str">
        <f>VLOOKUP(C1053,'Descriptions Sorted by WO '!$A$5:$S$977,18,FALSE)</f>
        <v>393.1009 (5) (a) (b)</v>
      </c>
      <c r="R1053" s="210" t="str">
        <f>VLOOKUP(C1053,'Descriptions Sorted by WO '!$A$5:$S$977,19,FALSE)</f>
        <v>A,B,C,D,I</v>
      </c>
    </row>
    <row r="1054" spans="1:18" ht="45" outlineLevel="2">
      <c r="A1054" s="14" t="s">
        <v>54</v>
      </c>
      <c r="B1054" s="15" t="s">
        <v>950</v>
      </c>
      <c r="C1054" s="15" t="s">
        <v>951</v>
      </c>
      <c r="D1054" s="14" t="s">
        <v>952</v>
      </c>
      <c r="E1054" s="15" t="s">
        <v>141</v>
      </c>
      <c r="F1054" s="14" t="s">
        <v>142</v>
      </c>
      <c r="G1054" s="15" t="s">
        <v>23</v>
      </c>
      <c r="H1054" s="15" t="s">
        <v>1525</v>
      </c>
      <c r="I1054" s="15">
        <v>201409</v>
      </c>
      <c r="J1054" s="16">
        <v>84619.839999999997</v>
      </c>
      <c r="K1054" s="171">
        <f t="shared" ref="K1054:K1059" si="120">VLOOKUP(I1054,$T$9:$U$23,2)</f>
        <v>9</v>
      </c>
      <c r="L1054" s="17">
        <v>1.4833299999999999E-3</v>
      </c>
      <c r="M1054" s="16">
        <f t="shared" ref="M1054:M1059" si="121">ROUND(J1054*K1054*L1054,2)</f>
        <v>1129.67</v>
      </c>
      <c r="N1054" s="16">
        <f t="shared" ref="N1054:N1059" si="122">ROUND(J1054*L1054*12,2)</f>
        <v>1506.23</v>
      </c>
      <c r="O1054" s="14"/>
      <c r="P1054" s="210" t="str">
        <f>VLOOKUP(C1054,'WO Descriptions'!$A$5:$D$384,4,FALSE)</f>
        <v>Approved by: Steve Holcomb on 07/09/2014,  Replace 4'' and 6'' CI main due to graphitization. CI break 12-1018 - 122' NNC of 50th St and 4' EEC of highland. Due 09-28-2014. Pressure System C-001</v>
      </c>
      <c r="Q1054" s="210"/>
      <c r="R1054" s="210"/>
    </row>
    <row r="1055" spans="1:18" ht="45" outlineLevel="2">
      <c r="A1055" s="14" t="s">
        <v>54</v>
      </c>
      <c r="B1055" s="15" t="s">
        <v>950</v>
      </c>
      <c r="C1055" s="15" t="s">
        <v>951</v>
      </c>
      <c r="D1055" s="14" t="s">
        <v>952</v>
      </c>
      <c r="E1055" s="15" t="s">
        <v>141</v>
      </c>
      <c r="F1055" s="14" t="s">
        <v>142</v>
      </c>
      <c r="G1055" s="15" t="s">
        <v>23</v>
      </c>
      <c r="H1055" s="15" t="s">
        <v>1525</v>
      </c>
      <c r="I1055" s="15">
        <v>201410</v>
      </c>
      <c r="J1055" s="16">
        <v>15389.95</v>
      </c>
      <c r="K1055" s="171">
        <f t="shared" si="120"/>
        <v>8</v>
      </c>
      <c r="L1055" s="17">
        <v>1.4833299999999999E-3</v>
      </c>
      <c r="M1055" s="16">
        <f t="shared" si="121"/>
        <v>182.63</v>
      </c>
      <c r="N1055" s="16">
        <f t="shared" si="122"/>
        <v>273.94</v>
      </c>
      <c r="O1055" s="14"/>
      <c r="P1055" s="210" t="str">
        <f>VLOOKUP(C1055,'WO Descriptions'!$A$5:$D$384,4,FALSE)</f>
        <v>Approved by: Steve Holcomb on 07/09/2014,  Replace 4'' and 6'' CI main due to graphitization. CI break 12-1018 - 122' NNC of 50th St and 4' EEC of highland. Due 09-28-2014. Pressure System C-001</v>
      </c>
      <c r="Q1055" s="210"/>
      <c r="R1055" s="210"/>
    </row>
    <row r="1056" spans="1:18" ht="45" outlineLevel="2">
      <c r="A1056" s="14" t="s">
        <v>54</v>
      </c>
      <c r="B1056" s="15" t="s">
        <v>950</v>
      </c>
      <c r="C1056" s="15" t="s">
        <v>951</v>
      </c>
      <c r="D1056" s="14" t="s">
        <v>952</v>
      </c>
      <c r="E1056" s="15" t="s">
        <v>141</v>
      </c>
      <c r="F1056" s="14" t="s">
        <v>142</v>
      </c>
      <c r="G1056" s="15" t="s">
        <v>23</v>
      </c>
      <c r="H1056" s="15" t="s">
        <v>1525</v>
      </c>
      <c r="I1056" s="15">
        <v>201411</v>
      </c>
      <c r="J1056" s="16">
        <v>11910.35</v>
      </c>
      <c r="K1056" s="171">
        <f t="shared" si="120"/>
        <v>7</v>
      </c>
      <c r="L1056" s="17">
        <v>1.4833299999999999E-3</v>
      </c>
      <c r="M1056" s="16">
        <f t="shared" si="121"/>
        <v>123.67</v>
      </c>
      <c r="N1056" s="16">
        <f t="shared" si="122"/>
        <v>212</v>
      </c>
      <c r="O1056" s="14"/>
      <c r="P1056" s="210" t="str">
        <f>VLOOKUP(C1056,'WO Descriptions'!$A$5:$D$384,4,FALSE)</f>
        <v>Approved by: Steve Holcomb on 07/09/2014,  Replace 4'' and 6'' CI main due to graphitization. CI break 12-1018 - 122' NNC of 50th St and 4' EEC of highland. Due 09-28-2014. Pressure System C-001</v>
      </c>
      <c r="Q1056" s="210"/>
      <c r="R1056" s="210"/>
    </row>
    <row r="1057" spans="1:18" ht="45" outlineLevel="2">
      <c r="A1057" s="14" t="s">
        <v>54</v>
      </c>
      <c r="B1057" s="15" t="s">
        <v>950</v>
      </c>
      <c r="C1057" s="15" t="s">
        <v>951</v>
      </c>
      <c r="D1057" s="14" t="s">
        <v>952</v>
      </c>
      <c r="E1057" s="15" t="s">
        <v>141</v>
      </c>
      <c r="F1057" s="14" t="s">
        <v>142</v>
      </c>
      <c r="G1057" s="15" t="s">
        <v>23</v>
      </c>
      <c r="H1057" s="15" t="s">
        <v>1525</v>
      </c>
      <c r="I1057" s="15">
        <v>201412</v>
      </c>
      <c r="J1057" s="16">
        <v>-2384.0100000000002</v>
      </c>
      <c r="K1057" s="171">
        <f t="shared" si="120"/>
        <v>6</v>
      </c>
      <c r="L1057" s="17">
        <v>1.4833299999999999E-3</v>
      </c>
      <c r="M1057" s="16">
        <f t="shared" si="121"/>
        <v>-21.22</v>
      </c>
      <c r="N1057" s="16">
        <f t="shared" si="122"/>
        <v>-42.44</v>
      </c>
      <c r="O1057" s="14"/>
      <c r="P1057" s="210" t="str">
        <f>VLOOKUP(C1057,'WO Descriptions'!$A$5:$D$384,4,FALSE)</f>
        <v>Approved by: Steve Holcomb on 07/09/2014,  Replace 4'' and 6'' CI main due to graphitization. CI break 12-1018 - 122' NNC of 50th St and 4' EEC of highland. Due 09-28-2014. Pressure System C-001</v>
      </c>
      <c r="Q1057" s="210"/>
      <c r="R1057" s="210"/>
    </row>
    <row r="1058" spans="1:18" ht="45" outlineLevel="2">
      <c r="A1058" s="14" t="s">
        <v>54</v>
      </c>
      <c r="B1058" s="15" t="s">
        <v>950</v>
      </c>
      <c r="C1058" s="15" t="s">
        <v>951</v>
      </c>
      <c r="D1058" s="14" t="s">
        <v>952</v>
      </c>
      <c r="E1058" s="15" t="s">
        <v>141</v>
      </c>
      <c r="F1058" s="14" t="s">
        <v>142</v>
      </c>
      <c r="G1058" s="15" t="s">
        <v>23</v>
      </c>
      <c r="H1058" s="15" t="s">
        <v>1525</v>
      </c>
      <c r="I1058" s="15">
        <v>201501</v>
      </c>
      <c r="J1058" s="16">
        <v>234.22</v>
      </c>
      <c r="K1058" s="171">
        <f t="shared" si="120"/>
        <v>5</v>
      </c>
      <c r="L1058" s="17">
        <v>1.4833299999999999E-3</v>
      </c>
      <c r="M1058" s="16">
        <f t="shared" si="121"/>
        <v>1.74</v>
      </c>
      <c r="N1058" s="16">
        <f t="shared" si="122"/>
        <v>4.17</v>
      </c>
      <c r="O1058" s="14"/>
      <c r="P1058" s="210" t="str">
        <f>VLOOKUP(C1058,'WO Descriptions'!$A$5:$D$384,4,FALSE)</f>
        <v>Approved by: Steve Holcomb on 07/09/2014,  Replace 4'' and 6'' CI main due to graphitization. CI break 12-1018 - 122' NNC of 50th St and 4' EEC of highland. Due 09-28-2014. Pressure System C-001</v>
      </c>
      <c r="Q1058" s="210"/>
      <c r="R1058" s="210"/>
    </row>
    <row r="1059" spans="1:18" ht="45" outlineLevel="2">
      <c r="A1059" s="14" t="s">
        <v>54</v>
      </c>
      <c r="B1059" s="15" t="s">
        <v>950</v>
      </c>
      <c r="C1059" s="15" t="s">
        <v>951</v>
      </c>
      <c r="D1059" s="14" t="s">
        <v>952</v>
      </c>
      <c r="E1059" s="15" t="s">
        <v>141</v>
      </c>
      <c r="F1059" s="14" t="s">
        <v>142</v>
      </c>
      <c r="G1059" s="15" t="s">
        <v>23</v>
      </c>
      <c r="H1059" s="15" t="s">
        <v>1525</v>
      </c>
      <c r="I1059" s="15">
        <v>201502</v>
      </c>
      <c r="J1059" s="16">
        <v>-208.11</v>
      </c>
      <c r="K1059" s="171">
        <f t="shared" si="120"/>
        <v>4</v>
      </c>
      <c r="L1059" s="17">
        <v>1.4833299999999999E-3</v>
      </c>
      <c r="M1059" s="16">
        <f t="shared" si="121"/>
        <v>-1.23</v>
      </c>
      <c r="N1059" s="16">
        <f t="shared" si="122"/>
        <v>-3.7</v>
      </c>
      <c r="O1059" s="14"/>
      <c r="P1059" s="210" t="str">
        <f>VLOOKUP(C1059,'WO Descriptions'!$A$5:$D$384,4,FALSE)</f>
        <v>Approved by: Steve Holcomb on 07/09/2014,  Replace 4'' and 6'' CI main due to graphitization. CI break 12-1018 - 122' NNC of 50th St and 4' EEC of highland. Due 09-28-2014. Pressure System C-001</v>
      </c>
      <c r="Q1059" s="210"/>
      <c r="R1059" s="210"/>
    </row>
    <row r="1060" spans="1:18" outlineLevel="1">
      <c r="A1060" s="223"/>
      <c r="B1060" s="250"/>
      <c r="C1060" s="254" t="s">
        <v>2057</v>
      </c>
      <c r="D1060" s="223"/>
      <c r="E1060" s="250"/>
      <c r="F1060" s="223"/>
      <c r="G1060" s="250"/>
      <c r="H1060" s="250"/>
      <c r="I1060" s="250"/>
      <c r="J1060" s="251">
        <f>SUBTOTAL(9,J1054:J1059)</f>
        <v>109562.24000000001</v>
      </c>
      <c r="K1060" s="252"/>
      <c r="L1060" s="253"/>
      <c r="M1060" s="251">
        <f>SUBTOTAL(9,M1054:M1059)</f>
        <v>1415.2600000000002</v>
      </c>
      <c r="N1060" s="251">
        <f>SUBTOTAL(9,N1054:N1059)</f>
        <v>1950.2</v>
      </c>
      <c r="O1060" s="223"/>
      <c r="P1060" s="210"/>
      <c r="Q1060" s="210" t="str">
        <f>VLOOKUP(C1060,'Descriptions Sorted by WO '!$A$5:$S$977,18,FALSE)</f>
        <v>393.1009 (5) (a) (b)</v>
      </c>
      <c r="R1060" s="210" t="str">
        <f>VLOOKUP(C1060,'Descriptions Sorted by WO '!$A$5:$S$977,19,FALSE)</f>
        <v>A,B,C,D,I</v>
      </c>
    </row>
    <row r="1061" spans="1:18" ht="45" outlineLevel="2">
      <c r="A1061" s="14" t="s">
        <v>17</v>
      </c>
      <c r="B1061" s="15" t="s">
        <v>953</v>
      </c>
      <c r="C1061" s="15" t="s">
        <v>954</v>
      </c>
      <c r="D1061" s="14" t="s">
        <v>955</v>
      </c>
      <c r="E1061" s="15" t="s">
        <v>40</v>
      </c>
      <c r="F1061" s="14" t="s">
        <v>41</v>
      </c>
      <c r="G1061" s="15" t="s">
        <v>23</v>
      </c>
      <c r="H1061" s="15" t="s">
        <v>1526</v>
      </c>
      <c r="I1061" s="15">
        <v>201409</v>
      </c>
      <c r="J1061" s="16">
        <v>-925.65</v>
      </c>
      <c r="K1061" s="171">
        <f>VLOOKUP(I1061,$T$9:$U$23,2)</f>
        <v>9</v>
      </c>
      <c r="L1061" s="17">
        <v>1.4833299999999999E-3</v>
      </c>
      <c r="M1061" s="16">
        <f>ROUND(J1061*K1061*L1061,2)</f>
        <v>-12.36</v>
      </c>
      <c r="N1061" s="16">
        <f>ROUND(J1061*L1061*12,2)</f>
        <v>-16.48</v>
      </c>
      <c r="O1061" s="14"/>
      <c r="P1061" s="210" t="str">
        <f>VLOOKUP(C1061,'WO Descriptions'!$A$5:$D$384,4,FALSE)</f>
        <v>Approved by: Kevin Driskell on 07/07/2014,  This work order is due to publice improvement project. Removal and installation of new curb inlet box (conflict is with new larger box). Contact Eric Bachman (913-961-5884) with Mega Ind. before start of project for site visit.</v>
      </c>
      <c r="Q1061" s="210"/>
      <c r="R1061" s="210"/>
    </row>
    <row r="1062" spans="1:18" ht="45" outlineLevel="2">
      <c r="A1062" s="14" t="s">
        <v>17</v>
      </c>
      <c r="B1062" s="15" t="s">
        <v>953</v>
      </c>
      <c r="C1062" s="15" t="s">
        <v>954</v>
      </c>
      <c r="D1062" s="14" t="s">
        <v>955</v>
      </c>
      <c r="E1062" s="15" t="s">
        <v>40</v>
      </c>
      <c r="F1062" s="14" t="s">
        <v>41</v>
      </c>
      <c r="G1062" s="15" t="s">
        <v>23</v>
      </c>
      <c r="H1062" s="15" t="s">
        <v>1526</v>
      </c>
      <c r="I1062" s="15">
        <v>201411</v>
      </c>
      <c r="J1062" s="16">
        <v>0</v>
      </c>
      <c r="K1062" s="171">
        <f>VLOOKUP(I1062,$T$9:$U$23,2)</f>
        <v>7</v>
      </c>
      <c r="L1062" s="17">
        <v>1.4833299999999999E-3</v>
      </c>
      <c r="M1062" s="16">
        <f>ROUND(J1062*K1062*L1062,2)</f>
        <v>0</v>
      </c>
      <c r="N1062" s="16">
        <f>ROUND(J1062*L1062*12,2)</f>
        <v>0</v>
      </c>
      <c r="O1062" s="14"/>
      <c r="P1062" s="210" t="str">
        <f>VLOOKUP(C1062,'WO Descriptions'!$A$5:$D$384,4,FALSE)</f>
        <v>Approved by: Kevin Driskell on 07/07/2014,  This work order is due to publice improvement project. Removal and installation of new curb inlet box (conflict is with new larger box). Contact Eric Bachman (913-961-5884) with Mega Ind. before start of project for site visit.</v>
      </c>
      <c r="Q1062" s="210"/>
      <c r="R1062" s="210"/>
    </row>
    <row r="1063" spans="1:18" ht="45" outlineLevel="2">
      <c r="A1063" s="14" t="s">
        <v>17</v>
      </c>
      <c r="B1063" s="15" t="s">
        <v>953</v>
      </c>
      <c r="C1063" s="15" t="s">
        <v>954</v>
      </c>
      <c r="D1063" s="14" t="s">
        <v>955</v>
      </c>
      <c r="E1063" s="15" t="s">
        <v>40</v>
      </c>
      <c r="F1063" s="14" t="s">
        <v>41</v>
      </c>
      <c r="G1063" s="15" t="s">
        <v>23</v>
      </c>
      <c r="H1063" s="15" t="s">
        <v>1526</v>
      </c>
      <c r="I1063" s="15">
        <v>201412</v>
      </c>
      <c r="J1063" s="16">
        <v>73.510000000000005</v>
      </c>
      <c r="K1063" s="171">
        <f>VLOOKUP(I1063,$T$9:$U$23,2)</f>
        <v>6</v>
      </c>
      <c r="L1063" s="17">
        <v>1.4833299999999999E-3</v>
      </c>
      <c r="M1063" s="16">
        <f>ROUND(J1063*K1063*L1063,2)</f>
        <v>0.65</v>
      </c>
      <c r="N1063" s="16">
        <f>ROUND(J1063*L1063*12,2)</f>
        <v>1.31</v>
      </c>
      <c r="O1063" s="14"/>
      <c r="P1063" s="210" t="str">
        <f>VLOOKUP(C1063,'WO Descriptions'!$A$5:$D$384,4,FALSE)</f>
        <v>Approved by: Kevin Driskell on 07/07/2014,  This work order is due to publice improvement project. Removal and installation of new curb inlet box (conflict is with new larger box). Contact Eric Bachman (913-961-5884) with Mega Ind. before start of project for site visit.</v>
      </c>
      <c r="Q1063" s="210"/>
      <c r="R1063" s="210"/>
    </row>
    <row r="1064" spans="1:18" outlineLevel="1">
      <c r="A1064" s="223"/>
      <c r="B1064" s="250"/>
      <c r="C1064" s="254" t="s">
        <v>2058</v>
      </c>
      <c r="D1064" s="223"/>
      <c r="E1064" s="250"/>
      <c r="F1064" s="223"/>
      <c r="G1064" s="250"/>
      <c r="H1064" s="250"/>
      <c r="I1064" s="250"/>
      <c r="J1064" s="251">
        <f>SUBTOTAL(9,J1061:J1063)</f>
        <v>-852.14</v>
      </c>
      <c r="K1064" s="252"/>
      <c r="L1064" s="253"/>
      <c r="M1064" s="251">
        <f>SUBTOTAL(9,M1061:M1063)</f>
        <v>-11.709999999999999</v>
      </c>
      <c r="N1064" s="251">
        <f>SUBTOTAL(9,N1061:N1063)</f>
        <v>-15.17</v>
      </c>
      <c r="O1064" s="223"/>
      <c r="P1064" s="210"/>
      <c r="Q1064" s="210" t="str">
        <f>VLOOKUP(C1064,'Descriptions Sorted by WO '!$A$5:$S$977,18,FALSE)</f>
        <v>393.1009 (5) (C)</v>
      </c>
      <c r="R1064" s="210"/>
    </row>
    <row r="1065" spans="1:18" ht="30" outlineLevel="2">
      <c r="A1065" s="14" t="s">
        <v>17</v>
      </c>
      <c r="B1065" s="15" t="s">
        <v>956</v>
      </c>
      <c r="C1065" s="15" t="s">
        <v>957</v>
      </c>
      <c r="D1065" s="14" t="s">
        <v>958</v>
      </c>
      <c r="E1065" s="15" t="s">
        <v>40</v>
      </c>
      <c r="F1065" s="14" t="s">
        <v>41</v>
      </c>
      <c r="G1065" s="15" t="s">
        <v>23</v>
      </c>
      <c r="H1065" s="15" t="s">
        <v>1526</v>
      </c>
      <c r="I1065" s="15">
        <v>201409</v>
      </c>
      <c r="J1065" s="16">
        <v>2817.01</v>
      </c>
      <c r="K1065" s="171">
        <f t="shared" ref="K1065:K1070" si="123">VLOOKUP(I1065,$T$9:$U$23,2)</f>
        <v>9</v>
      </c>
      <c r="L1065" s="17">
        <v>1.4833299999999999E-3</v>
      </c>
      <c r="M1065" s="16">
        <f t="shared" ref="M1065:M1070" si="124">ROUND(J1065*K1065*L1065,2)</f>
        <v>37.61</v>
      </c>
      <c r="N1065" s="16">
        <f t="shared" ref="N1065:N1070" si="125">ROUND(J1065*L1065*12,2)</f>
        <v>50.14</v>
      </c>
      <c r="O1065" s="14"/>
      <c r="P1065" s="210" t="str">
        <f>VLOOKUP(C1065,'WO Descriptions'!$A$5:$D$384,4,FALSE)</f>
        <v>Approved by: Kevin Driskell on 07/11/2014,  ISRS Relocate main for public improvement project. Pressure System C-006. Coordinate with Engineering prior to construction.</v>
      </c>
      <c r="Q1065" s="210"/>
      <c r="R1065" s="210"/>
    </row>
    <row r="1066" spans="1:18" ht="30" outlineLevel="2">
      <c r="A1066" s="14" t="s">
        <v>17</v>
      </c>
      <c r="B1066" s="15" t="s">
        <v>956</v>
      </c>
      <c r="C1066" s="15" t="s">
        <v>957</v>
      </c>
      <c r="D1066" s="14" t="s">
        <v>958</v>
      </c>
      <c r="E1066" s="15" t="s">
        <v>40</v>
      </c>
      <c r="F1066" s="14" t="s">
        <v>41</v>
      </c>
      <c r="G1066" s="15" t="s">
        <v>23</v>
      </c>
      <c r="H1066" s="15" t="s">
        <v>1526</v>
      </c>
      <c r="I1066" s="15">
        <v>201410</v>
      </c>
      <c r="J1066" s="16">
        <v>977.06</v>
      </c>
      <c r="K1066" s="171">
        <f t="shared" si="123"/>
        <v>8</v>
      </c>
      <c r="L1066" s="17">
        <v>1.4833299999999999E-3</v>
      </c>
      <c r="M1066" s="16">
        <f t="shared" si="124"/>
        <v>11.59</v>
      </c>
      <c r="N1066" s="16">
        <f t="shared" si="125"/>
        <v>17.39</v>
      </c>
      <c r="O1066" s="14"/>
      <c r="P1066" s="210" t="str">
        <f>VLOOKUP(C1066,'WO Descriptions'!$A$5:$D$384,4,FALSE)</f>
        <v>Approved by: Kevin Driskell on 07/11/2014,  ISRS Relocate main for public improvement project. Pressure System C-006. Coordinate with Engineering prior to construction.</v>
      </c>
      <c r="Q1066" s="210"/>
      <c r="R1066" s="210"/>
    </row>
    <row r="1067" spans="1:18" ht="30" outlineLevel="2">
      <c r="A1067" s="14" t="s">
        <v>17</v>
      </c>
      <c r="B1067" s="15" t="s">
        <v>956</v>
      </c>
      <c r="C1067" s="15" t="s">
        <v>957</v>
      </c>
      <c r="D1067" s="14" t="s">
        <v>958</v>
      </c>
      <c r="E1067" s="15" t="s">
        <v>40</v>
      </c>
      <c r="F1067" s="14" t="s">
        <v>41</v>
      </c>
      <c r="G1067" s="15" t="s">
        <v>23</v>
      </c>
      <c r="H1067" s="15" t="s">
        <v>1526</v>
      </c>
      <c r="I1067" s="15">
        <v>201411</v>
      </c>
      <c r="J1067" s="16">
        <v>-45.74</v>
      </c>
      <c r="K1067" s="171">
        <f t="shared" si="123"/>
        <v>7</v>
      </c>
      <c r="L1067" s="17">
        <v>1.4833299999999999E-3</v>
      </c>
      <c r="M1067" s="16">
        <f t="shared" si="124"/>
        <v>-0.47</v>
      </c>
      <c r="N1067" s="16">
        <f t="shared" si="125"/>
        <v>-0.81</v>
      </c>
      <c r="O1067" s="14"/>
      <c r="P1067" s="210" t="str">
        <f>VLOOKUP(C1067,'WO Descriptions'!$A$5:$D$384,4,FALSE)</f>
        <v>Approved by: Kevin Driskell on 07/11/2014,  ISRS Relocate main for public improvement project. Pressure System C-006. Coordinate with Engineering prior to construction.</v>
      </c>
      <c r="Q1067" s="210"/>
      <c r="R1067" s="210"/>
    </row>
    <row r="1068" spans="1:18" ht="30" outlineLevel="2">
      <c r="A1068" s="14" t="s">
        <v>17</v>
      </c>
      <c r="B1068" s="15" t="s">
        <v>956</v>
      </c>
      <c r="C1068" s="15" t="s">
        <v>957</v>
      </c>
      <c r="D1068" s="14" t="s">
        <v>958</v>
      </c>
      <c r="E1068" s="15" t="s">
        <v>40</v>
      </c>
      <c r="F1068" s="14" t="s">
        <v>41</v>
      </c>
      <c r="G1068" s="15" t="s">
        <v>23</v>
      </c>
      <c r="H1068" s="15" t="s">
        <v>1526</v>
      </c>
      <c r="I1068" s="15">
        <v>201412</v>
      </c>
      <c r="J1068" s="16">
        <v>-75.260000000000005</v>
      </c>
      <c r="K1068" s="171">
        <f t="shared" si="123"/>
        <v>6</v>
      </c>
      <c r="L1068" s="17">
        <v>1.4833299999999999E-3</v>
      </c>
      <c r="M1068" s="16">
        <f t="shared" si="124"/>
        <v>-0.67</v>
      </c>
      <c r="N1068" s="16">
        <f t="shared" si="125"/>
        <v>-1.34</v>
      </c>
      <c r="O1068" s="14"/>
      <c r="P1068" s="210" t="str">
        <f>VLOOKUP(C1068,'WO Descriptions'!$A$5:$D$384,4,FALSE)</f>
        <v>Approved by: Kevin Driskell on 07/11/2014,  ISRS Relocate main for public improvement project. Pressure System C-006. Coordinate with Engineering prior to construction.</v>
      </c>
      <c r="Q1068" s="210"/>
      <c r="R1068" s="210"/>
    </row>
    <row r="1069" spans="1:18" ht="30" outlineLevel="2">
      <c r="A1069" s="14" t="s">
        <v>17</v>
      </c>
      <c r="B1069" s="15" t="s">
        <v>956</v>
      </c>
      <c r="C1069" s="15" t="s">
        <v>957</v>
      </c>
      <c r="D1069" s="14" t="s">
        <v>958</v>
      </c>
      <c r="E1069" s="15" t="s">
        <v>40</v>
      </c>
      <c r="F1069" s="14" t="s">
        <v>41</v>
      </c>
      <c r="G1069" s="15" t="s">
        <v>23</v>
      </c>
      <c r="H1069" s="15" t="s">
        <v>1526</v>
      </c>
      <c r="I1069" s="15">
        <v>201501</v>
      </c>
      <c r="J1069" s="16">
        <v>-1.82</v>
      </c>
      <c r="K1069" s="171">
        <f t="shared" si="123"/>
        <v>5</v>
      </c>
      <c r="L1069" s="17">
        <v>1.4833299999999999E-3</v>
      </c>
      <c r="M1069" s="16">
        <f t="shared" si="124"/>
        <v>-0.01</v>
      </c>
      <c r="N1069" s="16">
        <f t="shared" si="125"/>
        <v>-0.03</v>
      </c>
      <c r="O1069" s="14"/>
      <c r="P1069" s="210" t="str">
        <f>VLOOKUP(C1069,'WO Descriptions'!$A$5:$D$384,4,FALSE)</f>
        <v>Approved by: Kevin Driskell on 07/11/2014,  ISRS Relocate main for public improvement project. Pressure System C-006. Coordinate with Engineering prior to construction.</v>
      </c>
      <c r="Q1069" s="210"/>
      <c r="R1069" s="210"/>
    </row>
    <row r="1070" spans="1:18" ht="30" outlineLevel="2">
      <c r="A1070" s="14" t="s">
        <v>17</v>
      </c>
      <c r="B1070" s="15" t="s">
        <v>956</v>
      </c>
      <c r="C1070" s="15" t="s">
        <v>957</v>
      </c>
      <c r="D1070" s="14" t="s">
        <v>958</v>
      </c>
      <c r="E1070" s="15" t="s">
        <v>40</v>
      </c>
      <c r="F1070" s="14" t="s">
        <v>41</v>
      </c>
      <c r="G1070" s="15" t="s">
        <v>23</v>
      </c>
      <c r="H1070" s="15" t="s">
        <v>1526</v>
      </c>
      <c r="I1070" s="15">
        <v>201502</v>
      </c>
      <c r="J1070" s="16">
        <v>-7.49</v>
      </c>
      <c r="K1070" s="171">
        <f t="shared" si="123"/>
        <v>4</v>
      </c>
      <c r="L1070" s="17">
        <v>1.4833299999999999E-3</v>
      </c>
      <c r="M1070" s="16">
        <f t="shared" si="124"/>
        <v>-0.04</v>
      </c>
      <c r="N1070" s="16">
        <f t="shared" si="125"/>
        <v>-0.13</v>
      </c>
      <c r="O1070" s="14"/>
      <c r="P1070" s="210" t="str">
        <f>VLOOKUP(C1070,'WO Descriptions'!$A$5:$D$384,4,FALSE)</f>
        <v>Approved by: Kevin Driskell on 07/11/2014,  ISRS Relocate main for public improvement project. Pressure System C-006. Coordinate with Engineering prior to construction.</v>
      </c>
      <c r="Q1070" s="210"/>
      <c r="R1070" s="210"/>
    </row>
    <row r="1071" spans="1:18" outlineLevel="1">
      <c r="A1071" s="223"/>
      <c r="B1071" s="250"/>
      <c r="C1071" s="254" t="s">
        <v>2059</v>
      </c>
      <c r="D1071" s="223"/>
      <c r="E1071" s="250"/>
      <c r="F1071" s="223"/>
      <c r="G1071" s="250"/>
      <c r="H1071" s="250"/>
      <c r="I1071" s="250"/>
      <c r="J1071" s="251">
        <f>SUBTOTAL(9,J1065:J1070)</f>
        <v>3663.76</v>
      </c>
      <c r="K1071" s="252"/>
      <c r="L1071" s="253"/>
      <c r="M1071" s="251">
        <f>SUBTOTAL(9,M1065:M1070)</f>
        <v>48.010000000000005</v>
      </c>
      <c r="N1071" s="251">
        <f>SUBTOTAL(9,N1065:N1070)</f>
        <v>65.22</v>
      </c>
      <c r="O1071" s="223"/>
      <c r="P1071" s="210"/>
      <c r="Q1071" s="210" t="str">
        <f>VLOOKUP(C1071,'Descriptions Sorted by WO '!$A$5:$S$977,18,FALSE)</f>
        <v>393.1009 (5) (C)</v>
      </c>
      <c r="R1071" s="210"/>
    </row>
    <row r="1072" spans="1:18" ht="60" outlineLevel="2">
      <c r="A1072" s="14" t="s">
        <v>17</v>
      </c>
      <c r="B1072" s="15" t="s">
        <v>959</v>
      </c>
      <c r="C1072" s="15" t="s">
        <v>960</v>
      </c>
      <c r="D1072" s="14" t="s">
        <v>961</v>
      </c>
      <c r="E1072" s="15" t="s">
        <v>40</v>
      </c>
      <c r="F1072" s="14" t="s">
        <v>41</v>
      </c>
      <c r="G1072" s="15" t="s">
        <v>23</v>
      </c>
      <c r="H1072" s="15" t="s">
        <v>1526</v>
      </c>
      <c r="I1072" s="15">
        <v>201409</v>
      </c>
      <c r="J1072" s="16">
        <v>94.14</v>
      </c>
      <c r="K1072" s="171">
        <f>VLOOKUP(I1072,$T$9:$U$23,2)</f>
        <v>9</v>
      </c>
      <c r="L1072" s="17">
        <v>1.4833299999999999E-3</v>
      </c>
      <c r="M1072" s="16">
        <f>ROUND(J1072*K1072*L1072,2)</f>
        <v>1.26</v>
      </c>
      <c r="N1072" s="16">
        <f>ROUND(J1072*L1072*12,2)</f>
        <v>1.68</v>
      </c>
      <c r="O1072" s="14"/>
      <c r="P1072" s="210" t="str">
        <f>VLOOKUP(C1072,'WO Descriptions'!$A$5:$D$384,4,FALSE)</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c r="Q1072" s="210"/>
      <c r="R1072" s="210"/>
    </row>
    <row r="1073" spans="1:18" ht="60" outlineLevel="2">
      <c r="A1073" s="14" t="s">
        <v>17</v>
      </c>
      <c r="B1073" s="15" t="s">
        <v>959</v>
      </c>
      <c r="C1073" s="15" t="s">
        <v>960</v>
      </c>
      <c r="D1073" s="14" t="s">
        <v>961</v>
      </c>
      <c r="E1073" s="15" t="s">
        <v>40</v>
      </c>
      <c r="F1073" s="14" t="s">
        <v>41</v>
      </c>
      <c r="G1073" s="15" t="s">
        <v>23</v>
      </c>
      <c r="H1073" s="15" t="s">
        <v>1526</v>
      </c>
      <c r="I1073" s="15">
        <v>201410</v>
      </c>
      <c r="J1073" s="16">
        <v>-0.49</v>
      </c>
      <c r="K1073" s="171">
        <f>VLOOKUP(I1073,$T$9:$U$23,2)</f>
        <v>8</v>
      </c>
      <c r="L1073" s="17">
        <v>1.4833299999999999E-3</v>
      </c>
      <c r="M1073" s="16">
        <f>ROUND(J1073*K1073*L1073,2)</f>
        <v>-0.01</v>
      </c>
      <c r="N1073" s="16">
        <f>ROUND(J1073*L1073*12,2)</f>
        <v>-0.01</v>
      </c>
      <c r="O1073" s="14"/>
      <c r="P1073" s="210" t="str">
        <f>VLOOKUP(C1073,'WO Descriptions'!$A$5:$D$384,4,FALSE)</f>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v>
      </c>
      <c r="Q1073" s="210"/>
      <c r="R1073" s="210"/>
    </row>
    <row r="1074" spans="1:18" outlineLevel="1">
      <c r="A1074" s="223"/>
      <c r="B1074" s="250"/>
      <c r="C1074" s="254" t="s">
        <v>2060</v>
      </c>
      <c r="D1074" s="223"/>
      <c r="E1074" s="250"/>
      <c r="F1074" s="223"/>
      <c r="G1074" s="250"/>
      <c r="H1074" s="250"/>
      <c r="I1074" s="250"/>
      <c r="J1074" s="251">
        <f>SUBTOTAL(9,J1072:J1073)</f>
        <v>93.65</v>
      </c>
      <c r="K1074" s="252"/>
      <c r="L1074" s="253"/>
      <c r="M1074" s="251">
        <f>SUBTOTAL(9,M1072:M1073)</f>
        <v>1.25</v>
      </c>
      <c r="N1074" s="251">
        <f>SUBTOTAL(9,N1072:N1073)</f>
        <v>1.67</v>
      </c>
      <c r="O1074" s="223"/>
      <c r="P1074" s="210"/>
      <c r="Q1074" s="210" t="str">
        <f>VLOOKUP(C1074,'Descriptions Sorted by WO '!$A$5:$S$977,18,FALSE)</f>
        <v>393.1009 (5) (C)</v>
      </c>
      <c r="R1074" s="210"/>
    </row>
    <row r="1075" spans="1:18" ht="90" outlineLevel="2">
      <c r="A1075" s="14" t="s">
        <v>54</v>
      </c>
      <c r="B1075" s="15" t="s">
        <v>962</v>
      </c>
      <c r="C1075" s="15" t="s">
        <v>963</v>
      </c>
      <c r="D1075" s="14" t="s">
        <v>964</v>
      </c>
      <c r="E1075" s="15" t="s">
        <v>40</v>
      </c>
      <c r="F1075" s="14" t="s">
        <v>41</v>
      </c>
      <c r="G1075" s="15" t="s">
        <v>23</v>
      </c>
      <c r="H1075" s="15" t="s">
        <v>1526</v>
      </c>
      <c r="I1075" s="15">
        <v>201409</v>
      </c>
      <c r="J1075" s="16">
        <v>77244.5</v>
      </c>
      <c r="K1075" s="171">
        <f t="shared" ref="K1075:K1080" si="126">VLOOKUP(I1075,$T$9:$U$23,2)</f>
        <v>9</v>
      </c>
      <c r="L1075" s="17">
        <v>1.4833299999999999E-3</v>
      </c>
      <c r="M1075" s="16">
        <f t="shared" ref="M1075:M1080" si="127">ROUND(J1075*K1075*L1075,2)</f>
        <v>1031.21</v>
      </c>
      <c r="N1075" s="16">
        <f t="shared" ref="N1075:N1080" si="128">ROUND(J1075*L1075*12,2)</f>
        <v>1374.95</v>
      </c>
      <c r="O1075" s="14"/>
      <c r="P1075" s="210" t="str">
        <f>VLOOKUP(C1075,'WO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75" s="210"/>
      <c r="R1075" s="210"/>
    </row>
    <row r="1076" spans="1:18" ht="90" outlineLevel="2">
      <c r="A1076" s="14" t="s">
        <v>54</v>
      </c>
      <c r="B1076" s="15" t="s">
        <v>962</v>
      </c>
      <c r="C1076" s="15" t="s">
        <v>963</v>
      </c>
      <c r="D1076" s="14" t="s">
        <v>964</v>
      </c>
      <c r="E1076" s="15" t="s">
        <v>40</v>
      </c>
      <c r="F1076" s="14" t="s">
        <v>41</v>
      </c>
      <c r="G1076" s="15" t="s">
        <v>23</v>
      </c>
      <c r="H1076" s="15" t="s">
        <v>1526</v>
      </c>
      <c r="I1076" s="15">
        <v>201410</v>
      </c>
      <c r="J1076" s="16">
        <v>190.86</v>
      </c>
      <c r="K1076" s="171">
        <f t="shared" si="126"/>
        <v>8</v>
      </c>
      <c r="L1076" s="17">
        <v>1.4833299999999999E-3</v>
      </c>
      <c r="M1076" s="16">
        <f t="shared" si="127"/>
        <v>2.2599999999999998</v>
      </c>
      <c r="N1076" s="16">
        <f t="shared" si="128"/>
        <v>3.4</v>
      </c>
      <c r="O1076" s="14"/>
      <c r="P1076" s="210" t="str">
        <f>VLOOKUP(C1076,'WO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76" s="210"/>
      <c r="R1076" s="210"/>
    </row>
    <row r="1077" spans="1:18" ht="90" outlineLevel="2">
      <c r="A1077" s="14" t="s">
        <v>54</v>
      </c>
      <c r="B1077" s="15" t="s">
        <v>962</v>
      </c>
      <c r="C1077" s="15" t="s">
        <v>963</v>
      </c>
      <c r="D1077" s="14" t="s">
        <v>964</v>
      </c>
      <c r="E1077" s="15" t="s">
        <v>40</v>
      </c>
      <c r="F1077" s="14" t="s">
        <v>41</v>
      </c>
      <c r="G1077" s="15" t="s">
        <v>23</v>
      </c>
      <c r="H1077" s="15" t="s">
        <v>1526</v>
      </c>
      <c r="I1077" s="15">
        <v>201411</v>
      </c>
      <c r="J1077" s="16">
        <v>1379.28</v>
      </c>
      <c r="K1077" s="171">
        <f t="shared" si="126"/>
        <v>7</v>
      </c>
      <c r="L1077" s="17">
        <v>1.4833299999999999E-3</v>
      </c>
      <c r="M1077" s="16">
        <f t="shared" si="127"/>
        <v>14.32</v>
      </c>
      <c r="N1077" s="16">
        <f t="shared" si="128"/>
        <v>24.55</v>
      </c>
      <c r="O1077" s="14"/>
      <c r="P1077" s="210" t="str">
        <f>VLOOKUP(C1077,'WO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77" s="210"/>
      <c r="R1077" s="210"/>
    </row>
    <row r="1078" spans="1:18" ht="90" outlineLevel="2">
      <c r="A1078" s="14" t="s">
        <v>54</v>
      </c>
      <c r="B1078" s="15" t="s">
        <v>962</v>
      </c>
      <c r="C1078" s="15" t="s">
        <v>963</v>
      </c>
      <c r="D1078" s="14" t="s">
        <v>964</v>
      </c>
      <c r="E1078" s="15" t="s">
        <v>40</v>
      </c>
      <c r="F1078" s="14" t="s">
        <v>41</v>
      </c>
      <c r="G1078" s="15" t="s">
        <v>23</v>
      </c>
      <c r="H1078" s="15" t="s">
        <v>1526</v>
      </c>
      <c r="I1078" s="15">
        <v>201412</v>
      </c>
      <c r="J1078" s="16">
        <v>-145.08000000000001</v>
      </c>
      <c r="K1078" s="171">
        <f t="shared" si="126"/>
        <v>6</v>
      </c>
      <c r="L1078" s="17">
        <v>1.4833299999999999E-3</v>
      </c>
      <c r="M1078" s="16">
        <f t="shared" si="127"/>
        <v>-1.29</v>
      </c>
      <c r="N1078" s="16">
        <f t="shared" si="128"/>
        <v>-2.58</v>
      </c>
      <c r="O1078" s="14"/>
      <c r="P1078" s="210" t="str">
        <f>VLOOKUP(C1078,'WO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78" s="210"/>
      <c r="R1078" s="210"/>
    </row>
    <row r="1079" spans="1:18" ht="90" outlineLevel="2">
      <c r="A1079" s="14" t="s">
        <v>54</v>
      </c>
      <c r="B1079" s="15" t="s">
        <v>962</v>
      </c>
      <c r="C1079" s="15" t="s">
        <v>963</v>
      </c>
      <c r="D1079" s="14" t="s">
        <v>964</v>
      </c>
      <c r="E1079" s="15" t="s">
        <v>40</v>
      </c>
      <c r="F1079" s="14" t="s">
        <v>41</v>
      </c>
      <c r="G1079" s="15" t="s">
        <v>23</v>
      </c>
      <c r="H1079" s="15" t="s">
        <v>1526</v>
      </c>
      <c r="I1079" s="15">
        <v>201501</v>
      </c>
      <c r="J1079" s="16">
        <v>65.239999999999995</v>
      </c>
      <c r="K1079" s="171">
        <f t="shared" si="126"/>
        <v>5</v>
      </c>
      <c r="L1079" s="17">
        <v>1.4833299999999999E-3</v>
      </c>
      <c r="M1079" s="16">
        <f t="shared" si="127"/>
        <v>0.48</v>
      </c>
      <c r="N1079" s="16">
        <f t="shared" si="128"/>
        <v>1.1599999999999999</v>
      </c>
      <c r="O1079" s="14"/>
      <c r="P1079" s="210" t="str">
        <f>VLOOKUP(C1079,'WO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79" s="210"/>
      <c r="R1079" s="210"/>
    </row>
    <row r="1080" spans="1:18" ht="90" outlineLevel="2">
      <c r="A1080" s="14" t="s">
        <v>54</v>
      </c>
      <c r="B1080" s="15" t="s">
        <v>962</v>
      </c>
      <c r="C1080" s="15" t="s">
        <v>963</v>
      </c>
      <c r="D1080" s="14" t="s">
        <v>964</v>
      </c>
      <c r="E1080" s="15" t="s">
        <v>40</v>
      </c>
      <c r="F1080" s="14" t="s">
        <v>41</v>
      </c>
      <c r="G1080" s="15" t="s">
        <v>23</v>
      </c>
      <c r="H1080" s="15" t="s">
        <v>1526</v>
      </c>
      <c r="I1080" s="15">
        <v>201502</v>
      </c>
      <c r="J1080" s="16">
        <v>-6.34</v>
      </c>
      <c r="K1080" s="171">
        <f t="shared" si="126"/>
        <v>4</v>
      </c>
      <c r="L1080" s="17">
        <v>1.4833299999999999E-3</v>
      </c>
      <c r="M1080" s="16">
        <f t="shared" si="127"/>
        <v>-0.04</v>
      </c>
      <c r="N1080" s="16">
        <f t="shared" si="128"/>
        <v>-0.11</v>
      </c>
      <c r="O1080" s="14"/>
      <c r="P1080" s="210" t="str">
        <f>VLOOKUP(C1080,'WO Descriptions'!$A$5:$D$384,4,FALSE)</f>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
      <c r="Q1080" s="210"/>
      <c r="R1080" s="210"/>
    </row>
    <row r="1081" spans="1:18" outlineLevel="1">
      <c r="A1081" s="223"/>
      <c r="B1081" s="250"/>
      <c r="C1081" s="254" t="s">
        <v>2061</v>
      </c>
      <c r="D1081" s="223"/>
      <c r="E1081" s="250"/>
      <c r="F1081" s="223"/>
      <c r="G1081" s="250"/>
      <c r="H1081" s="250"/>
      <c r="I1081" s="250"/>
      <c r="J1081" s="251">
        <f>SUBTOTAL(9,J1075:J1080)</f>
        <v>78728.460000000006</v>
      </c>
      <c r="K1081" s="252"/>
      <c r="L1081" s="253"/>
      <c r="M1081" s="251">
        <f>SUBTOTAL(9,M1075:M1080)</f>
        <v>1046.94</v>
      </c>
      <c r="N1081" s="251">
        <f>SUBTOTAL(9,N1075:N1080)</f>
        <v>1401.3700000000003</v>
      </c>
      <c r="O1081" s="223"/>
      <c r="P1081" s="210"/>
      <c r="Q1081" s="210" t="str">
        <f>VLOOKUP(C1081,'Descriptions Sorted by WO '!$A$5:$S$977,18,FALSE)</f>
        <v>393.1009 (5) (C)</v>
      </c>
      <c r="R1081" s="210"/>
    </row>
    <row r="1082" spans="1:18" ht="105" outlineLevel="2">
      <c r="A1082" s="14" t="s">
        <v>54</v>
      </c>
      <c r="B1082" s="15" t="s">
        <v>965</v>
      </c>
      <c r="C1082" s="15" t="s">
        <v>966</v>
      </c>
      <c r="D1082" s="14" t="s">
        <v>967</v>
      </c>
      <c r="E1082" s="15" t="s">
        <v>53</v>
      </c>
      <c r="F1082" s="14" t="s">
        <v>41</v>
      </c>
      <c r="G1082" s="15" t="s">
        <v>23</v>
      </c>
      <c r="H1082" s="15" t="s">
        <v>1526</v>
      </c>
      <c r="I1082" s="15">
        <v>201409</v>
      </c>
      <c r="J1082" s="16">
        <v>8672.4699999999993</v>
      </c>
      <c r="K1082" s="171">
        <f t="shared" ref="K1082:K1087" si="129">VLOOKUP(I1082,$T$9:$U$23,2)</f>
        <v>9</v>
      </c>
      <c r="L1082" s="17">
        <v>1.4833299999999999E-3</v>
      </c>
      <c r="M1082" s="16">
        <f t="shared" ref="M1082:M1087" si="130">ROUND(J1082*K1082*L1082,2)</f>
        <v>115.78</v>
      </c>
      <c r="N1082" s="16">
        <f t="shared" ref="N1082:N1087" si="131">ROUND(J1082*L1082*12,2)</f>
        <v>154.37</v>
      </c>
      <c r="O1082" s="14"/>
      <c r="P1082" s="210" t="str">
        <f>VLOOKUP(C1082,'WO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2" s="210"/>
      <c r="R1082" s="210"/>
    </row>
    <row r="1083" spans="1:18" ht="105" outlineLevel="2">
      <c r="A1083" s="14" t="s">
        <v>54</v>
      </c>
      <c r="B1083" s="15" t="s">
        <v>965</v>
      </c>
      <c r="C1083" s="15" t="s">
        <v>966</v>
      </c>
      <c r="D1083" s="14" t="s">
        <v>967</v>
      </c>
      <c r="E1083" s="15" t="s">
        <v>53</v>
      </c>
      <c r="F1083" s="14" t="s">
        <v>41</v>
      </c>
      <c r="G1083" s="15" t="s">
        <v>23</v>
      </c>
      <c r="H1083" s="15" t="s">
        <v>1526</v>
      </c>
      <c r="I1083" s="15">
        <v>201410</v>
      </c>
      <c r="J1083" s="16">
        <v>-9961.83</v>
      </c>
      <c r="K1083" s="171">
        <f t="shared" si="129"/>
        <v>8</v>
      </c>
      <c r="L1083" s="17">
        <v>1.4833299999999999E-3</v>
      </c>
      <c r="M1083" s="16">
        <f t="shared" si="130"/>
        <v>-118.21</v>
      </c>
      <c r="N1083" s="16">
        <f t="shared" si="131"/>
        <v>-177.32</v>
      </c>
      <c r="O1083" s="14"/>
      <c r="P1083" s="210" t="str">
        <f>VLOOKUP(C1083,'WO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3" s="210"/>
      <c r="R1083" s="210"/>
    </row>
    <row r="1084" spans="1:18" ht="105" outlineLevel="2">
      <c r="A1084" s="14" t="s">
        <v>54</v>
      </c>
      <c r="B1084" s="15" t="s">
        <v>965</v>
      </c>
      <c r="C1084" s="15" t="s">
        <v>966</v>
      </c>
      <c r="D1084" s="14" t="s">
        <v>967</v>
      </c>
      <c r="E1084" s="15" t="s">
        <v>53</v>
      </c>
      <c r="F1084" s="14" t="s">
        <v>41</v>
      </c>
      <c r="G1084" s="15" t="s">
        <v>23</v>
      </c>
      <c r="H1084" s="15" t="s">
        <v>1526</v>
      </c>
      <c r="I1084" s="15">
        <v>201411</v>
      </c>
      <c r="J1084" s="16">
        <v>-10648.99</v>
      </c>
      <c r="K1084" s="171">
        <f t="shared" si="129"/>
        <v>7</v>
      </c>
      <c r="L1084" s="17">
        <v>1.4833299999999999E-3</v>
      </c>
      <c r="M1084" s="16">
        <f t="shared" si="130"/>
        <v>-110.57</v>
      </c>
      <c r="N1084" s="16">
        <f t="shared" si="131"/>
        <v>-189.55</v>
      </c>
      <c r="O1084" s="14"/>
      <c r="P1084" s="210" t="str">
        <f>VLOOKUP(C1084,'WO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4" s="210"/>
      <c r="R1084" s="210"/>
    </row>
    <row r="1085" spans="1:18" ht="105" outlineLevel="2">
      <c r="A1085" s="14" t="s">
        <v>54</v>
      </c>
      <c r="B1085" s="15" t="s">
        <v>965</v>
      </c>
      <c r="C1085" s="15" t="s">
        <v>966</v>
      </c>
      <c r="D1085" s="14" t="s">
        <v>967</v>
      </c>
      <c r="E1085" s="15" t="s">
        <v>53</v>
      </c>
      <c r="F1085" s="14" t="s">
        <v>41</v>
      </c>
      <c r="G1085" s="15" t="s">
        <v>23</v>
      </c>
      <c r="H1085" s="15" t="s">
        <v>1526</v>
      </c>
      <c r="I1085" s="15">
        <v>201412</v>
      </c>
      <c r="J1085" s="16">
        <v>1538.04</v>
      </c>
      <c r="K1085" s="171">
        <f t="shared" si="129"/>
        <v>6</v>
      </c>
      <c r="L1085" s="17">
        <v>1.4833299999999999E-3</v>
      </c>
      <c r="M1085" s="16">
        <f t="shared" si="130"/>
        <v>13.69</v>
      </c>
      <c r="N1085" s="16">
        <f t="shared" si="131"/>
        <v>27.38</v>
      </c>
      <c r="O1085" s="14"/>
      <c r="P1085" s="210" t="str">
        <f>VLOOKUP(C1085,'WO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5" s="210"/>
      <c r="R1085" s="210"/>
    </row>
    <row r="1086" spans="1:18" ht="105" outlineLevel="2">
      <c r="A1086" s="14" t="s">
        <v>54</v>
      </c>
      <c r="B1086" s="15" t="s">
        <v>965</v>
      </c>
      <c r="C1086" s="15" t="s">
        <v>966</v>
      </c>
      <c r="D1086" s="14" t="s">
        <v>967</v>
      </c>
      <c r="E1086" s="15" t="s">
        <v>53</v>
      </c>
      <c r="F1086" s="14" t="s">
        <v>41</v>
      </c>
      <c r="G1086" s="15" t="s">
        <v>23</v>
      </c>
      <c r="H1086" s="15" t="s">
        <v>1526</v>
      </c>
      <c r="I1086" s="15">
        <v>201501</v>
      </c>
      <c r="J1086" s="16">
        <v>14.8</v>
      </c>
      <c r="K1086" s="171">
        <f t="shared" si="129"/>
        <v>5</v>
      </c>
      <c r="L1086" s="17">
        <v>1.4833299999999999E-3</v>
      </c>
      <c r="M1086" s="16">
        <f t="shared" si="130"/>
        <v>0.11</v>
      </c>
      <c r="N1086" s="16">
        <f t="shared" si="131"/>
        <v>0.26</v>
      </c>
      <c r="O1086" s="14"/>
      <c r="P1086" s="210" t="str">
        <f>VLOOKUP(C1086,'WO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6" s="210"/>
      <c r="R1086" s="210"/>
    </row>
    <row r="1087" spans="1:18" ht="105" outlineLevel="2">
      <c r="A1087" s="14" t="s">
        <v>54</v>
      </c>
      <c r="B1087" s="15" t="s">
        <v>965</v>
      </c>
      <c r="C1087" s="15" t="s">
        <v>966</v>
      </c>
      <c r="D1087" s="14" t="s">
        <v>967</v>
      </c>
      <c r="E1087" s="15" t="s">
        <v>53</v>
      </c>
      <c r="F1087" s="14" t="s">
        <v>41</v>
      </c>
      <c r="G1087" s="15" t="s">
        <v>23</v>
      </c>
      <c r="H1087" s="15" t="s">
        <v>1526</v>
      </c>
      <c r="I1087" s="15">
        <v>201502</v>
      </c>
      <c r="J1087" s="16">
        <v>155.1</v>
      </c>
      <c r="K1087" s="171">
        <f t="shared" si="129"/>
        <v>4</v>
      </c>
      <c r="L1087" s="17">
        <v>1.4833299999999999E-3</v>
      </c>
      <c r="M1087" s="16">
        <f t="shared" si="130"/>
        <v>0.92</v>
      </c>
      <c r="N1087" s="16">
        <f t="shared" si="131"/>
        <v>2.76</v>
      </c>
      <c r="O1087" s="14"/>
      <c r="P1087" s="210" t="str">
        <f>VLOOKUP(C1087,'WO Descriptions'!$A$5:$D$384,4,FALSE)</f>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
      <c r="Q1087" s="210"/>
      <c r="R1087" s="210"/>
    </row>
    <row r="1088" spans="1:18" outlineLevel="1">
      <c r="A1088" s="223"/>
      <c r="B1088" s="250"/>
      <c r="C1088" s="254" t="s">
        <v>2062</v>
      </c>
      <c r="D1088" s="223"/>
      <c r="E1088" s="250"/>
      <c r="F1088" s="223"/>
      <c r="G1088" s="250"/>
      <c r="H1088" s="250"/>
      <c r="I1088" s="250"/>
      <c r="J1088" s="251">
        <f>SUBTOTAL(9,J1082:J1087)</f>
        <v>-10230.410000000002</v>
      </c>
      <c r="K1088" s="252"/>
      <c r="L1088" s="253"/>
      <c r="M1088" s="251">
        <f>SUBTOTAL(9,M1082:M1087)</f>
        <v>-98.279999999999987</v>
      </c>
      <c r="N1088" s="251">
        <f>SUBTOTAL(9,N1082:N1087)</f>
        <v>-182.10000000000002</v>
      </c>
      <c r="O1088" s="223"/>
      <c r="P1088" s="210"/>
      <c r="Q1088" s="210" t="str">
        <f>VLOOKUP(C1088,'Descriptions Sorted by WO '!$A$5:$S$977,18,FALSE)</f>
        <v>393.1009 (5) (C)</v>
      </c>
      <c r="R1088" s="210"/>
    </row>
    <row r="1089" spans="1:18" ht="90" outlineLevel="2">
      <c r="A1089" s="14" t="s">
        <v>54</v>
      </c>
      <c r="B1089" s="15" t="s">
        <v>968</v>
      </c>
      <c r="C1089" s="15" t="s">
        <v>969</v>
      </c>
      <c r="D1089" s="14" t="s">
        <v>970</v>
      </c>
      <c r="E1089" s="15" t="s">
        <v>394</v>
      </c>
      <c r="F1089" s="14" t="s">
        <v>137</v>
      </c>
      <c r="G1089" s="15" t="s">
        <v>23</v>
      </c>
      <c r="H1089" s="15" t="s">
        <v>1526</v>
      </c>
      <c r="I1089" s="15">
        <v>201411</v>
      </c>
      <c r="J1089" s="16">
        <v>46130.239999999998</v>
      </c>
      <c r="K1089" s="171">
        <f>VLOOKUP(I1089,$T$9:$U$23,2)</f>
        <v>7</v>
      </c>
      <c r="L1089" s="17">
        <v>1.4833299999999999E-3</v>
      </c>
      <c r="M1089" s="16">
        <f>ROUND(J1089*K1089*L1089,2)</f>
        <v>478.98</v>
      </c>
      <c r="N1089" s="16">
        <f>ROUND(J1089*L1089*12,2)</f>
        <v>821.12</v>
      </c>
      <c r="O1089" s="14"/>
      <c r="P1089" s="210" t="str">
        <f>VLOOKUP(C1089,'WO Descriptions'!$A$5:$D$384,4,FALSE)</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Q1089" s="210"/>
      <c r="R1089" s="210"/>
    </row>
    <row r="1090" spans="1:18" ht="90" outlineLevel="2">
      <c r="A1090" s="14" t="s">
        <v>54</v>
      </c>
      <c r="B1090" s="15" t="s">
        <v>968</v>
      </c>
      <c r="C1090" s="15" t="s">
        <v>969</v>
      </c>
      <c r="D1090" s="14" t="s">
        <v>970</v>
      </c>
      <c r="E1090" s="15" t="s">
        <v>394</v>
      </c>
      <c r="F1090" s="14" t="s">
        <v>137</v>
      </c>
      <c r="G1090" s="15" t="s">
        <v>23</v>
      </c>
      <c r="H1090" s="15" t="s">
        <v>1526</v>
      </c>
      <c r="I1090" s="15">
        <v>201412</v>
      </c>
      <c r="J1090" s="16">
        <v>-820.13</v>
      </c>
      <c r="K1090" s="171">
        <f>VLOOKUP(I1090,$T$9:$U$23,2)</f>
        <v>6</v>
      </c>
      <c r="L1090" s="17">
        <v>1.4833299999999999E-3</v>
      </c>
      <c r="M1090" s="16">
        <f>ROUND(J1090*K1090*L1090,2)</f>
        <v>-7.3</v>
      </c>
      <c r="N1090" s="16">
        <f>ROUND(J1090*L1090*12,2)</f>
        <v>-14.6</v>
      </c>
      <c r="O1090" s="14"/>
      <c r="P1090" s="210" t="str">
        <f>VLOOKUP(C1090,'WO Descriptions'!$A$5:$D$384,4,FALSE)</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Q1090" s="210"/>
      <c r="R1090" s="210"/>
    </row>
    <row r="1091" spans="1:18" ht="90" outlineLevel="2">
      <c r="A1091" s="14" t="s">
        <v>54</v>
      </c>
      <c r="B1091" s="15" t="s">
        <v>968</v>
      </c>
      <c r="C1091" s="15" t="s">
        <v>969</v>
      </c>
      <c r="D1091" s="14" t="s">
        <v>970</v>
      </c>
      <c r="E1091" s="15" t="s">
        <v>394</v>
      </c>
      <c r="F1091" s="14" t="s">
        <v>137</v>
      </c>
      <c r="G1091" s="15" t="s">
        <v>23</v>
      </c>
      <c r="H1091" s="15" t="s">
        <v>1526</v>
      </c>
      <c r="I1091" s="15">
        <v>201501</v>
      </c>
      <c r="J1091" s="16">
        <v>-5.0999999999999996</v>
      </c>
      <c r="K1091" s="171">
        <f>VLOOKUP(I1091,$T$9:$U$23,2)</f>
        <v>5</v>
      </c>
      <c r="L1091" s="17">
        <v>1.4833299999999999E-3</v>
      </c>
      <c r="M1091" s="16">
        <f>ROUND(J1091*K1091*L1091,2)</f>
        <v>-0.04</v>
      </c>
      <c r="N1091" s="16">
        <f>ROUND(J1091*L1091*12,2)</f>
        <v>-0.09</v>
      </c>
      <c r="O1091" s="14"/>
      <c r="P1091" s="210" t="str">
        <f>VLOOKUP(C1091,'WO Descriptions'!$A$5:$D$384,4,FALSE)</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Q1091" s="210"/>
      <c r="R1091" s="210"/>
    </row>
    <row r="1092" spans="1:18" ht="90" outlineLevel="2">
      <c r="A1092" s="14" t="s">
        <v>54</v>
      </c>
      <c r="B1092" s="15" t="s">
        <v>968</v>
      </c>
      <c r="C1092" s="15" t="s">
        <v>969</v>
      </c>
      <c r="D1092" s="14" t="s">
        <v>970</v>
      </c>
      <c r="E1092" s="15" t="s">
        <v>394</v>
      </c>
      <c r="F1092" s="14" t="s">
        <v>137</v>
      </c>
      <c r="G1092" s="15" t="s">
        <v>23</v>
      </c>
      <c r="H1092" s="15" t="s">
        <v>1526</v>
      </c>
      <c r="I1092" s="15">
        <v>201502</v>
      </c>
      <c r="J1092" s="16">
        <v>-143.03</v>
      </c>
      <c r="K1092" s="171">
        <f>VLOOKUP(I1092,$T$9:$U$23,2)</f>
        <v>4</v>
      </c>
      <c r="L1092" s="17">
        <v>1.4833299999999999E-3</v>
      </c>
      <c r="M1092" s="16">
        <f>ROUND(J1092*K1092*L1092,2)</f>
        <v>-0.85</v>
      </c>
      <c r="N1092" s="16">
        <f>ROUND(J1092*L1092*12,2)</f>
        <v>-2.5499999999999998</v>
      </c>
      <c r="O1092" s="14"/>
      <c r="P1092" s="210" t="str">
        <f>VLOOKUP(C1092,'WO Descriptions'!$A$5:$D$384,4,FALSE)</f>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
      <c r="Q1092" s="210"/>
      <c r="R1092" s="210"/>
    </row>
    <row r="1093" spans="1:18" outlineLevel="1">
      <c r="A1093" s="223"/>
      <c r="B1093" s="250"/>
      <c r="C1093" s="254" t="s">
        <v>2063</v>
      </c>
      <c r="D1093" s="223"/>
      <c r="E1093" s="250"/>
      <c r="F1093" s="223"/>
      <c r="G1093" s="250"/>
      <c r="H1093" s="250"/>
      <c r="I1093" s="250"/>
      <c r="J1093" s="251">
        <f>SUBTOTAL(9,J1089:J1092)</f>
        <v>45161.98</v>
      </c>
      <c r="K1093" s="252"/>
      <c r="L1093" s="253"/>
      <c r="M1093" s="251">
        <f>SUBTOTAL(9,M1089:M1092)</f>
        <v>470.78999999999996</v>
      </c>
      <c r="N1093" s="251">
        <f>SUBTOTAL(9,N1089:N1092)</f>
        <v>803.88</v>
      </c>
      <c r="O1093" s="223"/>
      <c r="P1093" s="210"/>
      <c r="Q1093" s="210" t="str">
        <f>VLOOKUP(C1093,'Descriptions Sorted by WO '!$A$5:$S$977,18,FALSE)</f>
        <v>393.1009 (5) (C)</v>
      </c>
      <c r="R1093" s="210"/>
    </row>
    <row r="1094" spans="1:18" ht="45" outlineLevel="2">
      <c r="A1094" s="14" t="s">
        <v>54</v>
      </c>
      <c r="B1094" s="15" t="s">
        <v>971</v>
      </c>
      <c r="C1094" s="15" t="s">
        <v>972</v>
      </c>
      <c r="D1094" s="14" t="s">
        <v>973</v>
      </c>
      <c r="E1094" s="15" t="s">
        <v>567</v>
      </c>
      <c r="F1094" s="14" t="s">
        <v>137</v>
      </c>
      <c r="G1094" s="15" t="s">
        <v>23</v>
      </c>
      <c r="H1094" s="15" t="s">
        <v>1526</v>
      </c>
      <c r="I1094" s="15">
        <v>201411</v>
      </c>
      <c r="J1094" s="16">
        <v>35042.230000000003</v>
      </c>
      <c r="K1094" s="171">
        <f>VLOOKUP(I1094,$T$9:$U$23,2)</f>
        <v>7</v>
      </c>
      <c r="L1094" s="17">
        <v>1.4833299999999999E-3</v>
      </c>
      <c r="M1094" s="16">
        <f>ROUND(J1094*K1094*L1094,2)</f>
        <v>363.85</v>
      </c>
      <c r="N1094" s="16">
        <f>ROUND(J1094*L1094*12,2)</f>
        <v>623.75</v>
      </c>
      <c r="O1094" s="14"/>
      <c r="P1094" s="210" t="str">
        <f>VLOOKUP(C1094,'WO Descriptions'!$A$5:$D$384,4,FALSE)</f>
        <v>Approved by: Gary Williams on 07/23/2014,  (ISRS)  Replace 100'-4in PBS with 4in thin film and 2" PCS with 275'-2in PE.  New 4in main needs to be 8' below existing grade due to new storm sewer.  Dead end 2" PE main at 2307 NE 44th Terr. Tie over 3 services.</v>
      </c>
      <c r="Q1094" s="210"/>
      <c r="R1094" s="210"/>
    </row>
    <row r="1095" spans="1:18" ht="45" outlineLevel="2">
      <c r="A1095" s="14" t="s">
        <v>54</v>
      </c>
      <c r="B1095" s="15" t="s">
        <v>971</v>
      </c>
      <c r="C1095" s="15" t="s">
        <v>972</v>
      </c>
      <c r="D1095" s="14" t="s">
        <v>973</v>
      </c>
      <c r="E1095" s="15" t="s">
        <v>567</v>
      </c>
      <c r="F1095" s="14" t="s">
        <v>137</v>
      </c>
      <c r="G1095" s="15" t="s">
        <v>23</v>
      </c>
      <c r="H1095" s="15" t="s">
        <v>1526</v>
      </c>
      <c r="I1095" s="15">
        <v>201412</v>
      </c>
      <c r="J1095" s="16">
        <v>3488.6</v>
      </c>
      <c r="K1095" s="171">
        <f>VLOOKUP(I1095,$T$9:$U$23,2)</f>
        <v>6</v>
      </c>
      <c r="L1095" s="17">
        <v>1.4833299999999999E-3</v>
      </c>
      <c r="M1095" s="16">
        <f>ROUND(J1095*K1095*L1095,2)</f>
        <v>31.05</v>
      </c>
      <c r="N1095" s="16">
        <f>ROUND(J1095*L1095*12,2)</f>
        <v>62.1</v>
      </c>
      <c r="O1095" s="14"/>
      <c r="P1095" s="210" t="str">
        <f>VLOOKUP(C1095,'WO Descriptions'!$A$5:$D$384,4,FALSE)</f>
        <v>Approved by: Gary Williams on 07/23/2014,  (ISRS)  Replace 100'-4in PBS with 4in thin film and 2" PCS with 275'-2in PE.  New 4in main needs to be 8' below existing grade due to new storm sewer.  Dead end 2" PE main at 2307 NE 44th Terr. Tie over 3 services.</v>
      </c>
      <c r="Q1095" s="210"/>
      <c r="R1095" s="210"/>
    </row>
    <row r="1096" spans="1:18" ht="45" outlineLevel="2">
      <c r="A1096" s="14" t="s">
        <v>54</v>
      </c>
      <c r="B1096" s="15" t="s">
        <v>971</v>
      </c>
      <c r="C1096" s="15" t="s">
        <v>972</v>
      </c>
      <c r="D1096" s="14" t="s">
        <v>973</v>
      </c>
      <c r="E1096" s="15" t="s">
        <v>567</v>
      </c>
      <c r="F1096" s="14" t="s">
        <v>137</v>
      </c>
      <c r="G1096" s="15" t="s">
        <v>23</v>
      </c>
      <c r="H1096" s="15" t="s">
        <v>1526</v>
      </c>
      <c r="I1096" s="15">
        <v>201501</v>
      </c>
      <c r="J1096" s="16">
        <v>-486.19</v>
      </c>
      <c r="K1096" s="171">
        <f>VLOOKUP(I1096,$T$9:$U$23,2)</f>
        <v>5</v>
      </c>
      <c r="L1096" s="17">
        <v>1.4833299999999999E-3</v>
      </c>
      <c r="M1096" s="16">
        <f>ROUND(J1096*K1096*L1096,2)</f>
        <v>-3.61</v>
      </c>
      <c r="N1096" s="16">
        <f>ROUND(J1096*L1096*12,2)</f>
        <v>-8.65</v>
      </c>
      <c r="O1096" s="14"/>
      <c r="P1096" s="210" t="str">
        <f>VLOOKUP(C1096,'WO Descriptions'!$A$5:$D$384,4,FALSE)</f>
        <v>Approved by: Gary Williams on 07/23/2014,  (ISRS)  Replace 100'-4in PBS with 4in thin film and 2" PCS with 275'-2in PE.  New 4in main needs to be 8' below existing grade due to new storm sewer.  Dead end 2" PE main at 2307 NE 44th Terr. Tie over 3 services.</v>
      </c>
      <c r="Q1096" s="210"/>
      <c r="R1096" s="210"/>
    </row>
    <row r="1097" spans="1:18" ht="45" outlineLevel="2">
      <c r="A1097" s="14" t="s">
        <v>17</v>
      </c>
      <c r="B1097" s="15" t="s">
        <v>971</v>
      </c>
      <c r="C1097" s="15" t="s">
        <v>972</v>
      </c>
      <c r="D1097" s="14" t="s">
        <v>973</v>
      </c>
      <c r="E1097" s="15" t="s">
        <v>567</v>
      </c>
      <c r="F1097" s="14" t="s">
        <v>137</v>
      </c>
      <c r="G1097" s="15" t="s">
        <v>23</v>
      </c>
      <c r="H1097" s="15" t="s">
        <v>1526</v>
      </c>
      <c r="I1097" s="15">
        <v>201502</v>
      </c>
      <c r="J1097" s="16">
        <v>30896.42</v>
      </c>
      <c r="K1097" s="171">
        <f>VLOOKUP(I1097,$T$9:$U$23,2)</f>
        <v>4</v>
      </c>
      <c r="L1097" s="17">
        <v>1.4833299999999999E-3</v>
      </c>
      <c r="M1097" s="16">
        <f>ROUND(J1097*K1097*L1097,2)</f>
        <v>183.32</v>
      </c>
      <c r="N1097" s="16">
        <f>ROUND(J1097*L1097*12,2)</f>
        <v>549.96</v>
      </c>
      <c r="O1097" s="14"/>
      <c r="P1097" s="210" t="str">
        <f>VLOOKUP(C1097,'WO Descriptions'!$A$5:$D$384,4,FALSE)</f>
        <v>Approved by: Gary Williams on 07/23/2014,  (ISRS)  Replace 100'-4in PBS with 4in thin film and 2" PCS with 275'-2in PE.  New 4in main needs to be 8' below existing grade due to new storm sewer.  Dead end 2" PE main at 2307 NE 44th Terr. Tie over 3 services.</v>
      </c>
      <c r="Q1097" s="210"/>
      <c r="R1097" s="210"/>
    </row>
    <row r="1098" spans="1:18" ht="45" outlineLevel="2">
      <c r="A1098" s="14" t="s">
        <v>54</v>
      </c>
      <c r="B1098" s="15" t="s">
        <v>971</v>
      </c>
      <c r="C1098" s="15" t="s">
        <v>972</v>
      </c>
      <c r="D1098" s="14" t="s">
        <v>973</v>
      </c>
      <c r="E1098" s="15" t="s">
        <v>567</v>
      </c>
      <c r="F1098" s="14" t="s">
        <v>137</v>
      </c>
      <c r="G1098" s="15" t="s">
        <v>23</v>
      </c>
      <c r="H1098" s="15" t="s">
        <v>1526</v>
      </c>
      <c r="I1098" s="15">
        <v>201502</v>
      </c>
      <c r="J1098" s="16">
        <v>-31285.119999999999</v>
      </c>
      <c r="K1098" s="171">
        <f>VLOOKUP(I1098,$T$9:$U$23,2)</f>
        <v>4</v>
      </c>
      <c r="L1098" s="17">
        <v>1.4833299999999999E-3</v>
      </c>
      <c r="M1098" s="16">
        <f>ROUND(J1098*K1098*L1098,2)</f>
        <v>-185.62</v>
      </c>
      <c r="N1098" s="16">
        <f>ROUND(J1098*L1098*12,2)</f>
        <v>-556.87</v>
      </c>
      <c r="O1098" s="14"/>
      <c r="P1098" s="210" t="str">
        <f>VLOOKUP(C1098,'WO Descriptions'!$A$5:$D$384,4,FALSE)</f>
        <v>Approved by: Gary Williams on 07/23/2014,  (ISRS)  Replace 100'-4in PBS with 4in thin film and 2" PCS with 275'-2in PE.  New 4in main needs to be 8' below existing grade due to new storm sewer.  Dead end 2" PE main at 2307 NE 44th Terr. Tie over 3 services.</v>
      </c>
      <c r="Q1098" s="210"/>
      <c r="R1098" s="210"/>
    </row>
    <row r="1099" spans="1:18" outlineLevel="1">
      <c r="A1099" s="223"/>
      <c r="B1099" s="250"/>
      <c r="C1099" s="254" t="s">
        <v>2064</v>
      </c>
      <c r="D1099" s="223"/>
      <c r="E1099" s="250"/>
      <c r="F1099" s="223"/>
      <c r="G1099" s="250"/>
      <c r="H1099" s="250"/>
      <c r="I1099" s="250"/>
      <c r="J1099" s="251">
        <f>SUBTOTAL(9,J1094:J1098)</f>
        <v>37655.94</v>
      </c>
      <c r="K1099" s="252"/>
      <c r="L1099" s="253"/>
      <c r="M1099" s="251">
        <f>SUBTOTAL(9,M1094:M1098)</f>
        <v>388.99</v>
      </c>
      <c r="N1099" s="251">
        <f>SUBTOTAL(9,N1094:N1098)</f>
        <v>670.29000000000008</v>
      </c>
      <c r="O1099" s="223"/>
      <c r="P1099" s="210"/>
      <c r="Q1099" s="210" t="str">
        <f>VLOOKUP(C1099,'Descriptions Sorted by WO '!$A$5:$S$977,18,FALSE)</f>
        <v>393.1009 (5) (C)</v>
      </c>
      <c r="R1099" s="210"/>
    </row>
    <row r="1100" spans="1:18" ht="45" outlineLevel="2">
      <c r="A1100" s="14" t="s">
        <v>54</v>
      </c>
      <c r="B1100" s="15" t="s">
        <v>974</v>
      </c>
      <c r="C1100" s="15" t="s">
        <v>975</v>
      </c>
      <c r="D1100" s="14" t="s">
        <v>976</v>
      </c>
      <c r="E1100" s="15" t="s">
        <v>141</v>
      </c>
      <c r="F1100" s="14" t="s">
        <v>142</v>
      </c>
      <c r="G1100" s="15" t="s">
        <v>23</v>
      </c>
      <c r="H1100" s="15" t="s">
        <v>1525</v>
      </c>
      <c r="I1100" s="15">
        <v>201409</v>
      </c>
      <c r="J1100" s="16">
        <v>1598.77</v>
      </c>
      <c r="K1100" s="171">
        <f t="shared" ref="K1100:K1105" si="132">VLOOKUP(I1100,$T$9:$U$23,2)</f>
        <v>9</v>
      </c>
      <c r="L1100" s="17">
        <v>1.4833299999999999E-3</v>
      </c>
      <c r="M1100" s="16">
        <f t="shared" ref="M1100:M1105" si="133">ROUND(J1100*K1100*L1100,2)</f>
        <v>21.34</v>
      </c>
      <c r="N1100" s="16">
        <f t="shared" ref="N1100:N1105" si="134">ROUND(J1100*L1100*12,2)</f>
        <v>28.46</v>
      </c>
      <c r="O1100" s="14"/>
      <c r="P1100" s="210" t="str">
        <f>VLOOKUP(C1100,'WO Descriptions'!$A$5:$D$384,4,FALSE)</f>
        <v>Approved by: Kevin Driskell on 07/23/2014,  AOR.  Replace 40' of 4in CI with 4in PE due to exposure of CI coupling.  AOR location: 46' SSCB of 8th Street.  Must be finished by 9-21-2014.  Tie over 3 services.  Replace one service.  COST PER FOOT $554.14</v>
      </c>
      <c r="Q1100" s="210"/>
      <c r="R1100" s="210"/>
    </row>
    <row r="1101" spans="1:18" ht="45" outlineLevel="2">
      <c r="A1101" s="14" t="s">
        <v>54</v>
      </c>
      <c r="B1101" s="15" t="s">
        <v>974</v>
      </c>
      <c r="C1101" s="15" t="s">
        <v>975</v>
      </c>
      <c r="D1101" s="14" t="s">
        <v>976</v>
      </c>
      <c r="E1101" s="15" t="s">
        <v>141</v>
      </c>
      <c r="F1101" s="14" t="s">
        <v>142</v>
      </c>
      <c r="G1101" s="15" t="s">
        <v>23</v>
      </c>
      <c r="H1101" s="15" t="s">
        <v>1525</v>
      </c>
      <c r="I1101" s="15">
        <v>201410</v>
      </c>
      <c r="J1101" s="16">
        <v>4514.09</v>
      </c>
      <c r="K1101" s="171">
        <f t="shared" si="132"/>
        <v>8</v>
      </c>
      <c r="L1101" s="17">
        <v>1.4833299999999999E-3</v>
      </c>
      <c r="M1101" s="16">
        <f t="shared" si="133"/>
        <v>53.57</v>
      </c>
      <c r="N1101" s="16">
        <f t="shared" si="134"/>
        <v>80.349999999999994</v>
      </c>
      <c r="O1101" s="14"/>
      <c r="P1101" s="210" t="str">
        <f>VLOOKUP(C1101,'WO Descriptions'!$A$5:$D$384,4,FALSE)</f>
        <v>Approved by: Kevin Driskell on 07/23/2014,  AOR.  Replace 40' of 4in CI with 4in PE due to exposure of CI coupling.  AOR location: 46' SSCB of 8th Street.  Must be finished by 9-21-2014.  Tie over 3 services.  Replace one service.  COST PER FOOT $554.14</v>
      </c>
      <c r="Q1101" s="210"/>
      <c r="R1101" s="210"/>
    </row>
    <row r="1102" spans="1:18" ht="45" outlineLevel="2">
      <c r="A1102" s="14" t="s">
        <v>54</v>
      </c>
      <c r="B1102" s="15" t="s">
        <v>974</v>
      </c>
      <c r="C1102" s="15" t="s">
        <v>975</v>
      </c>
      <c r="D1102" s="14" t="s">
        <v>976</v>
      </c>
      <c r="E1102" s="15" t="s">
        <v>141</v>
      </c>
      <c r="F1102" s="14" t="s">
        <v>142</v>
      </c>
      <c r="G1102" s="15" t="s">
        <v>23</v>
      </c>
      <c r="H1102" s="15" t="s">
        <v>1525</v>
      </c>
      <c r="I1102" s="15">
        <v>201411</v>
      </c>
      <c r="J1102" s="16">
        <v>-208.96</v>
      </c>
      <c r="K1102" s="171">
        <f t="shared" si="132"/>
        <v>7</v>
      </c>
      <c r="L1102" s="17">
        <v>1.4833299999999999E-3</v>
      </c>
      <c r="M1102" s="16">
        <f t="shared" si="133"/>
        <v>-2.17</v>
      </c>
      <c r="N1102" s="16">
        <f t="shared" si="134"/>
        <v>-3.72</v>
      </c>
      <c r="O1102" s="14"/>
      <c r="P1102" s="210" t="str">
        <f>VLOOKUP(C1102,'WO Descriptions'!$A$5:$D$384,4,FALSE)</f>
        <v>Approved by: Kevin Driskell on 07/23/2014,  AOR.  Replace 40' of 4in CI with 4in PE due to exposure of CI coupling.  AOR location: 46' SSCB of 8th Street.  Must be finished by 9-21-2014.  Tie over 3 services.  Replace one service.  COST PER FOOT $554.14</v>
      </c>
      <c r="Q1102" s="210"/>
      <c r="R1102" s="210"/>
    </row>
    <row r="1103" spans="1:18" ht="45" outlineLevel="2">
      <c r="A1103" s="14" t="s">
        <v>54</v>
      </c>
      <c r="B1103" s="15" t="s">
        <v>974</v>
      </c>
      <c r="C1103" s="15" t="s">
        <v>975</v>
      </c>
      <c r="D1103" s="14" t="s">
        <v>976</v>
      </c>
      <c r="E1103" s="15" t="s">
        <v>141</v>
      </c>
      <c r="F1103" s="14" t="s">
        <v>142</v>
      </c>
      <c r="G1103" s="15" t="s">
        <v>23</v>
      </c>
      <c r="H1103" s="15" t="s">
        <v>1525</v>
      </c>
      <c r="I1103" s="15">
        <v>201412</v>
      </c>
      <c r="J1103" s="16">
        <v>-298.91000000000003</v>
      </c>
      <c r="K1103" s="171">
        <f t="shared" si="132"/>
        <v>6</v>
      </c>
      <c r="L1103" s="17">
        <v>1.4833299999999999E-3</v>
      </c>
      <c r="M1103" s="16">
        <f t="shared" si="133"/>
        <v>-2.66</v>
      </c>
      <c r="N1103" s="16">
        <f t="shared" si="134"/>
        <v>-5.32</v>
      </c>
      <c r="O1103" s="14"/>
      <c r="P1103" s="210" t="str">
        <f>VLOOKUP(C1103,'WO Descriptions'!$A$5:$D$384,4,FALSE)</f>
        <v>Approved by: Kevin Driskell on 07/23/2014,  AOR.  Replace 40' of 4in CI with 4in PE due to exposure of CI coupling.  AOR location: 46' SSCB of 8th Street.  Must be finished by 9-21-2014.  Tie over 3 services.  Replace one service.  COST PER FOOT $554.14</v>
      </c>
      <c r="Q1103" s="210"/>
      <c r="R1103" s="210"/>
    </row>
    <row r="1104" spans="1:18" ht="45" outlineLevel="2">
      <c r="A1104" s="14" t="s">
        <v>54</v>
      </c>
      <c r="B1104" s="15" t="s">
        <v>974</v>
      </c>
      <c r="C1104" s="15" t="s">
        <v>975</v>
      </c>
      <c r="D1104" s="14" t="s">
        <v>976</v>
      </c>
      <c r="E1104" s="15" t="s">
        <v>141</v>
      </c>
      <c r="F1104" s="14" t="s">
        <v>142</v>
      </c>
      <c r="G1104" s="15" t="s">
        <v>23</v>
      </c>
      <c r="H1104" s="15" t="s">
        <v>1525</v>
      </c>
      <c r="I1104" s="15">
        <v>201501</v>
      </c>
      <c r="J1104" s="16">
        <v>-8.36</v>
      </c>
      <c r="K1104" s="171">
        <f t="shared" si="132"/>
        <v>5</v>
      </c>
      <c r="L1104" s="17">
        <v>1.4833299999999999E-3</v>
      </c>
      <c r="M1104" s="16">
        <f t="shared" si="133"/>
        <v>-0.06</v>
      </c>
      <c r="N1104" s="16">
        <f t="shared" si="134"/>
        <v>-0.15</v>
      </c>
      <c r="O1104" s="14"/>
      <c r="P1104" s="210" t="str">
        <f>VLOOKUP(C1104,'WO Descriptions'!$A$5:$D$384,4,FALSE)</f>
        <v>Approved by: Kevin Driskell on 07/23/2014,  AOR.  Replace 40' of 4in CI with 4in PE due to exposure of CI coupling.  AOR location: 46' SSCB of 8th Street.  Must be finished by 9-21-2014.  Tie over 3 services.  Replace one service.  COST PER FOOT $554.14</v>
      </c>
      <c r="Q1104" s="210"/>
      <c r="R1104" s="210"/>
    </row>
    <row r="1105" spans="1:18" ht="45" outlineLevel="2">
      <c r="A1105" s="14" t="s">
        <v>54</v>
      </c>
      <c r="B1105" s="15" t="s">
        <v>974</v>
      </c>
      <c r="C1105" s="15" t="s">
        <v>975</v>
      </c>
      <c r="D1105" s="14" t="s">
        <v>976</v>
      </c>
      <c r="E1105" s="15" t="s">
        <v>141</v>
      </c>
      <c r="F1105" s="14" t="s">
        <v>142</v>
      </c>
      <c r="G1105" s="15" t="s">
        <v>23</v>
      </c>
      <c r="H1105" s="15" t="s">
        <v>1525</v>
      </c>
      <c r="I1105" s="15">
        <v>201502</v>
      </c>
      <c r="J1105" s="16">
        <v>-34.11</v>
      </c>
      <c r="K1105" s="171">
        <f t="shared" si="132"/>
        <v>4</v>
      </c>
      <c r="L1105" s="17">
        <v>1.4833299999999999E-3</v>
      </c>
      <c r="M1105" s="16">
        <f t="shared" si="133"/>
        <v>-0.2</v>
      </c>
      <c r="N1105" s="16">
        <f t="shared" si="134"/>
        <v>-0.61</v>
      </c>
      <c r="O1105" s="14"/>
      <c r="P1105" s="210" t="str">
        <f>VLOOKUP(C1105,'WO Descriptions'!$A$5:$D$384,4,FALSE)</f>
        <v>Approved by: Kevin Driskell on 07/23/2014,  AOR.  Replace 40' of 4in CI with 4in PE due to exposure of CI coupling.  AOR location: 46' SSCB of 8th Street.  Must be finished by 9-21-2014.  Tie over 3 services.  Replace one service.  COST PER FOOT $554.14</v>
      </c>
      <c r="Q1105" s="210"/>
      <c r="R1105" s="210"/>
    </row>
    <row r="1106" spans="1:18" outlineLevel="1">
      <c r="A1106" s="223"/>
      <c r="B1106" s="250"/>
      <c r="C1106" s="254" t="s">
        <v>2065</v>
      </c>
      <c r="D1106" s="223"/>
      <c r="E1106" s="250"/>
      <c r="F1106" s="223"/>
      <c r="G1106" s="250"/>
      <c r="H1106" s="250"/>
      <c r="I1106" s="250"/>
      <c r="J1106" s="251">
        <f>SUBTOTAL(9,J1100:J1105)</f>
        <v>5562.5200000000013</v>
      </c>
      <c r="K1106" s="252"/>
      <c r="L1106" s="253"/>
      <c r="M1106" s="251">
        <f>SUBTOTAL(9,M1100:M1105)</f>
        <v>69.819999999999993</v>
      </c>
      <c r="N1106" s="251">
        <f>SUBTOTAL(9,N1100:N1105)</f>
        <v>99.01</v>
      </c>
      <c r="O1106" s="223"/>
      <c r="P1106" s="210"/>
      <c r="Q1106" s="210" t="str">
        <f>VLOOKUP(C1106,'Descriptions Sorted by WO '!$A$5:$S$977,18,FALSE)</f>
        <v>393.1009 (5) (a) (b)</v>
      </c>
      <c r="R1106" s="210" t="str">
        <f>VLOOKUP(C1106,'Descriptions Sorted by WO '!$A$5:$S$977,19,FALSE)</f>
        <v>A,B,C,D,I</v>
      </c>
    </row>
    <row r="1107" spans="1:18" ht="30" outlineLevel="2">
      <c r="A1107" s="14" t="s">
        <v>54</v>
      </c>
      <c r="B1107" s="15" t="s">
        <v>977</v>
      </c>
      <c r="C1107" s="15" t="s">
        <v>978</v>
      </c>
      <c r="D1107" s="14" t="s">
        <v>979</v>
      </c>
      <c r="E1107" s="15" t="s">
        <v>980</v>
      </c>
      <c r="F1107" s="14" t="s">
        <v>259</v>
      </c>
      <c r="G1107" s="15" t="s">
        <v>23</v>
      </c>
      <c r="H1107" s="15" t="s">
        <v>1525</v>
      </c>
      <c r="I1107" s="15">
        <v>201409</v>
      </c>
      <c r="J1107" s="16">
        <v>502.39</v>
      </c>
      <c r="K1107" s="171">
        <f>VLOOKUP(I1107,$T$9:$U$23,2)</f>
        <v>9</v>
      </c>
      <c r="L1107" s="17">
        <v>1.4833299999999999E-3</v>
      </c>
      <c r="M1107" s="16">
        <f>ROUND(J1107*K1107*L1107,2)</f>
        <v>6.71</v>
      </c>
      <c r="N1107" s="16">
        <f>ROUND(J1107*L1107*12,2)</f>
        <v>8.94</v>
      </c>
      <c r="O1107" s="14"/>
      <c r="P1107" s="210" t="str">
        <f>VLOOKUP(C1107,'WO Descriptions'!$A$5:$D$384,4,FALSE)</f>
        <v>Approved by: Kevin Driskell on 07/25/2014,  Replace 3' of 2in BS and 4' of 2in PE due to third party damage.</v>
      </c>
      <c r="Q1107" s="210"/>
      <c r="R1107" s="210"/>
    </row>
    <row r="1108" spans="1:18" ht="30" outlineLevel="2">
      <c r="A1108" s="14" t="s">
        <v>54</v>
      </c>
      <c r="B1108" s="15" t="s">
        <v>977</v>
      </c>
      <c r="C1108" s="15" t="s">
        <v>978</v>
      </c>
      <c r="D1108" s="14" t="s">
        <v>979</v>
      </c>
      <c r="E1108" s="15" t="s">
        <v>980</v>
      </c>
      <c r="F1108" s="14" t="s">
        <v>259</v>
      </c>
      <c r="G1108" s="15" t="s">
        <v>23</v>
      </c>
      <c r="H1108" s="15" t="s">
        <v>1525</v>
      </c>
      <c r="I1108" s="15">
        <v>201410</v>
      </c>
      <c r="J1108" s="16">
        <v>0.51</v>
      </c>
      <c r="K1108" s="171">
        <f>VLOOKUP(I1108,$T$9:$U$23,2)</f>
        <v>8</v>
      </c>
      <c r="L1108" s="17">
        <v>1.4833299999999999E-3</v>
      </c>
      <c r="M1108" s="16">
        <f>ROUND(J1108*K1108*L1108,2)</f>
        <v>0.01</v>
      </c>
      <c r="N1108" s="16">
        <f>ROUND(J1108*L1108*12,2)</f>
        <v>0.01</v>
      </c>
      <c r="O1108" s="14"/>
      <c r="P1108" s="210" t="str">
        <f>VLOOKUP(C1108,'WO Descriptions'!$A$5:$D$384,4,FALSE)</f>
        <v>Approved by: Kevin Driskell on 07/25/2014,  Replace 3' of 2in BS and 4' of 2in PE due to third party damage.</v>
      </c>
      <c r="Q1108" s="210"/>
      <c r="R1108" s="210"/>
    </row>
    <row r="1109" spans="1:18" ht="30" outlineLevel="2">
      <c r="A1109" s="14" t="s">
        <v>54</v>
      </c>
      <c r="B1109" s="15" t="s">
        <v>977</v>
      </c>
      <c r="C1109" s="15" t="s">
        <v>978</v>
      </c>
      <c r="D1109" s="14" t="s">
        <v>979</v>
      </c>
      <c r="E1109" s="15" t="s">
        <v>980</v>
      </c>
      <c r="F1109" s="14" t="s">
        <v>259</v>
      </c>
      <c r="G1109" s="15" t="s">
        <v>23</v>
      </c>
      <c r="H1109" s="15" t="s">
        <v>1525</v>
      </c>
      <c r="I1109" s="15">
        <v>201412</v>
      </c>
      <c r="J1109" s="16">
        <v>640.08000000000004</v>
      </c>
      <c r="K1109" s="171">
        <f>VLOOKUP(I1109,$T$9:$U$23,2)</f>
        <v>6</v>
      </c>
      <c r="L1109" s="17">
        <v>1.4833299999999999E-3</v>
      </c>
      <c r="M1109" s="16">
        <f>ROUND(J1109*K1109*L1109,2)</f>
        <v>5.7</v>
      </c>
      <c r="N1109" s="16">
        <f>ROUND(J1109*L1109*12,2)</f>
        <v>11.39</v>
      </c>
      <c r="O1109" s="14"/>
      <c r="P1109" s="210" t="str">
        <f>VLOOKUP(C1109,'WO Descriptions'!$A$5:$D$384,4,FALSE)</f>
        <v>Approved by: Kevin Driskell on 07/25/2014,  Replace 3' of 2in BS and 4' of 2in PE due to third party damage.</v>
      </c>
      <c r="Q1109" s="210"/>
      <c r="R1109" s="210"/>
    </row>
    <row r="1110" spans="1:18" s="243" customFormat="1" ht="30" outlineLevel="2">
      <c r="A1110" s="14" t="s">
        <v>54</v>
      </c>
      <c r="B1110" s="15" t="s">
        <v>977</v>
      </c>
      <c r="C1110" s="15" t="s">
        <v>978</v>
      </c>
      <c r="D1110" s="14" t="s">
        <v>979</v>
      </c>
      <c r="E1110" s="15" t="s">
        <v>980</v>
      </c>
      <c r="F1110" s="14" t="s">
        <v>259</v>
      </c>
      <c r="G1110" s="15" t="s">
        <v>23</v>
      </c>
      <c r="H1110" s="15" t="s">
        <v>1525</v>
      </c>
      <c r="I1110" s="15">
        <v>201501</v>
      </c>
      <c r="J1110" s="16">
        <v>-7.91</v>
      </c>
      <c r="K1110" s="171">
        <f>VLOOKUP(I1110,$T$9:$U$23,2)</f>
        <v>5</v>
      </c>
      <c r="L1110" s="17">
        <v>1.4833299999999999E-3</v>
      </c>
      <c r="M1110" s="16">
        <f>ROUND(J1110*K1110*L1110,2)</f>
        <v>-0.06</v>
      </c>
      <c r="N1110" s="16">
        <f>ROUND(J1110*L1110*12,2)</f>
        <v>-0.14000000000000001</v>
      </c>
      <c r="O1110" s="14"/>
      <c r="P1110" s="210" t="str">
        <f>VLOOKUP(C1110,'WO Descriptions'!$A$5:$D$384,4,FALSE)</f>
        <v>Approved by: Kevin Driskell on 07/25/2014,  Replace 3' of 2in BS and 4' of 2in PE due to third party damage.</v>
      </c>
      <c r="Q1110" s="210"/>
      <c r="R1110" s="210"/>
    </row>
    <row r="1111" spans="1:18" ht="30" outlineLevel="2">
      <c r="A1111" s="14" t="s">
        <v>54</v>
      </c>
      <c r="B1111" s="15" t="s">
        <v>977</v>
      </c>
      <c r="C1111" s="15" t="s">
        <v>978</v>
      </c>
      <c r="D1111" s="14" t="s">
        <v>979</v>
      </c>
      <c r="E1111" s="15" t="s">
        <v>980</v>
      </c>
      <c r="F1111" s="14" t="s">
        <v>259</v>
      </c>
      <c r="G1111" s="15" t="s">
        <v>23</v>
      </c>
      <c r="H1111" s="15" t="s">
        <v>1525</v>
      </c>
      <c r="I1111" s="15">
        <v>201502</v>
      </c>
      <c r="J1111" s="16">
        <v>-5.22</v>
      </c>
      <c r="K1111" s="171">
        <f>VLOOKUP(I1111,$T$9:$U$23,2)</f>
        <v>4</v>
      </c>
      <c r="L1111" s="17">
        <v>1.4833299999999999E-3</v>
      </c>
      <c r="M1111" s="16">
        <f>ROUND(J1111*K1111*L1111,2)</f>
        <v>-0.03</v>
      </c>
      <c r="N1111" s="16">
        <f>ROUND(J1111*L1111*12,2)</f>
        <v>-0.09</v>
      </c>
      <c r="O1111" s="14"/>
      <c r="P1111" s="210" t="str">
        <f>VLOOKUP(C1111,'WO Descriptions'!$A$5:$D$384,4,FALSE)</f>
        <v>Approved by: Kevin Driskell on 07/25/2014,  Replace 3' of 2in BS and 4' of 2in PE due to third party damage.</v>
      </c>
      <c r="Q1111" s="210"/>
      <c r="R1111" s="210"/>
    </row>
    <row r="1112" spans="1:18" outlineLevel="1">
      <c r="A1112" s="223"/>
      <c r="B1112" s="250"/>
      <c r="C1112" s="254" t="s">
        <v>2066</v>
      </c>
      <c r="D1112" s="223"/>
      <c r="E1112" s="250"/>
      <c r="F1112" s="223"/>
      <c r="G1112" s="250"/>
      <c r="H1112" s="250"/>
      <c r="I1112" s="250"/>
      <c r="J1112" s="251">
        <f>SUBTOTAL(9,J1107:J1111)</f>
        <v>1129.8499999999999</v>
      </c>
      <c r="K1112" s="252"/>
      <c r="L1112" s="253"/>
      <c r="M1112" s="251">
        <f>SUBTOTAL(9,M1107:M1111)</f>
        <v>12.33</v>
      </c>
      <c r="N1112" s="251">
        <f>SUBTOTAL(9,N1107:N1111)</f>
        <v>20.11</v>
      </c>
      <c r="O1112" s="223"/>
      <c r="P1112" s="210"/>
      <c r="Q1112" s="210" t="str">
        <f>VLOOKUP(C1112,'Descriptions Sorted by WO '!$A$5:$S$977,18,FALSE)</f>
        <v>393.1009 (5) (a) (b)</v>
      </c>
      <c r="R1112" s="210" t="str">
        <f>VLOOKUP(C1112,'Descriptions Sorted by WO '!$A$5:$S$977,19,FALSE)</f>
        <v>A,B,G</v>
      </c>
    </row>
    <row r="1113" spans="1:18" ht="30" outlineLevel="2">
      <c r="A1113" s="14" t="s">
        <v>17</v>
      </c>
      <c r="B1113" s="15" t="s">
        <v>981</v>
      </c>
      <c r="C1113" s="15" t="s">
        <v>982</v>
      </c>
      <c r="D1113" s="14" t="s">
        <v>983</v>
      </c>
      <c r="E1113" s="15" t="s">
        <v>440</v>
      </c>
      <c r="F1113" s="14" t="s">
        <v>28</v>
      </c>
      <c r="G1113" s="15" t="s">
        <v>23</v>
      </c>
      <c r="H1113" s="15" t="s">
        <v>1525</v>
      </c>
      <c r="I1113" s="15">
        <v>201409</v>
      </c>
      <c r="J1113" s="16">
        <v>53.69</v>
      </c>
      <c r="K1113" s="171">
        <f>VLOOKUP(I1113,$T$9:$U$23,2)</f>
        <v>9</v>
      </c>
      <c r="L1113" s="17">
        <v>1.4833299999999999E-3</v>
      </c>
      <c r="M1113" s="16">
        <f>ROUND(J1113*K1113*L1113,2)</f>
        <v>0.72</v>
      </c>
      <c r="N1113" s="16">
        <f>ROUND(J1113*L1113*12,2)</f>
        <v>0.96</v>
      </c>
      <c r="O1113" s="14"/>
      <c r="P1113" s="210" t="str">
        <f>VLOOKUP(C1113,'WO Descriptions'!$A$5:$D$384,4,FALSE)</f>
        <v>Approved by: Kevin Driskell on 08/03/2014,  Replaced 5' of 2'' CS system C-046 due to 3rd party damage.</v>
      </c>
      <c r="Q1113" s="210"/>
      <c r="R1113" s="210"/>
    </row>
    <row r="1114" spans="1:18" ht="30" outlineLevel="2">
      <c r="A1114" s="14" t="s">
        <v>17</v>
      </c>
      <c r="B1114" s="15" t="s">
        <v>981</v>
      </c>
      <c r="C1114" s="15" t="s">
        <v>982</v>
      </c>
      <c r="D1114" s="14" t="s">
        <v>983</v>
      </c>
      <c r="E1114" s="15" t="s">
        <v>440</v>
      </c>
      <c r="F1114" s="14" t="s">
        <v>28</v>
      </c>
      <c r="G1114" s="15" t="s">
        <v>23</v>
      </c>
      <c r="H1114" s="15" t="s">
        <v>1525</v>
      </c>
      <c r="I1114" s="15">
        <v>201501</v>
      </c>
      <c r="J1114" s="16">
        <v>2.63</v>
      </c>
      <c r="K1114" s="171">
        <f>VLOOKUP(I1114,$T$9:$U$23,2)</f>
        <v>5</v>
      </c>
      <c r="L1114" s="17">
        <v>1.4833299999999999E-3</v>
      </c>
      <c r="M1114" s="16">
        <f>ROUND(J1114*K1114*L1114,2)</f>
        <v>0.02</v>
      </c>
      <c r="N1114" s="16">
        <f>ROUND(J1114*L1114*12,2)</f>
        <v>0.05</v>
      </c>
      <c r="O1114" s="14"/>
      <c r="P1114" s="210" t="str">
        <f>VLOOKUP(C1114,'WO Descriptions'!$A$5:$D$384,4,FALSE)</f>
        <v>Approved by: Kevin Driskell on 08/03/2014,  Replaced 5' of 2'' CS system C-046 due to 3rd party damage.</v>
      </c>
      <c r="Q1114" s="210"/>
      <c r="R1114" s="210"/>
    </row>
    <row r="1115" spans="1:18" outlineLevel="1">
      <c r="A1115" s="223"/>
      <c r="B1115" s="250"/>
      <c r="C1115" s="254" t="s">
        <v>2067</v>
      </c>
      <c r="D1115" s="223"/>
      <c r="E1115" s="250"/>
      <c r="F1115" s="223"/>
      <c r="G1115" s="250"/>
      <c r="H1115" s="250"/>
      <c r="I1115" s="250"/>
      <c r="J1115" s="251">
        <f>SUBTOTAL(9,J1113:J1114)</f>
        <v>56.32</v>
      </c>
      <c r="K1115" s="252"/>
      <c r="L1115" s="253"/>
      <c r="M1115" s="251">
        <f>SUBTOTAL(9,M1113:M1114)</f>
        <v>0.74</v>
      </c>
      <c r="N1115" s="251">
        <f>SUBTOTAL(9,N1113:N1114)</f>
        <v>1.01</v>
      </c>
      <c r="O1115" s="223"/>
      <c r="P1115" s="210"/>
      <c r="Q1115" s="210" t="str">
        <f>VLOOKUP(C1115,'Descriptions Sorted by WO '!$A$5:$S$977,18,FALSE)</f>
        <v>393.1009 (5) (a) (b)</v>
      </c>
      <c r="R1115" s="210" t="str">
        <f>VLOOKUP(C1115,'Descriptions Sorted by WO '!$A$5:$S$977,19,FALSE)</f>
        <v>A,B</v>
      </c>
    </row>
    <row r="1116" spans="1:18" ht="30" outlineLevel="2">
      <c r="A1116" s="14" t="s">
        <v>54</v>
      </c>
      <c r="B1116" s="15" t="s">
        <v>984</v>
      </c>
      <c r="C1116" s="15" t="s">
        <v>985</v>
      </c>
      <c r="D1116" s="14" t="s">
        <v>986</v>
      </c>
      <c r="E1116" s="15" t="s">
        <v>141</v>
      </c>
      <c r="F1116" s="14" t="s">
        <v>142</v>
      </c>
      <c r="G1116" s="15" t="s">
        <v>23</v>
      </c>
      <c r="H1116" s="15" t="s">
        <v>1525</v>
      </c>
      <c r="I1116" s="15">
        <v>201409</v>
      </c>
      <c r="J1116" s="16">
        <v>76.45</v>
      </c>
      <c r="K1116" s="171">
        <f>VLOOKUP(I1116,$T$9:$U$23,2)</f>
        <v>9</v>
      </c>
      <c r="L1116" s="17">
        <v>1.4833299999999999E-3</v>
      </c>
      <c r="M1116" s="16">
        <f>ROUND(J1116*K1116*L1116,2)</f>
        <v>1.02</v>
      </c>
      <c r="N1116" s="16">
        <f>ROUND(J1116*L1116*12,2)</f>
        <v>1.36</v>
      </c>
      <c r="O1116" s="14"/>
      <c r="P1116" s="210" t="str">
        <f>VLOOKUP(C1116,'WO Descriptions'!$A$5:$D$384,4,FALSE)</f>
        <v>Approved by: Kevin Driskell on 08/03/2014,  Replaced 6'' CI with 6'' PE due to Cast Iron Break. System C-1.</v>
      </c>
      <c r="Q1116" s="210"/>
      <c r="R1116" s="210"/>
    </row>
    <row r="1117" spans="1:18" ht="30" outlineLevel="2">
      <c r="A1117" s="14" t="s">
        <v>54</v>
      </c>
      <c r="B1117" s="15" t="s">
        <v>984</v>
      </c>
      <c r="C1117" s="15" t="s">
        <v>985</v>
      </c>
      <c r="D1117" s="14" t="s">
        <v>986</v>
      </c>
      <c r="E1117" s="15" t="s">
        <v>141</v>
      </c>
      <c r="F1117" s="14" t="s">
        <v>142</v>
      </c>
      <c r="G1117" s="15" t="s">
        <v>23</v>
      </c>
      <c r="H1117" s="15" t="s">
        <v>1525</v>
      </c>
      <c r="I1117" s="15">
        <v>201412</v>
      </c>
      <c r="J1117" s="16">
        <v>1481.62</v>
      </c>
      <c r="K1117" s="171">
        <f>VLOOKUP(I1117,$T$9:$U$23,2)</f>
        <v>6</v>
      </c>
      <c r="L1117" s="17">
        <v>1.4833299999999999E-3</v>
      </c>
      <c r="M1117" s="16">
        <f>ROUND(J1117*K1117*L1117,2)</f>
        <v>13.19</v>
      </c>
      <c r="N1117" s="16">
        <f>ROUND(J1117*L1117*12,2)</f>
        <v>26.37</v>
      </c>
      <c r="O1117" s="14"/>
      <c r="P1117" s="210" t="str">
        <f>VLOOKUP(C1117,'WO Descriptions'!$A$5:$D$384,4,FALSE)</f>
        <v>Approved by: Kevin Driskell on 08/03/2014,  Replaced 6'' CI with 6'' PE due to Cast Iron Break. System C-1.</v>
      </c>
      <c r="Q1117" s="210"/>
      <c r="R1117" s="210"/>
    </row>
    <row r="1118" spans="1:18" ht="30" outlineLevel="2">
      <c r="A1118" s="14" t="s">
        <v>54</v>
      </c>
      <c r="B1118" s="15" t="s">
        <v>984</v>
      </c>
      <c r="C1118" s="15" t="s">
        <v>985</v>
      </c>
      <c r="D1118" s="14" t="s">
        <v>986</v>
      </c>
      <c r="E1118" s="15" t="s">
        <v>141</v>
      </c>
      <c r="F1118" s="14" t="s">
        <v>142</v>
      </c>
      <c r="G1118" s="15" t="s">
        <v>23</v>
      </c>
      <c r="H1118" s="15" t="s">
        <v>1525</v>
      </c>
      <c r="I1118" s="15">
        <v>201501</v>
      </c>
      <c r="J1118" s="16">
        <v>-4.32</v>
      </c>
      <c r="K1118" s="171">
        <f>VLOOKUP(I1118,$T$9:$U$23,2)</f>
        <v>5</v>
      </c>
      <c r="L1118" s="17">
        <v>1.4833299999999999E-3</v>
      </c>
      <c r="M1118" s="16">
        <f>ROUND(J1118*K1118*L1118,2)</f>
        <v>-0.03</v>
      </c>
      <c r="N1118" s="16">
        <f>ROUND(J1118*L1118*12,2)</f>
        <v>-0.08</v>
      </c>
      <c r="O1118" s="14"/>
      <c r="P1118" s="210" t="str">
        <f>VLOOKUP(C1118,'WO Descriptions'!$A$5:$D$384,4,FALSE)</f>
        <v>Approved by: Kevin Driskell on 08/03/2014,  Replaced 6'' CI with 6'' PE due to Cast Iron Break. System C-1.</v>
      </c>
      <c r="Q1118" s="210"/>
      <c r="R1118" s="210"/>
    </row>
    <row r="1119" spans="1:18" ht="30" outlineLevel="2">
      <c r="A1119" s="14" t="s">
        <v>54</v>
      </c>
      <c r="B1119" s="15" t="s">
        <v>984</v>
      </c>
      <c r="C1119" s="15" t="s">
        <v>985</v>
      </c>
      <c r="D1119" s="14" t="s">
        <v>986</v>
      </c>
      <c r="E1119" s="15" t="s">
        <v>141</v>
      </c>
      <c r="F1119" s="14" t="s">
        <v>142</v>
      </c>
      <c r="G1119" s="15" t="s">
        <v>23</v>
      </c>
      <c r="H1119" s="15" t="s">
        <v>1525</v>
      </c>
      <c r="I1119" s="15">
        <v>201502</v>
      </c>
      <c r="J1119" s="16">
        <v>-12.08</v>
      </c>
      <c r="K1119" s="171">
        <f>VLOOKUP(I1119,$T$9:$U$23,2)</f>
        <v>4</v>
      </c>
      <c r="L1119" s="17">
        <v>1.4833299999999999E-3</v>
      </c>
      <c r="M1119" s="16">
        <f>ROUND(J1119*K1119*L1119,2)</f>
        <v>-7.0000000000000007E-2</v>
      </c>
      <c r="N1119" s="16">
        <f>ROUND(J1119*L1119*12,2)</f>
        <v>-0.22</v>
      </c>
      <c r="O1119" s="14"/>
      <c r="P1119" s="210" t="str">
        <f>VLOOKUP(C1119,'WO Descriptions'!$A$5:$D$384,4,FALSE)</f>
        <v>Approved by: Kevin Driskell on 08/03/2014,  Replaced 6'' CI with 6'' PE due to Cast Iron Break. System C-1.</v>
      </c>
      <c r="Q1119" s="210"/>
      <c r="R1119" s="210"/>
    </row>
    <row r="1120" spans="1:18" outlineLevel="1">
      <c r="A1120" s="223"/>
      <c r="B1120" s="250"/>
      <c r="C1120" s="254" t="s">
        <v>2068</v>
      </c>
      <c r="D1120" s="223"/>
      <c r="E1120" s="250"/>
      <c r="F1120" s="223"/>
      <c r="G1120" s="250"/>
      <c r="H1120" s="250"/>
      <c r="I1120" s="250"/>
      <c r="J1120" s="251">
        <f>SUBTOTAL(9,J1116:J1119)</f>
        <v>1541.67</v>
      </c>
      <c r="K1120" s="252"/>
      <c r="L1120" s="253"/>
      <c r="M1120" s="251">
        <f>SUBTOTAL(9,M1116:M1119)</f>
        <v>14.11</v>
      </c>
      <c r="N1120" s="251">
        <f>SUBTOTAL(9,N1116:N1119)</f>
        <v>27.430000000000003</v>
      </c>
      <c r="O1120" s="223"/>
      <c r="P1120" s="210"/>
      <c r="Q1120" s="210" t="str">
        <f>VLOOKUP(C1120,'Descriptions Sorted by WO '!$A$5:$S$977,18,FALSE)</f>
        <v>393.1009 (5) (a) (b)</v>
      </c>
      <c r="R1120" s="210" t="str">
        <f>VLOOKUP(C1120,'Descriptions Sorted by WO '!$A$5:$S$977,19,FALSE)</f>
        <v>A,B,C,D,I</v>
      </c>
    </row>
    <row r="1121" spans="1:18" ht="30" outlineLevel="2">
      <c r="A1121" s="14" t="s">
        <v>17</v>
      </c>
      <c r="B1121" s="15" t="s">
        <v>987</v>
      </c>
      <c r="C1121" s="15" t="s">
        <v>988</v>
      </c>
      <c r="D1121" s="14" t="s">
        <v>989</v>
      </c>
      <c r="E1121" s="15" t="s">
        <v>45</v>
      </c>
      <c r="F1121" s="14" t="s">
        <v>22</v>
      </c>
      <c r="G1121" s="15" t="s">
        <v>23</v>
      </c>
      <c r="H1121" s="15" t="s">
        <v>1525</v>
      </c>
      <c r="I1121" s="15">
        <v>201409</v>
      </c>
      <c r="J1121" s="16">
        <v>92.14</v>
      </c>
      <c r="K1121" s="171">
        <f>VLOOKUP(I1121,$T$9:$U$23,2)</f>
        <v>9</v>
      </c>
      <c r="L1121" s="17">
        <v>1.4833299999999999E-3</v>
      </c>
      <c r="M1121" s="16">
        <f>ROUND(J1121*K1121*L1121,2)</f>
        <v>1.23</v>
      </c>
      <c r="N1121" s="16">
        <f>ROUND(J1121*L1121*12,2)</f>
        <v>1.64</v>
      </c>
      <c r="O1121" s="14"/>
      <c r="P1121" s="210" t="str">
        <f>VLOOKUP(C1121,'WO Descriptions'!$A$5:$D$384,4,FALSE)</f>
        <v>Approved by: Kevin Driskell on 08/03/2014,  Relocated 2'' PBS because it was going through a curb inlet box. Pressure System C-26.</v>
      </c>
      <c r="Q1121" s="210"/>
      <c r="R1121" s="210"/>
    </row>
    <row r="1122" spans="1:18" ht="30" outlineLevel="2">
      <c r="A1122" s="14" t="s">
        <v>17</v>
      </c>
      <c r="B1122" s="15" t="s">
        <v>987</v>
      </c>
      <c r="C1122" s="15" t="s">
        <v>988</v>
      </c>
      <c r="D1122" s="14" t="s">
        <v>989</v>
      </c>
      <c r="E1122" s="15" t="s">
        <v>45</v>
      </c>
      <c r="F1122" s="14" t="s">
        <v>22</v>
      </c>
      <c r="G1122" s="15" t="s">
        <v>23</v>
      </c>
      <c r="H1122" s="15" t="s">
        <v>1525</v>
      </c>
      <c r="I1122" s="15">
        <v>201410</v>
      </c>
      <c r="J1122" s="16">
        <v>0.63</v>
      </c>
      <c r="K1122" s="171">
        <f>VLOOKUP(I1122,$T$9:$U$23,2)</f>
        <v>8</v>
      </c>
      <c r="L1122" s="17">
        <v>1.4833299999999999E-3</v>
      </c>
      <c r="M1122" s="16">
        <f>ROUND(J1122*K1122*L1122,2)</f>
        <v>0.01</v>
      </c>
      <c r="N1122" s="16">
        <f>ROUND(J1122*L1122*12,2)</f>
        <v>0.01</v>
      </c>
      <c r="O1122" s="14"/>
      <c r="P1122" s="210" t="str">
        <f>VLOOKUP(C1122,'WO Descriptions'!$A$5:$D$384,4,FALSE)</f>
        <v>Approved by: Kevin Driskell on 08/03/2014,  Relocated 2'' PBS because it was going through a curb inlet box. Pressure System C-26.</v>
      </c>
      <c r="Q1122" s="210"/>
      <c r="R1122" s="210"/>
    </row>
    <row r="1123" spans="1:18" ht="30" outlineLevel="2">
      <c r="A1123" s="14" t="s">
        <v>17</v>
      </c>
      <c r="B1123" s="15" t="s">
        <v>987</v>
      </c>
      <c r="C1123" s="15" t="s">
        <v>988</v>
      </c>
      <c r="D1123" s="14" t="s">
        <v>989</v>
      </c>
      <c r="E1123" s="15" t="s">
        <v>45</v>
      </c>
      <c r="F1123" s="14" t="s">
        <v>22</v>
      </c>
      <c r="G1123" s="15" t="s">
        <v>23</v>
      </c>
      <c r="H1123" s="15" t="s">
        <v>1525</v>
      </c>
      <c r="I1123" s="15">
        <v>201412</v>
      </c>
      <c r="J1123" s="16">
        <v>445.28</v>
      </c>
      <c r="K1123" s="171">
        <f>VLOOKUP(I1123,$T$9:$U$23,2)</f>
        <v>6</v>
      </c>
      <c r="L1123" s="17">
        <v>1.4833299999999999E-3</v>
      </c>
      <c r="M1123" s="16">
        <f>ROUND(J1123*K1123*L1123,2)</f>
        <v>3.96</v>
      </c>
      <c r="N1123" s="16">
        <f>ROUND(J1123*L1123*12,2)</f>
        <v>7.93</v>
      </c>
      <c r="O1123" s="14"/>
      <c r="P1123" s="210" t="str">
        <f>VLOOKUP(C1123,'WO Descriptions'!$A$5:$D$384,4,FALSE)</f>
        <v>Approved by: Kevin Driskell on 08/03/2014,  Relocated 2'' PBS because it was going through a curb inlet box. Pressure System C-26.</v>
      </c>
      <c r="Q1123" s="210"/>
      <c r="R1123" s="210"/>
    </row>
    <row r="1124" spans="1:18" ht="30" outlineLevel="2">
      <c r="A1124" s="14" t="s">
        <v>17</v>
      </c>
      <c r="B1124" s="15" t="s">
        <v>987</v>
      </c>
      <c r="C1124" s="15" t="s">
        <v>988</v>
      </c>
      <c r="D1124" s="14" t="s">
        <v>989</v>
      </c>
      <c r="E1124" s="15" t="s">
        <v>45</v>
      </c>
      <c r="F1124" s="14" t="s">
        <v>22</v>
      </c>
      <c r="G1124" s="15" t="s">
        <v>23</v>
      </c>
      <c r="H1124" s="15" t="s">
        <v>1525</v>
      </c>
      <c r="I1124" s="15">
        <v>201501</v>
      </c>
      <c r="J1124" s="16">
        <v>-5.49</v>
      </c>
      <c r="K1124" s="171">
        <f>VLOOKUP(I1124,$T$9:$U$23,2)</f>
        <v>5</v>
      </c>
      <c r="L1124" s="17">
        <v>1.4833299999999999E-3</v>
      </c>
      <c r="M1124" s="16">
        <f>ROUND(J1124*K1124*L1124,2)</f>
        <v>-0.04</v>
      </c>
      <c r="N1124" s="16">
        <f>ROUND(J1124*L1124*12,2)</f>
        <v>-0.1</v>
      </c>
      <c r="O1124" s="14"/>
      <c r="P1124" s="210" t="str">
        <f>VLOOKUP(C1124,'WO Descriptions'!$A$5:$D$384,4,FALSE)</f>
        <v>Approved by: Kevin Driskell on 08/03/2014,  Relocated 2'' PBS because it was going through a curb inlet box. Pressure System C-26.</v>
      </c>
      <c r="Q1124" s="210"/>
      <c r="R1124" s="210"/>
    </row>
    <row r="1125" spans="1:18" ht="30" outlineLevel="2">
      <c r="A1125" s="14" t="s">
        <v>17</v>
      </c>
      <c r="B1125" s="15" t="s">
        <v>987</v>
      </c>
      <c r="C1125" s="15" t="s">
        <v>988</v>
      </c>
      <c r="D1125" s="14" t="s">
        <v>989</v>
      </c>
      <c r="E1125" s="15" t="s">
        <v>45</v>
      </c>
      <c r="F1125" s="14" t="s">
        <v>22</v>
      </c>
      <c r="G1125" s="15" t="s">
        <v>23</v>
      </c>
      <c r="H1125" s="15" t="s">
        <v>1525</v>
      </c>
      <c r="I1125" s="15">
        <v>201502</v>
      </c>
      <c r="J1125" s="16">
        <v>-3.65</v>
      </c>
      <c r="K1125" s="171">
        <f>VLOOKUP(I1125,$T$9:$U$23,2)</f>
        <v>4</v>
      </c>
      <c r="L1125" s="17">
        <v>1.4833299999999999E-3</v>
      </c>
      <c r="M1125" s="16">
        <f>ROUND(J1125*K1125*L1125,2)</f>
        <v>-0.02</v>
      </c>
      <c r="N1125" s="16">
        <f>ROUND(J1125*L1125*12,2)</f>
        <v>-0.06</v>
      </c>
      <c r="O1125" s="14"/>
      <c r="P1125" s="210" t="str">
        <f>VLOOKUP(C1125,'WO Descriptions'!$A$5:$D$384,4,FALSE)</f>
        <v>Approved by: Kevin Driskell on 08/03/2014,  Relocated 2'' PBS because it was going through a curb inlet box. Pressure System C-26.</v>
      </c>
      <c r="Q1125" s="210"/>
      <c r="R1125" s="210"/>
    </row>
    <row r="1126" spans="1:18" outlineLevel="1">
      <c r="A1126" s="223"/>
      <c r="B1126" s="250"/>
      <c r="C1126" s="254" t="s">
        <v>2069</v>
      </c>
      <c r="D1126" s="223"/>
      <c r="E1126" s="250"/>
      <c r="F1126" s="223"/>
      <c r="G1126" s="250"/>
      <c r="H1126" s="250"/>
      <c r="I1126" s="250"/>
      <c r="J1126" s="251">
        <f>SUBTOTAL(9,J1121:J1125)</f>
        <v>528.91</v>
      </c>
      <c r="K1126" s="252"/>
      <c r="L1126" s="253"/>
      <c r="M1126" s="251">
        <f>SUBTOTAL(9,M1121:M1125)</f>
        <v>5.1400000000000006</v>
      </c>
      <c r="N1126" s="251">
        <f>SUBTOTAL(9,N1121:N1125)</f>
        <v>9.42</v>
      </c>
      <c r="O1126" s="223"/>
      <c r="P1126" s="210"/>
      <c r="Q1126" s="210" t="str">
        <f>VLOOKUP(C1126,'Descriptions Sorted by WO '!$A$5:$S$977,18,FALSE)</f>
        <v>393.1009 (5) (a) (b)</v>
      </c>
      <c r="R1126" s="210" t="str">
        <f>VLOOKUP(C1126,'Descriptions Sorted by WO '!$A$5:$S$977,19,FALSE)</f>
        <v>A,B,C</v>
      </c>
    </row>
    <row r="1127" spans="1:18" ht="75" outlineLevel="2">
      <c r="A1127" s="14" t="s">
        <v>54</v>
      </c>
      <c r="B1127" s="15" t="s">
        <v>990</v>
      </c>
      <c r="C1127" s="15" t="s">
        <v>991</v>
      </c>
      <c r="D1127" s="14" t="s">
        <v>992</v>
      </c>
      <c r="E1127" s="15" t="s">
        <v>141</v>
      </c>
      <c r="F1127" s="14" t="s">
        <v>142</v>
      </c>
      <c r="G1127" s="15" t="s">
        <v>23</v>
      </c>
      <c r="H1127" s="15" t="s">
        <v>1525</v>
      </c>
      <c r="I1127" s="15">
        <v>201410</v>
      </c>
      <c r="J1127" s="16">
        <v>123284.96</v>
      </c>
      <c r="K1127" s="171">
        <f>VLOOKUP(I1127,$T$9:$U$23,2)</f>
        <v>8</v>
      </c>
      <c r="L1127" s="17">
        <v>1.4833299999999999E-3</v>
      </c>
      <c r="M1127" s="16">
        <f>ROUND(J1127*K1127*L1127,2)</f>
        <v>1462.98</v>
      </c>
      <c r="N1127" s="16">
        <f>ROUND(J1127*L1127*12,2)</f>
        <v>2194.4699999999998</v>
      </c>
      <c r="O1127" s="14"/>
      <c r="P1127" s="210" t="str">
        <f>VLOOKUP(C1127,'WO Descriptions'!$A$5:$D$384,4,FALSE)</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c r="Q1127" s="210"/>
      <c r="R1127" s="210"/>
    </row>
    <row r="1128" spans="1:18" ht="75" outlineLevel="2">
      <c r="A1128" s="14" t="s">
        <v>54</v>
      </c>
      <c r="B1128" s="15" t="s">
        <v>990</v>
      </c>
      <c r="C1128" s="15" t="s">
        <v>991</v>
      </c>
      <c r="D1128" s="14" t="s">
        <v>992</v>
      </c>
      <c r="E1128" s="15" t="s">
        <v>141</v>
      </c>
      <c r="F1128" s="14" t="s">
        <v>142</v>
      </c>
      <c r="G1128" s="15" t="s">
        <v>23</v>
      </c>
      <c r="H1128" s="15" t="s">
        <v>1525</v>
      </c>
      <c r="I1128" s="15">
        <v>201411</v>
      </c>
      <c r="J1128" s="16">
        <v>-8191.63</v>
      </c>
      <c r="K1128" s="171">
        <f>VLOOKUP(I1128,$T$9:$U$23,2)</f>
        <v>7</v>
      </c>
      <c r="L1128" s="17">
        <v>1.4833299999999999E-3</v>
      </c>
      <c r="M1128" s="16">
        <f>ROUND(J1128*K1128*L1128,2)</f>
        <v>-85.06</v>
      </c>
      <c r="N1128" s="16">
        <f>ROUND(J1128*L1128*12,2)</f>
        <v>-145.81</v>
      </c>
      <c r="O1128" s="14"/>
      <c r="P1128" s="210" t="str">
        <f>VLOOKUP(C1128,'WO Descriptions'!$A$5:$D$384,4,FALSE)</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c r="Q1128" s="210"/>
      <c r="R1128" s="210"/>
    </row>
    <row r="1129" spans="1:18" ht="75" outlineLevel="2">
      <c r="A1129" s="14" t="s">
        <v>54</v>
      </c>
      <c r="B1129" s="15" t="s">
        <v>990</v>
      </c>
      <c r="C1129" s="15" t="s">
        <v>991</v>
      </c>
      <c r="D1129" s="14" t="s">
        <v>992</v>
      </c>
      <c r="E1129" s="15" t="s">
        <v>141</v>
      </c>
      <c r="F1129" s="14" t="s">
        <v>142</v>
      </c>
      <c r="G1129" s="15" t="s">
        <v>23</v>
      </c>
      <c r="H1129" s="15" t="s">
        <v>1525</v>
      </c>
      <c r="I1129" s="15">
        <v>201412</v>
      </c>
      <c r="J1129" s="16">
        <v>3203.04</v>
      </c>
      <c r="K1129" s="171">
        <f>VLOOKUP(I1129,$T$9:$U$23,2)</f>
        <v>6</v>
      </c>
      <c r="L1129" s="17">
        <v>1.4833299999999999E-3</v>
      </c>
      <c r="M1129" s="16">
        <f>ROUND(J1129*K1129*L1129,2)</f>
        <v>28.51</v>
      </c>
      <c r="N1129" s="16">
        <f>ROUND(J1129*L1129*12,2)</f>
        <v>57.01</v>
      </c>
      <c r="O1129" s="14"/>
      <c r="P1129" s="210" t="str">
        <f>VLOOKUP(C1129,'WO Descriptions'!$A$5:$D$384,4,FALSE)</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c r="Q1129" s="210"/>
      <c r="R1129" s="210"/>
    </row>
    <row r="1130" spans="1:18" ht="75" outlineLevel="2">
      <c r="A1130" s="14" t="s">
        <v>54</v>
      </c>
      <c r="B1130" s="15" t="s">
        <v>990</v>
      </c>
      <c r="C1130" s="15" t="s">
        <v>991</v>
      </c>
      <c r="D1130" s="14" t="s">
        <v>992</v>
      </c>
      <c r="E1130" s="15" t="s">
        <v>141</v>
      </c>
      <c r="F1130" s="14" t="s">
        <v>142</v>
      </c>
      <c r="G1130" s="15" t="s">
        <v>23</v>
      </c>
      <c r="H1130" s="15" t="s">
        <v>1525</v>
      </c>
      <c r="I1130" s="15">
        <v>201501</v>
      </c>
      <c r="J1130" s="16">
        <v>-180.44</v>
      </c>
      <c r="K1130" s="171">
        <f>VLOOKUP(I1130,$T$9:$U$23,2)</f>
        <v>5</v>
      </c>
      <c r="L1130" s="17">
        <v>1.4833299999999999E-3</v>
      </c>
      <c r="M1130" s="16">
        <f>ROUND(J1130*K1130*L1130,2)</f>
        <v>-1.34</v>
      </c>
      <c r="N1130" s="16">
        <f>ROUND(J1130*L1130*12,2)</f>
        <v>-3.21</v>
      </c>
      <c r="O1130" s="14"/>
      <c r="P1130" s="210" t="str">
        <f>VLOOKUP(C1130,'WO Descriptions'!$A$5:$D$384,4,FALSE)</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c r="Q1130" s="210"/>
      <c r="R1130" s="210"/>
    </row>
    <row r="1131" spans="1:18" ht="75" outlineLevel="2">
      <c r="A1131" s="14" t="s">
        <v>54</v>
      </c>
      <c r="B1131" s="15" t="s">
        <v>990</v>
      </c>
      <c r="C1131" s="15" t="s">
        <v>991</v>
      </c>
      <c r="D1131" s="14" t="s">
        <v>992</v>
      </c>
      <c r="E1131" s="15" t="s">
        <v>141</v>
      </c>
      <c r="F1131" s="14" t="s">
        <v>142</v>
      </c>
      <c r="G1131" s="15" t="s">
        <v>23</v>
      </c>
      <c r="H1131" s="15" t="s">
        <v>1525</v>
      </c>
      <c r="I1131" s="15">
        <v>201502</v>
      </c>
      <c r="J1131" s="16">
        <v>-113.84</v>
      </c>
      <c r="K1131" s="171">
        <f>VLOOKUP(I1131,$T$9:$U$23,2)</f>
        <v>4</v>
      </c>
      <c r="L1131" s="17">
        <v>1.4833299999999999E-3</v>
      </c>
      <c r="M1131" s="16">
        <f>ROUND(J1131*K1131*L1131,2)</f>
        <v>-0.68</v>
      </c>
      <c r="N1131" s="16">
        <f>ROUND(J1131*L1131*12,2)</f>
        <v>-2.0299999999999998</v>
      </c>
      <c r="O1131" s="14"/>
      <c r="P1131" s="210" t="str">
        <f>VLOOKUP(C1131,'WO Descriptions'!$A$5:$D$384,4,FALSE)</f>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
      <c r="Q1131" s="210"/>
      <c r="R1131" s="210"/>
    </row>
    <row r="1132" spans="1:18" outlineLevel="1">
      <c r="A1132" s="223"/>
      <c r="B1132" s="250"/>
      <c r="C1132" s="254" t="s">
        <v>2070</v>
      </c>
      <c r="D1132" s="223"/>
      <c r="E1132" s="250"/>
      <c r="F1132" s="223"/>
      <c r="G1132" s="250"/>
      <c r="H1132" s="250"/>
      <c r="I1132" s="250"/>
      <c r="J1132" s="251">
        <f>SUBTOTAL(9,J1127:J1131)</f>
        <v>118002.09</v>
      </c>
      <c r="K1132" s="252"/>
      <c r="L1132" s="253"/>
      <c r="M1132" s="251">
        <f>SUBTOTAL(9,M1127:M1131)</f>
        <v>1404.41</v>
      </c>
      <c r="N1132" s="251">
        <f>SUBTOTAL(9,N1127:N1131)</f>
        <v>2100.4299999999998</v>
      </c>
      <c r="O1132" s="223"/>
      <c r="P1132" s="210"/>
      <c r="Q1132" s="210" t="str">
        <f>VLOOKUP(C1132,'Descriptions Sorted by WO '!$A$5:$S$977,18,FALSE)</f>
        <v>393.1009 (5) (a) (b)</v>
      </c>
      <c r="R1132" s="210" t="str">
        <f>VLOOKUP(C1132,'Descriptions Sorted by WO '!$A$5:$S$977,19,FALSE)</f>
        <v>A,B,C,D,I</v>
      </c>
    </row>
    <row r="1133" spans="1:18" ht="120" outlineLevel="2">
      <c r="A1133" s="14" t="s">
        <v>17</v>
      </c>
      <c r="B1133" s="15" t="s">
        <v>2260</v>
      </c>
      <c r="C1133" s="15" t="s">
        <v>2261</v>
      </c>
      <c r="D1133" s="14" t="s">
        <v>2262</v>
      </c>
      <c r="E1133" s="15" t="s">
        <v>535</v>
      </c>
      <c r="F1133" s="14" t="s">
        <v>536</v>
      </c>
      <c r="G1133" s="15" t="s">
        <v>23</v>
      </c>
      <c r="H1133" s="15" t="s">
        <v>1525</v>
      </c>
      <c r="I1133" s="15">
        <v>201502</v>
      </c>
      <c r="J1133" s="16">
        <v>17732.099999999999</v>
      </c>
      <c r="K1133" s="171">
        <f>VLOOKUP(I1133,$T$9:$U$23,2)</f>
        <v>4</v>
      </c>
      <c r="L1133" s="17">
        <v>1.4833299999999999E-3</v>
      </c>
      <c r="M1133" s="16">
        <f>ROUND(J1133*K1133*L1133,2)</f>
        <v>105.21</v>
      </c>
      <c r="N1133" s="16">
        <f>ROUND(J1133*L1133*12,2)</f>
        <v>315.63</v>
      </c>
      <c r="O1133" s="14"/>
      <c r="P1133" s="210" t="str">
        <f>VLOOKUP(C1133,'WO Descriptions'!$A$5:$D$384,4,FALSE)</f>
        <v>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v>
      </c>
      <c r="Q1133" s="210"/>
      <c r="R1133" s="210"/>
    </row>
    <row r="1134" spans="1:18" outlineLevel="1">
      <c r="A1134" s="223"/>
      <c r="B1134" s="250"/>
      <c r="C1134" s="254" t="s">
        <v>2328</v>
      </c>
      <c r="D1134" s="223"/>
      <c r="E1134" s="250"/>
      <c r="F1134" s="223"/>
      <c r="G1134" s="250"/>
      <c r="H1134" s="250"/>
      <c r="I1134" s="250"/>
      <c r="J1134" s="251">
        <f>SUBTOTAL(9,J1133:J1133)</f>
        <v>17732.099999999999</v>
      </c>
      <c r="K1134" s="252"/>
      <c r="L1134" s="253"/>
      <c r="M1134" s="251">
        <f>SUBTOTAL(9,M1133:M1133)</f>
        <v>105.21</v>
      </c>
      <c r="N1134" s="251">
        <f>SUBTOTAL(9,N1133:N1133)</f>
        <v>315.63</v>
      </c>
      <c r="O1134" s="223"/>
      <c r="P1134" s="210"/>
      <c r="Q1134" s="210" t="s">
        <v>2097</v>
      </c>
      <c r="R1134" s="210" t="s">
        <v>2098</v>
      </c>
    </row>
    <row r="1135" spans="1:18" ht="45" outlineLevel="2">
      <c r="A1135" s="14" t="s">
        <v>54</v>
      </c>
      <c r="B1135" s="15" t="s">
        <v>993</v>
      </c>
      <c r="C1135" s="15" t="s">
        <v>994</v>
      </c>
      <c r="D1135" s="14" t="s">
        <v>995</v>
      </c>
      <c r="E1135" s="15" t="s">
        <v>40</v>
      </c>
      <c r="F1135" s="14" t="s">
        <v>41</v>
      </c>
      <c r="G1135" s="15" t="s">
        <v>23</v>
      </c>
      <c r="H1135" s="15" t="s">
        <v>1526</v>
      </c>
      <c r="I1135" s="15">
        <v>201411</v>
      </c>
      <c r="J1135" s="16">
        <v>19878.39</v>
      </c>
      <c r="K1135" s="171">
        <f>VLOOKUP(I1135,$T$9:$U$23,2)</f>
        <v>7</v>
      </c>
      <c r="L1135" s="17">
        <v>1.4833299999999999E-3</v>
      </c>
      <c r="M1135" s="16">
        <f>ROUND(J1135*K1135*L1135,2)</f>
        <v>206.4</v>
      </c>
      <c r="N1135" s="16">
        <f>ROUND(J1135*L1135*12,2)</f>
        <v>353.83</v>
      </c>
      <c r="O1135" s="14"/>
      <c r="P1135" s="210" t="str">
        <f>VLOOKUP(C1135,'WO Descriptions'!$A$5:$D$384,4,FALSE)</f>
        <v>Approved by: Gary Williams on 08/19/2014,  Cut and Cap 4'' PE running along bridge on Isley Blvd. Bore under creek along marietta to tie 4'' PE together. System C-009 20 psig MOP. MoDOT is doing work on the bridge along Isley Blvd. Construction is set to begin early 2015.</v>
      </c>
      <c r="Q1135" s="210"/>
      <c r="R1135" s="210"/>
    </row>
    <row r="1136" spans="1:18" ht="45" outlineLevel="2">
      <c r="A1136" s="14" t="s">
        <v>54</v>
      </c>
      <c r="B1136" s="15" t="s">
        <v>993</v>
      </c>
      <c r="C1136" s="15" t="s">
        <v>994</v>
      </c>
      <c r="D1136" s="14" t="s">
        <v>995</v>
      </c>
      <c r="E1136" s="15" t="s">
        <v>40</v>
      </c>
      <c r="F1136" s="14" t="s">
        <v>41</v>
      </c>
      <c r="G1136" s="15" t="s">
        <v>23</v>
      </c>
      <c r="H1136" s="15" t="s">
        <v>1526</v>
      </c>
      <c r="I1136" s="15">
        <v>201412</v>
      </c>
      <c r="J1136" s="16">
        <v>829.19</v>
      </c>
      <c r="K1136" s="171">
        <f>VLOOKUP(I1136,$T$9:$U$23,2)</f>
        <v>6</v>
      </c>
      <c r="L1136" s="17">
        <v>1.4833299999999999E-3</v>
      </c>
      <c r="M1136" s="16">
        <f>ROUND(J1136*K1136*L1136,2)</f>
        <v>7.38</v>
      </c>
      <c r="N1136" s="16">
        <f>ROUND(J1136*L1136*12,2)</f>
        <v>14.76</v>
      </c>
      <c r="O1136" s="14"/>
      <c r="P1136" s="210" t="str">
        <f>VLOOKUP(C1136,'WO Descriptions'!$A$5:$D$384,4,FALSE)</f>
        <v>Approved by: Gary Williams on 08/19/2014,  Cut and Cap 4'' PE running along bridge on Isley Blvd. Bore under creek along marietta to tie 4'' PE together. System C-009 20 psig MOP. MoDOT is doing work on the bridge along Isley Blvd. Construction is set to begin early 2015.</v>
      </c>
      <c r="Q1136" s="210"/>
      <c r="R1136" s="210"/>
    </row>
    <row r="1137" spans="1:18" s="243" customFormat="1" ht="45" outlineLevel="2">
      <c r="A1137" s="14" t="s">
        <v>54</v>
      </c>
      <c r="B1137" s="15" t="s">
        <v>993</v>
      </c>
      <c r="C1137" s="15" t="s">
        <v>994</v>
      </c>
      <c r="D1137" s="14" t="s">
        <v>995</v>
      </c>
      <c r="E1137" s="15" t="s">
        <v>40</v>
      </c>
      <c r="F1137" s="14" t="s">
        <v>41</v>
      </c>
      <c r="G1137" s="15" t="s">
        <v>23</v>
      </c>
      <c r="H1137" s="15" t="s">
        <v>1526</v>
      </c>
      <c r="I1137" s="15">
        <v>201501</v>
      </c>
      <c r="J1137" s="16">
        <v>-138.21</v>
      </c>
      <c r="K1137" s="171">
        <f>VLOOKUP(I1137,$T$9:$U$23,2)</f>
        <v>5</v>
      </c>
      <c r="L1137" s="17">
        <v>1.4833299999999999E-3</v>
      </c>
      <c r="M1137" s="16">
        <f>ROUND(J1137*K1137*L1137,2)</f>
        <v>-1.03</v>
      </c>
      <c r="N1137" s="16">
        <f>ROUND(J1137*L1137*12,2)</f>
        <v>-2.46</v>
      </c>
      <c r="O1137" s="14"/>
      <c r="P1137" s="210" t="str">
        <f>VLOOKUP(C1137,'WO Descriptions'!$A$5:$D$384,4,FALSE)</f>
        <v>Approved by: Gary Williams on 08/19/2014,  Cut and Cap 4'' PE running along bridge on Isley Blvd. Bore under creek along marietta to tie 4'' PE together. System C-009 20 psig MOP. MoDOT is doing work on the bridge along Isley Blvd. Construction is set to begin early 2015.</v>
      </c>
      <c r="Q1137" s="210"/>
      <c r="R1137" s="210"/>
    </row>
    <row r="1138" spans="1:18" ht="45" outlineLevel="2">
      <c r="A1138" s="14" t="s">
        <v>54</v>
      </c>
      <c r="B1138" s="15" t="s">
        <v>993</v>
      </c>
      <c r="C1138" s="15" t="s">
        <v>994</v>
      </c>
      <c r="D1138" s="14" t="s">
        <v>995</v>
      </c>
      <c r="E1138" s="15" t="s">
        <v>40</v>
      </c>
      <c r="F1138" s="14" t="s">
        <v>41</v>
      </c>
      <c r="G1138" s="15" t="s">
        <v>23</v>
      </c>
      <c r="H1138" s="15" t="s">
        <v>1526</v>
      </c>
      <c r="I1138" s="15">
        <v>201502</v>
      </c>
      <c r="J1138" s="16">
        <v>-312.37</v>
      </c>
      <c r="K1138" s="171">
        <f>VLOOKUP(I1138,$T$9:$U$23,2)</f>
        <v>4</v>
      </c>
      <c r="L1138" s="17">
        <v>1.4833299999999999E-3</v>
      </c>
      <c r="M1138" s="16">
        <f>ROUND(J1138*K1138*L1138,2)</f>
        <v>-1.85</v>
      </c>
      <c r="N1138" s="16">
        <f>ROUND(J1138*L1138*12,2)</f>
        <v>-5.56</v>
      </c>
      <c r="O1138" s="14"/>
      <c r="P1138" s="210" t="str">
        <f>VLOOKUP(C1138,'WO Descriptions'!$A$5:$D$384,4,FALSE)</f>
        <v>Approved by: Gary Williams on 08/19/2014,  Cut and Cap 4'' PE running along bridge on Isley Blvd. Bore under creek along marietta to tie 4'' PE together. System C-009 20 psig MOP. MoDOT is doing work on the bridge along Isley Blvd. Construction is set to begin early 2015.</v>
      </c>
      <c r="Q1138" s="210"/>
      <c r="R1138" s="210"/>
    </row>
    <row r="1139" spans="1:18" outlineLevel="1">
      <c r="A1139" s="223"/>
      <c r="B1139" s="250"/>
      <c r="C1139" s="254" t="s">
        <v>2071</v>
      </c>
      <c r="D1139" s="223"/>
      <c r="E1139" s="250"/>
      <c r="F1139" s="223"/>
      <c r="G1139" s="250"/>
      <c r="H1139" s="250"/>
      <c r="I1139" s="250"/>
      <c r="J1139" s="251">
        <f>SUBTOTAL(9,J1135:J1138)</f>
        <v>20257</v>
      </c>
      <c r="K1139" s="252"/>
      <c r="L1139" s="253"/>
      <c r="M1139" s="251">
        <f>SUBTOTAL(9,M1135:M1138)</f>
        <v>210.9</v>
      </c>
      <c r="N1139" s="251">
        <f>SUBTOTAL(9,N1135:N1138)</f>
        <v>360.57</v>
      </c>
      <c r="O1139" s="223"/>
      <c r="P1139" s="210"/>
      <c r="Q1139" s="210" t="str">
        <f>VLOOKUP(C1139,'Descriptions Sorted by WO '!$A$5:$S$977,18,FALSE)</f>
        <v>393.1009 (5) (C)</v>
      </c>
      <c r="R1139" s="210"/>
    </row>
    <row r="1140" spans="1:18" ht="75" outlineLevel="2">
      <c r="A1140" s="14" t="s">
        <v>54</v>
      </c>
      <c r="B1140" s="15" t="s">
        <v>996</v>
      </c>
      <c r="C1140" s="15" t="s">
        <v>997</v>
      </c>
      <c r="D1140" s="14" t="s">
        <v>998</v>
      </c>
      <c r="E1140" s="15" t="s">
        <v>27</v>
      </c>
      <c r="F1140" s="14" t="s">
        <v>28</v>
      </c>
      <c r="G1140" s="15" t="s">
        <v>23</v>
      </c>
      <c r="H1140" s="15" t="s">
        <v>1525</v>
      </c>
      <c r="I1140" s="15">
        <v>201411</v>
      </c>
      <c r="J1140" s="16">
        <v>20478.060000000001</v>
      </c>
      <c r="K1140" s="171">
        <f>VLOOKUP(I1140,$T$9:$U$23,2)</f>
        <v>7</v>
      </c>
      <c r="L1140" s="17">
        <v>1.4833299999999999E-3</v>
      </c>
      <c r="M1140" s="16">
        <f>ROUND(J1140*K1140*L1140,2)</f>
        <v>212.63</v>
      </c>
      <c r="N1140" s="16">
        <f>ROUND(J1140*L1140*12,2)</f>
        <v>364.51</v>
      </c>
      <c r="O1140" s="14"/>
      <c r="P1140" s="210" t="str">
        <f>VLOOKUP(C1140,'WO Descriptions'!$A$5:$D$384,4,FALSE)</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Q1140" s="210"/>
      <c r="R1140" s="210"/>
    </row>
    <row r="1141" spans="1:18" ht="75" outlineLevel="2">
      <c r="A1141" s="14" t="s">
        <v>54</v>
      </c>
      <c r="B1141" s="15" t="s">
        <v>996</v>
      </c>
      <c r="C1141" s="15" t="s">
        <v>997</v>
      </c>
      <c r="D1141" s="14" t="s">
        <v>998</v>
      </c>
      <c r="E1141" s="15" t="s">
        <v>27</v>
      </c>
      <c r="F1141" s="14" t="s">
        <v>28</v>
      </c>
      <c r="G1141" s="15" t="s">
        <v>23</v>
      </c>
      <c r="H1141" s="15" t="s">
        <v>1525</v>
      </c>
      <c r="I1141" s="15">
        <v>201412</v>
      </c>
      <c r="J1141" s="16">
        <v>-628.98</v>
      </c>
      <c r="K1141" s="171">
        <f>VLOOKUP(I1141,$T$9:$U$23,2)</f>
        <v>6</v>
      </c>
      <c r="L1141" s="17">
        <v>1.4833299999999999E-3</v>
      </c>
      <c r="M1141" s="16">
        <f>ROUND(J1141*K1141*L1141,2)</f>
        <v>-5.6</v>
      </c>
      <c r="N1141" s="16">
        <f>ROUND(J1141*L1141*12,2)</f>
        <v>-11.2</v>
      </c>
      <c r="O1141" s="14"/>
      <c r="P1141" s="210" t="str">
        <f>VLOOKUP(C1141,'WO Descriptions'!$A$5:$D$384,4,FALSE)</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Q1141" s="210"/>
      <c r="R1141" s="210"/>
    </row>
    <row r="1142" spans="1:18" ht="75" outlineLevel="2">
      <c r="A1142" s="14" t="s">
        <v>54</v>
      </c>
      <c r="B1142" s="15" t="s">
        <v>996</v>
      </c>
      <c r="C1142" s="15" t="s">
        <v>997</v>
      </c>
      <c r="D1142" s="14" t="s">
        <v>998</v>
      </c>
      <c r="E1142" s="15" t="s">
        <v>27</v>
      </c>
      <c r="F1142" s="14" t="s">
        <v>28</v>
      </c>
      <c r="G1142" s="15" t="s">
        <v>23</v>
      </c>
      <c r="H1142" s="15" t="s">
        <v>1525</v>
      </c>
      <c r="I1142" s="15">
        <v>201501</v>
      </c>
      <c r="J1142" s="16">
        <v>-127.94</v>
      </c>
      <c r="K1142" s="171">
        <f>VLOOKUP(I1142,$T$9:$U$23,2)</f>
        <v>5</v>
      </c>
      <c r="L1142" s="17">
        <v>1.4833299999999999E-3</v>
      </c>
      <c r="M1142" s="16">
        <f>ROUND(J1142*K1142*L1142,2)</f>
        <v>-0.95</v>
      </c>
      <c r="N1142" s="16">
        <f>ROUND(J1142*L1142*12,2)</f>
        <v>-2.2799999999999998</v>
      </c>
      <c r="O1142" s="14"/>
      <c r="P1142" s="210" t="str">
        <f>VLOOKUP(C1142,'WO Descriptions'!$A$5:$D$384,4,FALSE)</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Q1142" s="210"/>
      <c r="R1142" s="210"/>
    </row>
    <row r="1143" spans="1:18" ht="75" outlineLevel="2">
      <c r="A1143" s="14" t="s">
        <v>54</v>
      </c>
      <c r="B1143" s="15" t="s">
        <v>996</v>
      </c>
      <c r="C1143" s="15" t="s">
        <v>997</v>
      </c>
      <c r="D1143" s="14" t="s">
        <v>998</v>
      </c>
      <c r="E1143" s="15" t="s">
        <v>27</v>
      </c>
      <c r="F1143" s="14" t="s">
        <v>28</v>
      </c>
      <c r="G1143" s="15" t="s">
        <v>23</v>
      </c>
      <c r="H1143" s="15" t="s">
        <v>1525</v>
      </c>
      <c r="I1143" s="15">
        <v>201502</v>
      </c>
      <c r="J1143" s="16">
        <v>-355.29</v>
      </c>
      <c r="K1143" s="171">
        <f>VLOOKUP(I1143,$T$9:$U$23,2)</f>
        <v>4</v>
      </c>
      <c r="L1143" s="17">
        <v>1.4833299999999999E-3</v>
      </c>
      <c r="M1143" s="16">
        <f>ROUND(J1143*K1143*L1143,2)</f>
        <v>-2.11</v>
      </c>
      <c r="N1143" s="16">
        <f>ROUND(J1143*L1143*12,2)</f>
        <v>-6.32</v>
      </c>
      <c r="O1143" s="14"/>
      <c r="P1143" s="210" t="str">
        <f>VLOOKUP(C1143,'WO Descriptions'!$A$5:$D$384,4,FALSE)</f>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
      <c r="Q1143" s="210"/>
      <c r="R1143" s="210"/>
    </row>
    <row r="1144" spans="1:18" outlineLevel="1">
      <c r="A1144" s="223"/>
      <c r="B1144" s="250"/>
      <c r="C1144" s="254" t="s">
        <v>2072</v>
      </c>
      <c r="D1144" s="223"/>
      <c r="E1144" s="250"/>
      <c r="F1144" s="223"/>
      <c r="G1144" s="250"/>
      <c r="H1144" s="250"/>
      <c r="I1144" s="250"/>
      <c r="J1144" s="251">
        <f>SUBTOTAL(9,J1140:J1143)</f>
        <v>19365.850000000002</v>
      </c>
      <c r="K1144" s="252"/>
      <c r="L1144" s="253"/>
      <c r="M1144" s="251">
        <f>SUBTOTAL(9,M1140:M1143)</f>
        <v>203.97</v>
      </c>
      <c r="N1144" s="251">
        <f>SUBTOTAL(9,N1140:N1143)</f>
        <v>344.71000000000004</v>
      </c>
      <c r="O1144" s="223"/>
      <c r="P1144" s="210"/>
      <c r="Q1144" s="210" t="str">
        <f>VLOOKUP(C1144,'Descriptions Sorted by WO '!$A$5:$S$977,18,FALSE)</f>
        <v>393.1009 (5) (a) (b)</v>
      </c>
      <c r="R1144" s="210" t="str">
        <f>VLOOKUP(C1144,'Descriptions Sorted by WO '!$A$5:$S$977,19,FALSE)</f>
        <v>A,B</v>
      </c>
    </row>
    <row r="1145" spans="1:18" ht="90" outlineLevel="2">
      <c r="A1145" s="14" t="s">
        <v>17</v>
      </c>
      <c r="B1145" s="15" t="s">
        <v>2263</v>
      </c>
      <c r="C1145" s="15" t="s">
        <v>2264</v>
      </c>
      <c r="D1145" s="14" t="s">
        <v>2265</v>
      </c>
      <c r="E1145" s="15" t="s">
        <v>324</v>
      </c>
      <c r="F1145" s="14" t="s">
        <v>325</v>
      </c>
      <c r="G1145" s="15" t="s">
        <v>23</v>
      </c>
      <c r="H1145" s="15" t="s">
        <v>1525</v>
      </c>
      <c r="I1145" s="15">
        <v>201502</v>
      </c>
      <c r="J1145" s="16">
        <v>19096.580000000002</v>
      </c>
      <c r="K1145" s="171">
        <f>VLOOKUP(I1145,$T$9:$U$23,2)</f>
        <v>4</v>
      </c>
      <c r="L1145" s="17">
        <v>1.4833299999999999E-3</v>
      </c>
      <c r="M1145" s="16">
        <f>ROUND(J1145*K1145*L1145,2)</f>
        <v>113.31</v>
      </c>
      <c r="N1145" s="16">
        <f>ROUND(J1145*L1145*12,2)</f>
        <v>339.92</v>
      </c>
      <c r="O1145" s="14"/>
      <c r="P1145" s="210" t="str">
        <f>VLOOKUP(C1145,'WO Descriptions'!$A$5:$D$384,4,FALSE)</f>
        <v>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v>
      </c>
      <c r="Q1145" s="210"/>
      <c r="R1145" s="210"/>
    </row>
    <row r="1146" spans="1:18" outlineLevel="1">
      <c r="A1146" s="223"/>
      <c r="B1146" s="250"/>
      <c r="C1146" s="254" t="s">
        <v>2329</v>
      </c>
      <c r="D1146" s="223"/>
      <c r="E1146" s="250"/>
      <c r="F1146" s="223"/>
      <c r="G1146" s="250"/>
      <c r="H1146" s="250"/>
      <c r="I1146" s="250"/>
      <c r="J1146" s="251">
        <f>SUBTOTAL(9,J1145:J1145)</f>
        <v>19096.580000000002</v>
      </c>
      <c r="K1146" s="252"/>
      <c r="L1146" s="253"/>
      <c r="M1146" s="251">
        <f>SUBTOTAL(9,M1145:M1145)</f>
        <v>113.31</v>
      </c>
      <c r="N1146" s="251">
        <f>SUBTOTAL(9,N1145:N1145)</f>
        <v>339.92</v>
      </c>
      <c r="O1146" s="223"/>
      <c r="P1146" s="210"/>
      <c r="Q1146" s="210" t="s">
        <v>2097</v>
      </c>
      <c r="R1146" s="210" t="s">
        <v>2098</v>
      </c>
    </row>
    <row r="1147" spans="1:18" ht="105" outlineLevel="2">
      <c r="A1147" s="14" t="s">
        <v>17</v>
      </c>
      <c r="B1147" s="15" t="s">
        <v>1063</v>
      </c>
      <c r="C1147" s="15" t="s">
        <v>1064</v>
      </c>
      <c r="D1147" s="14" t="s">
        <v>1065</v>
      </c>
      <c r="E1147" s="15" t="s">
        <v>125</v>
      </c>
      <c r="F1147" s="14" t="s">
        <v>126</v>
      </c>
      <c r="G1147" s="15" t="s">
        <v>23</v>
      </c>
      <c r="H1147" s="15" t="s">
        <v>1525</v>
      </c>
      <c r="I1147" s="15">
        <v>201412</v>
      </c>
      <c r="J1147" s="16">
        <v>21760.85</v>
      </c>
      <c r="K1147" s="171">
        <f>VLOOKUP(I1147,$T$9:$U$23,2)</f>
        <v>6</v>
      </c>
      <c r="L1147" s="17">
        <v>1.4833299999999999E-3</v>
      </c>
      <c r="M1147" s="16">
        <f>ROUND(J1147*K1147*L1147,2)</f>
        <v>193.67</v>
      </c>
      <c r="N1147" s="16">
        <f>ROUND(J1147*L1147*12,2)</f>
        <v>387.34</v>
      </c>
      <c r="O1147" s="14"/>
      <c r="P1147" s="210" t="str">
        <f>VLOOKUP(C1147,'WO Descriptions'!$A$5:$D$384,4,FALSE)</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c r="Q1147" s="210"/>
      <c r="R1147" s="210"/>
    </row>
    <row r="1148" spans="1:18" ht="105" outlineLevel="2">
      <c r="A1148" s="14" t="s">
        <v>17</v>
      </c>
      <c r="B1148" s="15" t="s">
        <v>1063</v>
      </c>
      <c r="C1148" s="15" t="s">
        <v>1064</v>
      </c>
      <c r="D1148" s="14" t="s">
        <v>1065</v>
      </c>
      <c r="E1148" s="15" t="s">
        <v>125</v>
      </c>
      <c r="F1148" s="14" t="s">
        <v>126</v>
      </c>
      <c r="G1148" s="15" t="s">
        <v>23</v>
      </c>
      <c r="H1148" s="15" t="s">
        <v>1525</v>
      </c>
      <c r="I1148" s="15">
        <v>201501</v>
      </c>
      <c r="J1148" s="16">
        <v>-4051.45</v>
      </c>
      <c r="K1148" s="171">
        <f>VLOOKUP(I1148,$T$9:$U$23,2)</f>
        <v>5</v>
      </c>
      <c r="L1148" s="17">
        <v>1.4833299999999999E-3</v>
      </c>
      <c r="M1148" s="16">
        <f>ROUND(J1148*K1148*L1148,2)</f>
        <v>-30.05</v>
      </c>
      <c r="N1148" s="16">
        <f>ROUND(J1148*L1148*12,2)</f>
        <v>-72.12</v>
      </c>
      <c r="O1148" s="14"/>
      <c r="P1148" s="210" t="str">
        <f>VLOOKUP(C1148,'WO Descriptions'!$A$5:$D$384,4,FALSE)</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c r="Q1148" s="210"/>
      <c r="R1148" s="210"/>
    </row>
    <row r="1149" spans="1:18" ht="105" outlineLevel="2">
      <c r="A1149" s="14" t="s">
        <v>17</v>
      </c>
      <c r="B1149" s="15" t="s">
        <v>1063</v>
      </c>
      <c r="C1149" s="15" t="s">
        <v>1064</v>
      </c>
      <c r="D1149" s="14" t="s">
        <v>1065</v>
      </c>
      <c r="E1149" s="15" t="s">
        <v>125</v>
      </c>
      <c r="F1149" s="14" t="s">
        <v>126</v>
      </c>
      <c r="G1149" s="15" t="s">
        <v>23</v>
      </c>
      <c r="H1149" s="15" t="s">
        <v>1525</v>
      </c>
      <c r="I1149" s="15">
        <v>201502</v>
      </c>
      <c r="J1149" s="16">
        <v>2666.26</v>
      </c>
      <c r="K1149" s="171">
        <f>VLOOKUP(I1149,$T$9:$U$23,2)</f>
        <v>4</v>
      </c>
      <c r="L1149" s="17">
        <v>1.4833299999999999E-3</v>
      </c>
      <c r="M1149" s="16">
        <f>ROUND(J1149*K1149*L1149,2)</f>
        <v>15.82</v>
      </c>
      <c r="N1149" s="16">
        <f>ROUND(J1149*L1149*12,2)</f>
        <v>47.46</v>
      </c>
      <c r="O1149" s="14"/>
      <c r="P1149" s="210" t="str">
        <f>VLOOKUP(C1149,'WO Descriptions'!$A$5:$D$384,4,FALSE)</f>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
      <c r="Q1149" s="210"/>
      <c r="R1149" s="210"/>
    </row>
    <row r="1150" spans="1:18" outlineLevel="1">
      <c r="A1150" s="223"/>
      <c r="B1150" s="250"/>
      <c r="C1150" s="254" t="s">
        <v>2073</v>
      </c>
      <c r="D1150" s="223"/>
      <c r="E1150" s="250"/>
      <c r="F1150" s="223"/>
      <c r="G1150" s="250"/>
      <c r="H1150" s="250"/>
      <c r="I1150" s="250"/>
      <c r="J1150" s="251">
        <f>SUBTOTAL(9,J1147:J1149)</f>
        <v>20375.659999999996</v>
      </c>
      <c r="K1150" s="252"/>
      <c r="L1150" s="253"/>
      <c r="M1150" s="251">
        <f>SUBTOTAL(9,M1147:M1149)</f>
        <v>179.43999999999997</v>
      </c>
      <c r="N1150" s="251">
        <f>SUBTOTAL(9,N1147:N1149)</f>
        <v>362.67999999999995</v>
      </c>
      <c r="O1150" s="223"/>
      <c r="P1150" s="210"/>
      <c r="Q1150" s="210" t="str">
        <f>VLOOKUP(C1150,'Descriptions Sorted by WO '!$A$5:$S$977,18,FALSE)</f>
        <v>393.1009 (5) (a), (b)</v>
      </c>
      <c r="R1150" s="210" t="str">
        <f>VLOOKUP(C1150,'Descriptions Sorted by WO '!$A$5:$S$977,19,FALSE)</f>
        <v>A, B, E</v>
      </c>
    </row>
    <row r="1151" spans="1:18" ht="60" outlineLevel="2">
      <c r="A1151" s="14" t="s">
        <v>17</v>
      </c>
      <c r="B1151" s="15" t="s">
        <v>999</v>
      </c>
      <c r="C1151" s="15" t="s">
        <v>1000</v>
      </c>
      <c r="D1151" s="14" t="s">
        <v>1001</v>
      </c>
      <c r="E1151" s="15" t="s">
        <v>176</v>
      </c>
      <c r="F1151" s="14" t="s">
        <v>28</v>
      </c>
      <c r="G1151" s="15" t="s">
        <v>23</v>
      </c>
      <c r="H1151" s="15" t="s">
        <v>1525</v>
      </c>
      <c r="I1151" s="15">
        <v>201409</v>
      </c>
      <c r="J1151" s="16">
        <v>167.22</v>
      </c>
      <c r="K1151" s="171">
        <f t="shared" ref="K1151:K1156" si="135">VLOOKUP(I1151,$T$9:$U$23,2)</f>
        <v>9</v>
      </c>
      <c r="L1151" s="17">
        <v>1.4833299999999999E-3</v>
      </c>
      <c r="M1151" s="16">
        <f t="shared" ref="M1151:M1156" si="136">ROUND(J1151*K1151*L1151,2)</f>
        <v>2.23</v>
      </c>
      <c r="N1151" s="16">
        <f t="shared" ref="N1151:N1156" si="137">ROUND(J1151*L1151*12,2)</f>
        <v>2.98</v>
      </c>
      <c r="O1151" s="14"/>
      <c r="P1151" s="210" t="str">
        <f>VLOOKUP(C1151,'WO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1" s="210"/>
      <c r="R1151" s="210"/>
    </row>
    <row r="1152" spans="1:18" ht="60" outlineLevel="2">
      <c r="A1152" s="14" t="s">
        <v>17</v>
      </c>
      <c r="B1152" s="15" t="s">
        <v>999</v>
      </c>
      <c r="C1152" s="15" t="s">
        <v>1000</v>
      </c>
      <c r="D1152" s="14" t="s">
        <v>1001</v>
      </c>
      <c r="E1152" s="15" t="s">
        <v>176</v>
      </c>
      <c r="F1152" s="14" t="s">
        <v>28</v>
      </c>
      <c r="G1152" s="15" t="s">
        <v>23</v>
      </c>
      <c r="H1152" s="15" t="s">
        <v>1525</v>
      </c>
      <c r="I1152" s="15">
        <v>201410</v>
      </c>
      <c r="J1152" s="16">
        <v>2626.89</v>
      </c>
      <c r="K1152" s="171">
        <f t="shared" si="135"/>
        <v>8</v>
      </c>
      <c r="L1152" s="17">
        <v>1.4833299999999999E-3</v>
      </c>
      <c r="M1152" s="16">
        <f t="shared" si="136"/>
        <v>31.17</v>
      </c>
      <c r="N1152" s="16">
        <f t="shared" si="137"/>
        <v>46.76</v>
      </c>
      <c r="O1152" s="14"/>
      <c r="P1152" s="210" t="str">
        <f>VLOOKUP(C1152,'WO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2" s="210"/>
      <c r="R1152" s="210"/>
    </row>
    <row r="1153" spans="1:18" ht="60" outlineLevel="2">
      <c r="A1153" s="14" t="s">
        <v>17</v>
      </c>
      <c r="B1153" s="15" t="s">
        <v>999</v>
      </c>
      <c r="C1153" s="15" t="s">
        <v>1000</v>
      </c>
      <c r="D1153" s="14" t="s">
        <v>1001</v>
      </c>
      <c r="E1153" s="15" t="s">
        <v>176</v>
      </c>
      <c r="F1153" s="14" t="s">
        <v>28</v>
      </c>
      <c r="G1153" s="15" t="s">
        <v>23</v>
      </c>
      <c r="H1153" s="15" t="s">
        <v>1525</v>
      </c>
      <c r="I1153" s="15">
        <v>201411</v>
      </c>
      <c r="J1153" s="16">
        <v>-626</v>
      </c>
      <c r="K1153" s="171">
        <f t="shared" si="135"/>
        <v>7</v>
      </c>
      <c r="L1153" s="17">
        <v>1.4833299999999999E-3</v>
      </c>
      <c r="M1153" s="16">
        <f t="shared" si="136"/>
        <v>-6.5</v>
      </c>
      <c r="N1153" s="16">
        <f t="shared" si="137"/>
        <v>-11.14</v>
      </c>
      <c r="O1153" s="14"/>
      <c r="P1153" s="210" t="str">
        <f>VLOOKUP(C1153,'WO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3" s="210"/>
      <c r="R1153" s="210"/>
    </row>
    <row r="1154" spans="1:18" ht="60" outlineLevel="2">
      <c r="A1154" s="14" t="s">
        <v>17</v>
      </c>
      <c r="B1154" s="15" t="s">
        <v>999</v>
      </c>
      <c r="C1154" s="15" t="s">
        <v>1000</v>
      </c>
      <c r="D1154" s="14" t="s">
        <v>1001</v>
      </c>
      <c r="E1154" s="15" t="s">
        <v>176</v>
      </c>
      <c r="F1154" s="14" t="s">
        <v>28</v>
      </c>
      <c r="G1154" s="15" t="s">
        <v>23</v>
      </c>
      <c r="H1154" s="15" t="s">
        <v>1525</v>
      </c>
      <c r="I1154" s="15">
        <v>201412</v>
      </c>
      <c r="J1154" s="16">
        <v>203.95</v>
      </c>
      <c r="K1154" s="171">
        <f t="shared" si="135"/>
        <v>6</v>
      </c>
      <c r="L1154" s="17">
        <v>1.4833299999999999E-3</v>
      </c>
      <c r="M1154" s="16">
        <f t="shared" si="136"/>
        <v>1.82</v>
      </c>
      <c r="N1154" s="16">
        <f t="shared" si="137"/>
        <v>3.63</v>
      </c>
      <c r="O1154" s="14"/>
      <c r="P1154" s="210" t="str">
        <f>VLOOKUP(C1154,'WO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4" s="210"/>
      <c r="R1154" s="210"/>
    </row>
    <row r="1155" spans="1:18" ht="60" outlineLevel="2">
      <c r="A1155" s="14" t="s">
        <v>17</v>
      </c>
      <c r="B1155" s="15" t="s">
        <v>999</v>
      </c>
      <c r="C1155" s="15" t="s">
        <v>1000</v>
      </c>
      <c r="D1155" s="14" t="s">
        <v>1001</v>
      </c>
      <c r="E1155" s="15" t="s">
        <v>176</v>
      </c>
      <c r="F1155" s="14" t="s">
        <v>28</v>
      </c>
      <c r="G1155" s="15" t="s">
        <v>23</v>
      </c>
      <c r="H1155" s="15" t="s">
        <v>1525</v>
      </c>
      <c r="I1155" s="15">
        <v>201501</v>
      </c>
      <c r="J1155" s="16">
        <v>-35.4</v>
      </c>
      <c r="K1155" s="171">
        <f t="shared" si="135"/>
        <v>5</v>
      </c>
      <c r="L1155" s="17">
        <v>1.4833299999999999E-3</v>
      </c>
      <c r="M1155" s="16">
        <f t="shared" si="136"/>
        <v>-0.26</v>
      </c>
      <c r="N1155" s="16">
        <f t="shared" si="137"/>
        <v>-0.63</v>
      </c>
      <c r="O1155" s="14"/>
      <c r="P1155" s="210" t="str">
        <f>VLOOKUP(C1155,'WO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5" s="210"/>
      <c r="R1155" s="210"/>
    </row>
    <row r="1156" spans="1:18" ht="60" outlineLevel="2">
      <c r="A1156" s="14" t="s">
        <v>17</v>
      </c>
      <c r="B1156" s="15" t="s">
        <v>999</v>
      </c>
      <c r="C1156" s="15" t="s">
        <v>1000</v>
      </c>
      <c r="D1156" s="14" t="s">
        <v>1001</v>
      </c>
      <c r="E1156" s="15" t="s">
        <v>176</v>
      </c>
      <c r="F1156" s="14" t="s">
        <v>28</v>
      </c>
      <c r="G1156" s="15" t="s">
        <v>23</v>
      </c>
      <c r="H1156" s="15" t="s">
        <v>1525</v>
      </c>
      <c r="I1156" s="15">
        <v>201502</v>
      </c>
      <c r="J1156" s="16">
        <v>-82.2</v>
      </c>
      <c r="K1156" s="171">
        <f t="shared" si="135"/>
        <v>4</v>
      </c>
      <c r="L1156" s="17">
        <v>1.4833299999999999E-3</v>
      </c>
      <c r="M1156" s="16">
        <f t="shared" si="136"/>
        <v>-0.49</v>
      </c>
      <c r="N1156" s="16">
        <f t="shared" si="137"/>
        <v>-1.46</v>
      </c>
      <c r="O1156" s="14"/>
      <c r="P1156" s="210" t="str">
        <f>VLOOKUP(C1156,'WO Descriptions'!$A$5:$D$384,4,FALSE)</f>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
      <c r="Q1156" s="210"/>
      <c r="R1156" s="210"/>
    </row>
    <row r="1157" spans="1:18" outlineLevel="1">
      <c r="A1157" s="223"/>
      <c r="B1157" s="250"/>
      <c r="C1157" s="254" t="s">
        <v>2074</v>
      </c>
      <c r="D1157" s="223"/>
      <c r="E1157" s="250"/>
      <c r="F1157" s="223"/>
      <c r="G1157" s="250"/>
      <c r="H1157" s="250"/>
      <c r="I1157" s="250"/>
      <c r="J1157" s="251">
        <f>SUBTOTAL(9,J1151:J1156)</f>
        <v>2254.4599999999996</v>
      </c>
      <c r="K1157" s="252"/>
      <c r="L1157" s="253"/>
      <c r="M1157" s="251">
        <f>SUBTOTAL(9,M1151:M1156)</f>
        <v>27.97</v>
      </c>
      <c r="N1157" s="251">
        <f>SUBTOTAL(9,N1151:N1156)</f>
        <v>40.139999999999993</v>
      </c>
      <c r="O1157" s="223"/>
      <c r="P1157" s="210"/>
      <c r="Q1157" s="210" t="str">
        <f>VLOOKUP(C1157,'Descriptions Sorted by WO '!$A$5:$S$977,18,FALSE)</f>
        <v>393.1009 (5) (a) (b)</v>
      </c>
      <c r="R1157" s="210" t="str">
        <f>VLOOKUP(C1157,'Descriptions Sorted by WO '!$A$5:$S$977,19,FALSE)</f>
        <v>A,B</v>
      </c>
    </row>
    <row r="1158" spans="1:18" ht="120" outlineLevel="2">
      <c r="A1158" s="14" t="s">
        <v>17</v>
      </c>
      <c r="B1158" s="15" t="s">
        <v>2266</v>
      </c>
      <c r="C1158" s="15" t="s">
        <v>1739</v>
      </c>
      <c r="D1158" s="14" t="s">
        <v>1740</v>
      </c>
      <c r="E1158" s="15" t="s">
        <v>324</v>
      </c>
      <c r="F1158" s="14" t="s">
        <v>325</v>
      </c>
      <c r="G1158" s="15" t="s">
        <v>23</v>
      </c>
      <c r="H1158" s="15" t="s">
        <v>1525</v>
      </c>
      <c r="I1158" s="15">
        <v>201502</v>
      </c>
      <c r="J1158" s="16">
        <v>19268.349999999999</v>
      </c>
      <c r="K1158" s="171">
        <f>VLOOKUP(I1158,$T$9:$U$23,2)</f>
        <v>4</v>
      </c>
      <c r="L1158" s="17">
        <v>1.4833299999999999E-3</v>
      </c>
      <c r="M1158" s="16">
        <f>ROUND(J1158*K1158*L1158,2)</f>
        <v>114.33</v>
      </c>
      <c r="N1158" s="16">
        <f>ROUND(J1158*L1158*12,2)</f>
        <v>342.98</v>
      </c>
      <c r="O1158" s="14"/>
      <c r="P1158" s="210" t="str">
        <f>VLOOKUP(C1158,'WO Descriptions'!$A$5:$D$384,4,FALSE)</f>
        <v>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v>
      </c>
      <c r="Q1158" s="210"/>
      <c r="R1158" s="210"/>
    </row>
    <row r="1159" spans="1:18" outlineLevel="1">
      <c r="A1159" s="223"/>
      <c r="B1159" s="250"/>
      <c r="C1159" s="254" t="s">
        <v>2330</v>
      </c>
      <c r="D1159" s="223"/>
      <c r="E1159" s="250"/>
      <c r="F1159" s="223"/>
      <c r="G1159" s="250"/>
      <c r="H1159" s="250"/>
      <c r="I1159" s="250"/>
      <c r="J1159" s="251">
        <f>SUBTOTAL(9,J1158:J1158)</f>
        <v>19268.349999999999</v>
      </c>
      <c r="K1159" s="252"/>
      <c r="L1159" s="253"/>
      <c r="M1159" s="251">
        <f>SUBTOTAL(9,M1158:M1158)</f>
        <v>114.33</v>
      </c>
      <c r="N1159" s="251">
        <f>SUBTOTAL(9,N1158:N1158)</f>
        <v>342.98</v>
      </c>
      <c r="O1159" s="223"/>
      <c r="P1159" s="210"/>
      <c r="Q1159" s="210" t="s">
        <v>2097</v>
      </c>
      <c r="R1159" s="210" t="s">
        <v>2099</v>
      </c>
    </row>
    <row r="1160" spans="1:18" ht="75" outlineLevel="2">
      <c r="A1160" s="14" t="s">
        <v>54</v>
      </c>
      <c r="B1160" s="15" t="s">
        <v>1002</v>
      </c>
      <c r="C1160" s="15" t="s">
        <v>1003</v>
      </c>
      <c r="D1160" s="14" t="s">
        <v>1004</v>
      </c>
      <c r="E1160" s="15" t="s">
        <v>216</v>
      </c>
      <c r="F1160" s="14" t="s">
        <v>22</v>
      </c>
      <c r="G1160" s="15" t="s">
        <v>23</v>
      </c>
      <c r="H1160" s="15" t="s">
        <v>1525</v>
      </c>
      <c r="I1160" s="15">
        <v>201411</v>
      </c>
      <c r="J1160" s="16">
        <v>19239.02</v>
      </c>
      <c r="K1160" s="171">
        <f>VLOOKUP(I1160,$T$9:$U$23,2)</f>
        <v>7</v>
      </c>
      <c r="L1160" s="17">
        <v>1.4833299999999999E-3</v>
      </c>
      <c r="M1160" s="16">
        <f>ROUND(J1160*K1160*L1160,2)</f>
        <v>199.76</v>
      </c>
      <c r="N1160" s="16">
        <f>ROUND(J1160*L1160*12,2)</f>
        <v>342.45</v>
      </c>
      <c r="O1160" s="14"/>
      <c r="P1160" s="210" t="str">
        <f>VLOOKUP(C1160,'WO Descriptions'!$A$5:$D$384,4,FALSE)</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c r="Q1160" s="210"/>
      <c r="R1160" s="210"/>
    </row>
    <row r="1161" spans="1:18" ht="75" outlineLevel="2">
      <c r="A1161" s="14" t="s">
        <v>54</v>
      </c>
      <c r="B1161" s="15" t="s">
        <v>1002</v>
      </c>
      <c r="C1161" s="15" t="s">
        <v>1003</v>
      </c>
      <c r="D1161" s="14" t="s">
        <v>1004</v>
      </c>
      <c r="E1161" s="15" t="s">
        <v>216</v>
      </c>
      <c r="F1161" s="14" t="s">
        <v>22</v>
      </c>
      <c r="G1161" s="15" t="s">
        <v>23</v>
      </c>
      <c r="H1161" s="15" t="s">
        <v>1525</v>
      </c>
      <c r="I1161" s="15">
        <v>201412</v>
      </c>
      <c r="J1161" s="16">
        <v>2460.33</v>
      </c>
      <c r="K1161" s="171">
        <f>VLOOKUP(I1161,$T$9:$U$23,2)</f>
        <v>6</v>
      </c>
      <c r="L1161" s="17">
        <v>1.4833299999999999E-3</v>
      </c>
      <c r="M1161" s="16">
        <f>ROUND(J1161*K1161*L1161,2)</f>
        <v>21.9</v>
      </c>
      <c r="N1161" s="16">
        <f>ROUND(J1161*L1161*12,2)</f>
        <v>43.79</v>
      </c>
      <c r="O1161" s="14"/>
      <c r="P1161" s="210" t="str">
        <f>VLOOKUP(C1161,'WO Descriptions'!$A$5:$D$384,4,FALSE)</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c r="Q1161" s="210"/>
      <c r="R1161" s="210"/>
    </row>
    <row r="1162" spans="1:18" ht="75" outlineLevel="2">
      <c r="A1162" s="14" t="s">
        <v>54</v>
      </c>
      <c r="B1162" s="15" t="s">
        <v>1002</v>
      </c>
      <c r="C1162" s="15" t="s">
        <v>1003</v>
      </c>
      <c r="D1162" s="14" t="s">
        <v>1004</v>
      </c>
      <c r="E1162" s="15" t="s">
        <v>216</v>
      </c>
      <c r="F1162" s="14" t="s">
        <v>22</v>
      </c>
      <c r="G1162" s="15" t="s">
        <v>23</v>
      </c>
      <c r="H1162" s="15" t="s">
        <v>1525</v>
      </c>
      <c r="I1162" s="15">
        <v>201501</v>
      </c>
      <c r="J1162" s="16">
        <v>-2560.84</v>
      </c>
      <c r="K1162" s="171">
        <f>VLOOKUP(I1162,$T$9:$U$23,2)</f>
        <v>5</v>
      </c>
      <c r="L1162" s="17">
        <v>1.4833299999999999E-3</v>
      </c>
      <c r="M1162" s="16">
        <f>ROUND(J1162*K1162*L1162,2)</f>
        <v>-18.989999999999998</v>
      </c>
      <c r="N1162" s="16">
        <f>ROUND(J1162*L1162*12,2)</f>
        <v>-45.58</v>
      </c>
      <c r="O1162" s="14"/>
      <c r="P1162" s="210" t="str">
        <f>VLOOKUP(C1162,'WO Descriptions'!$A$5:$D$384,4,FALSE)</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c r="Q1162" s="210"/>
      <c r="R1162" s="210"/>
    </row>
    <row r="1163" spans="1:18" ht="75" outlineLevel="2">
      <c r="A1163" s="14" t="s">
        <v>54</v>
      </c>
      <c r="B1163" s="15" t="s">
        <v>1002</v>
      </c>
      <c r="C1163" s="15" t="s">
        <v>1003</v>
      </c>
      <c r="D1163" s="14" t="s">
        <v>1004</v>
      </c>
      <c r="E1163" s="15" t="s">
        <v>216</v>
      </c>
      <c r="F1163" s="14" t="s">
        <v>22</v>
      </c>
      <c r="G1163" s="15" t="s">
        <v>23</v>
      </c>
      <c r="H1163" s="15" t="s">
        <v>1525</v>
      </c>
      <c r="I1163" s="15">
        <v>201502</v>
      </c>
      <c r="J1163" s="16">
        <v>-420.75</v>
      </c>
      <c r="K1163" s="171">
        <f>VLOOKUP(I1163,$T$9:$U$23,2)</f>
        <v>4</v>
      </c>
      <c r="L1163" s="17">
        <v>1.4833299999999999E-3</v>
      </c>
      <c r="M1163" s="16">
        <f>ROUND(J1163*K1163*L1163,2)</f>
        <v>-2.5</v>
      </c>
      <c r="N1163" s="16">
        <f>ROUND(J1163*L1163*12,2)</f>
        <v>-7.49</v>
      </c>
      <c r="O1163" s="14"/>
      <c r="P1163" s="210" t="str">
        <f>VLOOKUP(C1163,'WO Descriptions'!$A$5:$D$384,4,FALSE)</f>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
      <c r="Q1163" s="210"/>
      <c r="R1163" s="210"/>
    </row>
    <row r="1164" spans="1:18" outlineLevel="1">
      <c r="A1164" s="223"/>
      <c r="B1164" s="250"/>
      <c r="C1164" s="254" t="s">
        <v>2075</v>
      </c>
      <c r="D1164" s="223"/>
      <c r="E1164" s="250"/>
      <c r="F1164" s="223"/>
      <c r="G1164" s="250"/>
      <c r="H1164" s="250"/>
      <c r="I1164" s="250"/>
      <c r="J1164" s="251">
        <f>SUBTOTAL(9,J1160:J1163)</f>
        <v>18717.759999999998</v>
      </c>
      <c r="K1164" s="252"/>
      <c r="L1164" s="253"/>
      <c r="M1164" s="251">
        <f>SUBTOTAL(9,M1160:M1163)</f>
        <v>200.17</v>
      </c>
      <c r="N1164" s="251">
        <f>SUBTOTAL(9,N1160:N1163)</f>
        <v>333.17</v>
      </c>
      <c r="O1164" s="223"/>
      <c r="P1164" s="210"/>
      <c r="Q1164" s="210" t="str">
        <f>VLOOKUP(C1164,'Descriptions Sorted by WO '!$A$5:$S$977,18,FALSE)</f>
        <v>393.1009 (5) (a) (b)</v>
      </c>
      <c r="R1164" s="210" t="str">
        <f>VLOOKUP(C1164,'Descriptions Sorted by WO '!$A$5:$S$977,19,FALSE)</f>
        <v>A,B,C</v>
      </c>
    </row>
    <row r="1165" spans="1:18" ht="45" outlineLevel="2">
      <c r="A1165" s="14" t="s">
        <v>54</v>
      </c>
      <c r="B1165" s="15" t="s">
        <v>1005</v>
      </c>
      <c r="C1165" s="15" t="s">
        <v>1006</v>
      </c>
      <c r="D1165" s="14" t="s">
        <v>1007</v>
      </c>
      <c r="E1165" s="15" t="s">
        <v>141</v>
      </c>
      <c r="F1165" s="14" t="s">
        <v>142</v>
      </c>
      <c r="G1165" s="15" t="s">
        <v>23</v>
      </c>
      <c r="H1165" s="15" t="s">
        <v>1525</v>
      </c>
      <c r="I1165" s="15">
        <v>201410</v>
      </c>
      <c r="J1165" s="16">
        <v>28474.67</v>
      </c>
      <c r="K1165" s="171">
        <f>VLOOKUP(I1165,$T$9:$U$23,2)</f>
        <v>8</v>
      </c>
      <c r="L1165" s="17">
        <v>1.4833299999999999E-3</v>
      </c>
      <c r="M1165" s="16">
        <f>ROUND(J1165*K1165*L1165,2)</f>
        <v>337.9</v>
      </c>
      <c r="N1165" s="16">
        <f>ROUND(J1165*L1165*12,2)</f>
        <v>506.85</v>
      </c>
      <c r="O1165" s="14"/>
      <c r="P1165" s="210" t="str">
        <f>VLOOKUP(C1165,'WO Descriptions'!$A$5:$D$384,4,FALSE)</f>
        <v>Approved by: Gary Williams on 09/08/2014,  AOR.  This job must be completed by Dec. 12, 2014.  Replace 65ft of 6in CI with 6in PE due to 29' of exposed pipe.  CI pipe was exposed from 6' NSCB TO 23' SSCB of 29th Street.  No services to tie over.</v>
      </c>
      <c r="Q1165" s="210"/>
      <c r="R1165" s="210"/>
    </row>
    <row r="1166" spans="1:18" ht="45" outlineLevel="2">
      <c r="A1166" s="14" t="s">
        <v>54</v>
      </c>
      <c r="B1166" s="15" t="s">
        <v>1005</v>
      </c>
      <c r="C1166" s="15" t="s">
        <v>1006</v>
      </c>
      <c r="D1166" s="14" t="s">
        <v>1007</v>
      </c>
      <c r="E1166" s="15" t="s">
        <v>141</v>
      </c>
      <c r="F1166" s="14" t="s">
        <v>142</v>
      </c>
      <c r="G1166" s="15" t="s">
        <v>23</v>
      </c>
      <c r="H1166" s="15" t="s">
        <v>1525</v>
      </c>
      <c r="I1166" s="15">
        <v>201411</v>
      </c>
      <c r="J1166" s="16">
        <v>8538.86</v>
      </c>
      <c r="K1166" s="171">
        <f>VLOOKUP(I1166,$T$9:$U$23,2)</f>
        <v>7</v>
      </c>
      <c r="L1166" s="17">
        <v>1.4833299999999999E-3</v>
      </c>
      <c r="M1166" s="16">
        <f>ROUND(J1166*K1166*L1166,2)</f>
        <v>88.66</v>
      </c>
      <c r="N1166" s="16">
        <f>ROUND(J1166*L1166*12,2)</f>
        <v>151.99</v>
      </c>
      <c r="O1166" s="14"/>
      <c r="P1166" s="210" t="str">
        <f>VLOOKUP(C1166,'WO Descriptions'!$A$5:$D$384,4,FALSE)</f>
        <v>Approved by: Gary Williams on 09/08/2014,  AOR.  This job must be completed by Dec. 12, 2014.  Replace 65ft of 6in CI with 6in PE due to 29' of exposed pipe.  CI pipe was exposed from 6' NSCB TO 23' SSCB of 29th Street.  No services to tie over.</v>
      </c>
      <c r="Q1166" s="210"/>
      <c r="R1166" s="210"/>
    </row>
    <row r="1167" spans="1:18" ht="45" outlineLevel="2">
      <c r="A1167" s="14" t="s">
        <v>54</v>
      </c>
      <c r="B1167" s="15" t="s">
        <v>1005</v>
      </c>
      <c r="C1167" s="15" t="s">
        <v>1006</v>
      </c>
      <c r="D1167" s="14" t="s">
        <v>1007</v>
      </c>
      <c r="E1167" s="15" t="s">
        <v>141</v>
      </c>
      <c r="F1167" s="14" t="s">
        <v>142</v>
      </c>
      <c r="G1167" s="15" t="s">
        <v>23</v>
      </c>
      <c r="H1167" s="15" t="s">
        <v>1525</v>
      </c>
      <c r="I1167" s="15">
        <v>201412</v>
      </c>
      <c r="J1167" s="16">
        <v>-2188.61</v>
      </c>
      <c r="K1167" s="171">
        <f>VLOOKUP(I1167,$T$9:$U$23,2)</f>
        <v>6</v>
      </c>
      <c r="L1167" s="17">
        <v>1.4833299999999999E-3</v>
      </c>
      <c r="M1167" s="16">
        <f>ROUND(J1167*K1167*L1167,2)</f>
        <v>-19.48</v>
      </c>
      <c r="N1167" s="16">
        <f>ROUND(J1167*L1167*12,2)</f>
        <v>-38.96</v>
      </c>
      <c r="O1167" s="14"/>
      <c r="P1167" s="210" t="str">
        <f>VLOOKUP(C1167,'WO Descriptions'!$A$5:$D$384,4,FALSE)</f>
        <v>Approved by: Gary Williams on 09/08/2014,  AOR.  This job must be completed by Dec. 12, 2014.  Replace 65ft of 6in CI with 6in PE due to 29' of exposed pipe.  CI pipe was exposed from 6' NSCB TO 23' SSCB of 29th Street.  No services to tie over.</v>
      </c>
      <c r="Q1167" s="210"/>
      <c r="R1167" s="210"/>
    </row>
    <row r="1168" spans="1:18" ht="45" outlineLevel="2">
      <c r="A1168" s="14" t="s">
        <v>54</v>
      </c>
      <c r="B1168" s="15" t="s">
        <v>1005</v>
      </c>
      <c r="C1168" s="15" t="s">
        <v>1006</v>
      </c>
      <c r="D1168" s="14" t="s">
        <v>1007</v>
      </c>
      <c r="E1168" s="15" t="s">
        <v>141</v>
      </c>
      <c r="F1168" s="14" t="s">
        <v>142</v>
      </c>
      <c r="G1168" s="15" t="s">
        <v>23</v>
      </c>
      <c r="H1168" s="15" t="s">
        <v>1525</v>
      </c>
      <c r="I1168" s="15">
        <v>201501</v>
      </c>
      <c r="J1168" s="16">
        <v>-125.4</v>
      </c>
      <c r="K1168" s="171">
        <f>VLOOKUP(I1168,$T$9:$U$23,2)</f>
        <v>5</v>
      </c>
      <c r="L1168" s="17">
        <v>1.4833299999999999E-3</v>
      </c>
      <c r="M1168" s="16">
        <f>ROUND(J1168*K1168*L1168,2)</f>
        <v>-0.93</v>
      </c>
      <c r="N1168" s="16">
        <f>ROUND(J1168*L1168*12,2)</f>
        <v>-2.23</v>
      </c>
      <c r="O1168" s="14"/>
      <c r="P1168" s="210" t="str">
        <f>VLOOKUP(C1168,'WO Descriptions'!$A$5:$D$384,4,FALSE)</f>
        <v>Approved by: Gary Williams on 09/08/2014,  AOR.  This job must be completed by Dec. 12, 2014.  Replace 65ft of 6in CI with 6in PE due to 29' of exposed pipe.  CI pipe was exposed from 6' NSCB TO 23' SSCB of 29th Street.  No services to tie over.</v>
      </c>
      <c r="Q1168" s="210"/>
      <c r="R1168" s="210"/>
    </row>
    <row r="1169" spans="1:18" ht="45" outlineLevel="2">
      <c r="A1169" s="14" t="s">
        <v>54</v>
      </c>
      <c r="B1169" s="15" t="s">
        <v>1005</v>
      </c>
      <c r="C1169" s="15" t="s">
        <v>1006</v>
      </c>
      <c r="D1169" s="14" t="s">
        <v>1007</v>
      </c>
      <c r="E1169" s="15" t="s">
        <v>141</v>
      </c>
      <c r="F1169" s="14" t="s">
        <v>142</v>
      </c>
      <c r="G1169" s="15" t="s">
        <v>23</v>
      </c>
      <c r="H1169" s="15" t="s">
        <v>1525</v>
      </c>
      <c r="I1169" s="15">
        <v>201502</v>
      </c>
      <c r="J1169" s="16">
        <v>-479.84</v>
      </c>
      <c r="K1169" s="171">
        <f>VLOOKUP(I1169,$T$9:$U$23,2)</f>
        <v>4</v>
      </c>
      <c r="L1169" s="17">
        <v>1.4833299999999999E-3</v>
      </c>
      <c r="M1169" s="16">
        <f>ROUND(J1169*K1169*L1169,2)</f>
        <v>-2.85</v>
      </c>
      <c r="N1169" s="16">
        <f>ROUND(J1169*L1169*12,2)</f>
        <v>-8.5399999999999991</v>
      </c>
      <c r="O1169" s="14"/>
      <c r="P1169" s="210" t="str">
        <f>VLOOKUP(C1169,'WO Descriptions'!$A$5:$D$384,4,FALSE)</f>
        <v>Approved by: Gary Williams on 09/08/2014,  AOR.  This job must be completed by Dec. 12, 2014.  Replace 65ft of 6in CI with 6in PE due to 29' of exposed pipe.  CI pipe was exposed from 6' NSCB TO 23' SSCB of 29th Street.  No services to tie over.</v>
      </c>
      <c r="Q1169" s="210"/>
      <c r="R1169" s="210"/>
    </row>
    <row r="1170" spans="1:18" outlineLevel="1">
      <c r="A1170" s="223"/>
      <c r="B1170" s="250"/>
      <c r="C1170" s="254" t="s">
        <v>2076</v>
      </c>
      <c r="D1170" s="223"/>
      <c r="E1170" s="250"/>
      <c r="F1170" s="223"/>
      <c r="G1170" s="250"/>
      <c r="H1170" s="250"/>
      <c r="I1170" s="250"/>
      <c r="J1170" s="251">
        <f>SUBTOTAL(9,J1165:J1169)</f>
        <v>34219.68</v>
      </c>
      <c r="K1170" s="252"/>
      <c r="L1170" s="253"/>
      <c r="M1170" s="251">
        <f>SUBTOTAL(9,M1165:M1169)</f>
        <v>403.2999999999999</v>
      </c>
      <c r="N1170" s="251">
        <f>SUBTOTAL(9,N1165:N1169)</f>
        <v>609.11</v>
      </c>
      <c r="O1170" s="223"/>
      <c r="P1170" s="210"/>
      <c r="Q1170" s="210" t="str">
        <f>VLOOKUP(C1170,'Descriptions Sorted by WO '!$A$5:$S$977,18,FALSE)</f>
        <v>393.1009 (5) (a) (b)</v>
      </c>
      <c r="R1170" s="210" t="str">
        <f>VLOOKUP(C1170,'Descriptions Sorted by WO '!$A$5:$S$977,19,FALSE)</f>
        <v>A,B,C,D,I</v>
      </c>
    </row>
    <row r="1171" spans="1:18" ht="30" outlineLevel="2">
      <c r="A1171" s="14" t="s">
        <v>54</v>
      </c>
      <c r="B1171" s="15" t="s">
        <v>2194</v>
      </c>
      <c r="C1171" s="15" t="s">
        <v>2195</v>
      </c>
      <c r="D1171" s="14" t="s">
        <v>2196</v>
      </c>
      <c r="E1171" s="15" t="s">
        <v>36</v>
      </c>
      <c r="F1171" s="14" t="s">
        <v>22</v>
      </c>
      <c r="G1171" s="15" t="s">
        <v>23</v>
      </c>
      <c r="H1171" s="15" t="s">
        <v>1525</v>
      </c>
      <c r="I1171" s="15">
        <v>201501</v>
      </c>
      <c r="J1171" s="16">
        <v>23997.22</v>
      </c>
      <c r="K1171" s="171">
        <f>VLOOKUP(I1171,$T$9:$U$23,2)</f>
        <v>5</v>
      </c>
      <c r="L1171" s="17">
        <v>1.4833299999999999E-3</v>
      </c>
      <c r="M1171" s="16">
        <f>ROUND(J1171*K1171*L1171,2)</f>
        <v>177.98</v>
      </c>
      <c r="N1171" s="16">
        <f>ROUND(J1171*L1171*12,2)</f>
        <v>427.15</v>
      </c>
      <c r="O1171" s="14"/>
      <c r="P1171" s="210" t="str">
        <f>VLOOKUP(C1171,'WO Descriptions'!$A$5:$D$384,4,FALSE)</f>
        <v>Approved by: Gary Williams on 09/08/2014,  Replace PBS for down project. Pressure system C-10</v>
      </c>
      <c r="Q1171" s="210"/>
      <c r="R1171" s="210"/>
    </row>
    <row r="1172" spans="1:18" ht="30" outlineLevel="2">
      <c r="A1172" s="14" t="s">
        <v>54</v>
      </c>
      <c r="B1172" s="15" t="s">
        <v>2194</v>
      </c>
      <c r="C1172" s="15" t="s">
        <v>2195</v>
      </c>
      <c r="D1172" s="14" t="s">
        <v>2196</v>
      </c>
      <c r="E1172" s="15" t="s">
        <v>36</v>
      </c>
      <c r="F1172" s="14" t="s">
        <v>22</v>
      </c>
      <c r="G1172" s="15" t="s">
        <v>23</v>
      </c>
      <c r="H1172" s="15" t="s">
        <v>1525</v>
      </c>
      <c r="I1172" s="15">
        <v>201502</v>
      </c>
      <c r="J1172" s="16">
        <v>23715.55</v>
      </c>
      <c r="K1172" s="171">
        <f>VLOOKUP(I1172,$T$9:$U$23,2)</f>
        <v>4</v>
      </c>
      <c r="L1172" s="17">
        <v>1.4833299999999999E-3</v>
      </c>
      <c r="M1172" s="16">
        <f>ROUND(J1172*K1172*L1172,2)</f>
        <v>140.71</v>
      </c>
      <c r="N1172" s="16">
        <f>ROUND(J1172*L1172*12,2)</f>
        <v>422.14</v>
      </c>
      <c r="O1172" s="14"/>
      <c r="P1172" s="210" t="str">
        <f>VLOOKUP(C1172,'WO Descriptions'!$A$5:$D$384,4,FALSE)</f>
        <v>Approved by: Gary Williams on 09/08/2014,  Replace PBS for down project. Pressure system C-10</v>
      </c>
      <c r="Q1172" s="210"/>
      <c r="R1172" s="210"/>
    </row>
    <row r="1173" spans="1:18" outlineLevel="1">
      <c r="A1173" s="223"/>
      <c r="B1173" s="250"/>
      <c r="C1173" s="254" t="s">
        <v>2331</v>
      </c>
      <c r="D1173" s="223"/>
      <c r="E1173" s="250"/>
      <c r="F1173" s="223"/>
      <c r="G1173" s="250"/>
      <c r="H1173" s="250"/>
      <c r="I1173" s="250"/>
      <c r="J1173" s="251">
        <f>SUBTOTAL(9,J1171:J1172)</f>
        <v>47712.770000000004</v>
      </c>
      <c r="K1173" s="252"/>
      <c r="L1173" s="253"/>
      <c r="M1173" s="251">
        <f>SUBTOTAL(9,M1171:M1172)</f>
        <v>318.69</v>
      </c>
      <c r="N1173" s="251">
        <f>SUBTOTAL(9,N1171:N1172)</f>
        <v>849.29</v>
      </c>
      <c r="O1173" s="223"/>
      <c r="P1173" s="210"/>
      <c r="Q1173" s="210" t="s">
        <v>2097</v>
      </c>
      <c r="R1173" s="210" t="s">
        <v>2100</v>
      </c>
    </row>
    <row r="1174" spans="1:18" ht="45" outlineLevel="2">
      <c r="A1174" s="14" t="s">
        <v>54</v>
      </c>
      <c r="B1174" s="15" t="s">
        <v>1008</v>
      </c>
      <c r="C1174" s="15" t="s">
        <v>1009</v>
      </c>
      <c r="D1174" s="14" t="s">
        <v>1010</v>
      </c>
      <c r="E1174" s="15" t="s">
        <v>49</v>
      </c>
      <c r="F1174" s="14" t="s">
        <v>22</v>
      </c>
      <c r="G1174" s="15" t="s">
        <v>23</v>
      </c>
      <c r="H1174" s="15" t="s">
        <v>1525</v>
      </c>
      <c r="I1174" s="15">
        <v>201409</v>
      </c>
      <c r="J1174" s="16">
        <v>428.36</v>
      </c>
      <c r="K1174" s="171">
        <f t="shared" ref="K1174:K1179" si="138">VLOOKUP(I1174,$T$9:$U$23,2)</f>
        <v>9</v>
      </c>
      <c r="L1174" s="17">
        <v>1.4833299999999999E-3</v>
      </c>
      <c r="M1174" s="16">
        <f t="shared" ref="M1174:M1179" si="139">ROUND(J1174*K1174*L1174,2)</f>
        <v>5.72</v>
      </c>
      <c r="N1174" s="16">
        <f t="shared" ref="N1174:N1179" si="140">ROUND(J1174*L1174*12,2)</f>
        <v>7.62</v>
      </c>
      <c r="O1174" s="14"/>
      <c r="P1174" s="210" t="str">
        <f>VLOOKUP(C1174,'WO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4" s="210"/>
      <c r="R1174" s="210"/>
    </row>
    <row r="1175" spans="1:18" s="243" customFormat="1" ht="45" outlineLevel="2">
      <c r="A1175" s="14" t="s">
        <v>54</v>
      </c>
      <c r="B1175" s="15" t="s">
        <v>1008</v>
      </c>
      <c r="C1175" s="15" t="s">
        <v>1009</v>
      </c>
      <c r="D1175" s="14" t="s">
        <v>1010</v>
      </c>
      <c r="E1175" s="15" t="s">
        <v>49</v>
      </c>
      <c r="F1175" s="14" t="s">
        <v>22</v>
      </c>
      <c r="G1175" s="15" t="s">
        <v>23</v>
      </c>
      <c r="H1175" s="15" t="s">
        <v>1525</v>
      </c>
      <c r="I1175" s="15">
        <v>201410</v>
      </c>
      <c r="J1175" s="16">
        <v>19575.849999999999</v>
      </c>
      <c r="K1175" s="171">
        <f t="shared" si="138"/>
        <v>8</v>
      </c>
      <c r="L1175" s="17">
        <v>1.4833299999999999E-3</v>
      </c>
      <c r="M1175" s="16">
        <f t="shared" si="139"/>
        <v>232.3</v>
      </c>
      <c r="N1175" s="16">
        <f t="shared" si="140"/>
        <v>348.45</v>
      </c>
      <c r="O1175" s="14"/>
      <c r="P1175" s="210" t="str">
        <f>VLOOKUP(C1175,'WO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5" s="210"/>
      <c r="R1175" s="210"/>
    </row>
    <row r="1176" spans="1:18" ht="45" outlineLevel="2">
      <c r="A1176" s="223" t="s">
        <v>54</v>
      </c>
      <c r="B1176" s="250" t="s">
        <v>1008</v>
      </c>
      <c r="C1176" s="250" t="s">
        <v>1009</v>
      </c>
      <c r="D1176" s="223" t="s">
        <v>1010</v>
      </c>
      <c r="E1176" s="250" t="s">
        <v>49</v>
      </c>
      <c r="F1176" s="223" t="s">
        <v>22</v>
      </c>
      <c r="G1176" s="250" t="s">
        <v>23</v>
      </c>
      <c r="H1176" s="250" t="s">
        <v>1525</v>
      </c>
      <c r="I1176" s="250">
        <v>201411</v>
      </c>
      <c r="J1176" s="251">
        <v>-4489.25</v>
      </c>
      <c r="K1176" s="171">
        <f t="shared" si="138"/>
        <v>7</v>
      </c>
      <c r="L1176" s="253">
        <v>1.4833299999999999E-3</v>
      </c>
      <c r="M1176" s="251">
        <f t="shared" si="139"/>
        <v>-46.61</v>
      </c>
      <c r="N1176" s="251">
        <f t="shared" si="140"/>
        <v>-79.91</v>
      </c>
      <c r="O1176" s="223"/>
      <c r="P1176" s="210" t="str">
        <f>VLOOKUP(C1176,'WO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6" s="210"/>
      <c r="R1176" s="210"/>
    </row>
    <row r="1177" spans="1:18" ht="45" outlineLevel="2">
      <c r="A1177" s="223" t="s">
        <v>54</v>
      </c>
      <c r="B1177" s="250" t="s">
        <v>1008</v>
      </c>
      <c r="C1177" s="250" t="s">
        <v>1009</v>
      </c>
      <c r="D1177" s="223" t="s">
        <v>1010</v>
      </c>
      <c r="E1177" s="250" t="s">
        <v>49</v>
      </c>
      <c r="F1177" s="223" t="s">
        <v>22</v>
      </c>
      <c r="G1177" s="250" t="s">
        <v>23</v>
      </c>
      <c r="H1177" s="250" t="s">
        <v>1525</v>
      </c>
      <c r="I1177" s="250">
        <v>201412</v>
      </c>
      <c r="J1177" s="251">
        <v>2556.02</v>
      </c>
      <c r="K1177" s="171">
        <f t="shared" si="138"/>
        <v>6</v>
      </c>
      <c r="L1177" s="253">
        <v>1.4833299999999999E-3</v>
      </c>
      <c r="M1177" s="251">
        <f t="shared" si="139"/>
        <v>22.75</v>
      </c>
      <c r="N1177" s="251">
        <f t="shared" si="140"/>
        <v>45.5</v>
      </c>
      <c r="O1177" s="223"/>
      <c r="P1177" s="210" t="str">
        <f>VLOOKUP(C1177,'WO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7" s="210"/>
      <c r="R1177" s="210"/>
    </row>
    <row r="1178" spans="1:18" ht="45" outlineLevel="2">
      <c r="A1178" s="223" t="s">
        <v>54</v>
      </c>
      <c r="B1178" s="250" t="s">
        <v>1008</v>
      </c>
      <c r="C1178" s="250" t="s">
        <v>1009</v>
      </c>
      <c r="D1178" s="223" t="s">
        <v>1010</v>
      </c>
      <c r="E1178" s="250" t="s">
        <v>49</v>
      </c>
      <c r="F1178" s="223" t="s">
        <v>22</v>
      </c>
      <c r="G1178" s="250" t="s">
        <v>23</v>
      </c>
      <c r="H1178" s="250" t="s">
        <v>1525</v>
      </c>
      <c r="I1178" s="250">
        <v>201501</v>
      </c>
      <c r="J1178" s="251">
        <v>-222.36</v>
      </c>
      <c r="K1178" s="171">
        <f t="shared" si="138"/>
        <v>5</v>
      </c>
      <c r="L1178" s="253">
        <v>1.4833299999999999E-3</v>
      </c>
      <c r="M1178" s="251">
        <f t="shared" si="139"/>
        <v>-1.65</v>
      </c>
      <c r="N1178" s="251">
        <f t="shared" si="140"/>
        <v>-3.96</v>
      </c>
      <c r="O1178" s="223"/>
      <c r="P1178" s="210" t="str">
        <f>VLOOKUP(C1178,'WO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8" s="210"/>
      <c r="R1178" s="210"/>
    </row>
    <row r="1179" spans="1:18" ht="45" outlineLevel="2">
      <c r="A1179" s="223" t="s">
        <v>54</v>
      </c>
      <c r="B1179" s="250" t="s">
        <v>1008</v>
      </c>
      <c r="C1179" s="250" t="s">
        <v>1009</v>
      </c>
      <c r="D1179" s="223" t="s">
        <v>1010</v>
      </c>
      <c r="E1179" s="250" t="s">
        <v>49</v>
      </c>
      <c r="F1179" s="223" t="s">
        <v>22</v>
      </c>
      <c r="G1179" s="250" t="s">
        <v>23</v>
      </c>
      <c r="H1179" s="250" t="s">
        <v>1525</v>
      </c>
      <c r="I1179" s="250">
        <v>201502</v>
      </c>
      <c r="J1179" s="251">
        <v>-772.01</v>
      </c>
      <c r="K1179" s="171">
        <f t="shared" si="138"/>
        <v>4</v>
      </c>
      <c r="L1179" s="253">
        <v>1.4833299999999999E-3</v>
      </c>
      <c r="M1179" s="251">
        <f t="shared" si="139"/>
        <v>-4.58</v>
      </c>
      <c r="N1179" s="251">
        <f t="shared" si="140"/>
        <v>-13.74</v>
      </c>
      <c r="O1179" s="223"/>
      <c r="P1179" s="210" t="str">
        <f>VLOOKUP(C1179,'WO Descriptions'!$A$5:$D$384,4,FALSE)</f>
        <v>Approved by: Galen Shoemaker on 09/08/2014,  Lay 295ft 2in Plastic Main to replace 269ft 2in Bare Steel from 48852 and 19ft of 2in Bare Steel from 45505 due to isolated bare steel had started having multiple leaks. MOP=42# MAOP=42# TEST=100# SYSTEM=C-1 ISRS</v>
      </c>
      <c r="Q1179" s="210"/>
      <c r="R1179" s="210"/>
    </row>
    <row r="1180" spans="1:18" outlineLevel="1">
      <c r="A1180" s="223"/>
      <c r="B1180" s="250"/>
      <c r="C1180" s="254" t="s">
        <v>2077</v>
      </c>
      <c r="D1180" s="223"/>
      <c r="E1180" s="250"/>
      <c r="F1180" s="223"/>
      <c r="G1180" s="250"/>
      <c r="H1180" s="250"/>
      <c r="I1180" s="250"/>
      <c r="J1180" s="251">
        <f>SUBTOTAL(9,J1174:J1179)</f>
        <v>17076.61</v>
      </c>
      <c r="K1180" s="252"/>
      <c r="L1180" s="253"/>
      <c r="M1180" s="251">
        <f>SUBTOTAL(9,M1174:M1179)</f>
        <v>207.93</v>
      </c>
      <c r="N1180" s="251">
        <f>SUBTOTAL(9,N1174:N1179)</f>
        <v>303.95999999999998</v>
      </c>
      <c r="O1180" s="223"/>
      <c r="P1180" s="210"/>
      <c r="Q1180" s="210" t="str">
        <f>VLOOKUP(C1180,'Descriptions Sorted by WO '!$A$5:$S$977,18,FALSE)</f>
        <v>393.1009 (5) (a) (b)</v>
      </c>
      <c r="R1180" s="210" t="str">
        <f>VLOOKUP(C1180,'Descriptions Sorted by WO '!$A$5:$S$977,19,FALSE)</f>
        <v>A,B,C</v>
      </c>
    </row>
    <row r="1181" spans="1:18" ht="30" outlineLevel="2">
      <c r="A1181" s="223" t="s">
        <v>54</v>
      </c>
      <c r="B1181" s="250" t="s">
        <v>1011</v>
      </c>
      <c r="C1181" s="250" t="s">
        <v>1012</v>
      </c>
      <c r="D1181" s="223" t="s">
        <v>1013</v>
      </c>
      <c r="E1181" s="250" t="s">
        <v>21</v>
      </c>
      <c r="F1181" s="223" t="s">
        <v>22</v>
      </c>
      <c r="G1181" s="250" t="s">
        <v>23</v>
      </c>
      <c r="H1181" s="250" t="s">
        <v>1525</v>
      </c>
      <c r="I1181" s="250">
        <v>201409</v>
      </c>
      <c r="J1181" s="251">
        <v>4250.08</v>
      </c>
      <c r="K1181" s="171">
        <f>VLOOKUP(I1181,$T$9:$U$23,2)</f>
        <v>9</v>
      </c>
      <c r="L1181" s="253">
        <v>1.4833299999999999E-3</v>
      </c>
      <c r="M1181" s="251">
        <f>ROUND(J1181*K1181*L1181,2)</f>
        <v>56.74</v>
      </c>
      <c r="N1181" s="251">
        <f>ROUND(J1181*L1181*12,2)</f>
        <v>75.650000000000006</v>
      </c>
      <c r="O1181" s="223"/>
      <c r="P1181" s="210" t="str">
        <f>VLOOKUP(C1181,'WO Descriptions'!$A$5:$D$384,4,FALSE)</f>
        <v>Approved by: Gary Williams on 09/12/2014,  Replaced 2'' PBS with 2'' PE due to 3rd party damage. Pressure system C-045.</v>
      </c>
      <c r="Q1181" s="210"/>
      <c r="R1181" s="210"/>
    </row>
    <row r="1182" spans="1:18" outlineLevel="1">
      <c r="A1182" s="223"/>
      <c r="B1182" s="250"/>
      <c r="C1182" s="254" t="s">
        <v>2078</v>
      </c>
      <c r="D1182" s="223"/>
      <c r="E1182" s="250"/>
      <c r="F1182" s="223"/>
      <c r="G1182" s="250"/>
      <c r="H1182" s="250"/>
      <c r="I1182" s="250"/>
      <c r="J1182" s="251">
        <f>SUBTOTAL(9,J1181:J1181)</f>
        <v>4250.08</v>
      </c>
      <c r="K1182" s="252"/>
      <c r="L1182" s="253"/>
      <c r="M1182" s="251">
        <f>SUBTOTAL(9,M1181:M1181)</f>
        <v>56.74</v>
      </c>
      <c r="N1182" s="251">
        <f>SUBTOTAL(9,N1181:N1181)</f>
        <v>75.650000000000006</v>
      </c>
      <c r="O1182" s="223"/>
      <c r="P1182" s="210"/>
      <c r="Q1182" s="210" t="str">
        <f>VLOOKUP(C1182,'Descriptions Sorted by WO '!$A$5:$S$977,18,FALSE)</f>
        <v>393.1009 (5) (a) (b)</v>
      </c>
      <c r="R1182" s="210" t="str">
        <f>VLOOKUP(C1182,'Descriptions Sorted by WO '!$A$5:$S$977,19,FALSE)</f>
        <v>A,B,C</v>
      </c>
    </row>
    <row r="1183" spans="1:18" ht="120" outlineLevel="2">
      <c r="A1183" s="223" t="s">
        <v>54</v>
      </c>
      <c r="B1183" s="250" t="s">
        <v>2284</v>
      </c>
      <c r="C1183" s="250" t="s">
        <v>2285</v>
      </c>
      <c r="D1183" s="223" t="s">
        <v>2286</v>
      </c>
      <c r="E1183" s="250" t="s">
        <v>53</v>
      </c>
      <c r="F1183" s="223" t="s">
        <v>41</v>
      </c>
      <c r="G1183" s="250" t="s">
        <v>23</v>
      </c>
      <c r="H1183" s="250" t="s">
        <v>1526</v>
      </c>
      <c r="I1183" s="250">
        <v>201502</v>
      </c>
      <c r="J1183" s="251">
        <v>40121.800000000003</v>
      </c>
      <c r="K1183" s="171">
        <f>VLOOKUP(I1183,$T$9:$U$23,2)</f>
        <v>4</v>
      </c>
      <c r="L1183" s="253">
        <v>1.4833299999999999E-3</v>
      </c>
      <c r="M1183" s="251">
        <f>ROUND(J1183*K1183*L1183,2)</f>
        <v>238.06</v>
      </c>
      <c r="N1183" s="251">
        <f>ROUND(J1183*L1183*12,2)</f>
        <v>714.17</v>
      </c>
      <c r="O1183" s="223"/>
      <c r="P1183" s="210" t="str">
        <f>VLOOKUP(C1183,'WO Descriptions'!$A$5:$D$384,4,FALSE)</f>
        <v>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v>
      </c>
      <c r="Q1183" s="210"/>
      <c r="R1183" s="210"/>
    </row>
    <row r="1184" spans="1:18" outlineLevel="1">
      <c r="A1184" s="223"/>
      <c r="B1184" s="250"/>
      <c r="C1184" s="254" t="s">
        <v>2332</v>
      </c>
      <c r="D1184" s="223"/>
      <c r="E1184" s="250"/>
      <c r="F1184" s="223"/>
      <c r="G1184" s="250"/>
      <c r="H1184" s="250"/>
      <c r="I1184" s="250"/>
      <c r="J1184" s="251">
        <f>SUBTOTAL(9,J1183:J1183)</f>
        <v>40121.800000000003</v>
      </c>
      <c r="K1184" s="252"/>
      <c r="L1184" s="253"/>
      <c r="M1184" s="251">
        <f>SUBTOTAL(9,M1183:M1183)</f>
        <v>238.06</v>
      </c>
      <c r="N1184" s="251">
        <f>SUBTOTAL(9,N1183:N1183)</f>
        <v>714.17</v>
      </c>
      <c r="O1184" s="223"/>
      <c r="P1184" s="210"/>
      <c r="Q1184" s="210" t="s">
        <v>2097</v>
      </c>
      <c r="R1184" s="210" t="s">
        <v>2098</v>
      </c>
    </row>
    <row r="1185" spans="1:18" ht="45" outlineLevel="2">
      <c r="A1185" s="223" t="s">
        <v>17</v>
      </c>
      <c r="B1185" s="250" t="s">
        <v>1066</v>
      </c>
      <c r="C1185" s="250" t="s">
        <v>1067</v>
      </c>
      <c r="D1185" s="223" t="s">
        <v>1068</v>
      </c>
      <c r="E1185" s="250" t="s">
        <v>567</v>
      </c>
      <c r="F1185" s="223" t="s">
        <v>137</v>
      </c>
      <c r="G1185" s="250" t="s">
        <v>23</v>
      </c>
      <c r="H1185" s="250" t="s">
        <v>1526</v>
      </c>
      <c r="I1185" s="250">
        <v>201412</v>
      </c>
      <c r="J1185" s="251">
        <v>105895.42</v>
      </c>
      <c r="K1185" s="171">
        <f>VLOOKUP(I1185,$T$9:$U$23,2)</f>
        <v>6</v>
      </c>
      <c r="L1185" s="253">
        <v>1.4833299999999999E-3</v>
      </c>
      <c r="M1185" s="251">
        <f>ROUND(J1185*K1185*L1185,2)</f>
        <v>942.47</v>
      </c>
      <c r="N1185" s="251">
        <f>ROUND(J1185*L1185*12,2)</f>
        <v>1884.93</v>
      </c>
      <c r="O1185" s="223"/>
      <c r="P1185" s="210" t="str">
        <f>VLOOKUP(C1185,'WO Descriptions'!$A$5:$D$384,4,FALSE)</f>
        <v>Approved by: Gary Williams on 09/15/2014,  ISRS Replace 220'-8in PBS with 8in thin film due to exposed pipe, existing retaining wall to be torn down and rebuilt.  Pipe will need to be bored due to existing retaining wall.  This is a high pressure main at MOP=90#.</v>
      </c>
      <c r="Q1185" s="210"/>
      <c r="R1185" s="210"/>
    </row>
    <row r="1186" spans="1:18" ht="45" outlineLevel="2">
      <c r="A1186" s="223" t="s">
        <v>17</v>
      </c>
      <c r="B1186" s="250" t="s">
        <v>1066</v>
      </c>
      <c r="C1186" s="250" t="s">
        <v>1067</v>
      </c>
      <c r="D1186" s="223" t="s">
        <v>1068</v>
      </c>
      <c r="E1186" s="250" t="s">
        <v>567</v>
      </c>
      <c r="F1186" s="223" t="s">
        <v>137</v>
      </c>
      <c r="G1186" s="250" t="s">
        <v>23</v>
      </c>
      <c r="H1186" s="250" t="s">
        <v>1526</v>
      </c>
      <c r="I1186" s="250">
        <v>201501</v>
      </c>
      <c r="J1186" s="251">
        <v>6260.51</v>
      </c>
      <c r="K1186" s="171">
        <f>VLOOKUP(I1186,$T$9:$U$23,2)</f>
        <v>5</v>
      </c>
      <c r="L1186" s="253">
        <v>1.4833299999999999E-3</v>
      </c>
      <c r="M1186" s="251">
        <f>ROUND(J1186*K1186*L1186,2)</f>
        <v>46.43</v>
      </c>
      <c r="N1186" s="251">
        <f>ROUND(J1186*L1186*12,2)</f>
        <v>111.44</v>
      </c>
      <c r="O1186" s="223"/>
      <c r="P1186" s="210" t="str">
        <f>VLOOKUP(C1186,'WO Descriptions'!$A$5:$D$384,4,FALSE)</f>
        <v>Approved by: Gary Williams on 09/15/2014,  ISRS Replace 220'-8in PBS with 8in thin film due to exposed pipe, existing retaining wall to be torn down and rebuilt.  Pipe will need to be bored due to existing retaining wall.  This is a high pressure main at MOP=90#.</v>
      </c>
      <c r="Q1186" s="210"/>
      <c r="R1186" s="210"/>
    </row>
    <row r="1187" spans="1:18" ht="45" outlineLevel="2">
      <c r="A1187" s="223" t="s">
        <v>17</v>
      </c>
      <c r="B1187" s="250" t="s">
        <v>1066</v>
      </c>
      <c r="C1187" s="250" t="s">
        <v>1067</v>
      </c>
      <c r="D1187" s="223" t="s">
        <v>1068</v>
      </c>
      <c r="E1187" s="250" t="s">
        <v>567</v>
      </c>
      <c r="F1187" s="223" t="s">
        <v>137</v>
      </c>
      <c r="G1187" s="250" t="s">
        <v>23</v>
      </c>
      <c r="H1187" s="250" t="s">
        <v>1526</v>
      </c>
      <c r="I1187" s="250">
        <v>201502</v>
      </c>
      <c r="J1187" s="251">
        <v>-209.24</v>
      </c>
      <c r="K1187" s="171">
        <f>VLOOKUP(I1187,$T$9:$U$23,2)</f>
        <v>4</v>
      </c>
      <c r="L1187" s="253">
        <v>1.4833299999999999E-3</v>
      </c>
      <c r="M1187" s="251">
        <f>ROUND(J1187*K1187*L1187,2)</f>
        <v>-1.24</v>
      </c>
      <c r="N1187" s="251">
        <f>ROUND(J1187*L1187*12,2)</f>
        <v>-3.72</v>
      </c>
      <c r="O1187" s="223"/>
      <c r="P1187" s="210" t="str">
        <f>VLOOKUP(C1187,'WO Descriptions'!$A$5:$D$384,4,FALSE)</f>
        <v>Approved by: Gary Williams on 09/15/2014,  ISRS Replace 220'-8in PBS with 8in thin film due to exposed pipe, existing retaining wall to be torn down and rebuilt.  Pipe will need to be bored due to existing retaining wall.  This is a high pressure main at MOP=90#.</v>
      </c>
      <c r="Q1187" s="210"/>
      <c r="R1187" s="210"/>
    </row>
    <row r="1188" spans="1:18" outlineLevel="1">
      <c r="A1188" s="223"/>
      <c r="B1188" s="250"/>
      <c r="C1188" s="254" t="s">
        <v>2079</v>
      </c>
      <c r="D1188" s="223"/>
      <c r="E1188" s="250"/>
      <c r="F1188" s="223"/>
      <c r="G1188" s="250"/>
      <c r="H1188" s="250"/>
      <c r="I1188" s="250"/>
      <c r="J1188" s="251">
        <f>SUBTOTAL(9,J1185:J1187)</f>
        <v>111946.68999999999</v>
      </c>
      <c r="K1188" s="252"/>
      <c r="L1188" s="253"/>
      <c r="M1188" s="251">
        <f>SUBTOTAL(9,M1185:M1187)</f>
        <v>987.66</v>
      </c>
      <c r="N1188" s="251">
        <f>SUBTOTAL(9,N1185:N1187)</f>
        <v>1992.65</v>
      </c>
      <c r="O1188" s="223"/>
      <c r="P1188" s="210"/>
      <c r="Q1188" s="210" t="str">
        <f>VLOOKUP(C1188,'Descriptions Sorted by WO '!$A$5:$S$977,18,FALSE)</f>
        <v>393.1009 (5) (C)</v>
      </c>
      <c r="R1188" s="210"/>
    </row>
    <row r="1189" spans="1:18" ht="45" outlineLevel="2">
      <c r="A1189" s="223" t="s">
        <v>54</v>
      </c>
      <c r="B1189" s="250" t="s">
        <v>1014</v>
      </c>
      <c r="C1189" s="250" t="s">
        <v>1015</v>
      </c>
      <c r="D1189" s="223" t="s">
        <v>1016</v>
      </c>
      <c r="E1189" s="250" t="s">
        <v>296</v>
      </c>
      <c r="F1189" s="223" t="s">
        <v>28</v>
      </c>
      <c r="G1189" s="250" t="s">
        <v>23</v>
      </c>
      <c r="H1189" s="250" t="s">
        <v>1525</v>
      </c>
      <c r="I1189" s="250">
        <v>201410</v>
      </c>
      <c r="J1189" s="251">
        <v>8804.85</v>
      </c>
      <c r="K1189" s="171">
        <f>VLOOKUP(I1189,$T$9:$U$23,2)</f>
        <v>8</v>
      </c>
      <c r="L1189" s="253">
        <v>1.4833299999999999E-3</v>
      </c>
      <c r="M1189" s="251">
        <f>ROUND(J1189*K1189*L1189,2)</f>
        <v>104.48</v>
      </c>
      <c r="N1189" s="251">
        <f>ROUND(J1189*L1189*12,2)</f>
        <v>156.72999999999999</v>
      </c>
      <c r="O1189" s="223"/>
      <c r="P1189" s="210" t="str">
        <f>VLOOKUP(C1189,'WO Descriptions'!$A$5:$D$384,4,FALSE)</f>
        <v>Approved by: Galen Shoemaker on 09/15/2014,  Lower 167' - 2" PE main (WO#: 92-6050) due to construction over shallow main. Project Location: Doughboy Dr North of 32nd St; Pressure System: C-1; MOP: 58 psig; MAOP: 58 psig; Design: 58 psig; Test: 100 psig; $34.34/ft</v>
      </c>
      <c r="Q1189" s="210"/>
      <c r="R1189" s="210"/>
    </row>
    <row r="1190" spans="1:18" ht="45" outlineLevel="2">
      <c r="A1190" s="223" t="s">
        <v>54</v>
      </c>
      <c r="B1190" s="250" t="s">
        <v>1014</v>
      </c>
      <c r="C1190" s="250" t="s">
        <v>1015</v>
      </c>
      <c r="D1190" s="223" t="s">
        <v>1016</v>
      </c>
      <c r="E1190" s="250" t="s">
        <v>296</v>
      </c>
      <c r="F1190" s="223" t="s">
        <v>28</v>
      </c>
      <c r="G1190" s="250" t="s">
        <v>23</v>
      </c>
      <c r="H1190" s="250" t="s">
        <v>1525</v>
      </c>
      <c r="I1190" s="250">
        <v>201411</v>
      </c>
      <c r="J1190" s="251">
        <v>-4496.3500000000004</v>
      </c>
      <c r="K1190" s="171">
        <f>VLOOKUP(I1190,$T$9:$U$23,2)</f>
        <v>7</v>
      </c>
      <c r="L1190" s="253">
        <v>1.4833299999999999E-3</v>
      </c>
      <c r="M1190" s="251">
        <f>ROUND(J1190*K1190*L1190,2)</f>
        <v>-46.69</v>
      </c>
      <c r="N1190" s="251">
        <f>ROUND(J1190*L1190*12,2)</f>
        <v>-80.03</v>
      </c>
      <c r="O1190" s="223"/>
      <c r="P1190" s="210" t="str">
        <f>VLOOKUP(C1190,'WO Descriptions'!$A$5:$D$384,4,FALSE)</f>
        <v>Approved by: Galen Shoemaker on 09/15/2014,  Lower 167' - 2" PE main (WO#: 92-6050) due to construction over shallow main. Project Location: Doughboy Dr North of 32nd St; Pressure System: C-1; MOP: 58 psig; MAOP: 58 psig; Design: 58 psig; Test: 100 psig; $34.34/ft</v>
      </c>
      <c r="Q1190" s="210"/>
      <c r="R1190" s="210"/>
    </row>
    <row r="1191" spans="1:18" ht="45" outlineLevel="2">
      <c r="A1191" s="223" t="s">
        <v>54</v>
      </c>
      <c r="B1191" s="250" t="s">
        <v>1014</v>
      </c>
      <c r="C1191" s="250" t="s">
        <v>1015</v>
      </c>
      <c r="D1191" s="223" t="s">
        <v>1016</v>
      </c>
      <c r="E1191" s="250" t="s">
        <v>296</v>
      </c>
      <c r="F1191" s="223" t="s">
        <v>28</v>
      </c>
      <c r="G1191" s="250" t="s">
        <v>23</v>
      </c>
      <c r="H1191" s="250" t="s">
        <v>1525</v>
      </c>
      <c r="I1191" s="250">
        <v>201412</v>
      </c>
      <c r="J1191" s="251">
        <v>133.1</v>
      </c>
      <c r="K1191" s="171">
        <f>VLOOKUP(I1191,$T$9:$U$23,2)</f>
        <v>6</v>
      </c>
      <c r="L1191" s="253">
        <v>1.4833299999999999E-3</v>
      </c>
      <c r="M1191" s="251">
        <f>ROUND(J1191*K1191*L1191,2)</f>
        <v>1.18</v>
      </c>
      <c r="N1191" s="251">
        <f>ROUND(J1191*L1191*12,2)</f>
        <v>2.37</v>
      </c>
      <c r="O1191" s="223"/>
      <c r="P1191" s="210" t="str">
        <f>VLOOKUP(C1191,'WO Descriptions'!$A$5:$D$384,4,FALSE)</f>
        <v>Approved by: Galen Shoemaker on 09/15/2014,  Lower 167' - 2" PE main (WO#: 92-6050) due to construction over shallow main. Project Location: Doughboy Dr North of 32nd St; Pressure System: C-1; MOP: 58 psig; MAOP: 58 psig; Design: 58 psig; Test: 100 psig; $34.34/ft</v>
      </c>
      <c r="Q1191" s="210"/>
      <c r="R1191" s="210"/>
    </row>
    <row r="1192" spans="1:18" ht="45" outlineLevel="2">
      <c r="A1192" s="223" t="s">
        <v>54</v>
      </c>
      <c r="B1192" s="250" t="s">
        <v>1014</v>
      </c>
      <c r="C1192" s="250" t="s">
        <v>1015</v>
      </c>
      <c r="D1192" s="223" t="s">
        <v>1016</v>
      </c>
      <c r="E1192" s="250" t="s">
        <v>296</v>
      </c>
      <c r="F1192" s="223" t="s">
        <v>28</v>
      </c>
      <c r="G1192" s="250" t="s">
        <v>23</v>
      </c>
      <c r="H1192" s="250" t="s">
        <v>1525</v>
      </c>
      <c r="I1192" s="250">
        <v>201501</v>
      </c>
      <c r="J1192" s="251">
        <v>-6.33</v>
      </c>
      <c r="K1192" s="171">
        <f>VLOOKUP(I1192,$T$9:$U$23,2)</f>
        <v>5</v>
      </c>
      <c r="L1192" s="253">
        <v>1.4833299999999999E-3</v>
      </c>
      <c r="M1192" s="251">
        <f>ROUND(J1192*K1192*L1192,2)</f>
        <v>-0.05</v>
      </c>
      <c r="N1192" s="251">
        <f>ROUND(J1192*L1192*12,2)</f>
        <v>-0.11</v>
      </c>
      <c r="O1192" s="223"/>
      <c r="P1192" s="210" t="str">
        <f>VLOOKUP(C1192,'WO Descriptions'!$A$5:$D$384,4,FALSE)</f>
        <v>Approved by: Galen Shoemaker on 09/15/2014,  Lower 167' - 2" PE main (WO#: 92-6050) due to construction over shallow main. Project Location: Doughboy Dr North of 32nd St; Pressure System: C-1; MOP: 58 psig; MAOP: 58 psig; Design: 58 psig; Test: 100 psig; $34.34/ft</v>
      </c>
      <c r="Q1192" s="210"/>
      <c r="R1192" s="210"/>
    </row>
    <row r="1193" spans="1:18" ht="45" outlineLevel="2">
      <c r="A1193" s="223" t="s">
        <v>54</v>
      </c>
      <c r="B1193" s="250" t="s">
        <v>1014</v>
      </c>
      <c r="C1193" s="250" t="s">
        <v>1015</v>
      </c>
      <c r="D1193" s="223" t="s">
        <v>1016</v>
      </c>
      <c r="E1193" s="250" t="s">
        <v>296</v>
      </c>
      <c r="F1193" s="223" t="s">
        <v>28</v>
      </c>
      <c r="G1193" s="250" t="s">
        <v>23</v>
      </c>
      <c r="H1193" s="250" t="s">
        <v>1525</v>
      </c>
      <c r="I1193" s="250">
        <v>201502</v>
      </c>
      <c r="J1193" s="251">
        <v>-20.149999999999999</v>
      </c>
      <c r="K1193" s="171">
        <f>VLOOKUP(I1193,$T$9:$U$23,2)</f>
        <v>4</v>
      </c>
      <c r="L1193" s="253">
        <v>1.4833299999999999E-3</v>
      </c>
      <c r="M1193" s="251">
        <f>ROUND(J1193*K1193*L1193,2)</f>
        <v>-0.12</v>
      </c>
      <c r="N1193" s="251">
        <f>ROUND(J1193*L1193*12,2)</f>
        <v>-0.36</v>
      </c>
      <c r="O1193" s="223"/>
      <c r="P1193" s="210" t="str">
        <f>VLOOKUP(C1193,'WO Descriptions'!$A$5:$D$384,4,FALSE)</f>
        <v>Approved by: Galen Shoemaker on 09/15/2014,  Lower 167' - 2" PE main (WO#: 92-6050) due to construction over shallow main. Project Location: Doughboy Dr North of 32nd St; Pressure System: C-1; MOP: 58 psig; MAOP: 58 psig; Design: 58 psig; Test: 100 psig; $34.34/ft</v>
      </c>
      <c r="Q1193" s="210"/>
      <c r="R1193" s="210"/>
    </row>
    <row r="1194" spans="1:18" outlineLevel="1">
      <c r="A1194" s="223"/>
      <c r="B1194" s="250"/>
      <c r="C1194" s="254" t="s">
        <v>2080</v>
      </c>
      <c r="D1194" s="223"/>
      <c r="E1194" s="250"/>
      <c r="F1194" s="223"/>
      <c r="G1194" s="250"/>
      <c r="H1194" s="250"/>
      <c r="I1194" s="250"/>
      <c r="J1194" s="251">
        <f>SUBTOTAL(9,J1189:J1193)</f>
        <v>4415.1200000000008</v>
      </c>
      <c r="K1194" s="252"/>
      <c r="L1194" s="253"/>
      <c r="M1194" s="251">
        <f>SUBTOTAL(9,M1189:M1193)</f>
        <v>58.800000000000011</v>
      </c>
      <c r="N1194" s="251">
        <f>SUBTOTAL(9,N1189:N1193)</f>
        <v>78.599999999999994</v>
      </c>
      <c r="O1194" s="223"/>
      <c r="P1194" s="210"/>
      <c r="Q1194" s="210" t="str">
        <f>VLOOKUP(C1194,'Descriptions Sorted by WO '!$A$5:$S$977,18,FALSE)</f>
        <v>393.1009 (5) (a) (b)</v>
      </c>
      <c r="R1194" s="210" t="str">
        <f>VLOOKUP(C1194,'Descriptions Sorted by WO '!$A$5:$S$977,19,FALSE)</f>
        <v>A,B</v>
      </c>
    </row>
    <row r="1195" spans="1:18" ht="45" outlineLevel="2">
      <c r="A1195" s="223" t="s">
        <v>54</v>
      </c>
      <c r="B1195" s="250" t="s">
        <v>1017</v>
      </c>
      <c r="C1195" s="250" t="s">
        <v>1018</v>
      </c>
      <c r="D1195" s="223" t="s">
        <v>1019</v>
      </c>
      <c r="E1195" s="250" t="s">
        <v>1020</v>
      </c>
      <c r="F1195" s="223" t="s">
        <v>22</v>
      </c>
      <c r="G1195" s="250" t="s">
        <v>23</v>
      </c>
      <c r="H1195" s="250" t="s">
        <v>1525</v>
      </c>
      <c r="I1195" s="250">
        <v>201410</v>
      </c>
      <c r="J1195" s="251">
        <v>6323.2</v>
      </c>
      <c r="K1195" s="171">
        <f>VLOOKUP(I1195,$T$9:$U$23,2)</f>
        <v>8</v>
      </c>
      <c r="L1195" s="253">
        <v>1.4833299999999999E-3</v>
      </c>
      <c r="M1195" s="251">
        <f>ROUND(J1195*K1195*L1195,2)</f>
        <v>75.040000000000006</v>
      </c>
      <c r="N1195" s="251">
        <f>ROUND(J1195*L1195*12,2)</f>
        <v>112.55</v>
      </c>
      <c r="O1195" s="223"/>
      <c r="P1195" s="210" t="str">
        <f>VLOOKUP(C1195,'WO Descriptions'!$A$5:$D$384,4,FALSE)</f>
        <v>Approved by: Galen Shoemaker on 09/18/2014,  Lay 479ft of 2in Plastic Main to replace 391ft of 2in PBS from WO JO10B and 86ft of 2in CS from WO 66-7352 and 2'-2" PE from 82-0762. MOP=20# MAOP=20# TEST=100# SYSTEM=S-1</v>
      </c>
      <c r="Q1195" s="210"/>
      <c r="R1195" s="210"/>
    </row>
    <row r="1196" spans="1:18" ht="45" outlineLevel="2">
      <c r="A1196" s="223" t="s">
        <v>54</v>
      </c>
      <c r="B1196" s="250" t="s">
        <v>1017</v>
      </c>
      <c r="C1196" s="250" t="s">
        <v>1018</v>
      </c>
      <c r="D1196" s="223" t="s">
        <v>1019</v>
      </c>
      <c r="E1196" s="250" t="s">
        <v>1020</v>
      </c>
      <c r="F1196" s="223" t="s">
        <v>22</v>
      </c>
      <c r="G1196" s="250" t="s">
        <v>23</v>
      </c>
      <c r="H1196" s="250" t="s">
        <v>1525</v>
      </c>
      <c r="I1196" s="250">
        <v>201411</v>
      </c>
      <c r="J1196" s="251">
        <v>5145.3999999999996</v>
      </c>
      <c r="K1196" s="171">
        <f>VLOOKUP(I1196,$T$9:$U$23,2)</f>
        <v>7</v>
      </c>
      <c r="L1196" s="253">
        <v>1.4833299999999999E-3</v>
      </c>
      <c r="M1196" s="251">
        <f>ROUND(J1196*K1196*L1196,2)</f>
        <v>53.43</v>
      </c>
      <c r="N1196" s="251">
        <f>ROUND(J1196*L1196*12,2)</f>
        <v>91.59</v>
      </c>
      <c r="O1196" s="223"/>
      <c r="P1196" s="210" t="str">
        <f>VLOOKUP(C1196,'WO Descriptions'!$A$5:$D$384,4,FALSE)</f>
        <v>Approved by: Galen Shoemaker on 09/18/2014,  Lay 479ft of 2in Plastic Main to replace 391ft of 2in PBS from WO JO10B and 86ft of 2in CS from WO 66-7352 and 2'-2" PE from 82-0762. MOP=20# MAOP=20# TEST=100# SYSTEM=S-1</v>
      </c>
      <c r="Q1196" s="210"/>
      <c r="R1196" s="210"/>
    </row>
    <row r="1197" spans="1:18" ht="45" outlineLevel="2">
      <c r="A1197" s="223" t="s">
        <v>54</v>
      </c>
      <c r="B1197" s="250" t="s">
        <v>1017</v>
      </c>
      <c r="C1197" s="250" t="s">
        <v>1018</v>
      </c>
      <c r="D1197" s="223" t="s">
        <v>1019</v>
      </c>
      <c r="E1197" s="250" t="s">
        <v>1020</v>
      </c>
      <c r="F1197" s="223" t="s">
        <v>22</v>
      </c>
      <c r="G1197" s="250" t="s">
        <v>23</v>
      </c>
      <c r="H1197" s="250" t="s">
        <v>1525</v>
      </c>
      <c r="I1197" s="250">
        <v>201412</v>
      </c>
      <c r="J1197" s="251">
        <v>2679.48</v>
      </c>
      <c r="K1197" s="171">
        <f>VLOOKUP(I1197,$T$9:$U$23,2)</f>
        <v>6</v>
      </c>
      <c r="L1197" s="253">
        <v>1.4833299999999999E-3</v>
      </c>
      <c r="M1197" s="251">
        <f>ROUND(J1197*K1197*L1197,2)</f>
        <v>23.85</v>
      </c>
      <c r="N1197" s="251">
        <f>ROUND(J1197*L1197*12,2)</f>
        <v>47.69</v>
      </c>
      <c r="O1197" s="223"/>
      <c r="P1197" s="210" t="str">
        <f>VLOOKUP(C1197,'WO Descriptions'!$A$5:$D$384,4,FALSE)</f>
        <v>Approved by: Galen Shoemaker on 09/18/2014,  Lay 479ft of 2in Plastic Main to replace 391ft of 2in PBS from WO JO10B and 86ft of 2in CS from WO 66-7352 and 2'-2" PE from 82-0762. MOP=20# MAOP=20# TEST=100# SYSTEM=S-1</v>
      </c>
      <c r="Q1197" s="210"/>
      <c r="R1197" s="210"/>
    </row>
    <row r="1198" spans="1:18" ht="45" outlineLevel="2">
      <c r="A1198" s="223" t="s">
        <v>54</v>
      </c>
      <c r="B1198" s="250" t="s">
        <v>1017</v>
      </c>
      <c r="C1198" s="250" t="s">
        <v>1018</v>
      </c>
      <c r="D1198" s="223" t="s">
        <v>1019</v>
      </c>
      <c r="E1198" s="250" t="s">
        <v>1020</v>
      </c>
      <c r="F1198" s="223" t="s">
        <v>22</v>
      </c>
      <c r="G1198" s="250" t="s">
        <v>23</v>
      </c>
      <c r="H1198" s="250" t="s">
        <v>1525</v>
      </c>
      <c r="I1198" s="250">
        <v>201501</v>
      </c>
      <c r="J1198" s="251">
        <v>-1626.32</v>
      </c>
      <c r="K1198" s="171">
        <f>VLOOKUP(I1198,$T$9:$U$23,2)</f>
        <v>5</v>
      </c>
      <c r="L1198" s="253">
        <v>1.4833299999999999E-3</v>
      </c>
      <c r="M1198" s="251">
        <f>ROUND(J1198*K1198*L1198,2)</f>
        <v>-12.06</v>
      </c>
      <c r="N1198" s="251">
        <f>ROUND(J1198*L1198*12,2)</f>
        <v>-28.95</v>
      </c>
      <c r="O1198" s="223"/>
      <c r="P1198" s="210" t="str">
        <f>VLOOKUP(C1198,'WO Descriptions'!$A$5:$D$384,4,FALSE)</f>
        <v>Approved by: Galen Shoemaker on 09/18/2014,  Lay 479ft of 2in Plastic Main to replace 391ft of 2in PBS from WO JO10B and 86ft of 2in CS from WO 66-7352 and 2'-2" PE from 82-0762. MOP=20# MAOP=20# TEST=100# SYSTEM=S-1</v>
      </c>
      <c r="Q1198" s="210"/>
      <c r="R1198" s="210"/>
    </row>
    <row r="1199" spans="1:18" ht="45" outlineLevel="2">
      <c r="A1199" s="223" t="s">
        <v>54</v>
      </c>
      <c r="B1199" s="250" t="s">
        <v>1017</v>
      </c>
      <c r="C1199" s="250" t="s">
        <v>1018</v>
      </c>
      <c r="D1199" s="223" t="s">
        <v>1019</v>
      </c>
      <c r="E1199" s="250" t="s">
        <v>1020</v>
      </c>
      <c r="F1199" s="223" t="s">
        <v>22</v>
      </c>
      <c r="G1199" s="250" t="s">
        <v>23</v>
      </c>
      <c r="H1199" s="250" t="s">
        <v>1525</v>
      </c>
      <c r="I1199" s="250">
        <v>201502</v>
      </c>
      <c r="J1199" s="251">
        <v>-239.93</v>
      </c>
      <c r="K1199" s="171">
        <f>VLOOKUP(I1199,$T$9:$U$23,2)</f>
        <v>4</v>
      </c>
      <c r="L1199" s="253">
        <v>1.4833299999999999E-3</v>
      </c>
      <c r="M1199" s="251">
        <f>ROUND(J1199*K1199*L1199,2)</f>
        <v>-1.42</v>
      </c>
      <c r="N1199" s="251">
        <f>ROUND(J1199*L1199*12,2)</f>
        <v>-4.2699999999999996</v>
      </c>
      <c r="O1199" s="223"/>
      <c r="P1199" s="210" t="str">
        <f>VLOOKUP(C1199,'WO Descriptions'!$A$5:$D$384,4,FALSE)</f>
        <v>Approved by: Galen Shoemaker on 09/18/2014,  Lay 479ft of 2in Plastic Main to replace 391ft of 2in PBS from WO JO10B and 86ft of 2in CS from WO 66-7352 and 2'-2" PE from 82-0762. MOP=20# MAOP=20# TEST=100# SYSTEM=S-1</v>
      </c>
      <c r="Q1199" s="210"/>
      <c r="R1199" s="210"/>
    </row>
    <row r="1200" spans="1:18" outlineLevel="1">
      <c r="A1200" s="223"/>
      <c r="B1200" s="250"/>
      <c r="C1200" s="254" t="s">
        <v>2081</v>
      </c>
      <c r="D1200" s="223"/>
      <c r="E1200" s="250"/>
      <c r="F1200" s="223"/>
      <c r="G1200" s="250"/>
      <c r="H1200" s="250"/>
      <c r="I1200" s="250"/>
      <c r="J1200" s="251">
        <f>SUBTOTAL(9,J1195:J1199)</f>
        <v>12281.829999999998</v>
      </c>
      <c r="K1200" s="252"/>
      <c r="L1200" s="253"/>
      <c r="M1200" s="251">
        <f>SUBTOTAL(9,M1195:M1199)</f>
        <v>138.84</v>
      </c>
      <c r="N1200" s="251">
        <f>SUBTOTAL(9,N1195:N1199)</f>
        <v>218.60999999999999</v>
      </c>
      <c r="O1200" s="223"/>
      <c r="P1200" s="210"/>
      <c r="Q1200" s="210" t="str">
        <f>VLOOKUP(C1200,'Descriptions Sorted by WO '!$A$5:$S$977,18,FALSE)</f>
        <v>393.1009 (5) (a) (b)</v>
      </c>
      <c r="R1200" s="210" t="str">
        <f>VLOOKUP(C1200,'Descriptions Sorted by WO '!$A$5:$S$977,19,FALSE)</f>
        <v>A,B,C</v>
      </c>
    </row>
    <row r="1201" spans="1:18" ht="75" outlineLevel="2">
      <c r="A1201" s="223" t="s">
        <v>54</v>
      </c>
      <c r="B1201" s="250" t="s">
        <v>1069</v>
      </c>
      <c r="C1201" s="250" t="s">
        <v>1070</v>
      </c>
      <c r="D1201" s="223" t="s">
        <v>1071</v>
      </c>
      <c r="E1201" s="250" t="s">
        <v>296</v>
      </c>
      <c r="F1201" s="223" t="s">
        <v>28</v>
      </c>
      <c r="G1201" s="250" t="s">
        <v>23</v>
      </c>
      <c r="H1201" s="250" t="s">
        <v>1525</v>
      </c>
      <c r="I1201" s="250">
        <v>201412</v>
      </c>
      <c r="J1201" s="251">
        <v>-310.58999999999997</v>
      </c>
      <c r="K1201" s="171">
        <f>VLOOKUP(I1201,$T$9:$U$23,2)</f>
        <v>6</v>
      </c>
      <c r="L1201" s="253">
        <v>1.4833299999999999E-3</v>
      </c>
      <c r="M1201" s="251">
        <f>ROUND(J1201*K1201*L1201,2)</f>
        <v>-2.76</v>
      </c>
      <c r="N1201" s="251">
        <f>ROUND(J1201*L1201*12,2)</f>
        <v>-5.53</v>
      </c>
      <c r="O1201" s="223"/>
      <c r="P1201" s="210" t="str">
        <f>VLOOKUP(C1201,'WO Descriptions'!$A$5:$D$384,4,FALSE)</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c r="Q1201" s="210"/>
      <c r="R1201" s="210"/>
    </row>
    <row r="1202" spans="1:18" ht="75" outlineLevel="2">
      <c r="A1202" s="223" t="s">
        <v>54</v>
      </c>
      <c r="B1202" s="250" t="s">
        <v>1069</v>
      </c>
      <c r="C1202" s="250" t="s">
        <v>1070</v>
      </c>
      <c r="D1202" s="223" t="s">
        <v>1071</v>
      </c>
      <c r="E1202" s="250" t="s">
        <v>296</v>
      </c>
      <c r="F1202" s="223" t="s">
        <v>28</v>
      </c>
      <c r="G1202" s="250" t="s">
        <v>23</v>
      </c>
      <c r="H1202" s="250" t="s">
        <v>1525</v>
      </c>
      <c r="I1202" s="250">
        <v>201501</v>
      </c>
      <c r="J1202" s="251">
        <v>-19.29</v>
      </c>
      <c r="K1202" s="171">
        <f>VLOOKUP(I1202,$T$9:$U$23,2)</f>
        <v>5</v>
      </c>
      <c r="L1202" s="253">
        <v>1.4833299999999999E-3</v>
      </c>
      <c r="M1202" s="251">
        <f>ROUND(J1202*K1202*L1202,2)</f>
        <v>-0.14000000000000001</v>
      </c>
      <c r="N1202" s="251">
        <f>ROUND(J1202*L1202*12,2)</f>
        <v>-0.34</v>
      </c>
      <c r="O1202" s="223"/>
      <c r="P1202" s="210" t="str">
        <f>VLOOKUP(C1202,'WO Descriptions'!$A$5:$D$384,4,FALSE)</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c r="Q1202" s="210"/>
      <c r="R1202" s="210"/>
    </row>
    <row r="1203" spans="1:18" ht="75" outlineLevel="2">
      <c r="A1203" s="223" t="s">
        <v>54</v>
      </c>
      <c r="B1203" s="250" t="s">
        <v>1069</v>
      </c>
      <c r="C1203" s="250" t="s">
        <v>1070</v>
      </c>
      <c r="D1203" s="223" t="s">
        <v>1071</v>
      </c>
      <c r="E1203" s="250" t="s">
        <v>296</v>
      </c>
      <c r="F1203" s="223" t="s">
        <v>28</v>
      </c>
      <c r="G1203" s="250" t="s">
        <v>23</v>
      </c>
      <c r="H1203" s="250" t="s">
        <v>1525</v>
      </c>
      <c r="I1203" s="250">
        <v>201502</v>
      </c>
      <c r="J1203" s="251">
        <v>-51.24</v>
      </c>
      <c r="K1203" s="171">
        <f>VLOOKUP(I1203,$T$9:$U$23,2)</f>
        <v>4</v>
      </c>
      <c r="L1203" s="253">
        <v>1.4833299999999999E-3</v>
      </c>
      <c r="M1203" s="251">
        <f>ROUND(J1203*K1203*L1203,2)</f>
        <v>-0.3</v>
      </c>
      <c r="N1203" s="251">
        <f>ROUND(J1203*L1203*12,2)</f>
        <v>-0.91</v>
      </c>
      <c r="O1203" s="223"/>
      <c r="P1203" s="210" t="str">
        <f>VLOOKUP(C1203,'WO Descriptions'!$A$5:$D$384,4,FALSE)</f>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
      <c r="Q1203" s="210"/>
      <c r="R1203" s="210"/>
    </row>
    <row r="1204" spans="1:18" outlineLevel="1">
      <c r="A1204" s="223"/>
      <c r="B1204" s="250"/>
      <c r="C1204" s="254" t="s">
        <v>2082</v>
      </c>
      <c r="D1204" s="223"/>
      <c r="E1204" s="250"/>
      <c r="F1204" s="223"/>
      <c r="G1204" s="250"/>
      <c r="H1204" s="250"/>
      <c r="I1204" s="250"/>
      <c r="J1204" s="251">
        <f>SUBTOTAL(9,J1201:J1203)</f>
        <v>-381.12</v>
      </c>
      <c r="K1204" s="252"/>
      <c r="L1204" s="253"/>
      <c r="M1204" s="251">
        <f>SUBTOTAL(9,M1201:M1203)</f>
        <v>-3.1999999999999997</v>
      </c>
      <c r="N1204" s="251">
        <f>SUBTOTAL(9,N1201:N1203)</f>
        <v>-6.78</v>
      </c>
      <c r="O1204" s="223"/>
      <c r="P1204" s="210"/>
      <c r="Q1204" s="210" t="str">
        <f>VLOOKUP(C1204,'Descriptions Sorted by WO '!$A$5:$S$977,18,FALSE)</f>
        <v>393.1009 (5) (a) (b)</v>
      </c>
      <c r="R1204" s="210" t="str">
        <f>VLOOKUP(C1204,'Descriptions Sorted by WO '!$A$5:$S$977,19,FALSE)</f>
        <v>A,B</v>
      </c>
    </row>
    <row r="1205" spans="1:18" ht="180" outlineLevel="2">
      <c r="A1205" s="223" t="s">
        <v>54</v>
      </c>
      <c r="B1205" s="250" t="s">
        <v>1072</v>
      </c>
      <c r="C1205" s="250" t="s">
        <v>1073</v>
      </c>
      <c r="D1205" s="223" t="s">
        <v>1074</v>
      </c>
      <c r="E1205" s="250" t="s">
        <v>296</v>
      </c>
      <c r="F1205" s="223" t="s">
        <v>28</v>
      </c>
      <c r="G1205" s="250" t="s">
        <v>23</v>
      </c>
      <c r="H1205" s="250" t="s">
        <v>1525</v>
      </c>
      <c r="I1205" s="250">
        <v>201412</v>
      </c>
      <c r="J1205" s="251">
        <v>24647.69</v>
      </c>
      <c r="K1205" s="171">
        <f>VLOOKUP(I1205,$T$9:$U$23,2)</f>
        <v>6</v>
      </c>
      <c r="L1205" s="253">
        <v>1.4833299999999999E-3</v>
      </c>
      <c r="M1205" s="251">
        <f>ROUND(J1205*K1205*L1205,2)</f>
        <v>219.36</v>
      </c>
      <c r="N1205" s="251">
        <f>ROUND(J1205*L1205*12,2)</f>
        <v>438.73</v>
      </c>
      <c r="O1205" s="223"/>
      <c r="P1205" s="210" t="str">
        <f>VLOOKUP(C1205,'WO Descriptions'!$A$5:$D$384,4,FALSE)</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c r="Q1205" s="210"/>
      <c r="R1205" s="210"/>
    </row>
    <row r="1206" spans="1:18" ht="180" outlineLevel="2">
      <c r="A1206" s="223" t="s">
        <v>54</v>
      </c>
      <c r="B1206" s="250" t="s">
        <v>1072</v>
      </c>
      <c r="C1206" s="250" t="s">
        <v>1073</v>
      </c>
      <c r="D1206" s="223" t="s">
        <v>1074</v>
      </c>
      <c r="E1206" s="250" t="s">
        <v>296</v>
      </c>
      <c r="F1206" s="223" t="s">
        <v>28</v>
      </c>
      <c r="G1206" s="250" t="s">
        <v>23</v>
      </c>
      <c r="H1206" s="250" t="s">
        <v>1525</v>
      </c>
      <c r="I1206" s="250">
        <v>201501</v>
      </c>
      <c r="J1206" s="251">
        <v>-34.159999999999997</v>
      </c>
      <c r="K1206" s="171">
        <f>VLOOKUP(I1206,$T$9:$U$23,2)</f>
        <v>5</v>
      </c>
      <c r="L1206" s="253">
        <v>1.4833299999999999E-3</v>
      </c>
      <c r="M1206" s="251">
        <f>ROUND(J1206*K1206*L1206,2)</f>
        <v>-0.25</v>
      </c>
      <c r="N1206" s="251">
        <f>ROUND(J1206*L1206*12,2)</f>
        <v>-0.61</v>
      </c>
      <c r="O1206" s="223"/>
      <c r="P1206" s="210" t="str">
        <f>VLOOKUP(C1206,'WO Descriptions'!$A$5:$D$384,4,FALSE)</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c r="Q1206" s="210"/>
      <c r="R1206" s="210"/>
    </row>
    <row r="1207" spans="1:18" ht="180" outlineLevel="2">
      <c r="A1207" s="223" t="s">
        <v>54</v>
      </c>
      <c r="B1207" s="250" t="s">
        <v>1072</v>
      </c>
      <c r="C1207" s="250" t="s">
        <v>1073</v>
      </c>
      <c r="D1207" s="223" t="s">
        <v>1074</v>
      </c>
      <c r="E1207" s="250" t="s">
        <v>296</v>
      </c>
      <c r="F1207" s="223" t="s">
        <v>28</v>
      </c>
      <c r="G1207" s="250" t="s">
        <v>23</v>
      </c>
      <c r="H1207" s="250" t="s">
        <v>1525</v>
      </c>
      <c r="I1207" s="250">
        <v>201502</v>
      </c>
      <c r="J1207" s="251">
        <v>10430.549999999999</v>
      </c>
      <c r="K1207" s="171">
        <f>VLOOKUP(I1207,$T$9:$U$23,2)</f>
        <v>4</v>
      </c>
      <c r="L1207" s="253">
        <v>1.4833299999999999E-3</v>
      </c>
      <c r="M1207" s="251">
        <f>ROUND(J1207*K1207*L1207,2)</f>
        <v>61.89</v>
      </c>
      <c r="N1207" s="251">
        <f>ROUND(J1207*L1207*12,2)</f>
        <v>185.66</v>
      </c>
      <c r="O1207" s="223"/>
      <c r="P1207" s="210" t="str">
        <f>VLOOKUP(C1207,'WO Descriptions'!$A$5:$D$384,4,FALSE)</f>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
      <c r="Q1207" s="210"/>
      <c r="R1207" s="210"/>
    </row>
    <row r="1208" spans="1:18" outlineLevel="1">
      <c r="A1208" s="223"/>
      <c r="B1208" s="250"/>
      <c r="C1208" s="254" t="s">
        <v>2083</v>
      </c>
      <c r="D1208" s="223"/>
      <c r="E1208" s="250"/>
      <c r="F1208" s="223"/>
      <c r="G1208" s="250"/>
      <c r="H1208" s="250"/>
      <c r="I1208" s="250"/>
      <c r="J1208" s="251">
        <f>SUBTOTAL(9,J1205:J1207)</f>
        <v>35044.080000000002</v>
      </c>
      <c r="K1208" s="252"/>
      <c r="L1208" s="253"/>
      <c r="M1208" s="251">
        <f>SUBTOTAL(9,M1205:M1207)</f>
        <v>281</v>
      </c>
      <c r="N1208" s="251">
        <f>SUBTOTAL(9,N1205:N1207)</f>
        <v>623.78</v>
      </c>
      <c r="O1208" s="223"/>
      <c r="P1208" s="210"/>
      <c r="Q1208" s="210" t="str">
        <f>VLOOKUP(C1208,'Descriptions Sorted by WO '!$A$5:$S$977,18,FALSE)</f>
        <v>393.1009 (5) (a) (b)</v>
      </c>
      <c r="R1208" s="210" t="str">
        <f>VLOOKUP(C1208,'Descriptions Sorted by WO '!$A$5:$S$977,19,FALSE)</f>
        <v>A,B</v>
      </c>
    </row>
    <row r="1209" spans="1:18" ht="45" outlineLevel="2">
      <c r="A1209" s="223" t="s">
        <v>54</v>
      </c>
      <c r="B1209" s="250" t="s">
        <v>1075</v>
      </c>
      <c r="C1209" s="250" t="s">
        <v>1076</v>
      </c>
      <c r="D1209" s="223" t="s">
        <v>1077</v>
      </c>
      <c r="E1209" s="250" t="s">
        <v>62</v>
      </c>
      <c r="F1209" s="223" t="s">
        <v>22</v>
      </c>
      <c r="G1209" s="250" t="s">
        <v>23</v>
      </c>
      <c r="H1209" s="250" t="s">
        <v>1525</v>
      </c>
      <c r="I1209" s="250">
        <v>201412</v>
      </c>
      <c r="J1209" s="251">
        <v>25101.279999999999</v>
      </c>
      <c r="K1209" s="171">
        <f>VLOOKUP(I1209,$T$9:$U$23,2)</f>
        <v>6</v>
      </c>
      <c r="L1209" s="253">
        <v>1.4833299999999999E-3</v>
      </c>
      <c r="M1209" s="251">
        <f>ROUND(J1209*K1209*L1209,2)</f>
        <v>223.4</v>
      </c>
      <c r="N1209" s="251">
        <f>ROUND(J1209*L1209*12,2)</f>
        <v>446.8</v>
      </c>
      <c r="O1209" s="223"/>
      <c r="P1209" s="210" t="str">
        <f>VLOOKUP(C1209,'WO Descriptions'!$A$5:$D$384,4,FALSE)</f>
        <v>Approved by: Ralph Janes on 09/23/2014,  Replace and Abandon 164'- 4"PCS (692513), 62' - 4"PBS (28302), 527' - 4" PBS (Unknown) 31' - 4" PCS (691388) and 58' - 4"PCS (732376). Main currently runs in an easement between 5th and 6th St. and W of Miller St. (ISRS)</v>
      </c>
      <c r="Q1209" s="210"/>
      <c r="R1209" s="210"/>
    </row>
    <row r="1210" spans="1:18" ht="45" outlineLevel="2">
      <c r="A1210" s="223" t="s">
        <v>54</v>
      </c>
      <c r="B1210" s="250" t="s">
        <v>1075</v>
      </c>
      <c r="C1210" s="250" t="s">
        <v>1076</v>
      </c>
      <c r="D1210" s="223" t="s">
        <v>1077</v>
      </c>
      <c r="E1210" s="250" t="s">
        <v>62</v>
      </c>
      <c r="F1210" s="223" t="s">
        <v>22</v>
      </c>
      <c r="G1210" s="250" t="s">
        <v>23</v>
      </c>
      <c r="H1210" s="250" t="s">
        <v>1525</v>
      </c>
      <c r="I1210" s="250">
        <v>201501</v>
      </c>
      <c r="J1210" s="251">
        <v>-264.39</v>
      </c>
      <c r="K1210" s="171">
        <f>VLOOKUP(I1210,$T$9:$U$23,2)</f>
        <v>5</v>
      </c>
      <c r="L1210" s="253">
        <v>1.4833299999999999E-3</v>
      </c>
      <c r="M1210" s="251">
        <f>ROUND(J1210*K1210*L1210,2)</f>
        <v>-1.96</v>
      </c>
      <c r="N1210" s="251">
        <f>ROUND(J1210*L1210*12,2)</f>
        <v>-4.71</v>
      </c>
      <c r="O1210" s="223"/>
      <c r="P1210" s="210" t="str">
        <f>VLOOKUP(C1210,'WO Descriptions'!$A$5:$D$384,4,FALSE)</f>
        <v>Approved by: Ralph Janes on 09/23/2014,  Replace and Abandon 164'- 4"PCS (692513), 62' - 4"PBS (28302), 527' - 4" PBS (Unknown) 31' - 4" PCS (691388) and 58' - 4"PCS (732376). Main currently runs in an easement between 5th and 6th St. and W of Miller St. (ISRS)</v>
      </c>
      <c r="Q1210" s="210"/>
      <c r="R1210" s="210"/>
    </row>
    <row r="1211" spans="1:18" ht="45" outlineLevel="2">
      <c r="A1211" s="223" t="s">
        <v>54</v>
      </c>
      <c r="B1211" s="250" t="s">
        <v>1075</v>
      </c>
      <c r="C1211" s="250" t="s">
        <v>1076</v>
      </c>
      <c r="D1211" s="223" t="s">
        <v>1077</v>
      </c>
      <c r="E1211" s="250" t="s">
        <v>62</v>
      </c>
      <c r="F1211" s="223" t="s">
        <v>22</v>
      </c>
      <c r="G1211" s="250" t="s">
        <v>23</v>
      </c>
      <c r="H1211" s="250" t="s">
        <v>1525</v>
      </c>
      <c r="I1211" s="250">
        <v>201502</v>
      </c>
      <c r="J1211" s="251">
        <v>-148.15</v>
      </c>
      <c r="K1211" s="171">
        <f>VLOOKUP(I1211,$T$9:$U$23,2)</f>
        <v>4</v>
      </c>
      <c r="L1211" s="253">
        <v>1.4833299999999999E-3</v>
      </c>
      <c r="M1211" s="251">
        <f>ROUND(J1211*K1211*L1211,2)</f>
        <v>-0.88</v>
      </c>
      <c r="N1211" s="251">
        <f>ROUND(J1211*L1211*12,2)</f>
        <v>-2.64</v>
      </c>
      <c r="O1211" s="223"/>
      <c r="P1211" s="210" t="str">
        <f>VLOOKUP(C1211,'WO Descriptions'!$A$5:$D$384,4,FALSE)</f>
        <v>Approved by: Ralph Janes on 09/23/2014,  Replace and Abandon 164'- 4"PCS (692513), 62' - 4"PBS (28302), 527' - 4" PBS (Unknown) 31' - 4" PCS (691388) and 58' - 4"PCS (732376). Main currently runs in an easement between 5th and 6th St. and W of Miller St. (ISRS)</v>
      </c>
      <c r="Q1211" s="210"/>
      <c r="R1211" s="210"/>
    </row>
    <row r="1212" spans="1:18" outlineLevel="1">
      <c r="A1212" s="223"/>
      <c r="B1212" s="250"/>
      <c r="C1212" s="254" t="s">
        <v>2084</v>
      </c>
      <c r="D1212" s="223"/>
      <c r="E1212" s="250"/>
      <c r="F1212" s="223"/>
      <c r="G1212" s="250"/>
      <c r="H1212" s="250"/>
      <c r="I1212" s="250"/>
      <c r="J1212" s="251">
        <f>SUBTOTAL(9,J1209:J1211)</f>
        <v>24688.739999999998</v>
      </c>
      <c r="K1212" s="252"/>
      <c r="L1212" s="253"/>
      <c r="M1212" s="251">
        <f>SUBTOTAL(9,M1209:M1211)</f>
        <v>220.56</v>
      </c>
      <c r="N1212" s="251">
        <f>SUBTOTAL(9,N1209:N1211)</f>
        <v>439.45000000000005</v>
      </c>
      <c r="O1212" s="223"/>
      <c r="P1212" s="210"/>
      <c r="Q1212" s="210" t="str">
        <f>VLOOKUP(C1212,'Descriptions Sorted by WO '!$A$5:$S$977,18,FALSE)</f>
        <v>393.1009 (5) (a) (b)</v>
      </c>
      <c r="R1212" s="210" t="str">
        <f>VLOOKUP(C1212,'Descriptions Sorted by WO '!$A$5:$S$977,19,FALSE)</f>
        <v>A,B,C</v>
      </c>
    </row>
    <row r="1213" spans="1:18" ht="45" outlineLevel="2">
      <c r="A1213" s="223" t="s">
        <v>54</v>
      </c>
      <c r="B1213" s="250" t="s">
        <v>1021</v>
      </c>
      <c r="C1213" s="250" t="s">
        <v>1022</v>
      </c>
      <c r="D1213" s="223" t="s">
        <v>1023</v>
      </c>
      <c r="E1213" s="250" t="s">
        <v>108</v>
      </c>
      <c r="F1213" s="223" t="s">
        <v>28</v>
      </c>
      <c r="G1213" s="250" t="s">
        <v>23</v>
      </c>
      <c r="H1213" s="250" t="s">
        <v>1525</v>
      </c>
      <c r="I1213" s="250">
        <v>201409</v>
      </c>
      <c r="J1213" s="251">
        <v>906.93</v>
      </c>
      <c r="K1213" s="171">
        <f t="shared" ref="K1213:K1218" si="141">VLOOKUP(I1213,$T$9:$U$23,2)</f>
        <v>9</v>
      </c>
      <c r="L1213" s="253">
        <v>1.4833299999999999E-3</v>
      </c>
      <c r="M1213" s="251">
        <f t="shared" ref="M1213:M1218" si="142">ROUND(J1213*K1213*L1213,2)</f>
        <v>12.11</v>
      </c>
      <c r="N1213" s="251">
        <f t="shared" ref="N1213:N1218" si="143">ROUND(J1213*L1213*12,2)</f>
        <v>16.14</v>
      </c>
      <c r="O1213" s="223"/>
      <c r="P1213" s="210" t="str">
        <f>VLOOKUP(C1213,'WO Descriptions'!$A$5:$D$384,4,FALSE)</f>
        <v>Approved by: Kevin Driskell on 09/24/2014,  Abandoned 3' of 2'' PE. Installed 8' of 2'' PE due to third party damage. When work was done pressure system was C-002 (1psig). As of 9/16/2014 pressure system C-002 (33psig).</v>
      </c>
      <c r="Q1213" s="210"/>
      <c r="R1213" s="210"/>
    </row>
    <row r="1214" spans="1:18" ht="45" outlineLevel="2">
      <c r="A1214" s="223" t="s">
        <v>54</v>
      </c>
      <c r="B1214" s="250" t="s">
        <v>1021</v>
      </c>
      <c r="C1214" s="250" t="s">
        <v>1022</v>
      </c>
      <c r="D1214" s="223" t="s">
        <v>1023</v>
      </c>
      <c r="E1214" s="250" t="s">
        <v>108</v>
      </c>
      <c r="F1214" s="223" t="s">
        <v>28</v>
      </c>
      <c r="G1214" s="250" t="s">
        <v>23</v>
      </c>
      <c r="H1214" s="250" t="s">
        <v>1525</v>
      </c>
      <c r="I1214" s="250">
        <v>201410</v>
      </c>
      <c r="J1214" s="251">
        <v>293.01</v>
      </c>
      <c r="K1214" s="171">
        <f t="shared" si="141"/>
        <v>8</v>
      </c>
      <c r="L1214" s="253">
        <v>1.4833299999999999E-3</v>
      </c>
      <c r="M1214" s="251">
        <f t="shared" si="142"/>
        <v>3.48</v>
      </c>
      <c r="N1214" s="251">
        <f t="shared" si="143"/>
        <v>5.22</v>
      </c>
      <c r="O1214" s="223"/>
      <c r="P1214" s="210" t="str">
        <f>VLOOKUP(C1214,'WO Descriptions'!$A$5:$D$384,4,FALSE)</f>
        <v>Approved by: Kevin Driskell on 09/24/2014,  Abandoned 3' of 2'' PE. Installed 8' of 2'' PE due to third party damage. When work was done pressure system was C-002 (1psig). As of 9/16/2014 pressure system C-002 (33psig).</v>
      </c>
      <c r="Q1214" s="210"/>
      <c r="R1214" s="210"/>
    </row>
    <row r="1215" spans="1:18" ht="45" outlineLevel="2">
      <c r="A1215" s="223" t="s">
        <v>54</v>
      </c>
      <c r="B1215" s="250" t="s">
        <v>1021</v>
      </c>
      <c r="C1215" s="250" t="s">
        <v>1022</v>
      </c>
      <c r="D1215" s="223" t="s">
        <v>1023</v>
      </c>
      <c r="E1215" s="250" t="s">
        <v>108</v>
      </c>
      <c r="F1215" s="223" t="s">
        <v>28</v>
      </c>
      <c r="G1215" s="250" t="s">
        <v>23</v>
      </c>
      <c r="H1215" s="250" t="s">
        <v>1525</v>
      </c>
      <c r="I1215" s="250">
        <v>201411</v>
      </c>
      <c r="J1215" s="251">
        <v>-13.74</v>
      </c>
      <c r="K1215" s="171">
        <f t="shared" si="141"/>
        <v>7</v>
      </c>
      <c r="L1215" s="253">
        <v>1.4833299999999999E-3</v>
      </c>
      <c r="M1215" s="251">
        <f t="shared" si="142"/>
        <v>-0.14000000000000001</v>
      </c>
      <c r="N1215" s="251">
        <f t="shared" si="143"/>
        <v>-0.24</v>
      </c>
      <c r="O1215" s="223"/>
      <c r="P1215" s="210" t="str">
        <f>VLOOKUP(C1215,'WO Descriptions'!$A$5:$D$384,4,FALSE)</f>
        <v>Approved by: Kevin Driskell on 09/24/2014,  Abandoned 3' of 2'' PE. Installed 8' of 2'' PE due to third party damage. When work was done pressure system was C-002 (1psig). As of 9/16/2014 pressure system C-002 (33psig).</v>
      </c>
      <c r="Q1215" s="210"/>
      <c r="R1215" s="210"/>
    </row>
    <row r="1216" spans="1:18" ht="45" outlineLevel="2">
      <c r="A1216" s="223" t="s">
        <v>54</v>
      </c>
      <c r="B1216" s="250" t="s">
        <v>1021</v>
      </c>
      <c r="C1216" s="250" t="s">
        <v>1022</v>
      </c>
      <c r="D1216" s="223" t="s">
        <v>1023</v>
      </c>
      <c r="E1216" s="250" t="s">
        <v>108</v>
      </c>
      <c r="F1216" s="223" t="s">
        <v>28</v>
      </c>
      <c r="G1216" s="250" t="s">
        <v>23</v>
      </c>
      <c r="H1216" s="250" t="s">
        <v>1525</v>
      </c>
      <c r="I1216" s="250">
        <v>201412</v>
      </c>
      <c r="J1216" s="251">
        <v>-22.55</v>
      </c>
      <c r="K1216" s="171">
        <f t="shared" si="141"/>
        <v>6</v>
      </c>
      <c r="L1216" s="253">
        <v>1.4833299999999999E-3</v>
      </c>
      <c r="M1216" s="251">
        <f t="shared" si="142"/>
        <v>-0.2</v>
      </c>
      <c r="N1216" s="251">
        <f t="shared" si="143"/>
        <v>-0.4</v>
      </c>
      <c r="O1216" s="223"/>
      <c r="P1216" s="210" t="str">
        <f>VLOOKUP(C1216,'WO Descriptions'!$A$5:$D$384,4,FALSE)</f>
        <v>Approved by: Kevin Driskell on 09/24/2014,  Abandoned 3' of 2'' PE. Installed 8' of 2'' PE due to third party damage. When work was done pressure system was C-002 (1psig). As of 9/16/2014 pressure system C-002 (33psig).</v>
      </c>
      <c r="Q1216" s="210"/>
      <c r="R1216" s="210"/>
    </row>
    <row r="1217" spans="1:18" ht="45" outlineLevel="2">
      <c r="A1217" s="223" t="s">
        <v>54</v>
      </c>
      <c r="B1217" s="250" t="s">
        <v>1021</v>
      </c>
      <c r="C1217" s="250" t="s">
        <v>1022</v>
      </c>
      <c r="D1217" s="223" t="s">
        <v>1023</v>
      </c>
      <c r="E1217" s="250" t="s">
        <v>108</v>
      </c>
      <c r="F1217" s="223" t="s">
        <v>28</v>
      </c>
      <c r="G1217" s="250" t="s">
        <v>23</v>
      </c>
      <c r="H1217" s="250" t="s">
        <v>1525</v>
      </c>
      <c r="I1217" s="250">
        <v>201501</v>
      </c>
      <c r="J1217" s="251">
        <v>-0.54</v>
      </c>
      <c r="K1217" s="171">
        <f t="shared" si="141"/>
        <v>5</v>
      </c>
      <c r="L1217" s="253">
        <v>1.4833299999999999E-3</v>
      </c>
      <c r="M1217" s="251">
        <f t="shared" si="142"/>
        <v>0</v>
      </c>
      <c r="N1217" s="251">
        <f t="shared" si="143"/>
        <v>-0.01</v>
      </c>
      <c r="O1217" s="223"/>
      <c r="P1217" s="210" t="str">
        <f>VLOOKUP(C1217,'WO Descriptions'!$A$5:$D$384,4,FALSE)</f>
        <v>Approved by: Kevin Driskell on 09/24/2014,  Abandoned 3' of 2'' PE. Installed 8' of 2'' PE due to third party damage. When work was done pressure system was C-002 (1psig). As of 9/16/2014 pressure system C-002 (33psig).</v>
      </c>
      <c r="Q1217" s="210"/>
      <c r="R1217" s="210"/>
    </row>
    <row r="1218" spans="1:18" ht="45" outlineLevel="2">
      <c r="A1218" s="223" t="s">
        <v>54</v>
      </c>
      <c r="B1218" s="250" t="s">
        <v>1021</v>
      </c>
      <c r="C1218" s="250" t="s">
        <v>1022</v>
      </c>
      <c r="D1218" s="223" t="s">
        <v>1023</v>
      </c>
      <c r="E1218" s="250" t="s">
        <v>108</v>
      </c>
      <c r="F1218" s="223" t="s">
        <v>28</v>
      </c>
      <c r="G1218" s="250" t="s">
        <v>23</v>
      </c>
      <c r="H1218" s="250" t="s">
        <v>1525</v>
      </c>
      <c r="I1218" s="250">
        <v>201502</v>
      </c>
      <c r="J1218" s="251">
        <v>-2.27</v>
      </c>
      <c r="K1218" s="171">
        <f t="shared" si="141"/>
        <v>4</v>
      </c>
      <c r="L1218" s="253">
        <v>1.4833299999999999E-3</v>
      </c>
      <c r="M1218" s="251">
        <f t="shared" si="142"/>
        <v>-0.01</v>
      </c>
      <c r="N1218" s="251">
        <f t="shared" si="143"/>
        <v>-0.04</v>
      </c>
      <c r="O1218" s="223"/>
      <c r="P1218" s="210" t="str">
        <f>VLOOKUP(C1218,'WO Descriptions'!$A$5:$D$384,4,FALSE)</f>
        <v>Approved by: Kevin Driskell on 09/24/2014,  Abandoned 3' of 2'' PE. Installed 8' of 2'' PE due to third party damage. When work was done pressure system was C-002 (1psig). As of 9/16/2014 pressure system C-002 (33psig).</v>
      </c>
      <c r="Q1218" s="210"/>
      <c r="R1218" s="210"/>
    </row>
    <row r="1219" spans="1:18" outlineLevel="1">
      <c r="A1219" s="223"/>
      <c r="B1219" s="250"/>
      <c r="C1219" s="254" t="s">
        <v>2085</v>
      </c>
      <c r="D1219" s="223"/>
      <c r="E1219" s="250"/>
      <c r="F1219" s="223"/>
      <c r="G1219" s="250"/>
      <c r="H1219" s="250"/>
      <c r="I1219" s="250"/>
      <c r="J1219" s="251">
        <f>SUBTOTAL(9,J1213:J1218)</f>
        <v>1160.8400000000001</v>
      </c>
      <c r="K1219" s="252"/>
      <c r="L1219" s="253"/>
      <c r="M1219" s="251">
        <f>SUBTOTAL(9,M1213:M1218)</f>
        <v>15.24</v>
      </c>
      <c r="N1219" s="251">
        <f>SUBTOTAL(9,N1213:N1218)</f>
        <v>20.67</v>
      </c>
      <c r="O1219" s="223"/>
      <c r="P1219" s="210"/>
      <c r="Q1219" s="210" t="str">
        <f>VLOOKUP(C1219,'Descriptions Sorted by WO '!$A$5:$S$977,18,FALSE)</f>
        <v>393.1009 (5) (a) (b)</v>
      </c>
      <c r="R1219" s="210" t="str">
        <f>VLOOKUP(C1219,'Descriptions Sorted by WO '!$A$5:$S$977,19,FALSE)</f>
        <v>A,B</v>
      </c>
    </row>
    <row r="1220" spans="1:18" ht="45" outlineLevel="2">
      <c r="A1220" s="223" t="s">
        <v>54</v>
      </c>
      <c r="B1220" s="250" t="s">
        <v>1078</v>
      </c>
      <c r="C1220" s="250" t="s">
        <v>1079</v>
      </c>
      <c r="D1220" s="223" t="s">
        <v>1080</v>
      </c>
      <c r="E1220" s="250" t="s">
        <v>62</v>
      </c>
      <c r="F1220" s="223" t="s">
        <v>22</v>
      </c>
      <c r="G1220" s="250" t="s">
        <v>23</v>
      </c>
      <c r="H1220" s="250" t="s">
        <v>1525</v>
      </c>
      <c r="I1220" s="250">
        <v>201412</v>
      </c>
      <c r="J1220" s="251">
        <v>5227.7</v>
      </c>
      <c r="K1220" s="171">
        <f>VLOOKUP(I1220,$T$9:$U$23,2)</f>
        <v>6</v>
      </c>
      <c r="L1220" s="253">
        <v>1.4833299999999999E-3</v>
      </c>
      <c r="M1220" s="251">
        <f>ROUND(J1220*K1220*L1220,2)</f>
        <v>46.53</v>
      </c>
      <c r="N1220" s="251">
        <f>ROUND(J1220*L1220*12,2)</f>
        <v>93.05</v>
      </c>
      <c r="O1220" s="223"/>
      <c r="P1220" s="210" t="str">
        <f>VLOOKUP(C1220,'WO Descriptions'!$A$5:$D$384,4,FALSE)</f>
        <v>Approved by: Ray Wilson on 10/01/2014,  Replace 95' - 6" PBS (WO# JO4528) with 111' of 6" PE main due to leakage. 120' of 6" checked out with 9' junked. Job worked by Holman crew 9/22-24. (ISRS)</v>
      </c>
      <c r="Q1220" s="210"/>
      <c r="R1220" s="210"/>
    </row>
    <row r="1221" spans="1:18" ht="45" outlineLevel="2">
      <c r="A1221" s="223" t="s">
        <v>54</v>
      </c>
      <c r="B1221" s="250" t="s">
        <v>1078</v>
      </c>
      <c r="C1221" s="250" t="s">
        <v>1079</v>
      </c>
      <c r="D1221" s="223" t="s">
        <v>1080</v>
      </c>
      <c r="E1221" s="250" t="s">
        <v>62</v>
      </c>
      <c r="F1221" s="223" t="s">
        <v>22</v>
      </c>
      <c r="G1221" s="250" t="s">
        <v>23</v>
      </c>
      <c r="H1221" s="250" t="s">
        <v>1525</v>
      </c>
      <c r="I1221" s="250">
        <v>201501</v>
      </c>
      <c r="J1221" s="251">
        <v>-9.73</v>
      </c>
      <c r="K1221" s="171">
        <f>VLOOKUP(I1221,$T$9:$U$23,2)</f>
        <v>5</v>
      </c>
      <c r="L1221" s="253">
        <v>1.4833299999999999E-3</v>
      </c>
      <c r="M1221" s="251">
        <f>ROUND(J1221*K1221*L1221,2)</f>
        <v>-7.0000000000000007E-2</v>
      </c>
      <c r="N1221" s="251">
        <f>ROUND(J1221*L1221*12,2)</f>
        <v>-0.17</v>
      </c>
      <c r="O1221" s="223"/>
      <c r="P1221" s="210" t="str">
        <f>VLOOKUP(C1221,'WO Descriptions'!$A$5:$D$384,4,FALSE)</f>
        <v>Approved by: Ray Wilson on 10/01/2014,  Replace 95' - 6" PBS (WO# JO4528) with 111' of 6" PE main due to leakage. 120' of 6" checked out with 9' junked. Job worked by Holman crew 9/22-24. (ISRS)</v>
      </c>
      <c r="Q1221" s="210"/>
      <c r="R1221" s="210"/>
    </row>
    <row r="1222" spans="1:18" ht="45" outlineLevel="2">
      <c r="A1222" s="223" t="s">
        <v>54</v>
      </c>
      <c r="B1222" s="250" t="s">
        <v>1078</v>
      </c>
      <c r="C1222" s="250" t="s">
        <v>1079</v>
      </c>
      <c r="D1222" s="223" t="s">
        <v>1080</v>
      </c>
      <c r="E1222" s="250" t="s">
        <v>62</v>
      </c>
      <c r="F1222" s="223" t="s">
        <v>22</v>
      </c>
      <c r="G1222" s="250" t="s">
        <v>23</v>
      </c>
      <c r="H1222" s="250" t="s">
        <v>1525</v>
      </c>
      <c r="I1222" s="250">
        <v>201502</v>
      </c>
      <c r="J1222" s="251">
        <v>-64.19</v>
      </c>
      <c r="K1222" s="171">
        <f>VLOOKUP(I1222,$T$9:$U$23,2)</f>
        <v>4</v>
      </c>
      <c r="L1222" s="253">
        <v>1.4833299999999999E-3</v>
      </c>
      <c r="M1222" s="251">
        <f>ROUND(J1222*K1222*L1222,2)</f>
        <v>-0.38</v>
      </c>
      <c r="N1222" s="251">
        <f>ROUND(J1222*L1222*12,2)</f>
        <v>-1.1399999999999999</v>
      </c>
      <c r="O1222" s="223"/>
      <c r="P1222" s="210" t="str">
        <f>VLOOKUP(C1222,'WO Descriptions'!$A$5:$D$384,4,FALSE)</f>
        <v>Approved by: Ray Wilson on 10/01/2014,  Replace 95' - 6" PBS (WO# JO4528) with 111' of 6" PE main due to leakage. 120' of 6" checked out with 9' junked. Job worked by Holman crew 9/22-24. (ISRS)</v>
      </c>
      <c r="Q1222" s="210"/>
      <c r="R1222" s="210"/>
    </row>
    <row r="1223" spans="1:18" outlineLevel="1">
      <c r="A1223" s="223"/>
      <c r="B1223" s="250"/>
      <c r="C1223" s="254" t="s">
        <v>2086</v>
      </c>
      <c r="D1223" s="223"/>
      <c r="E1223" s="250"/>
      <c r="F1223" s="223"/>
      <c r="G1223" s="250"/>
      <c r="H1223" s="250"/>
      <c r="I1223" s="250"/>
      <c r="J1223" s="251">
        <f>SUBTOTAL(9,J1220:J1222)</f>
        <v>5153.7800000000007</v>
      </c>
      <c r="K1223" s="252"/>
      <c r="L1223" s="253"/>
      <c r="M1223" s="251">
        <f>SUBTOTAL(9,M1220:M1222)</f>
        <v>46.08</v>
      </c>
      <c r="N1223" s="251">
        <f>SUBTOTAL(9,N1220:N1222)</f>
        <v>91.74</v>
      </c>
      <c r="O1223" s="223"/>
      <c r="P1223" s="210"/>
      <c r="Q1223" s="210" t="str">
        <f>VLOOKUP(C1223,'Descriptions Sorted by WO '!$A$5:$S$977,18,FALSE)</f>
        <v>393.1009 (5) (a) (b)</v>
      </c>
      <c r="R1223" s="210" t="str">
        <f>VLOOKUP(C1223,'Descriptions Sorted by WO '!$A$5:$S$977,19,FALSE)</f>
        <v>A,B,C</v>
      </c>
    </row>
    <row r="1224" spans="1:18" ht="45" outlineLevel="2">
      <c r="A1224" s="223" t="s">
        <v>54</v>
      </c>
      <c r="B1224" s="250" t="s">
        <v>1081</v>
      </c>
      <c r="C1224" s="250" t="s">
        <v>1082</v>
      </c>
      <c r="D1224" s="223" t="s">
        <v>1083</v>
      </c>
      <c r="E1224" s="250" t="s">
        <v>141</v>
      </c>
      <c r="F1224" s="223" t="s">
        <v>142</v>
      </c>
      <c r="G1224" s="250" t="s">
        <v>23</v>
      </c>
      <c r="H1224" s="250" t="s">
        <v>1525</v>
      </c>
      <c r="I1224" s="250">
        <v>201412</v>
      </c>
      <c r="J1224" s="251">
        <v>75631.14</v>
      </c>
      <c r="K1224" s="171">
        <f>VLOOKUP(I1224,$T$9:$U$23,2)</f>
        <v>6</v>
      </c>
      <c r="L1224" s="253">
        <v>1.4833299999999999E-3</v>
      </c>
      <c r="M1224" s="251">
        <f>ROUND(J1224*K1224*L1224,2)</f>
        <v>673.12</v>
      </c>
      <c r="N1224" s="251">
        <f>ROUND(J1224*L1224*12,2)</f>
        <v>1346.23</v>
      </c>
      <c r="O1224" s="223"/>
      <c r="P1224" s="210" t="str">
        <f>VLOOKUP(C1224,'WO Descriptions'!$A$5:$D$384,4,FALSE)</f>
        <v>Approved by: Steve Holcomb on 09/29/2014,  ISRS Replace 6in CI with 2,430 ft of 4in PE due to cast iron breaks.  This job must be completed by Jan. 13, 2015.  Tie-over 18 services. Replace 5 services.</v>
      </c>
      <c r="Q1224" s="210"/>
      <c r="R1224" s="210"/>
    </row>
    <row r="1225" spans="1:18" ht="45" outlineLevel="2">
      <c r="A1225" s="223" t="s">
        <v>54</v>
      </c>
      <c r="B1225" s="250" t="s">
        <v>1081</v>
      </c>
      <c r="C1225" s="250" t="s">
        <v>1082</v>
      </c>
      <c r="D1225" s="223" t="s">
        <v>1083</v>
      </c>
      <c r="E1225" s="250" t="s">
        <v>141</v>
      </c>
      <c r="F1225" s="223" t="s">
        <v>142</v>
      </c>
      <c r="G1225" s="250" t="s">
        <v>23</v>
      </c>
      <c r="H1225" s="250" t="s">
        <v>1525</v>
      </c>
      <c r="I1225" s="250">
        <v>201501</v>
      </c>
      <c r="J1225" s="251">
        <v>40504.11</v>
      </c>
      <c r="K1225" s="171">
        <f>VLOOKUP(I1225,$T$9:$U$23,2)</f>
        <v>5</v>
      </c>
      <c r="L1225" s="253">
        <v>1.4833299999999999E-3</v>
      </c>
      <c r="M1225" s="251">
        <f>ROUND(J1225*K1225*L1225,2)</f>
        <v>300.39999999999998</v>
      </c>
      <c r="N1225" s="251">
        <f>ROUND(J1225*L1225*12,2)</f>
        <v>720.97</v>
      </c>
      <c r="O1225" s="223"/>
      <c r="P1225" s="210" t="str">
        <f>VLOOKUP(C1225,'WO Descriptions'!$A$5:$D$384,4,FALSE)</f>
        <v>Approved by: Steve Holcomb on 09/29/2014,  ISRS Replace 6in CI with 2,430 ft of 4in PE due to cast iron breaks.  This job must be completed by Jan. 13, 2015.  Tie-over 18 services. Replace 5 services.</v>
      </c>
      <c r="Q1225" s="210"/>
      <c r="R1225" s="210"/>
    </row>
    <row r="1226" spans="1:18" ht="45" outlineLevel="2">
      <c r="A1226" s="223" t="s">
        <v>54</v>
      </c>
      <c r="B1226" s="250" t="s">
        <v>1081</v>
      </c>
      <c r="C1226" s="250" t="s">
        <v>1082</v>
      </c>
      <c r="D1226" s="223" t="s">
        <v>1083</v>
      </c>
      <c r="E1226" s="250" t="s">
        <v>141</v>
      </c>
      <c r="F1226" s="223" t="s">
        <v>142</v>
      </c>
      <c r="G1226" s="250" t="s">
        <v>23</v>
      </c>
      <c r="H1226" s="250" t="s">
        <v>1525</v>
      </c>
      <c r="I1226" s="250">
        <v>201502</v>
      </c>
      <c r="J1226" s="251">
        <v>-413.65</v>
      </c>
      <c r="K1226" s="171">
        <f>VLOOKUP(I1226,$T$9:$U$23,2)</f>
        <v>4</v>
      </c>
      <c r="L1226" s="253">
        <v>1.4833299999999999E-3</v>
      </c>
      <c r="M1226" s="251">
        <f>ROUND(J1226*K1226*L1226,2)</f>
        <v>-2.4500000000000002</v>
      </c>
      <c r="N1226" s="251">
        <f>ROUND(J1226*L1226*12,2)</f>
        <v>-7.36</v>
      </c>
      <c r="O1226" s="223"/>
      <c r="P1226" s="210" t="str">
        <f>VLOOKUP(C1226,'WO Descriptions'!$A$5:$D$384,4,FALSE)</f>
        <v>Approved by: Steve Holcomb on 09/29/2014,  ISRS Replace 6in CI with 2,430 ft of 4in PE due to cast iron breaks.  This job must be completed by Jan. 13, 2015.  Tie-over 18 services. Replace 5 services.</v>
      </c>
      <c r="Q1226" s="210"/>
      <c r="R1226" s="210"/>
    </row>
    <row r="1227" spans="1:18" outlineLevel="1">
      <c r="A1227" s="223"/>
      <c r="B1227" s="250"/>
      <c r="C1227" s="254" t="s">
        <v>2087</v>
      </c>
      <c r="D1227" s="223"/>
      <c r="E1227" s="250"/>
      <c r="F1227" s="223"/>
      <c r="G1227" s="250"/>
      <c r="H1227" s="250"/>
      <c r="I1227" s="250"/>
      <c r="J1227" s="251">
        <f>SUBTOTAL(9,J1224:J1226)</f>
        <v>115721.60000000001</v>
      </c>
      <c r="K1227" s="252"/>
      <c r="L1227" s="253"/>
      <c r="M1227" s="251">
        <f>SUBTOTAL(9,M1224:M1226)</f>
        <v>971.06999999999994</v>
      </c>
      <c r="N1227" s="251">
        <f>SUBTOTAL(9,N1224:N1226)</f>
        <v>2059.8399999999997</v>
      </c>
      <c r="O1227" s="223"/>
      <c r="P1227" s="210"/>
      <c r="Q1227" s="210" t="str">
        <f>VLOOKUP(C1227,'Descriptions Sorted by WO '!$A$5:$S$977,18,FALSE)</f>
        <v>393.1009 (5) (a) (b)</v>
      </c>
      <c r="R1227" s="210" t="str">
        <f>VLOOKUP(C1227,'Descriptions Sorted by WO '!$A$5:$S$977,19,FALSE)</f>
        <v>A,B,C,D,I</v>
      </c>
    </row>
    <row r="1228" spans="1:18" ht="60" outlineLevel="2">
      <c r="A1228" s="223" t="s">
        <v>54</v>
      </c>
      <c r="B1228" s="250" t="s">
        <v>1084</v>
      </c>
      <c r="C1228" s="250" t="s">
        <v>1085</v>
      </c>
      <c r="D1228" s="223" t="s">
        <v>1086</v>
      </c>
      <c r="E1228" s="250" t="s">
        <v>21</v>
      </c>
      <c r="F1228" s="223" t="s">
        <v>22</v>
      </c>
      <c r="G1228" s="250" t="s">
        <v>23</v>
      </c>
      <c r="H1228" s="250" t="s">
        <v>1525</v>
      </c>
      <c r="I1228" s="250">
        <v>201412</v>
      </c>
      <c r="J1228" s="251">
        <v>36271.120000000003</v>
      </c>
      <c r="K1228" s="171">
        <f>VLOOKUP(I1228,$T$9:$U$23,2)</f>
        <v>6</v>
      </c>
      <c r="L1228" s="253">
        <v>1.4833299999999999E-3</v>
      </c>
      <c r="M1228" s="251">
        <f>ROUND(J1228*K1228*L1228,2)</f>
        <v>322.81</v>
      </c>
      <c r="N1228" s="251">
        <f>ROUND(J1228*L1228*12,2)</f>
        <v>645.62</v>
      </c>
      <c r="O1228" s="223"/>
      <c r="P1228" s="210" t="str">
        <f>VLOOKUP(C1228,'WO Descriptions'!$A$5:$D$384,4,FALSE)</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c r="Q1228" s="210"/>
      <c r="R1228" s="210"/>
    </row>
    <row r="1229" spans="1:18" ht="60" outlineLevel="2">
      <c r="A1229" s="223" t="s">
        <v>54</v>
      </c>
      <c r="B1229" s="250" t="s">
        <v>1084</v>
      </c>
      <c r="C1229" s="250" t="s">
        <v>1085</v>
      </c>
      <c r="D1229" s="223" t="s">
        <v>1086</v>
      </c>
      <c r="E1229" s="250" t="s">
        <v>21</v>
      </c>
      <c r="F1229" s="223" t="s">
        <v>22</v>
      </c>
      <c r="G1229" s="250" t="s">
        <v>23</v>
      </c>
      <c r="H1229" s="250" t="s">
        <v>1525</v>
      </c>
      <c r="I1229" s="250">
        <v>201501</v>
      </c>
      <c r="J1229" s="251">
        <v>3371.22</v>
      </c>
      <c r="K1229" s="171">
        <f>VLOOKUP(I1229,$T$9:$U$23,2)</f>
        <v>5</v>
      </c>
      <c r="L1229" s="253">
        <v>1.4833299999999999E-3</v>
      </c>
      <c r="M1229" s="251">
        <f>ROUND(J1229*K1229*L1229,2)</f>
        <v>25</v>
      </c>
      <c r="N1229" s="251">
        <f>ROUND(J1229*L1229*12,2)</f>
        <v>60.01</v>
      </c>
      <c r="O1229" s="223"/>
      <c r="P1229" s="210" t="str">
        <f>VLOOKUP(C1229,'WO Descriptions'!$A$5:$D$384,4,FALSE)</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c r="Q1229" s="210"/>
      <c r="R1229" s="210"/>
    </row>
    <row r="1230" spans="1:18" ht="60" outlineLevel="2">
      <c r="A1230" s="223" t="s">
        <v>54</v>
      </c>
      <c r="B1230" s="250" t="s">
        <v>1084</v>
      </c>
      <c r="C1230" s="250" t="s">
        <v>1085</v>
      </c>
      <c r="D1230" s="223" t="s">
        <v>1086</v>
      </c>
      <c r="E1230" s="250" t="s">
        <v>21</v>
      </c>
      <c r="F1230" s="223" t="s">
        <v>22</v>
      </c>
      <c r="G1230" s="250" t="s">
        <v>23</v>
      </c>
      <c r="H1230" s="250" t="s">
        <v>1525</v>
      </c>
      <c r="I1230" s="250">
        <v>201502</v>
      </c>
      <c r="J1230" s="251">
        <v>-460.31</v>
      </c>
      <c r="K1230" s="171">
        <f>VLOOKUP(I1230,$T$9:$U$23,2)</f>
        <v>4</v>
      </c>
      <c r="L1230" s="253">
        <v>1.4833299999999999E-3</v>
      </c>
      <c r="M1230" s="251">
        <f>ROUND(J1230*K1230*L1230,2)</f>
        <v>-2.73</v>
      </c>
      <c r="N1230" s="251">
        <f>ROUND(J1230*L1230*12,2)</f>
        <v>-8.19</v>
      </c>
      <c r="O1230" s="223"/>
      <c r="P1230" s="210" t="str">
        <f>VLOOKUP(C1230,'WO Descriptions'!$A$5:$D$384,4,FALSE)</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c r="Q1230" s="210"/>
      <c r="R1230" s="210"/>
    </row>
    <row r="1231" spans="1:18" outlineLevel="1">
      <c r="A1231" s="223"/>
      <c r="B1231" s="250"/>
      <c r="C1231" s="254" t="s">
        <v>2088</v>
      </c>
      <c r="D1231" s="223"/>
      <c r="E1231" s="250"/>
      <c r="F1231" s="223"/>
      <c r="G1231" s="250"/>
      <c r="H1231" s="250"/>
      <c r="I1231" s="250"/>
      <c r="J1231" s="251">
        <f>SUBTOTAL(9,J1228:J1230)</f>
        <v>39182.030000000006</v>
      </c>
      <c r="K1231" s="252"/>
      <c r="L1231" s="253"/>
      <c r="M1231" s="251">
        <f>SUBTOTAL(9,M1228:M1230)</f>
        <v>345.08</v>
      </c>
      <c r="N1231" s="251">
        <f>SUBTOTAL(9,N1228:N1230)</f>
        <v>697.43999999999994</v>
      </c>
      <c r="O1231" s="223"/>
      <c r="P1231" s="210"/>
      <c r="Q1231" s="210" t="str">
        <f>VLOOKUP(C1231,'Descriptions Sorted by WO '!$A$5:$S$977,18,FALSE)</f>
        <v>393.1009 (5) (a) (b)</v>
      </c>
      <c r="R1231" s="210" t="str">
        <f>VLOOKUP(C1231,'Descriptions Sorted by WO '!$A$5:$S$977,19,FALSE)</f>
        <v>A,B,C</v>
      </c>
    </row>
    <row r="1232" spans="1:18" ht="60" outlineLevel="2">
      <c r="A1232" s="223" t="s">
        <v>54</v>
      </c>
      <c r="B1232" s="250" t="s">
        <v>2197</v>
      </c>
      <c r="C1232" s="250" t="s">
        <v>1741</v>
      </c>
      <c r="D1232" s="223" t="s">
        <v>1742</v>
      </c>
      <c r="E1232" s="250" t="s">
        <v>216</v>
      </c>
      <c r="F1232" s="223" t="s">
        <v>22</v>
      </c>
      <c r="G1232" s="250" t="s">
        <v>23</v>
      </c>
      <c r="H1232" s="250" t="s">
        <v>1525</v>
      </c>
      <c r="I1232" s="250">
        <v>201501</v>
      </c>
      <c r="J1232" s="251">
        <v>43695.4</v>
      </c>
      <c r="K1232" s="171">
        <f>VLOOKUP(I1232,$T$9:$U$23,2)</f>
        <v>5</v>
      </c>
      <c r="L1232" s="253">
        <v>1.4833299999999999E-3</v>
      </c>
      <c r="M1232" s="251">
        <f>ROUND(J1232*K1232*L1232,2)</f>
        <v>324.07</v>
      </c>
      <c r="N1232" s="251">
        <f>ROUND(J1232*L1232*12,2)</f>
        <v>777.78</v>
      </c>
      <c r="O1232" s="223"/>
      <c r="P1232" s="210" t="str">
        <f>VLOOKUP(C1232,'WO Descriptions'!$A$5:$D$384,4,FALSE)</f>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
      <c r="Q1232" s="210"/>
      <c r="R1232" s="210"/>
    </row>
    <row r="1233" spans="1:18" ht="60" outlineLevel="2">
      <c r="A1233" s="223" t="s">
        <v>54</v>
      </c>
      <c r="B1233" s="250" t="s">
        <v>2197</v>
      </c>
      <c r="C1233" s="250" t="s">
        <v>1741</v>
      </c>
      <c r="D1233" s="223" t="s">
        <v>1742</v>
      </c>
      <c r="E1233" s="250" t="s">
        <v>216</v>
      </c>
      <c r="F1233" s="223" t="s">
        <v>22</v>
      </c>
      <c r="G1233" s="250" t="s">
        <v>23</v>
      </c>
      <c r="H1233" s="250" t="s">
        <v>1525</v>
      </c>
      <c r="I1233" s="250">
        <v>201502</v>
      </c>
      <c r="J1233" s="251">
        <v>176.57</v>
      </c>
      <c r="K1233" s="171">
        <f>VLOOKUP(I1233,$T$9:$U$23,2)</f>
        <v>4</v>
      </c>
      <c r="L1233" s="253">
        <v>1.4833299999999999E-3</v>
      </c>
      <c r="M1233" s="251">
        <f>ROUND(J1233*K1233*L1233,2)</f>
        <v>1.05</v>
      </c>
      <c r="N1233" s="251">
        <f>ROUND(J1233*L1233*12,2)</f>
        <v>3.14</v>
      </c>
      <c r="O1233" s="223"/>
      <c r="P1233" s="210" t="str">
        <f>VLOOKUP(C1233,'WO Descriptions'!$A$5:$D$384,4,FALSE)</f>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
      <c r="Q1233" s="210"/>
      <c r="R1233" s="210"/>
    </row>
    <row r="1234" spans="1:18" outlineLevel="1">
      <c r="A1234" s="223"/>
      <c r="B1234" s="250"/>
      <c r="C1234" s="254" t="s">
        <v>2333</v>
      </c>
      <c r="D1234" s="223"/>
      <c r="E1234" s="250"/>
      <c r="F1234" s="223"/>
      <c r="G1234" s="250"/>
      <c r="H1234" s="250"/>
      <c r="I1234" s="250"/>
      <c r="J1234" s="251">
        <f>SUBTOTAL(9,J1232:J1233)</f>
        <v>43871.97</v>
      </c>
      <c r="K1234" s="252"/>
      <c r="L1234" s="253"/>
      <c r="M1234" s="251">
        <f>SUBTOTAL(9,M1232:M1233)</f>
        <v>325.12</v>
      </c>
      <c r="N1234" s="251">
        <f>SUBTOTAL(9,N1232:N1233)</f>
        <v>780.92</v>
      </c>
      <c r="O1234" s="223"/>
      <c r="P1234" s="210"/>
      <c r="Q1234" s="210" t="s">
        <v>2097</v>
      </c>
      <c r="R1234" s="210" t="s">
        <v>2098</v>
      </c>
    </row>
    <row r="1235" spans="1:18" ht="30" outlineLevel="2">
      <c r="A1235" s="223" t="s">
        <v>54</v>
      </c>
      <c r="B1235" s="250" t="s">
        <v>1087</v>
      </c>
      <c r="C1235" s="250" t="s">
        <v>1088</v>
      </c>
      <c r="D1235" s="223" t="s">
        <v>1089</v>
      </c>
      <c r="E1235" s="250" t="s">
        <v>1020</v>
      </c>
      <c r="F1235" s="223" t="s">
        <v>22</v>
      </c>
      <c r="G1235" s="250" t="s">
        <v>23</v>
      </c>
      <c r="H1235" s="250" t="s">
        <v>1525</v>
      </c>
      <c r="I1235" s="250">
        <v>201412</v>
      </c>
      <c r="J1235" s="251">
        <v>6257.37</v>
      </c>
      <c r="K1235" s="171">
        <f>VLOOKUP(I1235,$T$9:$U$23,2)</f>
        <v>6</v>
      </c>
      <c r="L1235" s="253">
        <v>1.4833299999999999E-3</v>
      </c>
      <c r="M1235" s="251">
        <f>ROUND(J1235*K1235*L1235,2)</f>
        <v>55.69</v>
      </c>
      <c r="N1235" s="251">
        <f>ROUND(J1235*L1235*12,2)</f>
        <v>111.38</v>
      </c>
      <c r="O1235" s="223"/>
      <c r="P1235" s="210" t="str">
        <f>VLOOKUP(C1235,'WO Descriptions'!$A$5:$D$384,4,FALSE)</f>
        <v>Approved by: Galen Shoemaker on 10/09/2014,  Lay 180ft 2in Plastic Main to replace 177ft of 2in Protected Bare Steel from WO 21411. MOP=40# MAOP=44# TEST=100# SYSTEM=C-1</v>
      </c>
      <c r="Q1235" s="210"/>
      <c r="R1235" s="210"/>
    </row>
    <row r="1236" spans="1:18" ht="30" outlineLevel="2">
      <c r="A1236" s="223" t="s">
        <v>54</v>
      </c>
      <c r="B1236" s="250" t="s">
        <v>1087</v>
      </c>
      <c r="C1236" s="250" t="s">
        <v>1088</v>
      </c>
      <c r="D1236" s="223" t="s">
        <v>1089</v>
      </c>
      <c r="E1236" s="250" t="s">
        <v>1020</v>
      </c>
      <c r="F1236" s="223" t="s">
        <v>22</v>
      </c>
      <c r="G1236" s="250" t="s">
        <v>23</v>
      </c>
      <c r="H1236" s="250" t="s">
        <v>1525</v>
      </c>
      <c r="I1236" s="250">
        <v>201501</v>
      </c>
      <c r="J1236" s="251">
        <v>-355.88</v>
      </c>
      <c r="K1236" s="171">
        <f>VLOOKUP(I1236,$T$9:$U$23,2)</f>
        <v>5</v>
      </c>
      <c r="L1236" s="253">
        <v>1.4833299999999999E-3</v>
      </c>
      <c r="M1236" s="251">
        <f>ROUND(J1236*K1236*L1236,2)</f>
        <v>-2.64</v>
      </c>
      <c r="N1236" s="251">
        <f>ROUND(J1236*L1236*12,2)</f>
        <v>-6.33</v>
      </c>
      <c r="O1236" s="223"/>
      <c r="P1236" s="210" t="str">
        <f>VLOOKUP(C1236,'WO Descriptions'!$A$5:$D$384,4,FALSE)</f>
        <v>Approved by: Galen Shoemaker on 10/09/2014,  Lay 180ft 2in Plastic Main to replace 177ft of 2in Protected Bare Steel from WO 21411. MOP=40# MAOP=44# TEST=100# SYSTEM=C-1</v>
      </c>
      <c r="Q1236" s="210"/>
      <c r="R1236" s="210"/>
    </row>
    <row r="1237" spans="1:18" ht="30" outlineLevel="2">
      <c r="A1237" s="223" t="s">
        <v>54</v>
      </c>
      <c r="B1237" s="250" t="s">
        <v>1087</v>
      </c>
      <c r="C1237" s="250" t="s">
        <v>1088</v>
      </c>
      <c r="D1237" s="223" t="s">
        <v>1089</v>
      </c>
      <c r="E1237" s="250" t="s">
        <v>1020</v>
      </c>
      <c r="F1237" s="223" t="s">
        <v>22</v>
      </c>
      <c r="G1237" s="250" t="s">
        <v>23</v>
      </c>
      <c r="H1237" s="250" t="s">
        <v>1525</v>
      </c>
      <c r="I1237" s="250">
        <v>201502</v>
      </c>
      <c r="J1237" s="251">
        <v>-174.68</v>
      </c>
      <c r="K1237" s="171">
        <f>VLOOKUP(I1237,$T$9:$U$23,2)</f>
        <v>4</v>
      </c>
      <c r="L1237" s="253">
        <v>1.4833299999999999E-3</v>
      </c>
      <c r="M1237" s="251">
        <f>ROUND(J1237*K1237*L1237,2)</f>
        <v>-1.04</v>
      </c>
      <c r="N1237" s="251">
        <f>ROUND(J1237*L1237*12,2)</f>
        <v>-3.11</v>
      </c>
      <c r="O1237" s="223"/>
      <c r="P1237" s="210" t="str">
        <f>VLOOKUP(C1237,'WO Descriptions'!$A$5:$D$384,4,FALSE)</f>
        <v>Approved by: Galen Shoemaker on 10/09/2014,  Lay 180ft 2in Plastic Main to replace 177ft of 2in Protected Bare Steel from WO 21411. MOP=40# MAOP=44# TEST=100# SYSTEM=C-1</v>
      </c>
      <c r="Q1237" s="210"/>
      <c r="R1237" s="210"/>
    </row>
    <row r="1238" spans="1:18" outlineLevel="1">
      <c r="A1238" s="223"/>
      <c r="B1238" s="250"/>
      <c r="C1238" s="254" t="s">
        <v>2089</v>
      </c>
      <c r="D1238" s="223"/>
      <c r="E1238" s="250"/>
      <c r="F1238" s="223"/>
      <c r="G1238" s="250"/>
      <c r="H1238" s="250"/>
      <c r="I1238" s="250"/>
      <c r="J1238" s="251">
        <f>SUBTOTAL(9,J1235:J1237)</f>
        <v>5726.8099999999995</v>
      </c>
      <c r="K1238" s="252"/>
      <c r="L1238" s="253"/>
      <c r="M1238" s="251">
        <f>SUBTOTAL(9,M1235:M1237)</f>
        <v>52.01</v>
      </c>
      <c r="N1238" s="251">
        <f>SUBTOTAL(9,N1235:N1237)</f>
        <v>101.94</v>
      </c>
      <c r="O1238" s="223"/>
      <c r="P1238" s="210"/>
      <c r="Q1238" s="210" t="str">
        <f>VLOOKUP(C1238,'Descriptions Sorted by WO '!$A$5:$S$977,18,FALSE)</f>
        <v>393.1009 (5) (a) (b)</v>
      </c>
      <c r="R1238" s="210" t="str">
        <f>VLOOKUP(C1238,'Descriptions Sorted by WO '!$A$5:$S$977,19,FALSE)</f>
        <v>A,B,C</v>
      </c>
    </row>
    <row r="1239" spans="1:18" ht="60" outlineLevel="2">
      <c r="A1239" s="223" t="s">
        <v>54</v>
      </c>
      <c r="B1239" s="250" t="s">
        <v>1090</v>
      </c>
      <c r="C1239" s="250" t="s">
        <v>1091</v>
      </c>
      <c r="D1239" s="223" t="s">
        <v>1092</v>
      </c>
      <c r="E1239" s="250" t="s">
        <v>216</v>
      </c>
      <c r="F1239" s="223" t="s">
        <v>22</v>
      </c>
      <c r="G1239" s="250" t="s">
        <v>23</v>
      </c>
      <c r="H1239" s="250" t="s">
        <v>1525</v>
      </c>
      <c r="I1239" s="250">
        <v>201412</v>
      </c>
      <c r="J1239" s="251">
        <v>11632.66</v>
      </c>
      <c r="K1239" s="171">
        <f>VLOOKUP(I1239,$T$9:$U$23,2)</f>
        <v>6</v>
      </c>
      <c r="L1239" s="253">
        <v>1.4833299999999999E-3</v>
      </c>
      <c r="M1239" s="251">
        <f>ROUND(J1239*K1239*L1239,2)</f>
        <v>103.53</v>
      </c>
      <c r="N1239" s="251">
        <f>ROUND(J1239*L1239*12,2)</f>
        <v>207.06</v>
      </c>
      <c r="O1239" s="223"/>
      <c r="P1239" s="210" t="str">
        <f>VLOOKUP(C1239,'WO Descriptions'!$A$5:$D$384,4,FALSE)</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c r="Q1239" s="210"/>
      <c r="R1239" s="210"/>
    </row>
    <row r="1240" spans="1:18" ht="60" outlineLevel="2">
      <c r="A1240" s="223" t="s">
        <v>54</v>
      </c>
      <c r="B1240" s="250" t="s">
        <v>1090</v>
      </c>
      <c r="C1240" s="250" t="s">
        <v>1091</v>
      </c>
      <c r="D1240" s="223" t="s">
        <v>1092</v>
      </c>
      <c r="E1240" s="250" t="s">
        <v>216</v>
      </c>
      <c r="F1240" s="223" t="s">
        <v>22</v>
      </c>
      <c r="G1240" s="250" t="s">
        <v>23</v>
      </c>
      <c r="H1240" s="250" t="s">
        <v>1525</v>
      </c>
      <c r="I1240" s="250">
        <v>201501</v>
      </c>
      <c r="J1240" s="251">
        <v>-806.13</v>
      </c>
      <c r="K1240" s="171">
        <f>VLOOKUP(I1240,$T$9:$U$23,2)</f>
        <v>5</v>
      </c>
      <c r="L1240" s="253">
        <v>1.4833299999999999E-3</v>
      </c>
      <c r="M1240" s="251">
        <f>ROUND(J1240*K1240*L1240,2)</f>
        <v>-5.98</v>
      </c>
      <c r="N1240" s="251">
        <f>ROUND(J1240*L1240*12,2)</f>
        <v>-14.35</v>
      </c>
      <c r="O1240" s="223"/>
      <c r="P1240" s="210" t="str">
        <f>VLOOKUP(C1240,'WO Descriptions'!$A$5:$D$384,4,FALSE)</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c r="Q1240" s="210"/>
      <c r="R1240" s="210"/>
    </row>
    <row r="1241" spans="1:18" ht="60" outlineLevel="2">
      <c r="A1241" s="223" t="s">
        <v>54</v>
      </c>
      <c r="B1241" s="250" t="s">
        <v>1090</v>
      </c>
      <c r="C1241" s="250" t="s">
        <v>1091</v>
      </c>
      <c r="D1241" s="223" t="s">
        <v>1092</v>
      </c>
      <c r="E1241" s="250" t="s">
        <v>216</v>
      </c>
      <c r="F1241" s="223" t="s">
        <v>22</v>
      </c>
      <c r="G1241" s="250" t="s">
        <v>23</v>
      </c>
      <c r="H1241" s="250" t="s">
        <v>1525</v>
      </c>
      <c r="I1241" s="250">
        <v>201502</v>
      </c>
      <c r="J1241" s="251">
        <v>-17.309999999999999</v>
      </c>
      <c r="K1241" s="171">
        <f>VLOOKUP(I1241,$T$9:$U$23,2)</f>
        <v>4</v>
      </c>
      <c r="L1241" s="253">
        <v>1.4833299999999999E-3</v>
      </c>
      <c r="M1241" s="251">
        <f>ROUND(J1241*K1241*L1241,2)</f>
        <v>-0.1</v>
      </c>
      <c r="N1241" s="251">
        <f>ROUND(J1241*L1241*12,2)</f>
        <v>-0.31</v>
      </c>
      <c r="O1241" s="223"/>
      <c r="P1241" s="210" t="str">
        <f>VLOOKUP(C1241,'WO Descriptions'!$A$5:$D$384,4,FALSE)</f>
        <v>Approved by: Galen Shoemaker on 10/11/2014,  Abandon 217' - 2" PBS (WO# 36687) and 156' - 2" PCS (WO#'s: 61456, 62-5224) and replace with 325' - 2" PE to clear CP 14-053. Project Location "C" St and Alley West of Main; Pressure System: C-2; MOP: 1.5 psig; MAOP: 1.5 psig; Design: 58 psig; Test: 100 psig; $35.86/ft ISRS</v>
      </c>
      <c r="Q1241" s="210"/>
      <c r="R1241" s="210"/>
    </row>
    <row r="1242" spans="1:18" outlineLevel="1">
      <c r="A1242" s="223"/>
      <c r="B1242" s="250"/>
      <c r="C1242" s="254" t="s">
        <v>2090</v>
      </c>
      <c r="D1242" s="223"/>
      <c r="E1242" s="250"/>
      <c r="F1242" s="223"/>
      <c r="G1242" s="250"/>
      <c r="H1242" s="250"/>
      <c r="I1242" s="250"/>
      <c r="J1242" s="251">
        <f>SUBTOTAL(9,J1239:J1241)</f>
        <v>10809.220000000001</v>
      </c>
      <c r="K1242" s="252"/>
      <c r="L1242" s="253"/>
      <c r="M1242" s="251">
        <f>SUBTOTAL(9,M1239:M1241)</f>
        <v>97.45</v>
      </c>
      <c r="N1242" s="251">
        <f>SUBTOTAL(9,N1239:N1241)</f>
        <v>192.4</v>
      </c>
      <c r="O1242" s="223"/>
      <c r="P1242" s="210"/>
      <c r="Q1242" s="210" t="str">
        <f>VLOOKUP(C1242,'Descriptions Sorted by WO '!$A$5:$S$977,18,FALSE)</f>
        <v>393.1009 (5) (a) (b)</v>
      </c>
      <c r="R1242" s="210" t="str">
        <f>VLOOKUP(C1242,'Descriptions Sorted by WO '!$A$5:$S$977,19,FALSE)</f>
        <v>A,B,C</v>
      </c>
    </row>
    <row r="1243" spans="1:18" ht="60" outlineLevel="2">
      <c r="A1243" s="223" t="s">
        <v>54</v>
      </c>
      <c r="B1243" s="250" t="s">
        <v>2267</v>
      </c>
      <c r="C1243" s="250" t="s">
        <v>2268</v>
      </c>
      <c r="D1243" s="223" t="s">
        <v>2269</v>
      </c>
      <c r="E1243" s="250" t="s">
        <v>216</v>
      </c>
      <c r="F1243" s="223" t="s">
        <v>22</v>
      </c>
      <c r="G1243" s="250" t="s">
        <v>23</v>
      </c>
      <c r="H1243" s="250" t="s">
        <v>1525</v>
      </c>
      <c r="I1243" s="250">
        <v>201502</v>
      </c>
      <c r="J1243" s="251">
        <v>30154.54</v>
      </c>
      <c r="K1243" s="171">
        <f>VLOOKUP(I1243,$T$9:$U$23,2)</f>
        <v>4</v>
      </c>
      <c r="L1243" s="253">
        <v>1.4833299999999999E-3</v>
      </c>
      <c r="M1243" s="251">
        <f>ROUND(J1243*K1243*L1243,2)</f>
        <v>178.92</v>
      </c>
      <c r="N1243" s="251">
        <f>ROUND(J1243*L1243*12,2)</f>
        <v>536.75</v>
      </c>
      <c r="O1243" s="223"/>
      <c r="P1243" s="210" t="str">
        <f>VLOOKUP(C1243,'WO Descriptions'!$A$5:$D$384,4,FALSE)</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c r="Q1243" s="210"/>
      <c r="R1243" s="210"/>
    </row>
    <row r="1244" spans="1:18" outlineLevel="1">
      <c r="A1244" s="223"/>
      <c r="B1244" s="250"/>
      <c r="C1244" s="254" t="s">
        <v>2334</v>
      </c>
      <c r="D1244" s="223"/>
      <c r="E1244" s="250"/>
      <c r="F1244" s="223"/>
      <c r="G1244" s="250"/>
      <c r="H1244" s="250"/>
      <c r="I1244" s="250"/>
      <c r="J1244" s="251">
        <f>SUBTOTAL(9,J1243:J1243)</f>
        <v>30154.54</v>
      </c>
      <c r="K1244" s="252"/>
      <c r="L1244" s="253"/>
      <c r="M1244" s="251">
        <f>SUBTOTAL(9,M1243:M1243)</f>
        <v>178.92</v>
      </c>
      <c r="N1244" s="251">
        <f>SUBTOTAL(9,N1243:N1243)</f>
        <v>536.75</v>
      </c>
      <c r="O1244" s="223"/>
      <c r="P1244" s="210"/>
      <c r="Q1244" s="210" t="s">
        <v>2097</v>
      </c>
      <c r="R1244" s="210" t="s">
        <v>2098</v>
      </c>
    </row>
    <row r="1245" spans="1:18" ht="60" outlineLevel="2">
      <c r="A1245" s="223" t="s">
        <v>54</v>
      </c>
      <c r="B1245" s="250" t="s">
        <v>2198</v>
      </c>
      <c r="C1245" s="250" t="s">
        <v>2199</v>
      </c>
      <c r="D1245" s="223" t="s">
        <v>2200</v>
      </c>
      <c r="E1245" s="250" t="s">
        <v>176</v>
      </c>
      <c r="F1245" s="223" t="s">
        <v>28</v>
      </c>
      <c r="G1245" s="250" t="s">
        <v>23</v>
      </c>
      <c r="H1245" s="250" t="s">
        <v>1525</v>
      </c>
      <c r="I1245" s="250">
        <v>201501</v>
      </c>
      <c r="J1245" s="251">
        <v>128.97999999999999</v>
      </c>
      <c r="K1245" s="171">
        <f>VLOOKUP(I1245,$T$9:$U$23,2)</f>
        <v>5</v>
      </c>
      <c r="L1245" s="253">
        <v>1.4833299999999999E-3</v>
      </c>
      <c r="M1245" s="251">
        <f>ROUND(J1245*K1245*L1245,2)</f>
        <v>0.96</v>
      </c>
      <c r="N1245" s="251">
        <f>ROUND(J1245*L1245*12,2)</f>
        <v>2.2999999999999998</v>
      </c>
      <c r="O1245" s="223"/>
      <c r="P1245" s="210" t="str">
        <f>VLOOKUP(C1245,'WO Descriptions'!$A$5:$D$384,4,FALSE)</f>
        <v>Approved by: Galen Shoemaker on 10/10/2014,  Abandon 86' - 2" PCS (WO#: 63-1367) and insert 85' - 1 1/4" PE due to CP 14-50 and short section of isolated bare steel. Project Location: Main and Washington; Pressure System: C-2; MOP: 4 psig; MAOP: 42 psig; Design: 58 psig; Test: 100 psig; $73.67/ft</v>
      </c>
      <c r="Q1245" s="210"/>
      <c r="R1245" s="210"/>
    </row>
    <row r="1246" spans="1:18" ht="60" outlineLevel="2">
      <c r="A1246" s="223" t="s">
        <v>54</v>
      </c>
      <c r="B1246" s="250" t="s">
        <v>2198</v>
      </c>
      <c r="C1246" s="250" t="s">
        <v>2199</v>
      </c>
      <c r="D1246" s="223" t="s">
        <v>2200</v>
      </c>
      <c r="E1246" s="250" t="s">
        <v>176</v>
      </c>
      <c r="F1246" s="223" t="s">
        <v>28</v>
      </c>
      <c r="G1246" s="250" t="s">
        <v>23</v>
      </c>
      <c r="H1246" s="250" t="s">
        <v>1525</v>
      </c>
      <c r="I1246" s="250">
        <v>201502</v>
      </c>
      <c r="J1246" s="251">
        <v>2749.93</v>
      </c>
      <c r="K1246" s="171">
        <f>VLOOKUP(I1246,$T$9:$U$23,2)</f>
        <v>4</v>
      </c>
      <c r="L1246" s="253">
        <v>1.4833299999999999E-3</v>
      </c>
      <c r="M1246" s="251">
        <f>ROUND(J1246*K1246*L1246,2)</f>
        <v>16.32</v>
      </c>
      <c r="N1246" s="251">
        <f>ROUND(J1246*L1246*12,2)</f>
        <v>48.95</v>
      </c>
      <c r="O1246" s="223"/>
      <c r="P1246" s="210" t="str">
        <f>VLOOKUP(C1246,'WO Descriptions'!$A$5:$D$384,4,FALSE)</f>
        <v>Approved by: Galen Shoemaker on 10/10/2014,  Abandon 86' - 2" PCS (WO#: 63-1367) and insert 85' - 1 1/4" PE due to CP 14-50 and short section of isolated bare steel. Project Location: Main and Washington; Pressure System: C-2; MOP: 4 psig; MAOP: 42 psig; Design: 58 psig; Test: 100 psig; $73.67/ft</v>
      </c>
      <c r="Q1246" s="210"/>
      <c r="R1246" s="210"/>
    </row>
    <row r="1247" spans="1:18" outlineLevel="1">
      <c r="A1247" s="223"/>
      <c r="B1247" s="250"/>
      <c r="C1247" s="254" t="s">
        <v>2335</v>
      </c>
      <c r="D1247" s="223"/>
      <c r="E1247" s="250"/>
      <c r="F1247" s="223"/>
      <c r="G1247" s="250"/>
      <c r="H1247" s="250"/>
      <c r="I1247" s="250"/>
      <c r="J1247" s="251">
        <f>SUBTOTAL(9,J1245:J1246)</f>
        <v>2878.91</v>
      </c>
      <c r="K1247" s="252"/>
      <c r="L1247" s="253"/>
      <c r="M1247" s="251">
        <f>SUBTOTAL(9,M1245:M1246)</f>
        <v>17.28</v>
      </c>
      <c r="N1247" s="251">
        <f>SUBTOTAL(9,N1245:N1246)</f>
        <v>51.25</v>
      </c>
      <c r="O1247" s="223"/>
      <c r="P1247" s="210"/>
      <c r="Q1247" s="210" t="s">
        <v>2097</v>
      </c>
      <c r="R1247" s="210" t="s">
        <v>2098</v>
      </c>
    </row>
    <row r="1248" spans="1:18" ht="45" outlineLevel="2">
      <c r="A1248" s="223" t="s">
        <v>66</v>
      </c>
      <c r="B1248" s="250" t="s">
        <v>1105</v>
      </c>
      <c r="C1248" s="250" t="s">
        <v>1106</v>
      </c>
      <c r="D1248" s="223" t="s">
        <v>1107</v>
      </c>
      <c r="E1248" s="250" t="s">
        <v>466</v>
      </c>
      <c r="F1248" s="223" t="s">
        <v>467</v>
      </c>
      <c r="G1248" s="250" t="s">
        <v>23</v>
      </c>
      <c r="H1248" s="250" t="s">
        <v>1527</v>
      </c>
      <c r="I1248" s="250">
        <v>201410</v>
      </c>
      <c r="J1248" s="251">
        <v>1314.76</v>
      </c>
      <c r="K1248" s="171">
        <f>VLOOKUP(I1248,$T$9:$U$23,2)</f>
        <v>8</v>
      </c>
      <c r="L1248" s="253">
        <v>2.23333E-3</v>
      </c>
      <c r="M1248" s="251">
        <f>ROUND(J1248*K1248*L1248,2)</f>
        <v>23.49</v>
      </c>
      <c r="N1248" s="251">
        <f>ROUND(J1248*L1248*12,2)</f>
        <v>35.24</v>
      </c>
      <c r="O1248" s="223"/>
      <c r="P1248" s="210" t="str">
        <f>VLOOKUP(C1248,'WO Descriptions'!$A$5:$D$384,4,FALSE)</f>
        <v>Approved by: Gary Williams on 10/20/2014,  REPLACE 1 1/4 PE SERVICE WITH 2 IN PE DUE TO CUSOTMER ADDING A BOILER LOAD 6,050 CFH). ECONOMIC EVALUATION WILL COVER COST OF PROJECT.</v>
      </c>
      <c r="Q1248" s="210"/>
      <c r="R1248" s="210"/>
    </row>
    <row r="1249" spans="1:18" ht="45" outlineLevel="2">
      <c r="A1249" s="223" t="s">
        <v>66</v>
      </c>
      <c r="B1249" s="250" t="s">
        <v>1105</v>
      </c>
      <c r="C1249" s="250" t="s">
        <v>1106</v>
      </c>
      <c r="D1249" s="223" t="s">
        <v>1107</v>
      </c>
      <c r="E1249" s="250" t="s">
        <v>466</v>
      </c>
      <c r="F1249" s="223" t="s">
        <v>467</v>
      </c>
      <c r="G1249" s="250" t="s">
        <v>23</v>
      </c>
      <c r="H1249" s="250" t="s">
        <v>1527</v>
      </c>
      <c r="I1249" s="250">
        <v>201411</v>
      </c>
      <c r="J1249" s="251">
        <v>-35.93</v>
      </c>
      <c r="K1249" s="171">
        <f>VLOOKUP(I1249,$T$9:$U$23,2)</f>
        <v>7</v>
      </c>
      <c r="L1249" s="253">
        <v>2.23333E-3</v>
      </c>
      <c r="M1249" s="251">
        <f>ROUND(J1249*K1249*L1249,2)</f>
        <v>-0.56000000000000005</v>
      </c>
      <c r="N1249" s="251">
        <f>ROUND(J1249*L1249*12,2)</f>
        <v>-0.96</v>
      </c>
      <c r="O1249" s="223"/>
      <c r="P1249" s="210" t="str">
        <f>VLOOKUP(C1249,'WO Descriptions'!$A$5:$D$384,4,FALSE)</f>
        <v>Approved by: Gary Williams on 10/20/2014,  REPLACE 1 1/4 PE SERVICE WITH 2 IN PE DUE TO CUSOTMER ADDING A BOILER LOAD 6,050 CFH). ECONOMIC EVALUATION WILL COVER COST OF PROJECT.</v>
      </c>
      <c r="Q1249" s="210"/>
      <c r="R1249" s="210"/>
    </row>
    <row r="1250" spans="1:18" ht="45" outlineLevel="2">
      <c r="A1250" s="223" t="s">
        <v>66</v>
      </c>
      <c r="B1250" s="250" t="s">
        <v>1105</v>
      </c>
      <c r="C1250" s="250" t="s">
        <v>1106</v>
      </c>
      <c r="D1250" s="223" t="s">
        <v>1107</v>
      </c>
      <c r="E1250" s="250" t="s">
        <v>466</v>
      </c>
      <c r="F1250" s="223" t="s">
        <v>467</v>
      </c>
      <c r="G1250" s="250" t="s">
        <v>23</v>
      </c>
      <c r="H1250" s="250" t="s">
        <v>1527</v>
      </c>
      <c r="I1250" s="250">
        <v>201412</v>
      </c>
      <c r="J1250" s="251">
        <v>1948.51</v>
      </c>
      <c r="K1250" s="171">
        <f>VLOOKUP(I1250,$T$9:$U$23,2)</f>
        <v>6</v>
      </c>
      <c r="L1250" s="253">
        <v>2.23333E-3</v>
      </c>
      <c r="M1250" s="251">
        <f>ROUND(J1250*K1250*L1250,2)</f>
        <v>26.11</v>
      </c>
      <c r="N1250" s="251">
        <f>ROUND(J1250*L1250*12,2)</f>
        <v>52.22</v>
      </c>
      <c r="O1250" s="223"/>
      <c r="P1250" s="210" t="str">
        <f>VLOOKUP(C1250,'WO Descriptions'!$A$5:$D$384,4,FALSE)</f>
        <v>Approved by: Gary Williams on 10/20/2014,  REPLACE 1 1/4 PE SERVICE WITH 2 IN PE DUE TO CUSOTMER ADDING A BOILER LOAD 6,050 CFH). ECONOMIC EVALUATION WILL COVER COST OF PROJECT.</v>
      </c>
      <c r="Q1250" s="210"/>
      <c r="R1250" s="210"/>
    </row>
    <row r="1251" spans="1:18" ht="45" outlineLevel="2">
      <c r="A1251" s="223" t="s">
        <v>66</v>
      </c>
      <c r="B1251" s="250" t="s">
        <v>1105</v>
      </c>
      <c r="C1251" s="250" t="s">
        <v>1106</v>
      </c>
      <c r="D1251" s="223" t="s">
        <v>1107</v>
      </c>
      <c r="E1251" s="250" t="s">
        <v>466</v>
      </c>
      <c r="F1251" s="223" t="s">
        <v>467</v>
      </c>
      <c r="G1251" s="250" t="s">
        <v>23</v>
      </c>
      <c r="H1251" s="250" t="s">
        <v>1527</v>
      </c>
      <c r="I1251" s="250">
        <v>201501</v>
      </c>
      <c r="J1251" s="251">
        <v>-15.82</v>
      </c>
      <c r="K1251" s="171">
        <f>VLOOKUP(I1251,$T$9:$U$23,2)</f>
        <v>5</v>
      </c>
      <c r="L1251" s="253">
        <v>2.23333E-3</v>
      </c>
      <c r="M1251" s="251">
        <f>ROUND(J1251*K1251*L1251,2)</f>
        <v>-0.18</v>
      </c>
      <c r="N1251" s="251">
        <f>ROUND(J1251*L1251*12,2)</f>
        <v>-0.42</v>
      </c>
      <c r="O1251" s="223"/>
      <c r="P1251" s="210" t="str">
        <f>VLOOKUP(C1251,'WO Descriptions'!$A$5:$D$384,4,FALSE)</f>
        <v>Approved by: Gary Williams on 10/20/2014,  REPLACE 1 1/4 PE SERVICE WITH 2 IN PE DUE TO CUSOTMER ADDING A BOILER LOAD 6,050 CFH). ECONOMIC EVALUATION WILL COVER COST OF PROJECT.</v>
      </c>
      <c r="Q1251" s="210"/>
      <c r="R1251" s="210"/>
    </row>
    <row r="1252" spans="1:18" ht="45" outlineLevel="2">
      <c r="A1252" s="223" t="s">
        <v>66</v>
      </c>
      <c r="B1252" s="250" t="s">
        <v>1105</v>
      </c>
      <c r="C1252" s="250" t="s">
        <v>1106</v>
      </c>
      <c r="D1252" s="223" t="s">
        <v>1107</v>
      </c>
      <c r="E1252" s="250" t="s">
        <v>466</v>
      </c>
      <c r="F1252" s="223" t="s">
        <v>467</v>
      </c>
      <c r="G1252" s="250" t="s">
        <v>23</v>
      </c>
      <c r="H1252" s="250" t="s">
        <v>1527</v>
      </c>
      <c r="I1252" s="250">
        <v>201502</v>
      </c>
      <c r="J1252" s="251">
        <v>-93.12</v>
      </c>
      <c r="K1252" s="171">
        <f>VLOOKUP(I1252,$T$9:$U$23,2)</f>
        <v>4</v>
      </c>
      <c r="L1252" s="253">
        <v>2.23333E-3</v>
      </c>
      <c r="M1252" s="251">
        <f>ROUND(J1252*K1252*L1252,2)</f>
        <v>-0.83</v>
      </c>
      <c r="N1252" s="251">
        <f>ROUND(J1252*L1252*12,2)</f>
        <v>-2.5</v>
      </c>
      <c r="O1252" s="223"/>
      <c r="P1252" s="210" t="str">
        <f>VLOOKUP(C1252,'WO Descriptions'!$A$5:$D$384,4,FALSE)</f>
        <v>Approved by: Gary Williams on 10/20/2014,  REPLACE 1 1/4 PE SERVICE WITH 2 IN PE DUE TO CUSOTMER ADDING A BOILER LOAD 6,050 CFH). ECONOMIC EVALUATION WILL COVER COST OF PROJECT.</v>
      </c>
      <c r="Q1252" s="210"/>
      <c r="R1252" s="210"/>
    </row>
    <row r="1253" spans="1:18" outlineLevel="1">
      <c r="A1253" s="223"/>
      <c r="B1253" s="250"/>
      <c r="C1253" s="254" t="s">
        <v>2091</v>
      </c>
      <c r="D1253" s="223"/>
      <c r="E1253" s="250"/>
      <c r="F1253" s="223"/>
      <c r="G1253" s="250"/>
      <c r="H1253" s="250"/>
      <c r="I1253" s="250"/>
      <c r="J1253" s="251">
        <f>SUBTOTAL(9,J1248:J1252)</f>
        <v>3118.4</v>
      </c>
      <c r="K1253" s="252"/>
      <c r="L1253" s="253"/>
      <c r="M1253" s="251">
        <f>SUBTOTAL(9,M1248:M1252)</f>
        <v>48.03</v>
      </c>
      <c r="N1253" s="251">
        <f>SUBTOTAL(9,N1248:N1252)</f>
        <v>83.58</v>
      </c>
      <c r="O1253" s="223"/>
      <c r="P1253" s="210"/>
      <c r="Q1253" s="210" t="str">
        <f>VLOOKUP(C1253,'Descriptions Sorted by WO '!$A$5:$S$977,18,FALSE)</f>
        <v>393.1009 (5) (a) (b)</v>
      </c>
      <c r="R1253" s="210" t="str">
        <f>VLOOKUP(C1253,'Descriptions Sorted by WO '!$A$5:$S$977,19,FALSE)</f>
        <v>A,B,D</v>
      </c>
    </row>
    <row r="1254" spans="1:18" ht="60" outlineLevel="2">
      <c r="A1254" s="223" t="s">
        <v>54</v>
      </c>
      <c r="B1254" s="250" t="s">
        <v>2219</v>
      </c>
      <c r="C1254" s="250" t="s">
        <v>1743</v>
      </c>
      <c r="D1254" s="223" t="s">
        <v>1744</v>
      </c>
      <c r="E1254" s="250" t="s">
        <v>53</v>
      </c>
      <c r="F1254" s="223" t="s">
        <v>41</v>
      </c>
      <c r="G1254" s="250" t="s">
        <v>23</v>
      </c>
      <c r="H1254" s="250" t="s">
        <v>1526</v>
      </c>
      <c r="I1254" s="250">
        <v>201501</v>
      </c>
      <c r="J1254" s="251">
        <v>10706.71</v>
      </c>
      <c r="K1254" s="171">
        <f>VLOOKUP(I1254,$T$9:$U$23,2)</f>
        <v>5</v>
      </c>
      <c r="L1254" s="253">
        <v>1.4833299999999999E-3</v>
      </c>
      <c r="M1254" s="251">
        <f>ROUND(J1254*K1254*L1254,2)</f>
        <v>79.41</v>
      </c>
      <c r="N1254" s="251">
        <f>ROUND(J1254*L1254*12,2)</f>
        <v>190.58</v>
      </c>
      <c r="O1254" s="223"/>
      <c r="P1254" s="210" t="str">
        <f>VLOOKUP(C1254,'WO Descriptions'!$A$5:$D$384,4,FALSE)</f>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
      <c r="Q1254" s="210"/>
      <c r="R1254" s="210"/>
    </row>
    <row r="1255" spans="1:18" ht="60" outlineLevel="2">
      <c r="A1255" s="223" t="s">
        <v>54</v>
      </c>
      <c r="B1255" s="250" t="s">
        <v>2219</v>
      </c>
      <c r="C1255" s="250" t="s">
        <v>1743</v>
      </c>
      <c r="D1255" s="223" t="s">
        <v>1744</v>
      </c>
      <c r="E1255" s="250" t="s">
        <v>53</v>
      </c>
      <c r="F1255" s="223" t="s">
        <v>41</v>
      </c>
      <c r="G1255" s="250" t="s">
        <v>23</v>
      </c>
      <c r="H1255" s="250" t="s">
        <v>1526</v>
      </c>
      <c r="I1255" s="250">
        <v>201502</v>
      </c>
      <c r="J1255" s="251">
        <v>34.21</v>
      </c>
      <c r="K1255" s="171">
        <f>VLOOKUP(I1255,$T$9:$U$23,2)</f>
        <v>4</v>
      </c>
      <c r="L1255" s="253">
        <v>1.4833299999999999E-3</v>
      </c>
      <c r="M1255" s="251">
        <f>ROUND(J1255*K1255*L1255,2)</f>
        <v>0.2</v>
      </c>
      <c r="N1255" s="251">
        <f>ROUND(J1255*L1255*12,2)</f>
        <v>0.61</v>
      </c>
      <c r="O1255" s="223"/>
      <c r="P1255" s="210" t="str">
        <f>VLOOKUP(C1255,'WO Descriptions'!$A$5:$D$384,4,FALSE)</f>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
      <c r="Q1255" s="210"/>
      <c r="R1255" s="210"/>
    </row>
    <row r="1256" spans="1:18" outlineLevel="1">
      <c r="A1256" s="223"/>
      <c r="B1256" s="250"/>
      <c r="C1256" s="254" t="s">
        <v>2336</v>
      </c>
      <c r="D1256" s="223"/>
      <c r="E1256" s="250"/>
      <c r="F1256" s="223"/>
      <c r="G1256" s="250"/>
      <c r="H1256" s="250"/>
      <c r="I1256" s="250"/>
      <c r="J1256" s="251">
        <f>SUBTOTAL(9,J1254:J1255)</f>
        <v>10740.919999999998</v>
      </c>
      <c r="K1256" s="252"/>
      <c r="L1256" s="253"/>
      <c r="M1256" s="251">
        <f>SUBTOTAL(9,M1254:M1255)</f>
        <v>79.61</v>
      </c>
      <c r="N1256" s="251">
        <f>SUBTOTAL(9,N1254:N1255)</f>
        <v>191.19000000000003</v>
      </c>
      <c r="O1256" s="223"/>
      <c r="P1256" s="210"/>
      <c r="Q1256" s="210" t="s">
        <v>2096</v>
      </c>
      <c r="R1256" s="210"/>
    </row>
    <row r="1257" spans="1:18" ht="60" outlineLevel="2">
      <c r="A1257" s="223" t="s">
        <v>54</v>
      </c>
      <c r="B1257" s="250" t="s">
        <v>2270</v>
      </c>
      <c r="C1257" s="250" t="s">
        <v>2271</v>
      </c>
      <c r="D1257" s="223" t="s">
        <v>2272</v>
      </c>
      <c r="E1257" s="250" t="s">
        <v>62</v>
      </c>
      <c r="F1257" s="223" t="s">
        <v>22</v>
      </c>
      <c r="G1257" s="250" t="s">
        <v>23</v>
      </c>
      <c r="H1257" s="250" t="s">
        <v>1525</v>
      </c>
      <c r="I1257" s="250">
        <v>201502</v>
      </c>
      <c r="J1257" s="251">
        <v>19363.54</v>
      </c>
      <c r="K1257" s="171">
        <f>VLOOKUP(I1257,$T$9:$U$23,2)</f>
        <v>4</v>
      </c>
      <c r="L1257" s="253">
        <v>1.4833299999999999E-3</v>
      </c>
      <c r="M1257" s="251">
        <f>ROUND(J1257*K1257*L1257,2)</f>
        <v>114.89</v>
      </c>
      <c r="N1257" s="251">
        <f>ROUND(J1257*L1257*12,2)</f>
        <v>344.67</v>
      </c>
      <c r="O1257" s="223"/>
      <c r="P1257" s="210" t="str">
        <f>VLOOKUP(C1257,'WO Descriptions'!$A$5:$D$384,4,FALSE)</f>
        <v>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v>
      </c>
      <c r="Q1257" s="210" t="e">
        <f>VLOOKUP(C1257,'Descriptions Sorted by WO '!$A$5:$S$977,18,FALSE)</f>
        <v>#N/A</v>
      </c>
      <c r="R1257" s="210" t="e">
        <f>VLOOKUP(C1257,'Descriptions Sorted by WO '!$A$5:$S$977,19,FALSE)</f>
        <v>#N/A</v>
      </c>
    </row>
    <row r="1258" spans="1:18" outlineLevel="1">
      <c r="A1258" s="223"/>
      <c r="B1258" s="250"/>
      <c r="C1258" s="254" t="s">
        <v>2337</v>
      </c>
      <c r="D1258" s="223"/>
      <c r="E1258" s="250"/>
      <c r="F1258" s="223"/>
      <c r="G1258" s="250"/>
      <c r="H1258" s="250"/>
      <c r="I1258" s="250"/>
      <c r="J1258" s="251">
        <f>SUBTOTAL(9,J1257:J1257)</f>
        <v>19363.54</v>
      </c>
      <c r="K1258" s="252"/>
      <c r="L1258" s="253"/>
      <c r="M1258" s="251">
        <f>SUBTOTAL(9,M1257:M1257)</f>
        <v>114.89</v>
      </c>
      <c r="N1258" s="251">
        <f>SUBTOTAL(9,N1257:N1257)</f>
        <v>344.67</v>
      </c>
      <c r="O1258" s="223"/>
      <c r="P1258" s="210"/>
      <c r="Q1258" s="210" t="s">
        <v>2097</v>
      </c>
      <c r="R1258" s="210" t="s">
        <v>2098</v>
      </c>
    </row>
    <row r="1259" spans="1:18" ht="45" outlineLevel="2">
      <c r="A1259" s="223" t="s">
        <v>54</v>
      </c>
      <c r="B1259" s="250" t="s">
        <v>2201</v>
      </c>
      <c r="C1259" s="250" t="s">
        <v>2202</v>
      </c>
      <c r="D1259" s="223" t="s">
        <v>2203</v>
      </c>
      <c r="E1259" s="250" t="s">
        <v>909</v>
      </c>
      <c r="F1259" s="223" t="s">
        <v>22</v>
      </c>
      <c r="G1259" s="250" t="s">
        <v>23</v>
      </c>
      <c r="H1259" s="250" t="s">
        <v>1525</v>
      </c>
      <c r="I1259" s="250">
        <v>201501</v>
      </c>
      <c r="J1259" s="251">
        <v>3215.27</v>
      </c>
      <c r="K1259" s="171">
        <f>VLOOKUP(I1259,$T$9:$U$23,2)</f>
        <v>5</v>
      </c>
      <c r="L1259" s="253">
        <v>1.4833299999999999E-3</v>
      </c>
      <c r="M1259" s="251">
        <f>ROUND(J1259*K1259*L1259,2)</f>
        <v>23.85</v>
      </c>
      <c r="N1259" s="251">
        <f>ROUND(J1259*L1259*12,2)</f>
        <v>57.23</v>
      </c>
      <c r="O1259" s="223"/>
      <c r="P1259" s="210" t="str">
        <f>VLOOKUP(C1259,'WO Descriptions'!$A$5:$D$384,4,FALSE)</f>
        <v>Approved by: Kevin Driskell on 11/21/2014,  Replace 385' of 4" Bare Steel pipe with 530' of 4" PE due to leak on above ground creek crossing (leaks are at pipe supports). Existing 4" bare steel lays in blanket easement and will replace in road ROW due to creek crossing.</v>
      </c>
      <c r="Q1259" s="210"/>
      <c r="R1259" s="210"/>
    </row>
    <row r="1260" spans="1:18" ht="45" outlineLevel="2">
      <c r="A1260" s="223" t="s">
        <v>54</v>
      </c>
      <c r="B1260" s="250" t="s">
        <v>2201</v>
      </c>
      <c r="C1260" s="250" t="s">
        <v>2202</v>
      </c>
      <c r="D1260" s="223" t="s">
        <v>2203</v>
      </c>
      <c r="E1260" s="250" t="s">
        <v>909</v>
      </c>
      <c r="F1260" s="223" t="s">
        <v>22</v>
      </c>
      <c r="G1260" s="250" t="s">
        <v>23</v>
      </c>
      <c r="H1260" s="250" t="s">
        <v>1525</v>
      </c>
      <c r="I1260" s="250">
        <v>201502</v>
      </c>
      <c r="J1260" s="251">
        <v>8630.08</v>
      </c>
      <c r="K1260" s="171">
        <f>VLOOKUP(I1260,$T$9:$U$23,2)</f>
        <v>4</v>
      </c>
      <c r="L1260" s="253">
        <v>1.4833299999999999E-3</v>
      </c>
      <c r="M1260" s="251">
        <f>ROUND(J1260*K1260*L1260,2)</f>
        <v>51.21</v>
      </c>
      <c r="N1260" s="251">
        <f>ROUND(J1260*L1260*12,2)</f>
        <v>153.62</v>
      </c>
      <c r="O1260" s="223"/>
      <c r="P1260" s="210" t="str">
        <f>VLOOKUP(C1260,'WO Descriptions'!$A$5:$D$384,4,FALSE)</f>
        <v>Approved by: Kevin Driskell on 11/21/2014,  Replace 385' of 4" Bare Steel pipe with 530' of 4" PE due to leak on above ground creek crossing (leaks are at pipe supports). Existing 4" bare steel lays in blanket easement and will replace in road ROW due to creek crossing.</v>
      </c>
      <c r="Q1260" s="210"/>
      <c r="R1260" s="210"/>
    </row>
    <row r="1261" spans="1:18" outlineLevel="1">
      <c r="A1261" s="223"/>
      <c r="B1261" s="250"/>
      <c r="C1261" s="254" t="s">
        <v>2338</v>
      </c>
      <c r="D1261" s="223"/>
      <c r="E1261" s="250"/>
      <c r="F1261" s="223"/>
      <c r="G1261" s="250"/>
      <c r="H1261" s="250"/>
      <c r="I1261" s="250"/>
      <c r="J1261" s="251">
        <f>SUBTOTAL(9,J1259:J1260)</f>
        <v>11845.35</v>
      </c>
      <c r="K1261" s="252"/>
      <c r="L1261" s="253"/>
      <c r="M1261" s="251">
        <f>SUBTOTAL(9,M1259:M1260)</f>
        <v>75.06</v>
      </c>
      <c r="N1261" s="251">
        <f>SUBTOTAL(9,N1259:N1260)</f>
        <v>210.85</v>
      </c>
      <c r="O1261" s="223"/>
      <c r="P1261" s="210"/>
      <c r="Q1261" s="210" t="s">
        <v>2097</v>
      </c>
      <c r="R1261" s="210" t="s">
        <v>2099</v>
      </c>
    </row>
    <row r="1262" spans="1:18" ht="30" outlineLevel="2">
      <c r="A1262" s="14" t="s">
        <v>54</v>
      </c>
      <c r="B1262" s="15" t="s">
        <v>1093</v>
      </c>
      <c r="C1262" s="15" t="s">
        <v>1094</v>
      </c>
      <c r="D1262" s="14" t="s">
        <v>1095</v>
      </c>
      <c r="E1262" s="15" t="s">
        <v>27</v>
      </c>
      <c r="F1262" s="14" t="s">
        <v>28</v>
      </c>
      <c r="G1262" s="15" t="s">
        <v>23</v>
      </c>
      <c r="H1262" s="15" t="s">
        <v>1525</v>
      </c>
      <c r="I1262" s="15">
        <v>201412</v>
      </c>
      <c r="J1262" s="16">
        <v>134.33000000000001</v>
      </c>
      <c r="K1262" s="171">
        <f>VLOOKUP(I1262,$T$9:$U$23,2)</f>
        <v>6</v>
      </c>
      <c r="L1262" s="17">
        <v>1.4833299999999999E-3</v>
      </c>
      <c r="M1262" s="16">
        <f>ROUND(J1262*K1262*L1262,2)</f>
        <v>1.2</v>
      </c>
      <c r="N1262" s="16">
        <f>ROUND(J1262*L1262*12,2)</f>
        <v>2.39</v>
      </c>
      <c r="O1262" s="14"/>
      <c r="P1262" s="210" t="str">
        <f>VLOOKUP(C1262,'WO Descriptions'!$A$5:$D$384,4,FALSE)</f>
        <v>Approved by: Gary Williams on 11/03/2014,  Replace 60' of 2"plastic main due to third party damage.Installed 60' of 2"PE.</v>
      </c>
      <c r="Q1262" s="210"/>
      <c r="R1262" s="210"/>
    </row>
    <row r="1263" spans="1:18" ht="30" outlineLevel="2">
      <c r="A1263" s="14" t="s">
        <v>54</v>
      </c>
      <c r="B1263" s="15" t="s">
        <v>1093</v>
      </c>
      <c r="C1263" s="15" t="s">
        <v>1094</v>
      </c>
      <c r="D1263" s="14" t="s">
        <v>1095</v>
      </c>
      <c r="E1263" s="15" t="s">
        <v>27</v>
      </c>
      <c r="F1263" s="14" t="s">
        <v>28</v>
      </c>
      <c r="G1263" s="15" t="s">
        <v>23</v>
      </c>
      <c r="H1263" s="15" t="s">
        <v>1525</v>
      </c>
      <c r="I1263" s="15">
        <v>201501</v>
      </c>
      <c r="J1263" s="16">
        <v>-1.69</v>
      </c>
      <c r="K1263" s="171">
        <f>VLOOKUP(I1263,$T$9:$U$23,2)</f>
        <v>5</v>
      </c>
      <c r="L1263" s="17">
        <v>1.4833299999999999E-3</v>
      </c>
      <c r="M1263" s="16">
        <f>ROUND(J1263*K1263*L1263,2)</f>
        <v>-0.01</v>
      </c>
      <c r="N1263" s="16">
        <f>ROUND(J1263*L1263*12,2)</f>
        <v>-0.03</v>
      </c>
      <c r="O1263" s="14"/>
      <c r="P1263" s="210" t="str">
        <f>VLOOKUP(C1263,'WO Descriptions'!$A$5:$D$384,4,FALSE)</f>
        <v>Approved by: Gary Williams on 11/03/2014,  Replace 60' of 2"plastic main due to third party damage.Installed 60' of 2"PE.</v>
      </c>
      <c r="Q1263" s="210"/>
      <c r="R1263" s="210"/>
    </row>
    <row r="1264" spans="1:18" ht="30" outlineLevel="2">
      <c r="A1264" s="14" t="s">
        <v>54</v>
      </c>
      <c r="B1264" s="15" t="s">
        <v>1093</v>
      </c>
      <c r="C1264" s="15" t="s">
        <v>1094</v>
      </c>
      <c r="D1264" s="14" t="s">
        <v>1095</v>
      </c>
      <c r="E1264" s="15" t="s">
        <v>27</v>
      </c>
      <c r="F1264" s="14" t="s">
        <v>28</v>
      </c>
      <c r="G1264" s="15" t="s">
        <v>23</v>
      </c>
      <c r="H1264" s="15" t="s">
        <v>1525</v>
      </c>
      <c r="I1264" s="15">
        <v>201502</v>
      </c>
      <c r="J1264" s="16">
        <v>1896.67</v>
      </c>
      <c r="K1264" s="171">
        <f>VLOOKUP(I1264,$T$9:$U$23,2)</f>
        <v>4</v>
      </c>
      <c r="L1264" s="17">
        <v>1.4833299999999999E-3</v>
      </c>
      <c r="M1264" s="16">
        <f>ROUND(J1264*K1264*L1264,2)</f>
        <v>11.25</v>
      </c>
      <c r="N1264" s="16">
        <f>ROUND(J1264*L1264*12,2)</f>
        <v>33.76</v>
      </c>
      <c r="O1264" s="14"/>
      <c r="P1264" s="210" t="str">
        <f>VLOOKUP(C1264,'WO Descriptions'!$A$5:$D$384,4,FALSE)</f>
        <v>Approved by: Gary Williams on 11/03/2014,  Replace 60' of 2"plastic main due to third party damage.Installed 60' of 2"PE.</v>
      </c>
      <c r="Q1264" s="210"/>
      <c r="R1264" s="210"/>
    </row>
    <row r="1265" spans="1:18" outlineLevel="1">
      <c r="A1265" s="223"/>
      <c r="B1265" s="250"/>
      <c r="C1265" s="254" t="s">
        <v>2092</v>
      </c>
      <c r="D1265" s="223"/>
      <c r="E1265" s="250"/>
      <c r="F1265" s="223"/>
      <c r="G1265" s="250"/>
      <c r="H1265" s="250"/>
      <c r="I1265" s="250"/>
      <c r="J1265" s="251">
        <f>SUBTOTAL(9,J1262:J1264)</f>
        <v>2029.3100000000002</v>
      </c>
      <c r="K1265" s="252"/>
      <c r="L1265" s="253"/>
      <c r="M1265" s="251">
        <f>SUBTOTAL(9,M1262:M1264)</f>
        <v>12.44</v>
      </c>
      <c r="N1265" s="251">
        <f>SUBTOTAL(9,N1262:N1264)</f>
        <v>36.119999999999997</v>
      </c>
      <c r="O1265" s="223"/>
      <c r="P1265" s="210"/>
      <c r="Q1265" s="210" t="str">
        <f>VLOOKUP(C1265,'Descriptions Sorted by WO '!$A$5:$S$977,18,FALSE)</f>
        <v>393.1009 (5) (a) (b)</v>
      </c>
      <c r="R1265" s="210" t="str">
        <f>VLOOKUP(C1265,'Descriptions Sorted by WO '!$A$5:$S$977,19,FALSE)</f>
        <v>A,B</v>
      </c>
    </row>
    <row r="1266" spans="1:18" ht="45" outlineLevel="2">
      <c r="A1266" s="14" t="s">
        <v>54</v>
      </c>
      <c r="B1266" s="15" t="s">
        <v>2273</v>
      </c>
      <c r="C1266" s="15" t="s">
        <v>2274</v>
      </c>
      <c r="D1266" s="14" t="s">
        <v>2275</v>
      </c>
      <c r="E1266" s="15" t="s">
        <v>141</v>
      </c>
      <c r="F1266" s="14" t="s">
        <v>142</v>
      </c>
      <c r="G1266" s="15" t="s">
        <v>23</v>
      </c>
      <c r="H1266" s="15" t="s">
        <v>1525</v>
      </c>
      <c r="I1266" s="15">
        <v>201502</v>
      </c>
      <c r="J1266" s="16">
        <v>111629.67</v>
      </c>
      <c r="K1266" s="171">
        <f>VLOOKUP(I1266,$T$9:$U$23,2)</f>
        <v>4</v>
      </c>
      <c r="L1266" s="17">
        <v>1.4833299999999999E-3</v>
      </c>
      <c r="M1266" s="16">
        <f>ROUND(J1266*K1266*L1266,2)</f>
        <v>662.33</v>
      </c>
      <c r="N1266" s="16">
        <f>ROUND(J1266*L1266*12,2)</f>
        <v>1987</v>
      </c>
      <c r="O1266" s="14"/>
      <c r="P1266" s="210" t="str">
        <f>VLOOKUP(C1266,'WO Descriptions'!$A$5:$D$384,4,FALSE)</f>
        <v>Approved by: Steve Holcomb on 11/07/2014,  Replace 4in CI with 1,630ft-4in PE and 60ft-12in thin film due to cast iron breaks.  This job must be completed by Mar. 12, 2015.  Tie-over 31 services.  Replace 14 services.</v>
      </c>
      <c r="Q1266" s="210"/>
      <c r="R1266" s="210"/>
    </row>
    <row r="1267" spans="1:18" outlineLevel="1">
      <c r="A1267" s="223"/>
      <c r="B1267" s="250"/>
      <c r="C1267" s="254" t="s">
        <v>2339</v>
      </c>
      <c r="D1267" s="223"/>
      <c r="E1267" s="250"/>
      <c r="F1267" s="223"/>
      <c r="G1267" s="250"/>
      <c r="H1267" s="250"/>
      <c r="I1267" s="250"/>
      <c r="J1267" s="251">
        <f>SUBTOTAL(9,J1266:J1266)</f>
        <v>111629.67</v>
      </c>
      <c r="K1267" s="252"/>
      <c r="L1267" s="253"/>
      <c r="M1267" s="251">
        <f>SUBTOTAL(9,M1266:M1266)</f>
        <v>662.33</v>
      </c>
      <c r="N1267" s="251">
        <f>SUBTOTAL(9,N1266:N1266)</f>
        <v>1987</v>
      </c>
      <c r="O1267" s="223"/>
      <c r="P1267" s="210"/>
      <c r="Q1267" s="210" t="s">
        <v>2097</v>
      </c>
      <c r="R1267" s="210" t="s">
        <v>2099</v>
      </c>
    </row>
    <row r="1268" spans="1:18" ht="45" outlineLevel="2">
      <c r="A1268" s="14" t="s">
        <v>17</v>
      </c>
      <c r="B1268" s="15" t="s">
        <v>2204</v>
      </c>
      <c r="C1268" s="15" t="s">
        <v>2205</v>
      </c>
      <c r="D1268" s="14" t="s">
        <v>2206</v>
      </c>
      <c r="E1268" s="15" t="s">
        <v>440</v>
      </c>
      <c r="F1268" s="14" t="s">
        <v>28</v>
      </c>
      <c r="G1268" s="15" t="s">
        <v>23</v>
      </c>
      <c r="H1268" s="15" t="s">
        <v>1525</v>
      </c>
      <c r="I1268" s="15">
        <v>201501</v>
      </c>
      <c r="J1268" s="16">
        <v>22886.23</v>
      </c>
      <c r="K1268" s="171">
        <f>VLOOKUP(I1268,$T$9:$U$23,2)</f>
        <v>5</v>
      </c>
      <c r="L1268" s="17">
        <v>1.4833299999999999E-3</v>
      </c>
      <c r="M1268" s="16">
        <f>ROUND(J1268*K1268*L1268,2)</f>
        <v>169.74</v>
      </c>
      <c r="N1268" s="16">
        <f>ROUND(J1268*L1268*12,2)</f>
        <v>407.37</v>
      </c>
      <c r="O1268" s="14"/>
      <c r="P1268" s="210" t="str">
        <f>VLOOKUP(C1268,'WO Descriptions'!$A$5:$D$384,4,FALSE)</f>
        <v>Approved by: Kevin Driskell on 11/06/2014,  Replace a total of 80' of 2'' PCS (57' WO- A5579D and 23' WO- 761745) with 2'' PCS due to leaks. Make sure to bottle the old tap on the 12'' PCS. Pressure system C-039 MOP 135psig. Pressure test at 230psig.</v>
      </c>
      <c r="Q1268" s="210"/>
      <c r="R1268" s="210"/>
    </row>
    <row r="1269" spans="1:18" ht="45" outlineLevel="2">
      <c r="A1269" s="14" t="s">
        <v>17</v>
      </c>
      <c r="B1269" s="15" t="s">
        <v>2204</v>
      </c>
      <c r="C1269" s="15" t="s">
        <v>2205</v>
      </c>
      <c r="D1269" s="14" t="s">
        <v>2206</v>
      </c>
      <c r="E1269" s="15" t="s">
        <v>440</v>
      </c>
      <c r="F1269" s="14" t="s">
        <v>28</v>
      </c>
      <c r="G1269" s="15" t="s">
        <v>23</v>
      </c>
      <c r="H1269" s="15" t="s">
        <v>1525</v>
      </c>
      <c r="I1269" s="15">
        <v>201502</v>
      </c>
      <c r="J1269" s="16">
        <v>9463.41</v>
      </c>
      <c r="K1269" s="171">
        <f>VLOOKUP(I1269,$T$9:$U$23,2)</f>
        <v>4</v>
      </c>
      <c r="L1269" s="17">
        <v>1.4833299999999999E-3</v>
      </c>
      <c r="M1269" s="16">
        <f>ROUND(J1269*K1269*L1269,2)</f>
        <v>56.15</v>
      </c>
      <c r="N1269" s="16">
        <f>ROUND(J1269*L1269*12,2)</f>
        <v>168.45</v>
      </c>
      <c r="O1269" s="14"/>
      <c r="P1269" s="210" t="str">
        <f>VLOOKUP(C1269,'WO Descriptions'!$A$5:$D$384,4,FALSE)</f>
        <v>Approved by: Kevin Driskell on 11/06/2014,  Replace a total of 80' of 2'' PCS (57' WO- A5579D and 23' WO- 761745) with 2'' PCS due to leaks. Make sure to bottle the old tap on the 12'' PCS. Pressure system C-039 MOP 135psig. Pressure test at 230psig.</v>
      </c>
      <c r="Q1269" s="210"/>
      <c r="R1269" s="210"/>
    </row>
    <row r="1270" spans="1:18" outlineLevel="1">
      <c r="A1270" s="223"/>
      <c r="B1270" s="250"/>
      <c r="C1270" s="254" t="s">
        <v>2340</v>
      </c>
      <c r="D1270" s="223"/>
      <c r="E1270" s="250"/>
      <c r="F1270" s="223"/>
      <c r="G1270" s="250"/>
      <c r="H1270" s="250"/>
      <c r="I1270" s="250"/>
      <c r="J1270" s="251">
        <f>SUBTOTAL(9,J1268:J1269)</f>
        <v>32349.64</v>
      </c>
      <c r="K1270" s="252"/>
      <c r="L1270" s="253"/>
      <c r="M1270" s="251">
        <f>SUBTOTAL(9,M1268:M1269)</f>
        <v>225.89000000000001</v>
      </c>
      <c r="N1270" s="251">
        <f>SUBTOTAL(9,N1268:N1269)</f>
        <v>575.81999999999994</v>
      </c>
      <c r="O1270" s="223"/>
      <c r="P1270" s="210"/>
      <c r="Q1270" s="210" t="s">
        <v>2097</v>
      </c>
      <c r="R1270" s="210" t="s">
        <v>2099</v>
      </c>
    </row>
    <row r="1271" spans="1:18" ht="45" outlineLevel="2">
      <c r="A1271" s="14" t="s">
        <v>54</v>
      </c>
      <c r="B1271" s="15" t="s">
        <v>1096</v>
      </c>
      <c r="C1271" s="15" t="s">
        <v>1097</v>
      </c>
      <c r="D1271" s="14" t="s">
        <v>1098</v>
      </c>
      <c r="E1271" s="15" t="s">
        <v>462</v>
      </c>
      <c r="F1271" s="14" t="s">
        <v>142</v>
      </c>
      <c r="G1271" s="15" t="s">
        <v>23</v>
      </c>
      <c r="H1271" s="15" t="s">
        <v>1525</v>
      </c>
      <c r="I1271" s="15">
        <v>201412</v>
      </c>
      <c r="J1271" s="16">
        <v>16814.27</v>
      </c>
      <c r="K1271" s="171">
        <f>VLOOKUP(I1271,$T$9:$U$23,2)</f>
        <v>6</v>
      </c>
      <c r="L1271" s="17">
        <v>1.4833299999999999E-3</v>
      </c>
      <c r="M1271" s="16">
        <f>ROUND(J1271*K1271*L1271,2)</f>
        <v>149.65</v>
      </c>
      <c r="N1271" s="16">
        <f>ROUND(J1271*L1271*12,2)</f>
        <v>299.29000000000002</v>
      </c>
      <c r="O1271" s="14"/>
      <c r="P1271" s="210" t="str">
        <f>VLOOKUP(C1271,'WO Descriptions'!$A$5:$D$384,4,FALSE)</f>
        <v>Approved by: Gary Williams on 11/11/2014,  Replace 4'' CI with 4'' PE along Myrtle north of 39th St due to leak in the area. Tie into existing 4" cast iron main at 38th and Myrtle. There are 9 Replacement Services to charge to blanket work order and 8 service tie overs.</v>
      </c>
      <c r="Q1271" s="210"/>
      <c r="R1271" s="210"/>
    </row>
    <row r="1272" spans="1:18" ht="45" outlineLevel="2">
      <c r="A1272" s="14" t="s">
        <v>54</v>
      </c>
      <c r="B1272" s="15" t="s">
        <v>1096</v>
      </c>
      <c r="C1272" s="15" t="s">
        <v>1097</v>
      </c>
      <c r="D1272" s="14" t="s">
        <v>1098</v>
      </c>
      <c r="E1272" s="15" t="s">
        <v>462</v>
      </c>
      <c r="F1272" s="14" t="s">
        <v>142</v>
      </c>
      <c r="G1272" s="15" t="s">
        <v>23</v>
      </c>
      <c r="H1272" s="15" t="s">
        <v>1525</v>
      </c>
      <c r="I1272" s="15">
        <v>201501</v>
      </c>
      <c r="J1272" s="16">
        <v>740.17</v>
      </c>
      <c r="K1272" s="171">
        <f>VLOOKUP(I1272,$T$9:$U$23,2)</f>
        <v>5</v>
      </c>
      <c r="L1272" s="17">
        <v>1.4833299999999999E-3</v>
      </c>
      <c r="M1272" s="16">
        <f>ROUND(J1272*K1272*L1272,2)</f>
        <v>5.49</v>
      </c>
      <c r="N1272" s="16">
        <f>ROUND(J1272*L1272*12,2)</f>
        <v>13.17</v>
      </c>
      <c r="O1272" s="14"/>
      <c r="P1272" s="210" t="str">
        <f>VLOOKUP(C1272,'WO Descriptions'!$A$5:$D$384,4,FALSE)</f>
        <v>Approved by: Gary Williams on 11/11/2014,  Replace 4'' CI with 4'' PE along Myrtle north of 39th St due to leak in the area. Tie into existing 4" cast iron main at 38th and Myrtle. There are 9 Replacement Services to charge to blanket work order and 8 service tie overs.</v>
      </c>
      <c r="Q1272" s="210"/>
      <c r="R1272" s="210"/>
    </row>
    <row r="1273" spans="1:18" ht="45" outlineLevel="2">
      <c r="A1273" s="14" t="s">
        <v>54</v>
      </c>
      <c r="B1273" s="15" t="s">
        <v>1096</v>
      </c>
      <c r="C1273" s="15" t="s">
        <v>1097</v>
      </c>
      <c r="D1273" s="14" t="s">
        <v>1098</v>
      </c>
      <c r="E1273" s="15" t="s">
        <v>462</v>
      </c>
      <c r="F1273" s="14" t="s">
        <v>142</v>
      </c>
      <c r="G1273" s="15" t="s">
        <v>23</v>
      </c>
      <c r="H1273" s="15" t="s">
        <v>1525</v>
      </c>
      <c r="I1273" s="15">
        <v>201502</v>
      </c>
      <c r="J1273" s="16">
        <v>5567.08</v>
      </c>
      <c r="K1273" s="171">
        <f>VLOOKUP(I1273,$T$9:$U$23,2)</f>
        <v>4</v>
      </c>
      <c r="L1273" s="17">
        <v>1.4833299999999999E-3</v>
      </c>
      <c r="M1273" s="16">
        <f>ROUND(J1273*K1273*L1273,2)</f>
        <v>33.03</v>
      </c>
      <c r="N1273" s="16">
        <f>ROUND(J1273*L1273*12,2)</f>
        <v>99.09</v>
      </c>
      <c r="O1273" s="14"/>
      <c r="P1273" s="210" t="str">
        <f>VLOOKUP(C1273,'WO Descriptions'!$A$5:$D$384,4,FALSE)</f>
        <v>Approved by: Gary Williams on 11/11/2014,  Replace 4'' CI with 4'' PE along Myrtle north of 39th St due to leak in the area. Tie into existing 4" cast iron main at 38th and Myrtle. There are 9 Replacement Services to charge to blanket work order and 8 service tie overs.</v>
      </c>
      <c r="Q1273" s="210"/>
      <c r="R1273" s="210"/>
    </row>
    <row r="1274" spans="1:18" outlineLevel="1">
      <c r="A1274" s="223"/>
      <c r="B1274" s="250"/>
      <c r="C1274" s="254" t="s">
        <v>2093</v>
      </c>
      <c r="D1274" s="223"/>
      <c r="E1274" s="250"/>
      <c r="F1274" s="223"/>
      <c r="G1274" s="250"/>
      <c r="H1274" s="250"/>
      <c r="I1274" s="250"/>
      <c r="J1274" s="251">
        <f>SUBTOTAL(9,J1271:J1273)</f>
        <v>23121.519999999997</v>
      </c>
      <c r="K1274" s="252"/>
      <c r="L1274" s="253"/>
      <c r="M1274" s="251">
        <f>SUBTOTAL(9,M1271:M1273)</f>
        <v>188.17000000000002</v>
      </c>
      <c r="N1274" s="251">
        <f>SUBTOTAL(9,N1271:N1273)</f>
        <v>411.55000000000007</v>
      </c>
      <c r="O1274" s="223"/>
      <c r="P1274" s="210"/>
      <c r="Q1274" s="210" t="str">
        <f>VLOOKUP(C1274,'Descriptions Sorted by WO '!$A$5:$S$977,18,FALSE)</f>
        <v>393.1009 (5) (a) (b)</v>
      </c>
      <c r="R1274" s="210" t="str">
        <f>VLOOKUP(C1274,'Descriptions Sorted by WO '!$A$5:$S$977,19,FALSE)</f>
        <v>A,B,C,D,I</v>
      </c>
    </row>
    <row r="1275" spans="1:18" ht="30" outlineLevel="2">
      <c r="A1275" s="14" t="s">
        <v>54</v>
      </c>
      <c r="B1275" s="15" t="s">
        <v>2287</v>
      </c>
      <c r="C1275" s="15" t="s">
        <v>2288</v>
      </c>
      <c r="D1275" s="14" t="s">
        <v>2289</v>
      </c>
      <c r="E1275" s="15" t="s">
        <v>40</v>
      </c>
      <c r="F1275" s="14" t="s">
        <v>41</v>
      </c>
      <c r="G1275" s="15" t="s">
        <v>23</v>
      </c>
      <c r="H1275" s="15" t="s">
        <v>1526</v>
      </c>
      <c r="I1275" s="15">
        <v>201502</v>
      </c>
      <c r="J1275" s="16">
        <v>73950.03</v>
      </c>
      <c r="K1275" s="171">
        <f>VLOOKUP(I1275,$T$9:$U$23,2)</f>
        <v>4</v>
      </c>
      <c r="L1275" s="17">
        <v>1.4833299999999999E-3</v>
      </c>
      <c r="M1275" s="16">
        <f>ROUND(J1275*K1275*L1275,2)</f>
        <v>438.77</v>
      </c>
      <c r="N1275" s="16">
        <f>ROUND(J1275*L1275*12,2)</f>
        <v>1316.31</v>
      </c>
      <c r="O1275" s="14"/>
      <c r="P1275" s="210" t="str">
        <f>VLOOKUP(C1275,'WO Descriptions'!$A$5:$D$384,4,FALSE)</f>
        <v>Approved by: Donnie Richards on 11/12/2014,  (ISRS). Replace 4" PBS, 2" PBS, and 3" PCS due to public improvement project.  Lay 475'-4in PE and 180'-2in PE.</v>
      </c>
      <c r="Q1275" s="210"/>
      <c r="R1275" s="210"/>
    </row>
    <row r="1276" spans="1:18" outlineLevel="1">
      <c r="A1276" s="223"/>
      <c r="B1276" s="250"/>
      <c r="C1276" s="254" t="s">
        <v>2341</v>
      </c>
      <c r="D1276" s="223"/>
      <c r="E1276" s="250"/>
      <c r="F1276" s="223"/>
      <c r="G1276" s="250"/>
      <c r="H1276" s="250"/>
      <c r="I1276" s="250"/>
      <c r="J1276" s="251">
        <f>SUBTOTAL(9,J1275:J1275)</f>
        <v>73950.03</v>
      </c>
      <c r="K1276" s="252"/>
      <c r="L1276" s="253"/>
      <c r="M1276" s="251">
        <f>SUBTOTAL(9,M1275:M1275)</f>
        <v>438.77</v>
      </c>
      <c r="N1276" s="251">
        <f>SUBTOTAL(9,N1275:N1275)</f>
        <v>1316.31</v>
      </c>
      <c r="O1276" s="223"/>
      <c r="P1276" s="210"/>
      <c r="Q1276" s="210" t="s">
        <v>2096</v>
      </c>
      <c r="R1276" s="210"/>
    </row>
    <row r="1277" spans="1:18" ht="60" outlineLevel="2">
      <c r="A1277" s="14" t="s">
        <v>54</v>
      </c>
      <c r="B1277" s="15" t="s">
        <v>2276</v>
      </c>
      <c r="C1277" s="15" t="s">
        <v>2277</v>
      </c>
      <c r="D1277" s="14" t="s">
        <v>2278</v>
      </c>
      <c r="E1277" s="15" t="s">
        <v>462</v>
      </c>
      <c r="F1277" s="14" t="s">
        <v>142</v>
      </c>
      <c r="G1277" s="15" t="s">
        <v>23</v>
      </c>
      <c r="H1277" s="15" t="s">
        <v>1525</v>
      </c>
      <c r="I1277" s="15">
        <v>201502</v>
      </c>
      <c r="J1277" s="16">
        <v>196544.7</v>
      </c>
      <c r="K1277" s="171">
        <f>VLOOKUP(I1277,$T$9:$U$23,2)</f>
        <v>4</v>
      </c>
      <c r="L1277" s="17">
        <v>1.4833299999999999E-3</v>
      </c>
      <c r="M1277" s="16">
        <f>ROUND(J1277*K1277*L1277,2)</f>
        <v>1166.1600000000001</v>
      </c>
      <c r="N1277" s="16">
        <f>ROUND(J1277*L1277*12,2)</f>
        <v>3498.49</v>
      </c>
      <c r="O1277" s="14"/>
      <c r="P1277" s="210" t="str">
        <f>VLOOKUP(C1277,'WO Descriptions'!$A$5:$D$384,4,FALSE)</f>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
      <c r="Q1277" s="210"/>
      <c r="R1277" s="210"/>
    </row>
    <row r="1278" spans="1:18" outlineLevel="1">
      <c r="A1278" s="223"/>
      <c r="B1278" s="250"/>
      <c r="C1278" s="254" t="s">
        <v>2342</v>
      </c>
      <c r="D1278" s="223"/>
      <c r="E1278" s="250"/>
      <c r="F1278" s="223"/>
      <c r="G1278" s="250"/>
      <c r="H1278" s="250"/>
      <c r="I1278" s="250"/>
      <c r="J1278" s="251">
        <f>SUBTOTAL(9,J1277:J1277)</f>
        <v>196544.7</v>
      </c>
      <c r="K1278" s="252"/>
      <c r="L1278" s="253"/>
      <c r="M1278" s="251">
        <f>SUBTOTAL(9,M1277:M1277)</f>
        <v>1166.1600000000001</v>
      </c>
      <c r="N1278" s="251">
        <f>SUBTOTAL(9,N1277:N1277)</f>
        <v>3498.49</v>
      </c>
      <c r="O1278" s="223"/>
      <c r="P1278" s="210"/>
      <c r="Q1278" s="210" t="s">
        <v>2097</v>
      </c>
      <c r="R1278" s="210" t="s">
        <v>2098</v>
      </c>
    </row>
    <row r="1279" spans="1:18" ht="75" outlineLevel="2">
      <c r="A1279" s="223" t="s">
        <v>54</v>
      </c>
      <c r="B1279" s="250" t="s">
        <v>2207</v>
      </c>
      <c r="C1279" s="250" t="s">
        <v>2208</v>
      </c>
      <c r="D1279" s="223" t="s">
        <v>2209</v>
      </c>
      <c r="E1279" s="250" t="s">
        <v>141</v>
      </c>
      <c r="F1279" s="223" t="s">
        <v>142</v>
      </c>
      <c r="G1279" s="250" t="s">
        <v>23</v>
      </c>
      <c r="H1279" s="250" t="s">
        <v>1525</v>
      </c>
      <c r="I1279" s="250">
        <v>201501</v>
      </c>
      <c r="J1279" s="251">
        <v>65796.67</v>
      </c>
      <c r="K1279" s="171">
        <f>VLOOKUP(I1279,$T$9:$U$23,2)</f>
        <v>5</v>
      </c>
      <c r="L1279" s="253">
        <v>1.4833299999999999E-3</v>
      </c>
      <c r="M1279" s="251">
        <f>ROUND(J1279*K1279*L1279,2)</f>
        <v>487.99</v>
      </c>
      <c r="N1279" s="251">
        <f>ROUND(J1279*L1279*12,2)</f>
        <v>1171.18</v>
      </c>
      <c r="O1279" s="223"/>
      <c r="P1279" s="210" t="str">
        <f>VLOOKUP(C1279,'WO Descriptions'!$A$5:$D$384,4,FALSE)</f>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
      <c r="Q1279" s="210"/>
      <c r="R1279" s="210"/>
    </row>
    <row r="1280" spans="1:18" ht="75" outlineLevel="2">
      <c r="A1280" s="223" t="s">
        <v>54</v>
      </c>
      <c r="B1280" s="250" t="s">
        <v>2207</v>
      </c>
      <c r="C1280" s="250" t="s">
        <v>2208</v>
      </c>
      <c r="D1280" s="223" t="s">
        <v>2209</v>
      </c>
      <c r="E1280" s="250" t="s">
        <v>141</v>
      </c>
      <c r="F1280" s="223" t="s">
        <v>142</v>
      </c>
      <c r="G1280" s="250" t="s">
        <v>23</v>
      </c>
      <c r="H1280" s="250" t="s">
        <v>1525</v>
      </c>
      <c r="I1280" s="250">
        <v>201502</v>
      </c>
      <c r="J1280" s="251">
        <v>703.59</v>
      </c>
      <c r="K1280" s="171">
        <f>VLOOKUP(I1280,$T$9:$U$23,2)</f>
        <v>4</v>
      </c>
      <c r="L1280" s="253">
        <v>1.4833299999999999E-3</v>
      </c>
      <c r="M1280" s="251">
        <f>ROUND(J1280*K1280*L1280,2)</f>
        <v>4.17</v>
      </c>
      <c r="N1280" s="251">
        <f>ROUND(J1280*L1280*12,2)</f>
        <v>12.52</v>
      </c>
      <c r="O1280" s="223"/>
      <c r="P1280" s="210" t="str">
        <f>VLOOKUP(C1280,'WO Descriptions'!$A$5:$D$384,4,FALSE)</f>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
      <c r="Q1280" s="210"/>
      <c r="R1280" s="210"/>
    </row>
    <row r="1281" spans="1:18" outlineLevel="1">
      <c r="A1281" s="223"/>
      <c r="B1281" s="250"/>
      <c r="C1281" s="254" t="s">
        <v>2343</v>
      </c>
      <c r="D1281" s="223"/>
      <c r="E1281" s="250"/>
      <c r="F1281" s="223"/>
      <c r="G1281" s="250"/>
      <c r="H1281" s="250"/>
      <c r="I1281" s="250"/>
      <c r="J1281" s="251">
        <f>SUBTOTAL(9,J1279:J1280)</f>
        <v>66500.259999999995</v>
      </c>
      <c r="K1281" s="252"/>
      <c r="L1281" s="253"/>
      <c r="M1281" s="251">
        <f>SUBTOTAL(9,M1279:M1280)</f>
        <v>492.16</v>
      </c>
      <c r="N1281" s="251">
        <f>SUBTOTAL(9,N1279:N1280)</f>
        <v>1183.7</v>
      </c>
      <c r="O1281" s="223"/>
      <c r="P1281" s="210"/>
      <c r="Q1281" s="210" t="s">
        <v>2097</v>
      </c>
      <c r="R1281" s="210" t="s">
        <v>2098</v>
      </c>
    </row>
    <row r="1282" spans="1:18" ht="45" outlineLevel="2">
      <c r="A1282" s="223" t="s">
        <v>54</v>
      </c>
      <c r="B1282" s="250" t="s">
        <v>2210</v>
      </c>
      <c r="C1282" s="250" t="s">
        <v>2211</v>
      </c>
      <c r="D1282" s="223" t="s">
        <v>2212</v>
      </c>
      <c r="E1282" s="250" t="s">
        <v>45</v>
      </c>
      <c r="F1282" s="223" t="s">
        <v>22</v>
      </c>
      <c r="G1282" s="250" t="s">
        <v>23</v>
      </c>
      <c r="H1282" s="250" t="s">
        <v>1525</v>
      </c>
      <c r="I1282" s="250">
        <v>201501</v>
      </c>
      <c r="J1282" s="251">
        <v>32651.14</v>
      </c>
      <c r="K1282" s="171">
        <f>VLOOKUP(I1282,$T$9:$U$23,2)</f>
        <v>5</v>
      </c>
      <c r="L1282" s="253">
        <v>1.4833299999999999E-3</v>
      </c>
      <c r="M1282" s="251">
        <f>ROUND(J1282*K1282*L1282,2)</f>
        <v>242.16</v>
      </c>
      <c r="N1282" s="251">
        <f>ROUND(J1282*L1282*12,2)</f>
        <v>581.19000000000005</v>
      </c>
      <c r="O1282" s="223"/>
      <c r="P1282" s="210" t="str">
        <f>VLOOKUP(C1282,'WO Descriptions'!$A$5:$D$384,4,FALSE)</f>
        <v>Approved by: Kevin Driskell on 11/21/2014,  Replace 385' of 4" Bare Steel pipe with 530' of 4" PE due to leak on above ground creek crossing (leaks are at pipe supports). Existing 4" bare steel lays in blanket easement and will replace in road ROW due to creek crossing.</v>
      </c>
      <c r="Q1282" s="210"/>
      <c r="R1282" s="210"/>
    </row>
    <row r="1283" spans="1:18" ht="45" outlineLevel="2">
      <c r="A1283" s="223" t="s">
        <v>54</v>
      </c>
      <c r="B1283" s="250" t="s">
        <v>2210</v>
      </c>
      <c r="C1283" s="250" t="s">
        <v>2211</v>
      </c>
      <c r="D1283" s="223" t="s">
        <v>2212</v>
      </c>
      <c r="E1283" s="250" t="s">
        <v>45</v>
      </c>
      <c r="F1283" s="223" t="s">
        <v>22</v>
      </c>
      <c r="G1283" s="250" t="s">
        <v>23</v>
      </c>
      <c r="H1283" s="250" t="s">
        <v>1525</v>
      </c>
      <c r="I1283" s="250">
        <v>201502</v>
      </c>
      <c r="J1283" s="251">
        <v>-3184.31</v>
      </c>
      <c r="K1283" s="171">
        <f>VLOOKUP(I1283,$T$9:$U$23,2)</f>
        <v>4</v>
      </c>
      <c r="L1283" s="253">
        <v>1.4833299999999999E-3</v>
      </c>
      <c r="M1283" s="251">
        <f>ROUND(J1283*K1283*L1283,2)</f>
        <v>-18.89</v>
      </c>
      <c r="N1283" s="251">
        <f>ROUND(J1283*L1283*12,2)</f>
        <v>-56.68</v>
      </c>
      <c r="O1283" s="223"/>
      <c r="P1283" s="210" t="str">
        <f>VLOOKUP(C1283,'WO Descriptions'!$A$5:$D$384,4,FALSE)</f>
        <v>Approved by: Kevin Driskell on 11/21/2014,  Replace 385' of 4" Bare Steel pipe with 530' of 4" PE due to leak on above ground creek crossing (leaks are at pipe supports). Existing 4" bare steel lays in blanket easement and will replace in road ROW due to creek crossing.</v>
      </c>
      <c r="Q1283" s="210"/>
      <c r="R1283" s="210"/>
    </row>
    <row r="1284" spans="1:18" outlineLevel="1">
      <c r="A1284" s="223"/>
      <c r="B1284" s="250"/>
      <c r="C1284" s="254" t="s">
        <v>2344</v>
      </c>
      <c r="D1284" s="223"/>
      <c r="E1284" s="250"/>
      <c r="F1284" s="223"/>
      <c r="G1284" s="250"/>
      <c r="H1284" s="250"/>
      <c r="I1284" s="250"/>
      <c r="J1284" s="251">
        <f>SUBTOTAL(9,J1282:J1283)</f>
        <v>29466.829999999998</v>
      </c>
      <c r="K1284" s="252"/>
      <c r="L1284" s="253"/>
      <c r="M1284" s="251">
        <f>SUBTOTAL(9,M1282:M1283)</f>
        <v>223.26999999999998</v>
      </c>
      <c r="N1284" s="251">
        <f>SUBTOTAL(9,N1282:N1283)</f>
        <v>524.5100000000001</v>
      </c>
      <c r="O1284" s="223"/>
      <c r="P1284" s="210"/>
      <c r="Q1284" s="210" t="s">
        <v>2097</v>
      </c>
      <c r="R1284" s="210" t="s">
        <v>2098</v>
      </c>
    </row>
    <row r="1285" spans="1:18" ht="60" outlineLevel="2">
      <c r="A1285" s="223" t="s">
        <v>54</v>
      </c>
      <c r="B1285" s="250" t="s">
        <v>2220</v>
      </c>
      <c r="C1285" s="250" t="s">
        <v>2221</v>
      </c>
      <c r="D1285" s="223" t="s">
        <v>2222</v>
      </c>
      <c r="E1285" s="250" t="s">
        <v>362</v>
      </c>
      <c r="F1285" s="223" t="s">
        <v>41</v>
      </c>
      <c r="G1285" s="250" t="s">
        <v>23</v>
      </c>
      <c r="H1285" s="250" t="s">
        <v>1526</v>
      </c>
      <c r="I1285" s="250">
        <v>201501</v>
      </c>
      <c r="J1285" s="251">
        <v>14496.1</v>
      </c>
      <c r="K1285" s="171">
        <f>VLOOKUP(I1285,$T$9:$U$23,2)</f>
        <v>5</v>
      </c>
      <c r="L1285" s="253">
        <v>1.4833299999999999E-3</v>
      </c>
      <c r="M1285" s="251">
        <f>ROUND(J1285*K1285*L1285,2)</f>
        <v>107.51</v>
      </c>
      <c r="N1285" s="251">
        <f>ROUND(J1285*L1285*12,2)</f>
        <v>258.02999999999997</v>
      </c>
      <c r="O1285" s="223"/>
      <c r="P1285" s="210" t="str">
        <f>VLOOKUP(C1285,'WO Descriptions'!$A$5:$D$384,4,FALSE)</f>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
      <c r="Q1285" s="210"/>
      <c r="R1285" s="210"/>
    </row>
    <row r="1286" spans="1:18" ht="60" outlineLevel="2">
      <c r="A1286" s="223" t="s">
        <v>54</v>
      </c>
      <c r="B1286" s="250" t="s">
        <v>2220</v>
      </c>
      <c r="C1286" s="250" t="s">
        <v>2221</v>
      </c>
      <c r="D1286" s="223" t="s">
        <v>2222</v>
      </c>
      <c r="E1286" s="250" t="s">
        <v>362</v>
      </c>
      <c r="F1286" s="223" t="s">
        <v>41</v>
      </c>
      <c r="G1286" s="250" t="s">
        <v>23</v>
      </c>
      <c r="H1286" s="250" t="s">
        <v>1526</v>
      </c>
      <c r="I1286" s="250">
        <v>201502</v>
      </c>
      <c r="J1286" s="251">
        <v>-5634.68</v>
      </c>
      <c r="K1286" s="171">
        <f>VLOOKUP(I1286,$T$9:$U$23,2)</f>
        <v>4</v>
      </c>
      <c r="L1286" s="253">
        <v>1.4833299999999999E-3</v>
      </c>
      <c r="M1286" s="251">
        <f>ROUND(J1286*K1286*L1286,2)</f>
        <v>-33.43</v>
      </c>
      <c r="N1286" s="251">
        <f>ROUND(J1286*L1286*12,2)</f>
        <v>-100.3</v>
      </c>
      <c r="O1286" s="223"/>
      <c r="P1286" s="210" t="str">
        <f>VLOOKUP(C1286,'WO Descriptions'!$A$5:$D$384,4,FALSE)</f>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
      <c r="Q1286" s="210"/>
      <c r="R1286" s="210"/>
    </row>
    <row r="1287" spans="1:18" outlineLevel="1">
      <c r="A1287" s="223"/>
      <c r="B1287" s="250"/>
      <c r="C1287" s="254" t="s">
        <v>2345</v>
      </c>
      <c r="D1287" s="223"/>
      <c r="E1287" s="250"/>
      <c r="F1287" s="223"/>
      <c r="G1287" s="250"/>
      <c r="H1287" s="250"/>
      <c r="I1287" s="250"/>
      <c r="J1287" s="251">
        <f>SUBTOTAL(9,J1285:J1286)</f>
        <v>8861.42</v>
      </c>
      <c r="K1287" s="252"/>
      <c r="L1287" s="253"/>
      <c r="M1287" s="251">
        <f>SUBTOTAL(9,M1285:M1286)</f>
        <v>74.080000000000013</v>
      </c>
      <c r="N1287" s="251">
        <f>SUBTOTAL(9,N1285:N1286)</f>
        <v>157.72999999999996</v>
      </c>
      <c r="O1287" s="223"/>
      <c r="P1287" s="210"/>
      <c r="Q1287" s="210" t="s">
        <v>2096</v>
      </c>
      <c r="R1287" s="210"/>
    </row>
    <row r="1288" spans="1:18" outlineLevel="2">
      <c r="A1288" s="14" t="s">
        <v>17</v>
      </c>
      <c r="B1288" s="15" t="s">
        <v>2213</v>
      </c>
      <c r="C1288" s="15" t="s">
        <v>2214</v>
      </c>
      <c r="D1288" s="14" t="s">
        <v>2215</v>
      </c>
      <c r="E1288" s="15" t="s">
        <v>108</v>
      </c>
      <c r="F1288" s="14" t="s">
        <v>28</v>
      </c>
      <c r="G1288" s="15" t="s">
        <v>23</v>
      </c>
      <c r="H1288" s="15" t="s">
        <v>1525</v>
      </c>
      <c r="I1288" s="15">
        <v>201501</v>
      </c>
      <c r="J1288" s="16">
        <v>3822.71</v>
      </c>
      <c r="K1288" s="171">
        <f>VLOOKUP(I1288,$T$9:$U$23,2)</f>
        <v>5</v>
      </c>
      <c r="L1288" s="17">
        <v>1.4833299999999999E-3</v>
      </c>
      <c r="M1288" s="16">
        <f>ROUND(J1288*K1288*L1288,2)</f>
        <v>28.35</v>
      </c>
      <c r="N1288" s="16">
        <f>ROUND(J1288*L1288*12,2)</f>
        <v>68.040000000000006</v>
      </c>
      <c r="O1288" s="14"/>
      <c r="P1288" s="210" t="str">
        <f>VLOOKUP(C1288,'WO Descriptions'!$A$5:$D$384,4,FALSE)</f>
        <v>Approved by: Kevin Driskell on 12/16/2014,  Replace 4' of 2'' PCS due to leak.</v>
      </c>
      <c r="Q1288" s="210"/>
      <c r="R1288" s="210"/>
    </row>
    <row r="1289" spans="1:18" outlineLevel="2">
      <c r="A1289" s="14" t="s">
        <v>17</v>
      </c>
      <c r="B1289" s="15" t="s">
        <v>2213</v>
      </c>
      <c r="C1289" s="15" t="s">
        <v>2214</v>
      </c>
      <c r="D1289" s="14" t="s">
        <v>2215</v>
      </c>
      <c r="E1289" s="15" t="s">
        <v>108</v>
      </c>
      <c r="F1289" s="14" t="s">
        <v>28</v>
      </c>
      <c r="G1289" s="15" t="s">
        <v>23</v>
      </c>
      <c r="H1289" s="15" t="s">
        <v>1525</v>
      </c>
      <c r="I1289" s="15">
        <v>201502</v>
      </c>
      <c r="J1289" s="16">
        <v>-46.66</v>
      </c>
      <c r="K1289" s="171">
        <f>VLOOKUP(I1289,$T$9:$U$23,2)</f>
        <v>4</v>
      </c>
      <c r="L1289" s="17">
        <v>1.4833299999999999E-3</v>
      </c>
      <c r="M1289" s="16">
        <f>ROUND(J1289*K1289*L1289,2)</f>
        <v>-0.28000000000000003</v>
      </c>
      <c r="N1289" s="16">
        <f>ROUND(J1289*L1289*12,2)</f>
        <v>-0.83</v>
      </c>
      <c r="O1289" s="14"/>
      <c r="P1289" s="210" t="str">
        <f>VLOOKUP(C1289,'WO Descriptions'!$A$5:$D$384,4,FALSE)</f>
        <v>Approved by: Kevin Driskell on 12/16/2014,  Replace 4' of 2'' PCS due to leak.</v>
      </c>
      <c r="Q1289" s="210"/>
      <c r="R1289" s="210"/>
    </row>
    <row r="1290" spans="1:18" outlineLevel="1">
      <c r="A1290" s="223"/>
      <c r="B1290" s="250"/>
      <c r="C1290" s="254" t="s">
        <v>2346</v>
      </c>
      <c r="D1290" s="223"/>
      <c r="E1290" s="250"/>
      <c r="F1290" s="223"/>
      <c r="G1290" s="250"/>
      <c r="H1290" s="250"/>
      <c r="I1290" s="250"/>
      <c r="J1290" s="251">
        <f>SUBTOTAL(9,J1288:J1289)</f>
        <v>3776.05</v>
      </c>
      <c r="K1290" s="252"/>
      <c r="L1290" s="253"/>
      <c r="M1290" s="251">
        <f>SUBTOTAL(9,M1288:M1289)</f>
        <v>28.07</v>
      </c>
      <c r="N1290" s="251">
        <f>SUBTOTAL(9,N1288:N1289)</f>
        <v>67.210000000000008</v>
      </c>
      <c r="O1290" s="223"/>
      <c r="P1290" s="210"/>
      <c r="Q1290" s="210" t="s">
        <v>2097</v>
      </c>
      <c r="R1290" s="210" t="s">
        <v>2098</v>
      </c>
    </row>
    <row r="1291" spans="1:18" ht="45" outlineLevel="2">
      <c r="A1291" s="14" t="s">
        <v>54</v>
      </c>
      <c r="B1291" s="15" t="s">
        <v>2247</v>
      </c>
      <c r="C1291" s="15" t="s">
        <v>2248</v>
      </c>
      <c r="D1291" s="14" t="s">
        <v>2249</v>
      </c>
      <c r="E1291" s="15" t="s">
        <v>141</v>
      </c>
      <c r="F1291" s="14" t="s">
        <v>142</v>
      </c>
      <c r="G1291" s="15" t="s">
        <v>23</v>
      </c>
      <c r="H1291" s="15" t="s">
        <v>1525</v>
      </c>
      <c r="I1291" s="15">
        <v>201502</v>
      </c>
      <c r="J1291" s="16">
        <v>18792.990000000002</v>
      </c>
      <c r="K1291" s="171">
        <f>VLOOKUP(I1291,$T$9:$U$23,2)</f>
        <v>4</v>
      </c>
      <c r="L1291" s="17">
        <v>1.4833299999999999E-3</v>
      </c>
      <c r="M1291" s="16">
        <f>ROUND(J1291*K1291*L1291,2)</f>
        <v>111.5</v>
      </c>
      <c r="N1291" s="16">
        <f>ROUND(J1291*L1291*12,2)</f>
        <v>334.51</v>
      </c>
      <c r="O1291" s="14"/>
      <c r="P1291" s="210" t="str">
        <f>VLOOKUP(C1291,'WO Descriptions'!$A$5:$D$384,4,FALSE)</f>
        <v>Approved by: Gary Williams on 12/31/2014,  Replace due to AOR at 1227 Stratford Rd (Coupling exposed). CI break 13-1045 will also be taken care of in this replacement. Install 240' of 4'' PE. 1224 nd 1232 Stratford Rd are replacement services. 4 tie overs. Bypass needed.</v>
      </c>
      <c r="Q1291" s="210"/>
      <c r="R1291" s="210"/>
    </row>
    <row r="1292" spans="1:18" outlineLevel="1">
      <c r="A1292" s="223"/>
      <c r="B1292" s="250"/>
      <c r="C1292" s="254" t="s">
        <v>2347</v>
      </c>
      <c r="D1292" s="223"/>
      <c r="E1292" s="250"/>
      <c r="F1292" s="223"/>
      <c r="G1292" s="250"/>
      <c r="H1292" s="250"/>
      <c r="I1292" s="250"/>
      <c r="J1292" s="251">
        <f>SUBTOTAL(9,J1291:J1291)</f>
        <v>18792.990000000002</v>
      </c>
      <c r="K1292" s="252"/>
      <c r="L1292" s="253"/>
      <c r="M1292" s="251">
        <f>SUBTOTAL(9,M1291:M1291)</f>
        <v>111.5</v>
      </c>
      <c r="N1292" s="251">
        <f>SUBTOTAL(9,N1291:N1291)</f>
        <v>334.51</v>
      </c>
      <c r="O1292" s="223"/>
      <c r="P1292" s="210"/>
      <c r="Q1292" s="210" t="s">
        <v>2097</v>
      </c>
      <c r="R1292" s="210" t="s">
        <v>2098</v>
      </c>
    </row>
    <row r="1293" spans="1:18" ht="60" outlineLevel="2">
      <c r="A1293" s="14" t="s">
        <v>54</v>
      </c>
      <c r="B1293" s="15" t="s">
        <v>2290</v>
      </c>
      <c r="C1293" s="15" t="s">
        <v>2291</v>
      </c>
      <c r="D1293" s="14" t="s">
        <v>2292</v>
      </c>
      <c r="E1293" s="15" t="s">
        <v>53</v>
      </c>
      <c r="F1293" s="14" t="s">
        <v>41</v>
      </c>
      <c r="G1293" s="15" t="s">
        <v>23</v>
      </c>
      <c r="H1293" s="15" t="s">
        <v>1526</v>
      </c>
      <c r="I1293" s="15">
        <v>201502</v>
      </c>
      <c r="J1293" s="16">
        <v>4513.7700000000004</v>
      </c>
      <c r="K1293" s="171">
        <f>VLOOKUP(I1293,$T$9:$U$23,2)</f>
        <v>4</v>
      </c>
      <c r="L1293" s="17">
        <v>1.4833299999999999E-3</v>
      </c>
      <c r="M1293" s="16">
        <f>ROUND(J1293*K1293*L1293,2)</f>
        <v>26.78</v>
      </c>
      <c r="N1293" s="16">
        <f>ROUND(J1293*L1293*12,2)</f>
        <v>80.34</v>
      </c>
      <c r="O1293" s="14"/>
      <c r="P1293" s="210" t="str">
        <f>VLOOKUP(C1293,'WO Descriptions'!$A$5:$D$384,4,FALSE)</f>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
      <c r="Q1293" s="210"/>
      <c r="R1293" s="210"/>
    </row>
    <row r="1294" spans="1:18" outlineLevel="1">
      <c r="A1294" s="223"/>
      <c r="B1294" s="250"/>
      <c r="C1294" s="254" t="s">
        <v>2348</v>
      </c>
      <c r="D1294" s="223"/>
      <c r="E1294" s="250"/>
      <c r="F1294" s="223"/>
      <c r="G1294" s="250"/>
      <c r="H1294" s="250"/>
      <c r="I1294" s="250"/>
      <c r="J1294" s="251">
        <f>SUBTOTAL(9,J1293:J1293)</f>
        <v>4513.7700000000004</v>
      </c>
      <c r="K1294" s="252"/>
      <c r="L1294" s="253"/>
      <c r="M1294" s="251">
        <f>SUBTOTAL(9,M1293:M1293)</f>
        <v>26.78</v>
      </c>
      <c r="N1294" s="251">
        <f>SUBTOTAL(9,N1293:N1293)</f>
        <v>80.34</v>
      </c>
      <c r="O1294" s="223"/>
      <c r="P1294" s="210"/>
      <c r="Q1294" s="210" t="s">
        <v>2096</v>
      </c>
      <c r="R1294" s="210"/>
    </row>
    <row r="1295" spans="1:18" ht="60" outlineLevel="2">
      <c r="A1295" s="14" t="s">
        <v>17</v>
      </c>
      <c r="B1295" s="15" t="s">
        <v>2216</v>
      </c>
      <c r="C1295" s="15" t="s">
        <v>2217</v>
      </c>
      <c r="D1295" s="14" t="s">
        <v>2218</v>
      </c>
      <c r="E1295" s="15" t="s">
        <v>324</v>
      </c>
      <c r="F1295" s="14" t="s">
        <v>325</v>
      </c>
      <c r="G1295" s="15" t="s">
        <v>23</v>
      </c>
      <c r="H1295" s="15" t="s">
        <v>1525</v>
      </c>
      <c r="I1295" s="15">
        <v>201501</v>
      </c>
      <c r="J1295" s="16">
        <v>11034.87</v>
      </c>
      <c r="K1295" s="171">
        <f>VLOOKUP(I1295,$T$9:$U$23,2)</f>
        <v>5</v>
      </c>
      <c r="L1295" s="17">
        <v>1.4833299999999999E-3</v>
      </c>
      <c r="M1295" s="16">
        <f>ROUND(J1295*K1295*L1295,2)</f>
        <v>81.84</v>
      </c>
      <c r="N1295" s="16">
        <f>ROUND(J1295*L1295*12,2)</f>
        <v>196.42</v>
      </c>
      <c r="O1295" s="14"/>
      <c r="P1295" s="210" t="str">
        <f>VLOOKUP(C1295,'WO Descriptions'!$A$5:$D$384,4,FALSE)</f>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
      <c r="Q1295" s="210"/>
      <c r="R1295" s="210"/>
    </row>
    <row r="1296" spans="1:18" ht="60" outlineLevel="2">
      <c r="A1296" s="14" t="s">
        <v>17</v>
      </c>
      <c r="B1296" s="15" t="s">
        <v>2216</v>
      </c>
      <c r="C1296" s="15" t="s">
        <v>2217</v>
      </c>
      <c r="D1296" s="14" t="s">
        <v>2218</v>
      </c>
      <c r="E1296" s="15" t="s">
        <v>324</v>
      </c>
      <c r="F1296" s="14" t="s">
        <v>325</v>
      </c>
      <c r="G1296" s="15" t="s">
        <v>23</v>
      </c>
      <c r="H1296" s="15" t="s">
        <v>1525</v>
      </c>
      <c r="I1296" s="15">
        <v>201502</v>
      </c>
      <c r="J1296" s="16">
        <v>-1314.05</v>
      </c>
      <c r="K1296" s="171">
        <f>VLOOKUP(I1296,$T$9:$U$23,2)</f>
        <v>4</v>
      </c>
      <c r="L1296" s="17">
        <v>1.4833299999999999E-3</v>
      </c>
      <c r="M1296" s="16">
        <f>ROUND(J1296*K1296*L1296,2)</f>
        <v>-7.8</v>
      </c>
      <c r="N1296" s="16">
        <f>ROUND(J1296*L1296*12,2)</f>
        <v>-23.39</v>
      </c>
      <c r="O1296" s="14"/>
      <c r="P1296" s="210" t="str">
        <f>VLOOKUP(C1296,'WO Descriptions'!$A$5:$D$384,4,FALSE)</f>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
      <c r="Q1296" s="210"/>
      <c r="R1296" s="210"/>
    </row>
    <row r="1297" spans="1:18" outlineLevel="1">
      <c r="A1297" s="223"/>
      <c r="B1297" s="250"/>
      <c r="C1297" s="254" t="s">
        <v>2349</v>
      </c>
      <c r="D1297" s="223"/>
      <c r="E1297" s="250"/>
      <c r="F1297" s="223"/>
      <c r="G1297" s="250"/>
      <c r="H1297" s="250"/>
      <c r="I1297" s="250"/>
      <c r="J1297" s="251">
        <f>SUBTOTAL(9,J1295:J1296)</f>
        <v>9720.8200000000015</v>
      </c>
      <c r="K1297" s="252"/>
      <c r="L1297" s="253"/>
      <c r="M1297" s="251">
        <f>SUBTOTAL(9,M1295:M1296)</f>
        <v>74.040000000000006</v>
      </c>
      <c r="N1297" s="251">
        <f>SUBTOTAL(9,N1295:N1296)</f>
        <v>173.02999999999997</v>
      </c>
      <c r="O1297" s="223"/>
      <c r="P1297" s="210"/>
      <c r="Q1297" s="210" t="s">
        <v>2097</v>
      </c>
      <c r="R1297" s="210" t="s">
        <v>2098</v>
      </c>
    </row>
    <row r="1298" spans="1:18" ht="30" outlineLevel="2">
      <c r="A1298" s="14" t="s">
        <v>54</v>
      </c>
      <c r="B1298" s="15" t="s">
        <v>2279</v>
      </c>
      <c r="C1298" s="15" t="s">
        <v>2280</v>
      </c>
      <c r="D1298" s="14" t="s">
        <v>2281</v>
      </c>
      <c r="E1298" s="15" t="s">
        <v>909</v>
      </c>
      <c r="F1298" s="14" t="s">
        <v>22</v>
      </c>
      <c r="G1298" s="15" t="s">
        <v>23</v>
      </c>
      <c r="H1298" s="15" t="s">
        <v>1525</v>
      </c>
      <c r="I1298" s="15">
        <v>201502</v>
      </c>
      <c r="J1298" s="16">
        <v>9861.58</v>
      </c>
      <c r="K1298" s="171">
        <f>VLOOKUP(I1298,$T$9:$U$23,2)</f>
        <v>4</v>
      </c>
      <c r="L1298" s="17">
        <v>1.4833299999999999E-3</v>
      </c>
      <c r="M1298" s="16">
        <f>ROUND(J1298*K1298*L1298,2)</f>
        <v>58.51</v>
      </c>
      <c r="N1298" s="16">
        <f>ROUND(J1298*L1298*12,2)</f>
        <v>175.54</v>
      </c>
      <c r="O1298" s="14"/>
      <c r="P1298" s="210" t="str">
        <f>VLOOKUP(C1298,'WO Descriptions'!$A$5:$D$384,4,FALSE)</f>
        <v>Approved by: Gary Williams on 01/19/2015,  Replace 500ft of 3in &amp; 4in Bare Steel with 4in Plastic Pipe due to down project.</v>
      </c>
      <c r="Q1298" s="210"/>
      <c r="R1298" s="210"/>
    </row>
    <row r="1299" spans="1:18" outlineLevel="1">
      <c r="A1299" s="223"/>
      <c r="B1299" s="250"/>
      <c r="C1299" s="254" t="s">
        <v>2350</v>
      </c>
      <c r="D1299" s="223"/>
      <c r="E1299" s="250"/>
      <c r="F1299" s="223"/>
      <c r="G1299" s="250"/>
      <c r="H1299" s="250"/>
      <c r="I1299" s="250"/>
      <c r="J1299" s="251">
        <f>SUBTOTAL(9,J1298:J1298)</f>
        <v>9861.58</v>
      </c>
      <c r="K1299" s="252"/>
      <c r="L1299" s="253"/>
      <c r="M1299" s="251">
        <f>SUBTOTAL(9,M1298:M1298)</f>
        <v>58.51</v>
      </c>
      <c r="N1299" s="251">
        <f>SUBTOTAL(9,N1298:N1298)</f>
        <v>175.54</v>
      </c>
      <c r="O1299" s="223"/>
      <c r="P1299" s="210"/>
      <c r="Q1299" s="210" t="s">
        <v>2097</v>
      </c>
      <c r="R1299" s="210" t="s">
        <v>2098</v>
      </c>
    </row>
    <row r="1300" spans="1:18" outlineLevel="1">
      <c r="A1300" s="211"/>
      <c r="B1300" s="212"/>
      <c r="C1300" s="212"/>
      <c r="D1300" s="211"/>
      <c r="E1300" s="212"/>
      <c r="F1300" s="211"/>
      <c r="G1300" s="212"/>
      <c r="H1300" s="212"/>
      <c r="I1300" s="212"/>
      <c r="J1300" s="213"/>
      <c r="K1300" s="171"/>
      <c r="L1300" s="214"/>
      <c r="M1300" s="213"/>
      <c r="N1300" s="213"/>
      <c r="O1300" s="14"/>
      <c r="P1300" s="210"/>
      <c r="Q1300" s="210"/>
      <c r="R1300" s="210"/>
    </row>
    <row r="1301" spans="1:18" outlineLevel="1">
      <c r="A1301" s="14"/>
      <c r="B1301" s="15"/>
      <c r="C1301" s="15"/>
      <c r="D1301" s="14"/>
      <c r="E1301" s="15"/>
      <c r="F1301" s="14"/>
      <c r="G1301" s="15"/>
      <c r="H1301" s="15"/>
      <c r="I1301" s="15"/>
      <c r="J1301" s="16"/>
      <c r="K1301" s="171"/>
      <c r="L1301" s="17"/>
      <c r="M1301" s="16"/>
      <c r="N1301" s="16"/>
      <c r="O1301" s="14"/>
      <c r="P1301" s="210"/>
      <c r="Q1301" s="210"/>
      <c r="R1301" s="210"/>
    </row>
    <row r="1302" spans="1:18" outlineLevel="1">
      <c r="A1302" s="223"/>
      <c r="B1302" s="250"/>
      <c r="C1302" s="250"/>
      <c r="D1302" s="223"/>
      <c r="E1302" s="250"/>
      <c r="F1302" s="223"/>
      <c r="G1302" s="250"/>
      <c r="H1302" s="250"/>
      <c r="I1302" s="250"/>
      <c r="J1302" s="251"/>
      <c r="K1302" s="171"/>
      <c r="L1302" s="253"/>
      <c r="M1302" s="251"/>
      <c r="N1302" s="251"/>
      <c r="O1302" s="223"/>
      <c r="P1302" s="210"/>
      <c r="Q1302" s="210"/>
      <c r="R1302" s="210"/>
    </row>
    <row r="1303" spans="1:18" outlineLevel="1">
      <c r="A1303" s="256"/>
      <c r="B1303" s="257"/>
      <c r="C1303" s="257"/>
      <c r="D1303" s="256"/>
      <c r="E1303" s="257"/>
      <c r="F1303" s="256"/>
      <c r="G1303" s="257"/>
      <c r="H1303" s="254"/>
      <c r="I1303" s="257"/>
      <c r="J1303" s="258"/>
      <c r="K1303" s="171"/>
      <c r="L1303" s="259"/>
      <c r="M1303" s="258"/>
      <c r="N1303" s="258"/>
      <c r="O1303" s="340"/>
      <c r="P1303" s="242"/>
      <c r="Q1303" s="210"/>
      <c r="R1303" s="210"/>
    </row>
    <row r="1304" spans="1:18" ht="15.75" outlineLevel="1" thickBot="1">
      <c r="A1304" s="256"/>
      <c r="B1304" s="257"/>
      <c r="C1304" s="260" t="s">
        <v>1450</v>
      </c>
      <c r="D1304" s="256"/>
      <c r="E1304" s="257"/>
      <c r="F1304" s="256"/>
      <c r="G1304" s="257"/>
      <c r="H1304" s="254"/>
      <c r="I1304" s="257"/>
      <c r="J1304" s="344">
        <f>SUBTOTAL(9,J5:J1303)</f>
        <v>22354169.250000048</v>
      </c>
      <c r="K1304" s="341"/>
      <c r="L1304" s="342"/>
      <c r="M1304" s="344">
        <f>SUBTOTAL(9,M5:M1303)</f>
        <v>238419.58999999994</v>
      </c>
      <c r="N1304" s="344">
        <f>SUBTOTAL(9,N5:N1303)</f>
        <v>438426.22999999928</v>
      </c>
      <c r="O1304" s="340"/>
      <c r="P1304" s="242"/>
      <c r="Q1304" s="210"/>
      <c r="R1304" s="210"/>
    </row>
    <row r="1305" spans="1:18" ht="15.75" thickTop="1">
      <c r="A1305" s="14"/>
      <c r="B1305" s="15"/>
      <c r="C1305" s="15"/>
      <c r="D1305" s="14"/>
      <c r="E1305" s="15"/>
      <c r="F1305" s="14"/>
      <c r="G1305" s="15"/>
      <c r="H1305" s="15"/>
      <c r="I1305" s="15"/>
      <c r="J1305" s="343"/>
      <c r="K1305" s="14"/>
      <c r="L1305" s="17"/>
      <c r="M1305" s="343"/>
      <c r="N1305" s="343"/>
      <c r="O1305" s="14"/>
      <c r="Q1305" s="210"/>
      <c r="R1305" s="210"/>
    </row>
    <row r="1306" spans="1:18">
      <c r="A1306" s="14"/>
      <c r="B1306" s="15"/>
      <c r="C1306" s="15"/>
      <c r="D1306" s="14"/>
      <c r="E1306" s="15"/>
      <c r="F1306" s="14"/>
      <c r="G1306" s="15"/>
      <c r="H1306" s="15"/>
      <c r="I1306" s="15"/>
      <c r="J1306" s="16"/>
      <c r="K1306" s="14"/>
      <c r="L1306" s="14"/>
      <c r="M1306" s="14"/>
      <c r="N1306" s="14"/>
      <c r="O1306" s="14"/>
    </row>
    <row r="1307" spans="1:18">
      <c r="B1307" s="3"/>
      <c r="C1307" s="3"/>
      <c r="E1307" s="3"/>
      <c r="G1307" s="3"/>
      <c r="H1307" s="3"/>
      <c r="I1307" s="3"/>
      <c r="J1307" s="240"/>
    </row>
    <row r="1310" spans="1:18">
      <c r="F1310" s="240"/>
      <c r="I1310" s="215" t="s">
        <v>1664</v>
      </c>
      <c r="J1310" s="215"/>
      <c r="K1310" s="216"/>
      <c r="L1310" s="216"/>
      <c r="M1310" s="215"/>
      <c r="N1310" s="217"/>
    </row>
    <row r="1311" spans="1:18">
      <c r="F1311" s="6"/>
      <c r="I1311" s="215"/>
      <c r="J1311" s="215"/>
      <c r="K1311" s="216"/>
      <c r="L1311" s="216"/>
      <c r="M1311" s="215"/>
      <c r="N1311" s="217"/>
    </row>
    <row r="1312" spans="1:18">
      <c r="F1312" s="240"/>
      <c r="I1312" s="216" t="s">
        <v>1665</v>
      </c>
      <c r="J1312" s="215" t="s">
        <v>1666</v>
      </c>
      <c r="K1312" s="347" t="s">
        <v>1667</v>
      </c>
      <c r="L1312" s="347"/>
      <c r="M1312" s="347"/>
      <c r="N1312" s="347"/>
      <c r="O1312" s="349"/>
      <c r="P1312" s="349"/>
    </row>
    <row r="1313" spans="9:16">
      <c r="I1313" s="216" t="s">
        <v>1668</v>
      </c>
      <c r="J1313" s="215" t="s">
        <v>1669</v>
      </c>
      <c r="K1313" s="347" t="s">
        <v>1670</v>
      </c>
      <c r="L1313" s="347"/>
      <c r="M1313" s="347"/>
      <c r="N1313" s="347"/>
      <c r="O1313" s="349"/>
      <c r="P1313" s="349"/>
    </row>
    <row r="1314" spans="9:16">
      <c r="I1314" s="216" t="s">
        <v>1671</v>
      </c>
      <c r="J1314" s="215" t="s">
        <v>1672</v>
      </c>
      <c r="K1314" s="347" t="s">
        <v>1673</v>
      </c>
      <c r="L1314" s="347"/>
      <c r="M1314" s="347"/>
      <c r="N1314" s="347"/>
      <c r="O1314" s="349"/>
      <c r="P1314" s="349"/>
    </row>
    <row r="1315" spans="9:16">
      <c r="I1315" s="216" t="s">
        <v>1674</v>
      </c>
      <c r="J1315" s="215" t="s">
        <v>1675</v>
      </c>
      <c r="K1315" s="347" t="s">
        <v>1676</v>
      </c>
      <c r="L1315" s="347"/>
      <c r="M1315" s="347"/>
      <c r="N1315" s="347"/>
      <c r="O1315" s="349"/>
      <c r="P1315" s="349"/>
    </row>
    <row r="1316" spans="9:16">
      <c r="I1316" s="216" t="s">
        <v>1677</v>
      </c>
      <c r="J1316" s="215" t="s">
        <v>1678</v>
      </c>
      <c r="K1316" s="347" t="s">
        <v>1679</v>
      </c>
      <c r="L1316" s="347"/>
      <c r="M1316" s="347"/>
      <c r="N1316" s="347"/>
      <c r="O1316" s="349"/>
      <c r="P1316" s="349"/>
    </row>
    <row r="1317" spans="9:16">
      <c r="I1317" s="216" t="s">
        <v>1680</v>
      </c>
      <c r="J1317" s="215" t="s">
        <v>1681</v>
      </c>
      <c r="K1317" s="347" t="s">
        <v>1682</v>
      </c>
      <c r="L1317" s="347"/>
      <c r="M1317" s="347"/>
      <c r="N1317" s="347"/>
      <c r="O1317" s="349"/>
      <c r="P1317" s="349"/>
    </row>
    <row r="1318" spans="9:16">
      <c r="I1318" s="216" t="s">
        <v>1683</v>
      </c>
      <c r="J1318" s="215" t="s">
        <v>1684</v>
      </c>
      <c r="K1318" s="347" t="s">
        <v>1685</v>
      </c>
      <c r="L1318" s="347"/>
      <c r="M1318" s="347"/>
      <c r="N1318" s="347"/>
      <c r="O1318" s="349"/>
      <c r="P1318" s="349"/>
    </row>
    <row r="1319" spans="9:16">
      <c r="I1319" s="216" t="s">
        <v>1686</v>
      </c>
      <c r="J1319" s="215" t="s">
        <v>1687</v>
      </c>
      <c r="K1319" s="347" t="s">
        <v>1688</v>
      </c>
      <c r="L1319" s="347"/>
      <c r="M1319" s="347"/>
      <c r="N1319" s="347"/>
      <c r="O1319" s="349"/>
      <c r="P1319" s="349"/>
    </row>
    <row r="1320" spans="9:16" ht="43.5" customHeight="1">
      <c r="I1320" s="216" t="s">
        <v>1689</v>
      </c>
      <c r="J1320" s="215" t="s">
        <v>1690</v>
      </c>
      <c r="K1320" s="348" t="s">
        <v>1691</v>
      </c>
      <c r="L1320" s="348"/>
      <c r="M1320" s="348"/>
      <c r="N1320" s="348"/>
      <c r="O1320" s="349"/>
      <c r="P1320" s="349"/>
    </row>
    <row r="1321" spans="9:16">
      <c r="I1321" s="215"/>
      <c r="J1321" s="215"/>
      <c r="K1321" s="216"/>
      <c r="L1321" s="216"/>
      <c r="M1321" s="215"/>
      <c r="N1321" s="217"/>
    </row>
    <row r="1322" spans="9:16" ht="48" customHeight="1">
      <c r="I1322" s="346" t="s">
        <v>1692</v>
      </c>
      <c r="J1322" s="346"/>
      <c r="K1322" s="346"/>
      <c r="L1322" s="346"/>
      <c r="M1322" s="215"/>
      <c r="N1322" s="217"/>
    </row>
    <row r="1323" spans="9:16">
      <c r="I1323" s="244"/>
      <c r="J1323" s="244"/>
      <c r="K1323" s="244"/>
      <c r="L1323" s="244"/>
      <c r="M1323" s="215"/>
      <c r="N1323" s="217"/>
    </row>
  </sheetData>
  <autoFilter ref="A4:O1303">
    <sortState ref="A5:O596">
      <sortCondition ref="H5:H596"/>
      <sortCondition ref="I5:I596"/>
      <sortCondition ref="A5:A596"/>
      <sortCondition ref="C5:C596"/>
    </sortState>
  </autoFilter>
  <sortState ref="A5:R924">
    <sortCondition ref="C5:C924"/>
    <sortCondition ref="I5:I924"/>
  </sortState>
  <mergeCells count="19">
    <mergeCell ref="I1322:L1322"/>
    <mergeCell ref="O1312:P1312"/>
    <mergeCell ref="O1313:P1313"/>
    <mergeCell ref="O1314:P1314"/>
    <mergeCell ref="O1315:P1315"/>
    <mergeCell ref="O1316:P1316"/>
    <mergeCell ref="O1317:P1317"/>
    <mergeCell ref="K1312:N1312"/>
    <mergeCell ref="K1313:N1313"/>
    <mergeCell ref="K1314:N1314"/>
    <mergeCell ref="K1315:N1315"/>
    <mergeCell ref="K1316:N1316"/>
    <mergeCell ref="K1317:N1317"/>
    <mergeCell ref="O1318:P1318"/>
    <mergeCell ref="O1319:P1319"/>
    <mergeCell ref="O1320:P1320"/>
    <mergeCell ref="K1318:N1318"/>
    <mergeCell ref="K1319:N1319"/>
    <mergeCell ref="K1320:N1320"/>
  </mergeCells>
  <pageMargins left="0.7" right="0.7" top="0.75" bottom="0.75" header="0.3" footer="0.3"/>
  <pageSetup scale="30" fitToHeight="0" orientation="landscape" r:id="rId1"/>
</worksheet>
</file>

<file path=xl/worksheets/sheet6.xml><?xml version="1.0" encoding="utf-8"?>
<worksheet xmlns="http://schemas.openxmlformats.org/spreadsheetml/2006/main" xmlns:r="http://schemas.openxmlformats.org/officeDocument/2006/relationships">
  <sheetPr>
    <tabColor rgb="FF00B050"/>
    <pageSetUpPr fitToPage="1"/>
  </sheetPr>
  <dimension ref="A1:M159"/>
  <sheetViews>
    <sheetView zoomScale="85" zoomScaleNormal="85" workbookViewId="0">
      <pane ySplit="4" topLeftCell="A148" activePane="bottomLeft" state="frozen"/>
      <selection pane="bottomLeft" activeCell="I160" sqref="I160"/>
    </sheetView>
  </sheetViews>
  <sheetFormatPr defaultRowHeight="15"/>
  <cols>
    <col min="1" max="1" width="25.7109375" customWidth="1"/>
    <col min="2" max="2" width="13.28515625" style="32" customWidth="1"/>
    <col min="3" max="3" width="14.7109375" style="32" customWidth="1"/>
    <col min="4" max="4" width="38.28515625" customWidth="1"/>
    <col min="5" max="5" width="10" style="32" customWidth="1"/>
    <col min="6" max="6" width="36" customWidth="1"/>
    <col min="7" max="7" width="13.5703125" style="32" customWidth="1"/>
    <col min="8" max="8" width="10.140625" style="32" customWidth="1"/>
    <col min="9" max="9" width="14" style="33" customWidth="1"/>
    <col min="10" max="10" width="9.140625" style="34"/>
    <col min="11" max="11" width="15.85546875" customWidth="1"/>
    <col min="12" max="12" width="16.140625" customWidth="1"/>
    <col min="13" max="13" width="14.28515625" customWidth="1"/>
  </cols>
  <sheetData>
    <row r="1" spans="1:13">
      <c r="A1" s="1" t="s">
        <v>0</v>
      </c>
      <c r="B1" s="2"/>
      <c r="C1" s="2"/>
      <c r="D1" s="25"/>
      <c r="E1" s="2"/>
      <c r="F1" s="3"/>
      <c r="G1" s="2"/>
      <c r="H1" s="2"/>
      <c r="I1" s="6"/>
      <c r="J1" s="3"/>
      <c r="K1" s="7"/>
      <c r="L1" s="3"/>
      <c r="M1" s="3"/>
    </row>
    <row r="2" spans="1:13">
      <c r="A2" s="1" t="s">
        <v>1108</v>
      </c>
      <c r="B2" s="2"/>
      <c r="C2" s="2"/>
      <c r="D2" s="3"/>
      <c r="E2" s="2"/>
      <c r="F2" s="3"/>
      <c r="G2" s="2"/>
      <c r="H2" s="2"/>
      <c r="I2" s="6"/>
      <c r="J2" s="3"/>
      <c r="K2" s="3"/>
      <c r="L2" s="3"/>
      <c r="M2" s="3"/>
    </row>
    <row r="3" spans="1:13">
      <c r="A3" s="3"/>
      <c r="B3" s="2"/>
      <c r="C3" s="2"/>
      <c r="D3" s="3"/>
      <c r="E3" s="2"/>
      <c r="F3" s="3"/>
      <c r="G3" s="2"/>
      <c r="H3" s="2"/>
      <c r="I3" s="6"/>
      <c r="J3" s="3"/>
      <c r="K3" s="3"/>
      <c r="L3" s="3"/>
      <c r="M3" s="3"/>
    </row>
    <row r="4" spans="1:13" ht="48.75" customHeight="1">
      <c r="A4" s="8" t="s">
        <v>3</v>
      </c>
      <c r="B4" s="9" t="s">
        <v>4</v>
      </c>
      <c r="C4" s="9" t="s">
        <v>5</v>
      </c>
      <c r="D4" s="8" t="s">
        <v>6</v>
      </c>
      <c r="E4" s="9" t="s">
        <v>7</v>
      </c>
      <c r="F4" s="8" t="s">
        <v>8</v>
      </c>
      <c r="G4" s="10" t="s">
        <v>9</v>
      </c>
      <c r="H4" s="9" t="s">
        <v>10</v>
      </c>
      <c r="I4" s="11" t="s">
        <v>1109</v>
      </c>
      <c r="J4" s="12" t="s">
        <v>12</v>
      </c>
      <c r="K4" s="12" t="s">
        <v>13</v>
      </c>
      <c r="L4" s="12" t="s">
        <v>14</v>
      </c>
      <c r="M4" s="12" t="s">
        <v>15</v>
      </c>
    </row>
    <row r="5" spans="1:13">
      <c r="A5" s="26" t="s">
        <v>17</v>
      </c>
      <c r="B5" s="19" t="s">
        <v>133</v>
      </c>
      <c r="C5" s="19" t="s">
        <v>134</v>
      </c>
      <c r="D5" s="26" t="s">
        <v>135</v>
      </c>
      <c r="E5" s="19" t="s">
        <v>136</v>
      </c>
      <c r="F5" s="26" t="s">
        <v>137</v>
      </c>
      <c r="G5" s="19" t="s">
        <v>1110</v>
      </c>
      <c r="H5" s="26">
        <v>201409</v>
      </c>
      <c r="I5" s="27">
        <v>-5858.18</v>
      </c>
      <c r="J5" s="14">
        <v>0</v>
      </c>
      <c r="K5" s="17">
        <v>1.4833299999999999E-3</v>
      </c>
      <c r="L5" s="16">
        <f t="shared" ref="L5:L68" si="0">ROUND(I5*J5*K5,2)</f>
        <v>0</v>
      </c>
      <c r="M5" s="16">
        <f t="shared" ref="M5:M68" si="1">ROUND(I5*K5*12,2)</f>
        <v>-104.28</v>
      </c>
    </row>
    <row r="6" spans="1:13">
      <c r="A6" s="26" t="s">
        <v>54</v>
      </c>
      <c r="B6" s="19" t="s">
        <v>146</v>
      </c>
      <c r="C6" s="19" t="s">
        <v>147</v>
      </c>
      <c r="D6" s="26" t="s">
        <v>148</v>
      </c>
      <c r="E6" s="19" t="s">
        <v>62</v>
      </c>
      <c r="F6" s="26" t="s">
        <v>22</v>
      </c>
      <c r="G6" s="19" t="s">
        <v>1110</v>
      </c>
      <c r="H6" s="26">
        <v>201411</v>
      </c>
      <c r="I6" s="27">
        <v>-71428.55</v>
      </c>
      <c r="J6" s="14">
        <v>0</v>
      </c>
      <c r="K6" s="17">
        <v>1.4833299999999999E-3</v>
      </c>
      <c r="L6" s="16">
        <f t="shared" si="0"/>
        <v>0</v>
      </c>
      <c r="M6" s="16">
        <f t="shared" si="1"/>
        <v>-1271.43</v>
      </c>
    </row>
    <row r="7" spans="1:13">
      <c r="A7" s="14" t="s">
        <v>17</v>
      </c>
      <c r="B7" s="15" t="s">
        <v>146</v>
      </c>
      <c r="C7" s="15" t="s">
        <v>147</v>
      </c>
      <c r="D7" s="14" t="s">
        <v>148</v>
      </c>
      <c r="E7" s="15" t="s">
        <v>62</v>
      </c>
      <c r="F7" s="14" t="s">
        <v>22</v>
      </c>
      <c r="G7" s="19" t="s">
        <v>1110</v>
      </c>
      <c r="H7" s="26">
        <v>201411</v>
      </c>
      <c r="I7" s="16">
        <v>-45936.480000000003</v>
      </c>
      <c r="J7" s="14">
        <v>0</v>
      </c>
      <c r="K7" s="17">
        <v>1.4833299999999999E-3</v>
      </c>
      <c r="L7" s="16">
        <f t="shared" si="0"/>
        <v>0</v>
      </c>
      <c r="M7" s="16">
        <f t="shared" si="1"/>
        <v>-817.67</v>
      </c>
    </row>
    <row r="8" spans="1:13">
      <c r="A8" s="26" t="s">
        <v>54</v>
      </c>
      <c r="B8" s="19" t="s">
        <v>180</v>
      </c>
      <c r="C8" s="19" t="s">
        <v>181</v>
      </c>
      <c r="D8" s="26" t="s">
        <v>182</v>
      </c>
      <c r="E8" s="19" t="s">
        <v>53</v>
      </c>
      <c r="F8" s="26" t="s">
        <v>41</v>
      </c>
      <c r="G8" s="19" t="s">
        <v>1110</v>
      </c>
      <c r="H8" s="26">
        <v>201410</v>
      </c>
      <c r="I8" s="27">
        <v>-2449.1999999999998</v>
      </c>
      <c r="J8" s="14">
        <v>0</v>
      </c>
      <c r="K8" s="17">
        <v>1.4833299999999999E-3</v>
      </c>
      <c r="L8" s="16">
        <f t="shared" si="0"/>
        <v>0</v>
      </c>
      <c r="M8" s="16">
        <f t="shared" si="1"/>
        <v>-43.6</v>
      </c>
    </row>
    <row r="9" spans="1:13">
      <c r="A9" s="26" t="s">
        <v>17</v>
      </c>
      <c r="B9" s="19" t="s">
        <v>180</v>
      </c>
      <c r="C9" s="19" t="s">
        <v>181</v>
      </c>
      <c r="D9" s="26" t="s">
        <v>182</v>
      </c>
      <c r="E9" s="19" t="s">
        <v>53</v>
      </c>
      <c r="F9" s="26" t="s">
        <v>41</v>
      </c>
      <c r="G9" s="19" t="s">
        <v>1110</v>
      </c>
      <c r="H9" s="26">
        <v>201410</v>
      </c>
      <c r="I9" s="27">
        <v>-323.57</v>
      </c>
      <c r="J9" s="14">
        <v>0</v>
      </c>
      <c r="K9" s="17">
        <v>1.4833299999999999E-3</v>
      </c>
      <c r="L9" s="16">
        <f t="shared" si="0"/>
        <v>0</v>
      </c>
      <c r="M9" s="16">
        <f t="shared" si="1"/>
        <v>-5.76</v>
      </c>
    </row>
    <row r="10" spans="1:13">
      <c r="A10" s="26" t="s">
        <v>54</v>
      </c>
      <c r="B10" s="19" t="s">
        <v>278</v>
      </c>
      <c r="C10" s="19" t="s">
        <v>279</v>
      </c>
      <c r="D10" s="26" t="s">
        <v>280</v>
      </c>
      <c r="E10" s="19" t="s">
        <v>104</v>
      </c>
      <c r="F10" s="26" t="s">
        <v>41</v>
      </c>
      <c r="G10" s="19" t="s">
        <v>1110</v>
      </c>
      <c r="H10" s="26">
        <v>201409</v>
      </c>
      <c r="I10" s="27">
        <v>-183.27</v>
      </c>
      <c r="J10" s="14">
        <v>0</v>
      </c>
      <c r="K10" s="17">
        <v>1.4833299999999999E-3</v>
      </c>
      <c r="L10" s="16">
        <f t="shared" si="0"/>
        <v>0</v>
      </c>
      <c r="M10" s="16">
        <f t="shared" si="1"/>
        <v>-3.26</v>
      </c>
    </row>
    <row r="11" spans="1:13">
      <c r="A11" s="26" t="s">
        <v>17</v>
      </c>
      <c r="B11" s="19" t="s">
        <v>284</v>
      </c>
      <c r="C11" s="19" t="s">
        <v>285</v>
      </c>
      <c r="D11" s="26" t="s">
        <v>286</v>
      </c>
      <c r="E11" s="19" t="s">
        <v>58</v>
      </c>
      <c r="F11" s="26" t="s">
        <v>22</v>
      </c>
      <c r="G11" s="19" t="s">
        <v>1110</v>
      </c>
      <c r="H11" s="26">
        <v>201412</v>
      </c>
      <c r="I11" s="27">
        <v>-3504.05</v>
      </c>
      <c r="J11" s="14">
        <v>0</v>
      </c>
      <c r="K11" s="17">
        <v>1.4833299999999999E-3</v>
      </c>
      <c r="L11" s="16">
        <f t="shared" si="0"/>
        <v>0</v>
      </c>
      <c r="M11" s="16">
        <f t="shared" si="1"/>
        <v>-62.37</v>
      </c>
    </row>
    <row r="12" spans="1:13">
      <c r="A12" s="26" t="s">
        <v>17</v>
      </c>
      <c r="B12" s="19" t="s">
        <v>543</v>
      </c>
      <c r="C12" s="19" t="s">
        <v>544</v>
      </c>
      <c r="D12" s="26" t="s">
        <v>545</v>
      </c>
      <c r="E12" s="19" t="s">
        <v>62</v>
      </c>
      <c r="F12" s="26" t="s">
        <v>22</v>
      </c>
      <c r="G12" s="19" t="s">
        <v>1110</v>
      </c>
      <c r="H12" s="26">
        <v>201411</v>
      </c>
      <c r="I12" s="27">
        <v>-274.32</v>
      </c>
      <c r="J12" s="14">
        <v>0</v>
      </c>
      <c r="K12" s="17">
        <v>1.4833299999999999E-3</v>
      </c>
      <c r="L12" s="16">
        <f t="shared" si="0"/>
        <v>0</v>
      </c>
      <c r="M12" s="16">
        <f t="shared" si="1"/>
        <v>-4.88</v>
      </c>
    </row>
    <row r="13" spans="1:13">
      <c r="A13" s="26" t="s">
        <v>17</v>
      </c>
      <c r="B13" s="19" t="s">
        <v>581</v>
      </c>
      <c r="C13" s="19" t="s">
        <v>582</v>
      </c>
      <c r="D13" s="26" t="s">
        <v>583</v>
      </c>
      <c r="E13" s="19" t="s">
        <v>104</v>
      </c>
      <c r="F13" s="26" t="s">
        <v>41</v>
      </c>
      <c r="G13" s="19" t="s">
        <v>1110</v>
      </c>
      <c r="H13" s="26">
        <v>201409</v>
      </c>
      <c r="I13" s="27">
        <v>-7020.75</v>
      </c>
      <c r="J13" s="14">
        <v>0</v>
      </c>
      <c r="K13" s="17">
        <v>1.4833299999999999E-3</v>
      </c>
      <c r="L13" s="16">
        <f t="shared" si="0"/>
        <v>0</v>
      </c>
      <c r="M13" s="16">
        <f t="shared" si="1"/>
        <v>-124.97</v>
      </c>
    </row>
    <row r="14" spans="1:13">
      <c r="A14" s="26" t="s">
        <v>17</v>
      </c>
      <c r="B14" s="19" t="s">
        <v>611</v>
      </c>
      <c r="C14" s="19" t="s">
        <v>612</v>
      </c>
      <c r="D14" s="26" t="s">
        <v>613</v>
      </c>
      <c r="E14" s="19" t="s">
        <v>324</v>
      </c>
      <c r="F14" s="26" t="s">
        <v>325</v>
      </c>
      <c r="G14" s="19" t="s">
        <v>1110</v>
      </c>
      <c r="H14" s="26">
        <v>201410</v>
      </c>
      <c r="I14" s="27">
        <v>-1171.03</v>
      </c>
      <c r="J14" s="14">
        <v>0</v>
      </c>
      <c r="K14" s="17">
        <v>1.4833299999999999E-3</v>
      </c>
      <c r="L14" s="16">
        <f t="shared" si="0"/>
        <v>0</v>
      </c>
      <c r="M14" s="16">
        <f t="shared" si="1"/>
        <v>-20.84</v>
      </c>
    </row>
    <row r="15" spans="1:13">
      <c r="A15" s="26" t="s">
        <v>17</v>
      </c>
      <c r="B15" s="19" t="s">
        <v>722</v>
      </c>
      <c r="C15" s="19" t="s">
        <v>723</v>
      </c>
      <c r="D15" s="26" t="s">
        <v>724</v>
      </c>
      <c r="E15" s="19" t="s">
        <v>40</v>
      </c>
      <c r="F15" s="26" t="s">
        <v>41</v>
      </c>
      <c r="G15" s="19" t="s">
        <v>1110</v>
      </c>
      <c r="H15" s="26">
        <v>201410</v>
      </c>
      <c r="I15" s="27">
        <v>-61.73</v>
      </c>
      <c r="J15" s="14">
        <v>0</v>
      </c>
      <c r="K15" s="17">
        <v>1.4833299999999999E-3</v>
      </c>
      <c r="L15" s="16">
        <f t="shared" si="0"/>
        <v>0</v>
      </c>
      <c r="M15" s="16">
        <f t="shared" si="1"/>
        <v>-1.1000000000000001</v>
      </c>
    </row>
    <row r="16" spans="1:13">
      <c r="A16" s="26" t="s">
        <v>17</v>
      </c>
      <c r="B16" s="19" t="s">
        <v>824</v>
      </c>
      <c r="C16" s="19" t="s">
        <v>825</v>
      </c>
      <c r="D16" s="26" t="s">
        <v>826</v>
      </c>
      <c r="E16" s="19" t="s">
        <v>136</v>
      </c>
      <c r="F16" s="26" t="s">
        <v>137</v>
      </c>
      <c r="G16" s="19" t="s">
        <v>1110</v>
      </c>
      <c r="H16" s="26">
        <v>201410</v>
      </c>
      <c r="I16" s="27">
        <v>-448.8</v>
      </c>
      <c r="J16" s="14">
        <v>0</v>
      </c>
      <c r="K16" s="17">
        <v>1.4833299999999999E-3</v>
      </c>
      <c r="L16" s="16">
        <f t="shared" si="0"/>
        <v>0</v>
      </c>
      <c r="M16" s="16">
        <f t="shared" si="1"/>
        <v>-7.99</v>
      </c>
    </row>
    <row r="17" spans="1:13">
      <c r="A17" s="26" t="s">
        <v>17</v>
      </c>
      <c r="B17" s="19" t="s">
        <v>830</v>
      </c>
      <c r="C17" s="19" t="s">
        <v>831</v>
      </c>
      <c r="D17" s="26" t="s">
        <v>832</v>
      </c>
      <c r="E17" s="19" t="s">
        <v>62</v>
      </c>
      <c r="F17" s="26" t="s">
        <v>22</v>
      </c>
      <c r="G17" s="19" t="s">
        <v>1110</v>
      </c>
      <c r="H17" s="26">
        <v>201411</v>
      </c>
      <c r="I17" s="27">
        <v>-604.72</v>
      </c>
      <c r="J17" s="14">
        <v>0</v>
      </c>
      <c r="K17" s="17">
        <v>1.4833299999999999E-3</v>
      </c>
      <c r="L17" s="16">
        <f t="shared" si="0"/>
        <v>0</v>
      </c>
      <c r="M17" s="16">
        <f t="shared" si="1"/>
        <v>-10.76</v>
      </c>
    </row>
    <row r="18" spans="1:13">
      <c r="A18" s="26" t="s">
        <v>54</v>
      </c>
      <c r="B18" s="19" t="s">
        <v>830</v>
      </c>
      <c r="C18" s="19" t="s">
        <v>831</v>
      </c>
      <c r="D18" s="26" t="s">
        <v>832</v>
      </c>
      <c r="E18" s="19" t="s">
        <v>62</v>
      </c>
      <c r="F18" s="26" t="s">
        <v>22</v>
      </c>
      <c r="G18" s="19" t="s">
        <v>1110</v>
      </c>
      <c r="H18" s="26">
        <v>201411</v>
      </c>
      <c r="I18" s="27">
        <v>-305.01</v>
      </c>
      <c r="J18" s="14">
        <v>0</v>
      </c>
      <c r="K18" s="17">
        <v>1.4833299999999999E-3</v>
      </c>
      <c r="L18" s="16">
        <f t="shared" si="0"/>
        <v>0</v>
      </c>
      <c r="M18" s="16">
        <f t="shared" si="1"/>
        <v>-5.43</v>
      </c>
    </row>
    <row r="19" spans="1:13">
      <c r="A19" s="26" t="s">
        <v>217</v>
      </c>
      <c r="B19" s="19" t="s">
        <v>846</v>
      </c>
      <c r="C19" s="19" t="s">
        <v>847</v>
      </c>
      <c r="D19" s="26" t="s">
        <v>848</v>
      </c>
      <c r="E19" s="19" t="s">
        <v>141</v>
      </c>
      <c r="F19" s="26" t="s">
        <v>142</v>
      </c>
      <c r="G19" s="19" t="s">
        <v>1110</v>
      </c>
      <c r="H19" s="26">
        <v>201409</v>
      </c>
      <c r="I19" s="27">
        <v>-17702.650000000001</v>
      </c>
      <c r="J19" s="14">
        <v>0</v>
      </c>
      <c r="K19" s="17">
        <v>1.4833299999999999E-3</v>
      </c>
      <c r="L19" s="16">
        <f t="shared" si="0"/>
        <v>0</v>
      </c>
      <c r="M19" s="16">
        <f t="shared" si="1"/>
        <v>-315.11</v>
      </c>
    </row>
    <row r="20" spans="1:13">
      <c r="A20" s="26" t="s">
        <v>17</v>
      </c>
      <c r="B20" s="19" t="s">
        <v>846</v>
      </c>
      <c r="C20" s="19" t="s">
        <v>847</v>
      </c>
      <c r="D20" s="26" t="s">
        <v>848</v>
      </c>
      <c r="E20" s="19" t="s">
        <v>141</v>
      </c>
      <c r="F20" s="26" t="s">
        <v>142</v>
      </c>
      <c r="G20" s="19" t="s">
        <v>1110</v>
      </c>
      <c r="H20" s="26">
        <v>201409</v>
      </c>
      <c r="I20" s="27">
        <v>-476.55</v>
      </c>
      <c r="J20" s="14">
        <v>0</v>
      </c>
      <c r="K20" s="17">
        <v>1.4833299999999999E-3</v>
      </c>
      <c r="L20" s="16">
        <f t="shared" si="0"/>
        <v>0</v>
      </c>
      <c r="M20" s="16">
        <f t="shared" si="1"/>
        <v>-8.48</v>
      </c>
    </row>
    <row r="21" spans="1:13">
      <c r="A21" s="26" t="s">
        <v>54</v>
      </c>
      <c r="B21" s="19" t="s">
        <v>846</v>
      </c>
      <c r="C21" s="19" t="s">
        <v>847</v>
      </c>
      <c r="D21" s="26" t="s">
        <v>848</v>
      </c>
      <c r="E21" s="19" t="s">
        <v>141</v>
      </c>
      <c r="F21" s="26" t="s">
        <v>142</v>
      </c>
      <c r="G21" s="19" t="s">
        <v>1110</v>
      </c>
      <c r="H21" s="26">
        <v>201409</v>
      </c>
      <c r="I21" s="27">
        <v>-253.07</v>
      </c>
      <c r="J21" s="14">
        <v>0</v>
      </c>
      <c r="K21" s="17">
        <v>1.4833299999999999E-3</v>
      </c>
      <c r="L21" s="16">
        <f t="shared" si="0"/>
        <v>0</v>
      </c>
      <c r="M21" s="16">
        <f t="shared" si="1"/>
        <v>-4.5</v>
      </c>
    </row>
    <row r="22" spans="1:13">
      <c r="A22" s="26" t="s">
        <v>17</v>
      </c>
      <c r="B22" s="19" t="s">
        <v>852</v>
      </c>
      <c r="C22" s="19" t="s">
        <v>853</v>
      </c>
      <c r="D22" s="26" t="s">
        <v>854</v>
      </c>
      <c r="E22" s="19" t="s">
        <v>62</v>
      </c>
      <c r="F22" s="26" t="s">
        <v>22</v>
      </c>
      <c r="G22" s="19" t="s">
        <v>1110</v>
      </c>
      <c r="H22" s="26">
        <v>201410</v>
      </c>
      <c r="I22" s="27">
        <v>-1118.08</v>
      </c>
      <c r="J22" s="14">
        <v>0</v>
      </c>
      <c r="K22" s="17">
        <v>1.4833299999999999E-3</v>
      </c>
      <c r="L22" s="16">
        <f t="shared" si="0"/>
        <v>0</v>
      </c>
      <c r="M22" s="16">
        <f t="shared" si="1"/>
        <v>-19.899999999999999</v>
      </c>
    </row>
    <row r="23" spans="1:13">
      <c r="A23" s="26" t="s">
        <v>17</v>
      </c>
      <c r="B23" s="19" t="s">
        <v>858</v>
      </c>
      <c r="C23" s="19" t="s">
        <v>859</v>
      </c>
      <c r="D23" s="26" t="s">
        <v>860</v>
      </c>
      <c r="E23" s="19" t="s">
        <v>62</v>
      </c>
      <c r="F23" s="26" t="s">
        <v>22</v>
      </c>
      <c r="G23" s="19" t="s">
        <v>1110</v>
      </c>
      <c r="H23" s="26">
        <v>201409</v>
      </c>
      <c r="I23" s="27">
        <v>-6176.94</v>
      </c>
      <c r="J23" s="14">
        <v>0</v>
      </c>
      <c r="K23" s="17">
        <v>1.4833299999999999E-3</v>
      </c>
      <c r="L23" s="16">
        <f t="shared" si="0"/>
        <v>0</v>
      </c>
      <c r="M23" s="16">
        <f t="shared" si="1"/>
        <v>-109.95</v>
      </c>
    </row>
    <row r="24" spans="1:13">
      <c r="A24" s="26" t="s">
        <v>54</v>
      </c>
      <c r="B24" s="19" t="s">
        <v>858</v>
      </c>
      <c r="C24" s="19" t="s">
        <v>859</v>
      </c>
      <c r="D24" s="26" t="s">
        <v>860</v>
      </c>
      <c r="E24" s="19" t="s">
        <v>62</v>
      </c>
      <c r="F24" s="26" t="s">
        <v>22</v>
      </c>
      <c r="G24" s="19" t="s">
        <v>1110</v>
      </c>
      <c r="H24" s="26">
        <v>201409</v>
      </c>
      <c r="I24" s="27">
        <v>-3555.63</v>
      </c>
      <c r="J24" s="14">
        <v>0</v>
      </c>
      <c r="K24" s="17">
        <v>1.4833299999999999E-3</v>
      </c>
      <c r="L24" s="16">
        <f t="shared" si="0"/>
        <v>0</v>
      </c>
      <c r="M24" s="16">
        <f t="shared" si="1"/>
        <v>-63.29</v>
      </c>
    </row>
    <row r="25" spans="1:13">
      <c r="A25" s="26" t="s">
        <v>17</v>
      </c>
      <c r="B25" s="19" t="s">
        <v>867</v>
      </c>
      <c r="C25" s="19" t="s">
        <v>868</v>
      </c>
      <c r="D25" s="26" t="s">
        <v>869</v>
      </c>
      <c r="E25" s="19" t="s">
        <v>36</v>
      </c>
      <c r="F25" s="26" t="s">
        <v>22</v>
      </c>
      <c r="G25" s="19" t="s">
        <v>1110</v>
      </c>
      <c r="H25" s="26">
        <v>201410</v>
      </c>
      <c r="I25" s="27">
        <v>-83.05</v>
      </c>
      <c r="J25" s="14">
        <v>0</v>
      </c>
      <c r="K25" s="17">
        <v>1.4833299999999999E-3</v>
      </c>
      <c r="L25" s="16">
        <f t="shared" si="0"/>
        <v>0</v>
      </c>
      <c r="M25" s="16">
        <f t="shared" si="1"/>
        <v>-1.48</v>
      </c>
    </row>
    <row r="26" spans="1:13">
      <c r="A26" s="26" t="s">
        <v>17</v>
      </c>
      <c r="B26" s="19" t="s">
        <v>876</v>
      </c>
      <c r="C26" s="19" t="s">
        <v>877</v>
      </c>
      <c r="D26" s="26" t="s">
        <v>878</v>
      </c>
      <c r="E26" s="19" t="s">
        <v>62</v>
      </c>
      <c r="F26" s="26" t="s">
        <v>22</v>
      </c>
      <c r="G26" s="19" t="s">
        <v>1110</v>
      </c>
      <c r="H26" s="26">
        <v>201410</v>
      </c>
      <c r="I26" s="27">
        <v>-6253.46</v>
      </c>
      <c r="J26" s="14">
        <v>0</v>
      </c>
      <c r="K26" s="17">
        <v>1.4833299999999999E-3</v>
      </c>
      <c r="L26" s="16">
        <f t="shared" si="0"/>
        <v>0</v>
      </c>
      <c r="M26" s="16">
        <f t="shared" si="1"/>
        <v>-111.31</v>
      </c>
    </row>
    <row r="27" spans="1:13">
      <c r="A27" s="26" t="s">
        <v>17</v>
      </c>
      <c r="B27" s="19" t="s">
        <v>897</v>
      </c>
      <c r="C27" s="19" t="s">
        <v>898</v>
      </c>
      <c r="D27" s="26" t="s">
        <v>899</v>
      </c>
      <c r="E27" s="19" t="s">
        <v>45</v>
      </c>
      <c r="F27" s="26" t="s">
        <v>22</v>
      </c>
      <c r="G27" s="19" t="s">
        <v>1110</v>
      </c>
      <c r="H27" s="26">
        <v>201410</v>
      </c>
      <c r="I27" s="27">
        <v>-14807.7</v>
      </c>
      <c r="J27" s="14">
        <v>0</v>
      </c>
      <c r="K27" s="17">
        <v>1.4833299999999999E-3</v>
      </c>
      <c r="L27" s="16">
        <f t="shared" si="0"/>
        <v>0</v>
      </c>
      <c r="M27" s="16">
        <f t="shared" si="1"/>
        <v>-263.58</v>
      </c>
    </row>
    <row r="28" spans="1:13">
      <c r="A28" s="26" t="s">
        <v>17</v>
      </c>
      <c r="B28" s="19" t="s">
        <v>903</v>
      </c>
      <c r="C28" s="19" t="s">
        <v>904</v>
      </c>
      <c r="D28" s="26" t="s">
        <v>905</v>
      </c>
      <c r="E28" s="19" t="s">
        <v>49</v>
      </c>
      <c r="F28" s="26" t="s">
        <v>22</v>
      </c>
      <c r="G28" s="19" t="s">
        <v>1110</v>
      </c>
      <c r="H28" s="26">
        <v>201410</v>
      </c>
      <c r="I28" s="27">
        <v>-5.67</v>
      </c>
      <c r="J28" s="14">
        <v>0</v>
      </c>
      <c r="K28" s="17">
        <v>1.4833299999999999E-3</v>
      </c>
      <c r="L28" s="16">
        <f t="shared" si="0"/>
        <v>0</v>
      </c>
      <c r="M28" s="16">
        <f t="shared" si="1"/>
        <v>-0.1</v>
      </c>
    </row>
    <row r="29" spans="1:13">
      <c r="A29" s="26" t="s">
        <v>17</v>
      </c>
      <c r="B29" s="19" t="s">
        <v>913</v>
      </c>
      <c r="C29" s="19" t="s">
        <v>914</v>
      </c>
      <c r="D29" s="26" t="s">
        <v>915</v>
      </c>
      <c r="E29" s="19" t="s">
        <v>36</v>
      </c>
      <c r="F29" s="26" t="s">
        <v>22</v>
      </c>
      <c r="G29" s="19" t="s">
        <v>1110</v>
      </c>
      <c r="H29" s="26">
        <v>201410</v>
      </c>
      <c r="I29" s="27">
        <v>-189.84</v>
      </c>
      <c r="J29" s="14">
        <v>0</v>
      </c>
      <c r="K29" s="17">
        <v>1.4833299999999999E-3</v>
      </c>
      <c r="L29" s="16">
        <f t="shared" si="0"/>
        <v>0</v>
      </c>
      <c r="M29" s="16">
        <f t="shared" si="1"/>
        <v>-3.38</v>
      </c>
    </row>
    <row r="30" spans="1:13">
      <c r="A30" s="26" t="s">
        <v>17</v>
      </c>
      <c r="B30" s="19" t="s">
        <v>916</v>
      </c>
      <c r="C30" s="19" t="s">
        <v>917</v>
      </c>
      <c r="D30" s="26" t="s">
        <v>918</v>
      </c>
      <c r="E30" s="19" t="s">
        <v>909</v>
      </c>
      <c r="F30" s="26" t="s">
        <v>22</v>
      </c>
      <c r="G30" s="19" t="s">
        <v>1110</v>
      </c>
      <c r="H30" s="26">
        <v>201410</v>
      </c>
      <c r="I30" s="27">
        <v>-470.68</v>
      </c>
      <c r="J30" s="14">
        <v>0</v>
      </c>
      <c r="K30" s="17">
        <v>1.4833299999999999E-3</v>
      </c>
      <c r="L30" s="16">
        <f t="shared" si="0"/>
        <v>0</v>
      </c>
      <c r="M30" s="16">
        <f t="shared" si="1"/>
        <v>-8.3800000000000008</v>
      </c>
    </row>
    <row r="31" spans="1:13">
      <c r="A31" s="26" t="s">
        <v>217</v>
      </c>
      <c r="B31" s="19" t="s">
        <v>926</v>
      </c>
      <c r="C31" s="19" t="s">
        <v>927</v>
      </c>
      <c r="D31" s="26" t="s">
        <v>928</v>
      </c>
      <c r="E31" s="19" t="s">
        <v>141</v>
      </c>
      <c r="F31" s="26" t="s">
        <v>142</v>
      </c>
      <c r="G31" s="19" t="s">
        <v>1110</v>
      </c>
      <c r="H31" s="26">
        <v>201409</v>
      </c>
      <c r="I31" s="27">
        <v>-2161.9899999999998</v>
      </c>
      <c r="J31" s="14">
        <v>0</v>
      </c>
      <c r="K31" s="17">
        <v>1.4833299999999999E-3</v>
      </c>
      <c r="L31" s="16">
        <f t="shared" si="0"/>
        <v>0</v>
      </c>
      <c r="M31" s="16">
        <f t="shared" si="1"/>
        <v>-38.479999999999997</v>
      </c>
    </row>
    <row r="32" spans="1:13">
      <c r="A32" s="26" t="s">
        <v>17</v>
      </c>
      <c r="B32" s="19" t="s">
        <v>932</v>
      </c>
      <c r="C32" s="19" t="s">
        <v>933</v>
      </c>
      <c r="D32" s="26" t="s">
        <v>934</v>
      </c>
      <c r="E32" s="19" t="s">
        <v>925</v>
      </c>
      <c r="F32" s="26" t="s">
        <v>41</v>
      </c>
      <c r="G32" s="19" t="s">
        <v>1110</v>
      </c>
      <c r="H32" s="26">
        <v>201409</v>
      </c>
      <c r="I32" s="27">
        <v>-12060.6</v>
      </c>
      <c r="J32" s="14">
        <v>0</v>
      </c>
      <c r="K32" s="17">
        <v>1.4833299999999999E-3</v>
      </c>
      <c r="L32" s="16">
        <f t="shared" si="0"/>
        <v>0</v>
      </c>
      <c r="M32" s="16">
        <f t="shared" si="1"/>
        <v>-214.68</v>
      </c>
    </row>
    <row r="33" spans="1:13">
      <c r="A33" s="26" t="s">
        <v>217</v>
      </c>
      <c r="B33" s="19" t="s">
        <v>938</v>
      </c>
      <c r="C33" s="19" t="s">
        <v>939</v>
      </c>
      <c r="D33" s="26" t="s">
        <v>940</v>
      </c>
      <c r="E33" s="19" t="s">
        <v>141</v>
      </c>
      <c r="F33" s="26" t="s">
        <v>142</v>
      </c>
      <c r="G33" s="19" t="s">
        <v>1110</v>
      </c>
      <c r="H33" s="26">
        <v>201410</v>
      </c>
      <c r="I33" s="27">
        <v>-654.63</v>
      </c>
      <c r="J33" s="14">
        <v>0</v>
      </c>
      <c r="K33" s="17">
        <v>1.4833299999999999E-3</v>
      </c>
      <c r="L33" s="16">
        <f t="shared" si="0"/>
        <v>0</v>
      </c>
      <c r="M33" s="16">
        <f t="shared" si="1"/>
        <v>-11.65</v>
      </c>
    </row>
    <row r="34" spans="1:13">
      <c r="A34" s="26" t="s">
        <v>17</v>
      </c>
      <c r="B34" s="19" t="s">
        <v>938</v>
      </c>
      <c r="C34" s="19" t="s">
        <v>939</v>
      </c>
      <c r="D34" s="26" t="s">
        <v>940</v>
      </c>
      <c r="E34" s="19" t="s">
        <v>141</v>
      </c>
      <c r="F34" s="26" t="s">
        <v>142</v>
      </c>
      <c r="G34" s="19" t="s">
        <v>1110</v>
      </c>
      <c r="H34" s="26">
        <v>201410</v>
      </c>
      <c r="I34" s="27">
        <v>-75.08</v>
      </c>
      <c r="J34" s="14">
        <v>0</v>
      </c>
      <c r="K34" s="17">
        <v>1.4833299999999999E-3</v>
      </c>
      <c r="L34" s="16">
        <f t="shared" si="0"/>
        <v>0</v>
      </c>
      <c r="M34" s="16">
        <f t="shared" si="1"/>
        <v>-1.34</v>
      </c>
    </row>
    <row r="35" spans="1:13">
      <c r="A35" s="26" t="s">
        <v>17</v>
      </c>
      <c r="B35" s="19" t="s">
        <v>944</v>
      </c>
      <c r="C35" s="19" t="s">
        <v>945</v>
      </c>
      <c r="D35" s="26" t="s">
        <v>946</v>
      </c>
      <c r="E35" s="19" t="s">
        <v>104</v>
      </c>
      <c r="F35" s="26" t="s">
        <v>41</v>
      </c>
      <c r="G35" s="19" t="s">
        <v>1110</v>
      </c>
      <c r="H35" s="26">
        <v>201410</v>
      </c>
      <c r="I35" s="27">
        <v>-31.82</v>
      </c>
      <c r="J35" s="14">
        <v>0</v>
      </c>
      <c r="K35" s="17">
        <v>1.4833299999999999E-3</v>
      </c>
      <c r="L35" s="16">
        <f t="shared" si="0"/>
        <v>0</v>
      </c>
      <c r="M35" s="16">
        <f t="shared" si="1"/>
        <v>-0.56999999999999995</v>
      </c>
    </row>
    <row r="36" spans="1:13">
      <c r="A36" s="26" t="s">
        <v>17</v>
      </c>
      <c r="B36" s="19" t="s">
        <v>947</v>
      </c>
      <c r="C36" s="19" t="s">
        <v>948</v>
      </c>
      <c r="D36" s="26" t="s">
        <v>949</v>
      </c>
      <c r="E36" s="19" t="s">
        <v>141</v>
      </c>
      <c r="F36" s="26" t="s">
        <v>142</v>
      </c>
      <c r="G36" s="19" t="s">
        <v>1110</v>
      </c>
      <c r="H36" s="26">
        <v>201410</v>
      </c>
      <c r="I36" s="27">
        <v>-3785.03</v>
      </c>
      <c r="J36" s="14">
        <v>0</v>
      </c>
      <c r="K36" s="17">
        <v>1.4833299999999999E-3</v>
      </c>
      <c r="L36" s="16">
        <f t="shared" si="0"/>
        <v>0</v>
      </c>
      <c r="M36" s="16">
        <f t="shared" si="1"/>
        <v>-67.37</v>
      </c>
    </row>
    <row r="37" spans="1:13">
      <c r="A37" s="26" t="s">
        <v>217</v>
      </c>
      <c r="B37" s="19" t="s">
        <v>947</v>
      </c>
      <c r="C37" s="19" t="s">
        <v>948</v>
      </c>
      <c r="D37" s="26" t="s">
        <v>949</v>
      </c>
      <c r="E37" s="19" t="s">
        <v>141</v>
      </c>
      <c r="F37" s="26" t="s">
        <v>142</v>
      </c>
      <c r="G37" s="19" t="s">
        <v>1110</v>
      </c>
      <c r="H37" s="26">
        <v>201410</v>
      </c>
      <c r="I37" s="27">
        <v>-1983.91</v>
      </c>
      <c r="J37" s="14">
        <v>0</v>
      </c>
      <c r="K37" s="17">
        <v>1.4833299999999999E-3</v>
      </c>
      <c r="L37" s="16">
        <f t="shared" si="0"/>
        <v>0</v>
      </c>
      <c r="M37" s="16">
        <f t="shared" si="1"/>
        <v>-35.31</v>
      </c>
    </row>
    <row r="38" spans="1:13">
      <c r="A38" s="26" t="s">
        <v>217</v>
      </c>
      <c r="B38" s="19" t="s">
        <v>950</v>
      </c>
      <c r="C38" s="19" t="s">
        <v>951</v>
      </c>
      <c r="D38" s="26" t="s">
        <v>952</v>
      </c>
      <c r="E38" s="19" t="s">
        <v>141</v>
      </c>
      <c r="F38" s="26" t="s">
        <v>142</v>
      </c>
      <c r="G38" s="19" t="s">
        <v>1110</v>
      </c>
      <c r="H38" s="26">
        <v>201409</v>
      </c>
      <c r="I38" s="27">
        <v>-1249.22</v>
      </c>
      <c r="J38" s="14">
        <v>0</v>
      </c>
      <c r="K38" s="17">
        <v>1.4833299999999999E-3</v>
      </c>
      <c r="L38" s="16">
        <f t="shared" si="0"/>
        <v>0</v>
      </c>
      <c r="M38" s="16">
        <f t="shared" si="1"/>
        <v>-22.24</v>
      </c>
    </row>
    <row r="39" spans="1:13">
      <c r="A39" s="26" t="s">
        <v>17</v>
      </c>
      <c r="B39" s="19" t="s">
        <v>962</v>
      </c>
      <c r="C39" s="19" t="s">
        <v>963</v>
      </c>
      <c r="D39" s="26" t="s">
        <v>964</v>
      </c>
      <c r="E39" s="19" t="s">
        <v>40</v>
      </c>
      <c r="F39" s="26" t="s">
        <v>41</v>
      </c>
      <c r="G39" s="19" t="s">
        <v>1110</v>
      </c>
      <c r="H39" s="26">
        <v>201409</v>
      </c>
      <c r="I39" s="27">
        <v>-812.42</v>
      </c>
      <c r="J39" s="14">
        <v>0</v>
      </c>
      <c r="K39" s="17">
        <v>1.4833299999999999E-3</v>
      </c>
      <c r="L39" s="16">
        <f t="shared" si="0"/>
        <v>0</v>
      </c>
      <c r="M39" s="16">
        <f t="shared" si="1"/>
        <v>-14.46</v>
      </c>
    </row>
    <row r="40" spans="1:13">
      <c r="A40" s="26" t="s">
        <v>54</v>
      </c>
      <c r="B40" s="19" t="s">
        <v>962</v>
      </c>
      <c r="C40" s="19" t="s">
        <v>963</v>
      </c>
      <c r="D40" s="26" t="s">
        <v>964</v>
      </c>
      <c r="E40" s="19" t="s">
        <v>40</v>
      </c>
      <c r="F40" s="26" t="s">
        <v>41</v>
      </c>
      <c r="G40" s="19" t="s">
        <v>1110</v>
      </c>
      <c r="H40" s="26">
        <v>201409</v>
      </c>
      <c r="I40" s="27">
        <v>-401.17</v>
      </c>
      <c r="J40" s="14">
        <v>0</v>
      </c>
      <c r="K40" s="17">
        <v>1.4833299999999999E-3</v>
      </c>
      <c r="L40" s="16">
        <f t="shared" si="0"/>
        <v>0</v>
      </c>
      <c r="M40" s="16">
        <f t="shared" si="1"/>
        <v>-7.14</v>
      </c>
    </row>
    <row r="41" spans="1:13">
      <c r="A41" s="26" t="s">
        <v>17</v>
      </c>
      <c r="B41" s="19" t="s">
        <v>965</v>
      </c>
      <c r="C41" s="19" t="s">
        <v>966</v>
      </c>
      <c r="D41" s="26" t="s">
        <v>967</v>
      </c>
      <c r="E41" s="19" t="s">
        <v>53</v>
      </c>
      <c r="F41" s="26" t="s">
        <v>41</v>
      </c>
      <c r="G41" s="19" t="s">
        <v>1110</v>
      </c>
      <c r="H41" s="26">
        <v>201410</v>
      </c>
      <c r="I41" s="27">
        <v>-1494.56</v>
      </c>
      <c r="J41" s="14">
        <v>0</v>
      </c>
      <c r="K41" s="17">
        <v>1.4833299999999999E-3</v>
      </c>
      <c r="L41" s="16">
        <f t="shared" si="0"/>
        <v>0</v>
      </c>
      <c r="M41" s="16">
        <f t="shared" si="1"/>
        <v>-26.6</v>
      </c>
    </row>
    <row r="42" spans="1:13">
      <c r="A42" s="26" t="s">
        <v>54</v>
      </c>
      <c r="B42" s="19" t="s">
        <v>965</v>
      </c>
      <c r="C42" s="19" t="s">
        <v>966</v>
      </c>
      <c r="D42" s="26" t="s">
        <v>967</v>
      </c>
      <c r="E42" s="19" t="s">
        <v>53</v>
      </c>
      <c r="F42" s="26" t="s">
        <v>41</v>
      </c>
      <c r="G42" s="19" t="s">
        <v>1110</v>
      </c>
      <c r="H42" s="26">
        <v>201410</v>
      </c>
      <c r="I42" s="27">
        <v>-6.73</v>
      </c>
      <c r="J42" s="14">
        <v>0</v>
      </c>
      <c r="K42" s="17">
        <v>1.4833299999999999E-3</v>
      </c>
      <c r="L42" s="16">
        <f t="shared" si="0"/>
        <v>0</v>
      </c>
      <c r="M42" s="16">
        <f t="shared" si="1"/>
        <v>-0.12</v>
      </c>
    </row>
    <row r="43" spans="1:13">
      <c r="A43" s="26" t="s">
        <v>17</v>
      </c>
      <c r="B43" s="19" t="s">
        <v>971</v>
      </c>
      <c r="C43" s="19" t="s">
        <v>972</v>
      </c>
      <c r="D43" s="26" t="s">
        <v>973</v>
      </c>
      <c r="E43" s="19" t="s">
        <v>567</v>
      </c>
      <c r="F43" s="26" t="s">
        <v>137</v>
      </c>
      <c r="G43" s="19" t="s">
        <v>1110</v>
      </c>
      <c r="H43" s="26">
        <v>201411</v>
      </c>
      <c r="I43" s="27">
        <v>-703.44</v>
      </c>
      <c r="J43" s="14">
        <v>0</v>
      </c>
      <c r="K43" s="17">
        <v>1.4833299999999999E-3</v>
      </c>
      <c r="L43" s="16">
        <f t="shared" si="0"/>
        <v>0</v>
      </c>
      <c r="M43" s="16">
        <f t="shared" si="1"/>
        <v>-12.52</v>
      </c>
    </row>
    <row r="44" spans="1:13">
      <c r="A44" s="26" t="s">
        <v>217</v>
      </c>
      <c r="B44" s="19" t="s">
        <v>974</v>
      </c>
      <c r="C44" s="19" t="s">
        <v>975</v>
      </c>
      <c r="D44" s="26" t="s">
        <v>976</v>
      </c>
      <c r="E44" s="19" t="s">
        <v>141</v>
      </c>
      <c r="F44" s="26" t="s">
        <v>142</v>
      </c>
      <c r="G44" s="19" t="s">
        <v>1110</v>
      </c>
      <c r="H44" s="26">
        <v>201410</v>
      </c>
      <c r="I44" s="27">
        <v>-64.81</v>
      </c>
      <c r="J44" s="14">
        <v>0</v>
      </c>
      <c r="K44" s="17">
        <v>1.4833299999999999E-3</v>
      </c>
      <c r="L44" s="16">
        <f t="shared" si="0"/>
        <v>0</v>
      </c>
      <c r="M44" s="16">
        <f t="shared" si="1"/>
        <v>-1.1499999999999999</v>
      </c>
    </row>
    <row r="45" spans="1:13">
      <c r="A45" s="26" t="s">
        <v>54</v>
      </c>
      <c r="B45" s="19" t="s">
        <v>977</v>
      </c>
      <c r="C45" s="19" t="s">
        <v>978</v>
      </c>
      <c r="D45" s="26" t="s">
        <v>979</v>
      </c>
      <c r="E45" s="19" t="s">
        <v>980</v>
      </c>
      <c r="F45" s="26" t="s">
        <v>259</v>
      </c>
      <c r="G45" s="19" t="s">
        <v>1110</v>
      </c>
      <c r="H45" s="26">
        <v>201410</v>
      </c>
      <c r="I45" s="27">
        <v>-19.45</v>
      </c>
      <c r="J45" s="14">
        <v>0</v>
      </c>
      <c r="K45" s="17">
        <v>1.4833299999999999E-3</v>
      </c>
      <c r="L45" s="16">
        <f t="shared" si="0"/>
        <v>0</v>
      </c>
      <c r="M45" s="16">
        <f t="shared" si="1"/>
        <v>-0.35</v>
      </c>
    </row>
    <row r="46" spans="1:13">
      <c r="A46" s="26" t="s">
        <v>17</v>
      </c>
      <c r="B46" s="19" t="s">
        <v>977</v>
      </c>
      <c r="C46" s="19" t="s">
        <v>978</v>
      </c>
      <c r="D46" s="26" t="s">
        <v>979</v>
      </c>
      <c r="E46" s="19" t="s">
        <v>980</v>
      </c>
      <c r="F46" s="26" t="s">
        <v>259</v>
      </c>
      <c r="G46" s="19" t="s">
        <v>1110</v>
      </c>
      <c r="H46" s="26">
        <v>201410</v>
      </c>
      <c r="I46" s="27">
        <v>-2.6</v>
      </c>
      <c r="J46" s="14">
        <v>0</v>
      </c>
      <c r="K46" s="17">
        <v>1.4833299999999999E-3</v>
      </c>
      <c r="L46" s="16">
        <f t="shared" si="0"/>
        <v>0</v>
      </c>
      <c r="M46" s="16">
        <f t="shared" si="1"/>
        <v>-0.05</v>
      </c>
    </row>
    <row r="47" spans="1:13">
      <c r="A47" s="26" t="s">
        <v>217</v>
      </c>
      <c r="B47" s="19" t="s">
        <v>990</v>
      </c>
      <c r="C47" s="19" t="s">
        <v>991</v>
      </c>
      <c r="D47" s="26" t="s">
        <v>992</v>
      </c>
      <c r="E47" s="19" t="s">
        <v>141</v>
      </c>
      <c r="F47" s="26" t="s">
        <v>142</v>
      </c>
      <c r="G47" s="19" t="s">
        <v>1110</v>
      </c>
      <c r="H47" s="26">
        <v>201410</v>
      </c>
      <c r="I47" s="27">
        <v>-7244.42</v>
      </c>
      <c r="J47" s="14">
        <v>0</v>
      </c>
      <c r="K47" s="17">
        <v>1.4833299999999999E-3</v>
      </c>
      <c r="L47" s="16">
        <f t="shared" si="0"/>
        <v>0</v>
      </c>
      <c r="M47" s="16">
        <f t="shared" si="1"/>
        <v>-128.94999999999999</v>
      </c>
    </row>
    <row r="48" spans="1:13">
      <c r="A48" s="14" t="s">
        <v>17</v>
      </c>
      <c r="B48" s="15" t="s">
        <v>990</v>
      </c>
      <c r="C48" s="15" t="s">
        <v>991</v>
      </c>
      <c r="D48" s="14" t="s">
        <v>992</v>
      </c>
      <c r="E48" s="15" t="s">
        <v>141</v>
      </c>
      <c r="F48" s="14" t="s">
        <v>142</v>
      </c>
      <c r="G48" s="19" t="s">
        <v>1110</v>
      </c>
      <c r="H48" s="26">
        <v>201410</v>
      </c>
      <c r="I48" s="16">
        <v>-1057.7</v>
      </c>
      <c r="J48" s="14">
        <v>0</v>
      </c>
      <c r="K48" s="17">
        <v>1.4833299999999999E-3</v>
      </c>
      <c r="L48" s="16">
        <f t="shared" si="0"/>
        <v>0</v>
      </c>
      <c r="M48" s="16">
        <f t="shared" si="1"/>
        <v>-18.829999999999998</v>
      </c>
    </row>
    <row r="49" spans="1:13">
      <c r="A49" s="26" t="s">
        <v>217</v>
      </c>
      <c r="B49" s="19" t="s">
        <v>1005</v>
      </c>
      <c r="C49" s="19" t="s">
        <v>1006</v>
      </c>
      <c r="D49" s="26" t="s">
        <v>1007</v>
      </c>
      <c r="E49" s="19" t="s">
        <v>141</v>
      </c>
      <c r="F49" s="26" t="s">
        <v>142</v>
      </c>
      <c r="G49" s="19" t="s">
        <v>1110</v>
      </c>
      <c r="H49" s="26">
        <v>201410</v>
      </c>
      <c r="I49" s="27">
        <v>-39.369999999999997</v>
      </c>
      <c r="J49" s="14">
        <v>0</v>
      </c>
      <c r="K49" s="17">
        <v>1.4833299999999999E-3</v>
      </c>
      <c r="L49" s="16">
        <f t="shared" si="0"/>
        <v>0</v>
      </c>
      <c r="M49" s="16">
        <f t="shared" si="1"/>
        <v>-0.7</v>
      </c>
    </row>
    <row r="50" spans="1:13">
      <c r="A50" s="26" t="s">
        <v>17</v>
      </c>
      <c r="B50" s="19" t="s">
        <v>1008</v>
      </c>
      <c r="C50" s="19" t="s">
        <v>1009</v>
      </c>
      <c r="D50" s="26" t="s">
        <v>1010</v>
      </c>
      <c r="E50" s="19" t="s">
        <v>49</v>
      </c>
      <c r="F50" s="26" t="s">
        <v>22</v>
      </c>
      <c r="G50" s="19" t="s">
        <v>1110</v>
      </c>
      <c r="H50" s="26">
        <v>201410</v>
      </c>
      <c r="I50" s="27">
        <v>-283.68</v>
      </c>
      <c r="J50" s="14">
        <v>0</v>
      </c>
      <c r="K50" s="17">
        <v>1.4833299999999999E-3</v>
      </c>
      <c r="L50" s="16">
        <f t="shared" si="0"/>
        <v>0</v>
      </c>
      <c r="M50" s="16">
        <f t="shared" si="1"/>
        <v>-5.05</v>
      </c>
    </row>
    <row r="51" spans="1:13">
      <c r="A51" s="26" t="s">
        <v>17</v>
      </c>
      <c r="B51" s="19" t="s">
        <v>1011</v>
      </c>
      <c r="C51" s="19" t="s">
        <v>1012</v>
      </c>
      <c r="D51" s="26" t="s">
        <v>1013</v>
      </c>
      <c r="E51" s="19" t="s">
        <v>21</v>
      </c>
      <c r="F51" s="26" t="s">
        <v>22</v>
      </c>
      <c r="G51" s="19" t="s">
        <v>1110</v>
      </c>
      <c r="H51" s="26">
        <v>201409</v>
      </c>
      <c r="I51" s="27">
        <v>-6.13</v>
      </c>
      <c r="J51" s="14">
        <v>0</v>
      </c>
      <c r="K51" s="17">
        <v>1.4833299999999999E-3</v>
      </c>
      <c r="L51" s="16">
        <f t="shared" si="0"/>
        <v>0</v>
      </c>
      <c r="M51" s="16">
        <f t="shared" si="1"/>
        <v>-0.11</v>
      </c>
    </row>
    <row r="52" spans="1:13">
      <c r="A52" s="26" t="s">
        <v>54</v>
      </c>
      <c r="B52" s="19" t="s">
        <v>1021</v>
      </c>
      <c r="C52" s="19" t="s">
        <v>1022</v>
      </c>
      <c r="D52" s="26" t="s">
        <v>1023</v>
      </c>
      <c r="E52" s="19" t="s">
        <v>108</v>
      </c>
      <c r="F52" s="26" t="s">
        <v>28</v>
      </c>
      <c r="G52" s="19" t="s">
        <v>1110</v>
      </c>
      <c r="H52" s="26">
        <v>201409</v>
      </c>
      <c r="I52" s="27">
        <v>-6.98</v>
      </c>
      <c r="J52" s="14">
        <v>0</v>
      </c>
      <c r="K52" s="17">
        <v>1.4833299999999999E-3</v>
      </c>
      <c r="L52" s="16">
        <f t="shared" si="0"/>
        <v>0</v>
      </c>
      <c r="M52" s="16">
        <f t="shared" si="1"/>
        <v>-0.12</v>
      </c>
    </row>
    <row r="53" spans="1:13">
      <c r="A53" s="28" t="s">
        <v>66</v>
      </c>
      <c r="B53" s="19" t="s">
        <v>1111</v>
      </c>
      <c r="C53" s="19" t="s">
        <v>1112</v>
      </c>
      <c r="D53" s="26" t="s">
        <v>1113</v>
      </c>
      <c r="E53" s="19" t="s">
        <v>1111</v>
      </c>
      <c r="F53" s="26" t="s">
        <v>1114</v>
      </c>
      <c r="G53" s="19" t="s">
        <v>1110</v>
      </c>
      <c r="H53" s="14">
        <v>201409</v>
      </c>
      <c r="I53" s="27">
        <v>-2401.5300000000002</v>
      </c>
      <c r="J53" s="14">
        <v>0</v>
      </c>
      <c r="K53" s="17">
        <v>2.23333E-3</v>
      </c>
      <c r="L53" s="16">
        <f t="shared" si="0"/>
        <v>0</v>
      </c>
      <c r="M53" s="16">
        <f t="shared" si="1"/>
        <v>-64.36</v>
      </c>
    </row>
    <row r="54" spans="1:13">
      <c r="A54" s="28" t="s">
        <v>66</v>
      </c>
      <c r="B54" s="19" t="s">
        <v>1111</v>
      </c>
      <c r="C54" s="19" t="s">
        <v>1112</v>
      </c>
      <c r="D54" s="26" t="s">
        <v>1113</v>
      </c>
      <c r="E54" s="19" t="s">
        <v>1111</v>
      </c>
      <c r="F54" s="26" t="s">
        <v>1114</v>
      </c>
      <c r="G54" s="19" t="s">
        <v>1110</v>
      </c>
      <c r="H54" s="14">
        <v>201410</v>
      </c>
      <c r="I54" s="27">
        <v>-158.19999999999999</v>
      </c>
      <c r="J54" s="14">
        <v>0</v>
      </c>
      <c r="K54" s="17">
        <v>2.23333E-3</v>
      </c>
      <c r="L54" s="16">
        <f t="shared" si="0"/>
        <v>0</v>
      </c>
      <c r="M54" s="16">
        <f t="shared" si="1"/>
        <v>-4.24</v>
      </c>
    </row>
    <row r="55" spans="1:13">
      <c r="A55" s="28" t="s">
        <v>66</v>
      </c>
      <c r="B55" s="19" t="s">
        <v>1111</v>
      </c>
      <c r="C55" s="19" t="s">
        <v>1115</v>
      </c>
      <c r="D55" s="26" t="s">
        <v>1114</v>
      </c>
      <c r="E55" s="19" t="s">
        <v>1111</v>
      </c>
      <c r="F55" s="26" t="s">
        <v>1114</v>
      </c>
      <c r="G55" s="19" t="s">
        <v>1110</v>
      </c>
      <c r="H55" s="26">
        <v>201410</v>
      </c>
      <c r="I55" s="27">
        <v>-147508.29999999999</v>
      </c>
      <c r="J55" s="14">
        <v>0</v>
      </c>
      <c r="K55" s="17">
        <v>2.23333E-3</v>
      </c>
      <c r="L55" s="16">
        <f t="shared" si="0"/>
        <v>0</v>
      </c>
      <c r="M55" s="16">
        <f t="shared" si="1"/>
        <v>-3953.22</v>
      </c>
    </row>
    <row r="56" spans="1:13">
      <c r="A56" s="28" t="s">
        <v>66</v>
      </c>
      <c r="B56" s="19" t="s">
        <v>1111</v>
      </c>
      <c r="C56" s="19" t="s">
        <v>1115</v>
      </c>
      <c r="D56" s="26" t="s">
        <v>1114</v>
      </c>
      <c r="E56" s="19" t="s">
        <v>1111</v>
      </c>
      <c r="F56" s="26" t="s">
        <v>1114</v>
      </c>
      <c r="G56" s="19" t="s">
        <v>1110</v>
      </c>
      <c r="H56" s="26">
        <v>201409</v>
      </c>
      <c r="I56" s="27">
        <v>-114785.59</v>
      </c>
      <c r="J56" s="14">
        <v>0</v>
      </c>
      <c r="K56" s="17">
        <v>2.23333E-3</v>
      </c>
      <c r="L56" s="16">
        <f t="shared" si="0"/>
        <v>0</v>
      </c>
      <c r="M56" s="16">
        <f t="shared" si="1"/>
        <v>-3076.25</v>
      </c>
    </row>
    <row r="57" spans="1:13">
      <c r="A57" s="28" t="s">
        <v>66</v>
      </c>
      <c r="B57" s="19" t="s">
        <v>1111</v>
      </c>
      <c r="C57" s="19" t="s">
        <v>1115</v>
      </c>
      <c r="D57" s="26" t="s">
        <v>1114</v>
      </c>
      <c r="E57" s="19" t="s">
        <v>1111</v>
      </c>
      <c r="F57" s="26" t="s">
        <v>1114</v>
      </c>
      <c r="G57" s="19" t="s">
        <v>1110</v>
      </c>
      <c r="H57" s="26">
        <v>201412</v>
      </c>
      <c r="I57" s="27">
        <v>-83377.52</v>
      </c>
      <c r="J57" s="14">
        <v>0</v>
      </c>
      <c r="K57" s="17">
        <v>2.23333E-3</v>
      </c>
      <c r="L57" s="16">
        <f t="shared" si="0"/>
        <v>0</v>
      </c>
      <c r="M57" s="16">
        <f t="shared" si="1"/>
        <v>-2234.5100000000002</v>
      </c>
    </row>
    <row r="58" spans="1:13">
      <c r="A58" s="28" t="s">
        <v>66</v>
      </c>
      <c r="B58" s="19" t="s">
        <v>1111</v>
      </c>
      <c r="C58" s="19" t="s">
        <v>1115</v>
      </c>
      <c r="D58" s="26" t="s">
        <v>1114</v>
      </c>
      <c r="E58" s="19" t="s">
        <v>1111</v>
      </c>
      <c r="F58" s="26" t="s">
        <v>1114</v>
      </c>
      <c r="G58" s="19" t="s">
        <v>1110</v>
      </c>
      <c r="H58" s="26">
        <v>201411</v>
      </c>
      <c r="I58" s="27">
        <v>-49570.93</v>
      </c>
      <c r="J58" s="14">
        <v>0</v>
      </c>
      <c r="K58" s="17">
        <v>2.23333E-3</v>
      </c>
      <c r="L58" s="16">
        <f t="shared" si="0"/>
        <v>0</v>
      </c>
      <c r="M58" s="16">
        <f t="shared" si="1"/>
        <v>-1328.5</v>
      </c>
    </row>
    <row r="59" spans="1:13">
      <c r="A59" s="29" t="s">
        <v>17</v>
      </c>
      <c r="B59" s="19" t="s">
        <v>367</v>
      </c>
      <c r="C59" s="19" t="s">
        <v>366</v>
      </c>
      <c r="D59" s="26" t="s">
        <v>368</v>
      </c>
      <c r="E59" s="19" t="s">
        <v>369</v>
      </c>
      <c r="F59" s="26" t="s">
        <v>41</v>
      </c>
      <c r="G59" s="19" t="s">
        <v>1110</v>
      </c>
      <c r="H59" s="26">
        <v>201412</v>
      </c>
      <c r="I59" s="27">
        <v>-236297.88</v>
      </c>
      <c r="J59" s="14">
        <v>0</v>
      </c>
      <c r="K59" s="17">
        <v>1.4833299999999999E-3</v>
      </c>
      <c r="L59" s="16">
        <f t="shared" si="0"/>
        <v>0</v>
      </c>
      <c r="M59" s="16">
        <f t="shared" si="1"/>
        <v>-4206.09</v>
      </c>
    </row>
    <row r="60" spans="1:13">
      <c r="A60" s="28" t="s">
        <v>66</v>
      </c>
      <c r="B60" s="19" t="s">
        <v>1115</v>
      </c>
      <c r="C60" s="19" t="s">
        <v>1115</v>
      </c>
      <c r="D60" s="26" t="s">
        <v>1114</v>
      </c>
      <c r="E60" s="19" t="s">
        <v>1111</v>
      </c>
      <c r="F60" s="26" t="s">
        <v>1114</v>
      </c>
      <c r="G60" s="19" t="s">
        <v>1110</v>
      </c>
      <c r="H60" s="26">
        <v>201412</v>
      </c>
      <c r="I60" s="27">
        <v>-83377.52</v>
      </c>
      <c r="J60" s="14">
        <v>0</v>
      </c>
      <c r="K60" s="17">
        <v>2.23333E-3</v>
      </c>
      <c r="L60" s="16">
        <f t="shared" si="0"/>
        <v>0</v>
      </c>
      <c r="M60" s="16">
        <f t="shared" si="1"/>
        <v>-2234.5100000000002</v>
      </c>
    </row>
    <row r="61" spans="1:13">
      <c r="A61" s="29" t="s">
        <v>17</v>
      </c>
      <c r="B61" s="19" t="s">
        <v>994</v>
      </c>
      <c r="C61" s="19" t="s">
        <v>993</v>
      </c>
      <c r="D61" s="26" t="s">
        <v>995</v>
      </c>
      <c r="E61" s="19" t="s">
        <v>40</v>
      </c>
      <c r="F61" s="26" t="s">
        <v>41</v>
      </c>
      <c r="G61" s="19" t="s">
        <v>1110</v>
      </c>
      <c r="H61" s="26">
        <v>201412</v>
      </c>
      <c r="I61" s="27">
        <v>-15961.9</v>
      </c>
      <c r="J61" s="14">
        <v>0</v>
      </c>
      <c r="K61" s="17">
        <v>1.4833299999999999E-3</v>
      </c>
      <c r="L61" s="16">
        <f t="shared" si="0"/>
        <v>0</v>
      </c>
      <c r="M61" s="16">
        <f t="shared" si="1"/>
        <v>-284.12</v>
      </c>
    </row>
    <row r="62" spans="1:13">
      <c r="A62" s="29" t="s">
        <v>54</v>
      </c>
      <c r="B62" s="19" t="s">
        <v>994</v>
      </c>
      <c r="C62" s="19" t="s">
        <v>993</v>
      </c>
      <c r="D62" s="26" t="s">
        <v>995</v>
      </c>
      <c r="E62" s="19" t="s">
        <v>40</v>
      </c>
      <c r="F62" s="26" t="s">
        <v>41</v>
      </c>
      <c r="G62" s="19" t="s">
        <v>1110</v>
      </c>
      <c r="H62" s="26">
        <v>201412</v>
      </c>
      <c r="I62" s="27">
        <v>-4552.91</v>
      </c>
      <c r="J62" s="14">
        <v>0</v>
      </c>
      <c r="K62" s="17">
        <v>1.4833299999999999E-3</v>
      </c>
      <c r="L62" s="16">
        <f t="shared" si="0"/>
        <v>0</v>
      </c>
      <c r="M62" s="16">
        <f t="shared" si="1"/>
        <v>-81.040000000000006</v>
      </c>
    </row>
    <row r="63" spans="1:13">
      <c r="A63" s="29" t="s">
        <v>17</v>
      </c>
      <c r="B63" s="19" t="s">
        <v>850</v>
      </c>
      <c r="C63" s="19" t="s">
        <v>849</v>
      </c>
      <c r="D63" s="26" t="s">
        <v>851</v>
      </c>
      <c r="E63" s="19" t="s">
        <v>27</v>
      </c>
      <c r="F63" s="26" t="s">
        <v>28</v>
      </c>
      <c r="G63" s="19" t="s">
        <v>1110</v>
      </c>
      <c r="H63" s="26">
        <v>201412</v>
      </c>
      <c r="I63" s="27">
        <v>-3798.81</v>
      </c>
      <c r="J63" s="14">
        <v>0</v>
      </c>
      <c r="K63" s="17">
        <v>1.4833299999999999E-3</v>
      </c>
      <c r="L63" s="16">
        <f t="shared" si="0"/>
        <v>0</v>
      </c>
      <c r="M63" s="16">
        <f t="shared" si="1"/>
        <v>-67.62</v>
      </c>
    </row>
    <row r="64" spans="1:13">
      <c r="A64" s="29" t="s">
        <v>17</v>
      </c>
      <c r="B64" s="19" t="s">
        <v>285</v>
      </c>
      <c r="C64" s="19" t="s">
        <v>284</v>
      </c>
      <c r="D64" s="26" t="s">
        <v>286</v>
      </c>
      <c r="E64" s="19" t="s">
        <v>58</v>
      </c>
      <c r="F64" s="26" t="s">
        <v>22</v>
      </c>
      <c r="G64" s="19" t="s">
        <v>1110</v>
      </c>
      <c r="H64" s="26">
        <v>201412</v>
      </c>
      <c r="I64" s="27">
        <v>-3504.05</v>
      </c>
      <c r="J64" s="14">
        <v>0</v>
      </c>
      <c r="K64" s="17">
        <v>1.4833299999999999E-3</v>
      </c>
      <c r="L64" s="16">
        <f t="shared" si="0"/>
        <v>0</v>
      </c>
      <c r="M64" s="16">
        <f t="shared" si="1"/>
        <v>-62.37</v>
      </c>
    </row>
    <row r="65" spans="1:13">
      <c r="A65" s="29" t="s">
        <v>54</v>
      </c>
      <c r="B65" s="19" t="s">
        <v>892</v>
      </c>
      <c r="C65" s="19" t="s">
        <v>891</v>
      </c>
      <c r="D65" s="26" t="s">
        <v>893</v>
      </c>
      <c r="E65" s="19" t="s">
        <v>32</v>
      </c>
      <c r="F65" s="26" t="s">
        <v>22</v>
      </c>
      <c r="G65" s="19" t="s">
        <v>1110</v>
      </c>
      <c r="H65" s="26">
        <v>201412</v>
      </c>
      <c r="I65" s="27">
        <v>-4.7</v>
      </c>
      <c r="J65" s="14">
        <v>0</v>
      </c>
      <c r="K65" s="17">
        <v>1.4833299999999999E-3</v>
      </c>
      <c r="L65" s="16">
        <f t="shared" si="0"/>
        <v>0</v>
      </c>
      <c r="M65" s="16">
        <f t="shared" si="1"/>
        <v>-0.08</v>
      </c>
    </row>
    <row r="66" spans="1:13">
      <c r="A66" s="203" t="s">
        <v>1584</v>
      </c>
      <c r="B66" s="204" t="s">
        <v>1111</v>
      </c>
      <c r="C66" s="204" t="s">
        <v>1115</v>
      </c>
      <c r="D66" s="203" t="s">
        <v>1585</v>
      </c>
      <c r="E66" s="204" t="s">
        <v>1111</v>
      </c>
      <c r="F66" s="203" t="s">
        <v>1585</v>
      </c>
      <c r="G66" s="204" t="s">
        <v>1110</v>
      </c>
      <c r="H66" s="203">
        <v>201409</v>
      </c>
      <c r="I66" s="205">
        <v>-19366.7</v>
      </c>
      <c r="J66" s="203">
        <v>0</v>
      </c>
      <c r="K66" s="206">
        <v>2.0333333000000001E-3</v>
      </c>
      <c r="L66" s="205">
        <f t="shared" si="0"/>
        <v>0</v>
      </c>
      <c r="M66" s="205">
        <f t="shared" si="1"/>
        <v>-472.55</v>
      </c>
    </row>
    <row r="67" spans="1:13">
      <c r="A67" s="203" t="s">
        <v>1584</v>
      </c>
      <c r="B67" s="204" t="s">
        <v>1111</v>
      </c>
      <c r="C67" s="204" t="s">
        <v>1115</v>
      </c>
      <c r="D67" s="203" t="s">
        <v>1585</v>
      </c>
      <c r="E67" s="204" t="s">
        <v>1111</v>
      </c>
      <c r="F67" s="203" t="s">
        <v>1585</v>
      </c>
      <c r="G67" s="204" t="s">
        <v>1110</v>
      </c>
      <c r="H67" s="203">
        <v>201410</v>
      </c>
      <c r="I67" s="205">
        <v>-5852.73</v>
      </c>
      <c r="J67" s="203">
        <v>0</v>
      </c>
      <c r="K67" s="206">
        <v>2.0333333000000001E-3</v>
      </c>
      <c r="L67" s="205">
        <f t="shared" si="0"/>
        <v>0</v>
      </c>
      <c r="M67" s="205">
        <f t="shared" si="1"/>
        <v>-142.81</v>
      </c>
    </row>
    <row r="68" spans="1:13">
      <c r="A68" s="203" t="s">
        <v>1584</v>
      </c>
      <c r="B68" s="204" t="s">
        <v>1111</v>
      </c>
      <c r="C68" s="204" t="s">
        <v>1115</v>
      </c>
      <c r="D68" s="203" t="s">
        <v>1585</v>
      </c>
      <c r="E68" s="204" t="s">
        <v>1111</v>
      </c>
      <c r="F68" s="203" t="s">
        <v>1585</v>
      </c>
      <c r="G68" s="204" t="s">
        <v>1110</v>
      </c>
      <c r="H68" s="203">
        <v>201411</v>
      </c>
      <c r="I68" s="205">
        <v>-8772.92</v>
      </c>
      <c r="J68" s="203">
        <v>0</v>
      </c>
      <c r="K68" s="206">
        <v>2.0333333000000001E-3</v>
      </c>
      <c r="L68" s="205">
        <f t="shared" si="0"/>
        <v>0</v>
      </c>
      <c r="M68" s="205">
        <f t="shared" si="1"/>
        <v>-214.06</v>
      </c>
    </row>
    <row r="69" spans="1:13">
      <c r="A69" s="203" t="s">
        <v>1584</v>
      </c>
      <c r="B69" s="204" t="s">
        <v>1111</v>
      </c>
      <c r="C69" s="204" t="s">
        <v>1115</v>
      </c>
      <c r="D69" s="203" t="s">
        <v>1585</v>
      </c>
      <c r="E69" s="204" t="s">
        <v>1111</v>
      </c>
      <c r="F69" s="203" t="s">
        <v>1585</v>
      </c>
      <c r="G69" s="204" t="s">
        <v>1110</v>
      </c>
      <c r="H69" s="203">
        <v>201412</v>
      </c>
      <c r="I69" s="205">
        <v>-10940.72</v>
      </c>
      <c r="J69" s="203">
        <v>0</v>
      </c>
      <c r="K69" s="206">
        <v>2.0333333000000001E-3</v>
      </c>
      <c r="L69" s="205">
        <f t="shared" ref="L69:L132" si="2">ROUND(I69*J69*K69,2)</f>
        <v>0</v>
      </c>
      <c r="M69" s="205">
        <f t="shared" ref="M69:M132" si="3">ROUND(I69*K69*12,2)</f>
        <v>-266.95</v>
      </c>
    </row>
    <row r="70" spans="1:13">
      <c r="A70" s="203" t="s">
        <v>1584</v>
      </c>
      <c r="B70" s="204" t="s">
        <v>1111</v>
      </c>
      <c r="C70" s="204" t="s">
        <v>1115</v>
      </c>
      <c r="D70" s="203" t="s">
        <v>1585</v>
      </c>
      <c r="E70" s="204" t="s">
        <v>1111</v>
      </c>
      <c r="F70" s="203" t="s">
        <v>1585</v>
      </c>
      <c r="G70" s="204" t="s">
        <v>1110</v>
      </c>
      <c r="H70" s="203">
        <v>201412</v>
      </c>
      <c r="I70" s="205">
        <v>-420.34</v>
      </c>
      <c r="J70" s="203">
        <v>0</v>
      </c>
      <c r="K70" s="206">
        <v>2.0333333000000001E-3</v>
      </c>
      <c r="L70" s="205">
        <f t="shared" si="2"/>
        <v>0</v>
      </c>
      <c r="M70" s="205">
        <f t="shared" si="3"/>
        <v>-10.26</v>
      </c>
    </row>
    <row r="71" spans="1:13">
      <c r="A71" s="203" t="s">
        <v>1584</v>
      </c>
      <c r="B71" s="204" t="s">
        <v>1111</v>
      </c>
      <c r="C71" s="204" t="s">
        <v>1112</v>
      </c>
      <c r="D71" s="203" t="s">
        <v>1113</v>
      </c>
      <c r="E71" s="204" t="s">
        <v>1111</v>
      </c>
      <c r="F71" s="203" t="s">
        <v>1585</v>
      </c>
      <c r="G71" s="204" t="s">
        <v>1110</v>
      </c>
      <c r="H71" s="203">
        <v>201409</v>
      </c>
      <c r="I71" s="205">
        <v>-344.79</v>
      </c>
      <c r="J71" s="203">
        <v>0</v>
      </c>
      <c r="K71" s="206">
        <v>2.0333333000000001E-3</v>
      </c>
      <c r="L71" s="205">
        <f t="shared" si="2"/>
        <v>0</v>
      </c>
      <c r="M71" s="205">
        <f t="shared" si="3"/>
        <v>-8.41</v>
      </c>
    </row>
    <row r="72" spans="1:13">
      <c r="A72" s="223" t="s">
        <v>17</v>
      </c>
      <c r="B72" s="250" t="s">
        <v>2181</v>
      </c>
      <c r="C72" s="250" t="s">
        <v>1729</v>
      </c>
      <c r="D72" s="223" t="s">
        <v>1730</v>
      </c>
      <c r="E72" s="250" t="s">
        <v>62</v>
      </c>
      <c r="F72" s="223" t="s">
        <v>22</v>
      </c>
      <c r="G72" s="250" t="s">
        <v>1110</v>
      </c>
      <c r="H72" s="223">
        <v>201501</v>
      </c>
      <c r="I72" s="251">
        <v>-12059.56</v>
      </c>
      <c r="J72" s="223">
        <v>0</v>
      </c>
      <c r="K72" s="253">
        <v>1.4833299999999999E-3</v>
      </c>
      <c r="L72" s="251">
        <f t="shared" si="2"/>
        <v>0</v>
      </c>
      <c r="M72" s="251">
        <f t="shared" si="3"/>
        <v>-214.66</v>
      </c>
    </row>
    <row r="73" spans="1:13">
      <c r="A73" s="223" t="s">
        <v>54</v>
      </c>
      <c r="B73" s="250" t="s">
        <v>2181</v>
      </c>
      <c r="C73" s="250" t="s">
        <v>1729</v>
      </c>
      <c r="D73" s="223" t="s">
        <v>1730</v>
      </c>
      <c r="E73" s="250" t="s">
        <v>62</v>
      </c>
      <c r="F73" s="223" t="s">
        <v>22</v>
      </c>
      <c r="G73" s="250" t="s">
        <v>1110</v>
      </c>
      <c r="H73" s="223">
        <v>201501</v>
      </c>
      <c r="I73" s="251">
        <v>-303.27999999999997</v>
      </c>
      <c r="J73" s="223">
        <v>0</v>
      </c>
      <c r="K73" s="253">
        <v>1.4833299999999999E-3</v>
      </c>
      <c r="L73" s="251">
        <f t="shared" si="2"/>
        <v>0</v>
      </c>
      <c r="M73" s="251">
        <f t="shared" si="3"/>
        <v>-5.4</v>
      </c>
    </row>
    <row r="74" spans="1:13">
      <c r="A74" s="223" t="s">
        <v>54</v>
      </c>
      <c r="B74" s="250" t="s">
        <v>1048</v>
      </c>
      <c r="C74" s="250" t="s">
        <v>1049</v>
      </c>
      <c r="D74" s="223" t="s">
        <v>1050</v>
      </c>
      <c r="E74" s="250" t="s">
        <v>925</v>
      </c>
      <c r="F74" s="223" t="s">
        <v>41</v>
      </c>
      <c r="G74" s="250" t="s">
        <v>1110</v>
      </c>
      <c r="H74" s="223">
        <v>201501</v>
      </c>
      <c r="I74" s="251">
        <v>-12571.65</v>
      </c>
      <c r="J74" s="223">
        <v>0</v>
      </c>
      <c r="K74" s="253">
        <v>1.4833299999999999E-3</v>
      </c>
      <c r="L74" s="251">
        <f t="shared" si="2"/>
        <v>0</v>
      </c>
      <c r="M74" s="251">
        <f t="shared" si="3"/>
        <v>-223.77</v>
      </c>
    </row>
    <row r="75" spans="1:13">
      <c r="A75" s="223" t="s">
        <v>17</v>
      </c>
      <c r="B75" s="250" t="s">
        <v>1048</v>
      </c>
      <c r="C75" s="250" t="s">
        <v>1049</v>
      </c>
      <c r="D75" s="223" t="s">
        <v>1050</v>
      </c>
      <c r="E75" s="250" t="s">
        <v>925</v>
      </c>
      <c r="F75" s="223" t="s">
        <v>41</v>
      </c>
      <c r="G75" s="250" t="s">
        <v>1110</v>
      </c>
      <c r="H75" s="223">
        <v>201501</v>
      </c>
      <c r="I75" s="251">
        <v>-10007.219999999999</v>
      </c>
      <c r="J75" s="223">
        <v>0</v>
      </c>
      <c r="K75" s="253">
        <v>1.4833299999999999E-3</v>
      </c>
      <c r="L75" s="251">
        <f t="shared" si="2"/>
        <v>0</v>
      </c>
      <c r="M75" s="251">
        <f t="shared" si="3"/>
        <v>-178.13</v>
      </c>
    </row>
    <row r="76" spans="1:13">
      <c r="A76" s="223" t="s">
        <v>17</v>
      </c>
      <c r="B76" s="250" t="s">
        <v>1051</v>
      </c>
      <c r="C76" s="250" t="s">
        <v>1052</v>
      </c>
      <c r="D76" s="223" t="s">
        <v>1053</v>
      </c>
      <c r="E76" s="250" t="s">
        <v>45</v>
      </c>
      <c r="F76" s="223" t="s">
        <v>22</v>
      </c>
      <c r="G76" s="250" t="s">
        <v>1110</v>
      </c>
      <c r="H76" s="223">
        <v>201501</v>
      </c>
      <c r="I76" s="251">
        <v>-3282.27</v>
      </c>
      <c r="J76" s="223">
        <v>0</v>
      </c>
      <c r="K76" s="253">
        <v>1.4833299999999999E-3</v>
      </c>
      <c r="L76" s="251">
        <f t="shared" si="2"/>
        <v>0</v>
      </c>
      <c r="M76" s="251">
        <f t="shared" si="3"/>
        <v>-58.42</v>
      </c>
    </row>
    <row r="77" spans="1:13">
      <c r="A77" s="223" t="s">
        <v>54</v>
      </c>
      <c r="B77" s="250" t="s">
        <v>1051</v>
      </c>
      <c r="C77" s="250" t="s">
        <v>1052</v>
      </c>
      <c r="D77" s="223" t="s">
        <v>1053</v>
      </c>
      <c r="E77" s="250" t="s">
        <v>45</v>
      </c>
      <c r="F77" s="223" t="s">
        <v>22</v>
      </c>
      <c r="G77" s="250" t="s">
        <v>1110</v>
      </c>
      <c r="H77" s="223">
        <v>201501</v>
      </c>
      <c r="I77" s="251">
        <v>-131.15</v>
      </c>
      <c r="J77" s="223">
        <v>0</v>
      </c>
      <c r="K77" s="253">
        <v>1.4833299999999999E-3</v>
      </c>
      <c r="L77" s="251">
        <f t="shared" si="2"/>
        <v>0</v>
      </c>
      <c r="M77" s="251">
        <f t="shared" si="3"/>
        <v>-2.33</v>
      </c>
    </row>
    <row r="78" spans="1:13">
      <c r="A78" s="223" t="s">
        <v>17</v>
      </c>
      <c r="B78" s="250" t="s">
        <v>2189</v>
      </c>
      <c r="C78" s="250" t="s">
        <v>1731</v>
      </c>
      <c r="D78" s="223" t="s">
        <v>1732</v>
      </c>
      <c r="E78" s="250" t="s">
        <v>62</v>
      </c>
      <c r="F78" s="223" t="s">
        <v>22</v>
      </c>
      <c r="G78" s="250" t="s">
        <v>1110</v>
      </c>
      <c r="H78" s="223">
        <v>201501</v>
      </c>
      <c r="I78" s="251">
        <v>-86116.72</v>
      </c>
      <c r="J78" s="223">
        <v>0</v>
      </c>
      <c r="K78" s="253">
        <v>1.4833299999999999E-3</v>
      </c>
      <c r="L78" s="251">
        <f t="shared" si="2"/>
        <v>0</v>
      </c>
      <c r="M78" s="251">
        <f t="shared" si="3"/>
        <v>-1532.87</v>
      </c>
    </row>
    <row r="79" spans="1:13">
      <c r="A79" s="223" t="s">
        <v>54</v>
      </c>
      <c r="B79" s="250" t="s">
        <v>2189</v>
      </c>
      <c r="C79" s="250" t="s">
        <v>1731</v>
      </c>
      <c r="D79" s="223" t="s">
        <v>1732</v>
      </c>
      <c r="E79" s="250" t="s">
        <v>62</v>
      </c>
      <c r="F79" s="223" t="s">
        <v>22</v>
      </c>
      <c r="G79" s="250" t="s">
        <v>1110</v>
      </c>
      <c r="H79" s="223">
        <v>201501</v>
      </c>
      <c r="I79" s="251">
        <v>-9383.0499999999993</v>
      </c>
      <c r="J79" s="223">
        <v>0</v>
      </c>
      <c r="K79" s="253">
        <v>1.4833299999999999E-3</v>
      </c>
      <c r="L79" s="251">
        <f t="shared" si="2"/>
        <v>0</v>
      </c>
      <c r="M79" s="251">
        <f t="shared" si="3"/>
        <v>-167.02</v>
      </c>
    </row>
    <row r="80" spans="1:13">
      <c r="A80" s="223" t="s">
        <v>217</v>
      </c>
      <c r="B80" s="250" t="s">
        <v>1054</v>
      </c>
      <c r="C80" s="250" t="s">
        <v>1055</v>
      </c>
      <c r="D80" s="223" t="s">
        <v>1056</v>
      </c>
      <c r="E80" s="250" t="s">
        <v>141</v>
      </c>
      <c r="F80" s="223" t="s">
        <v>142</v>
      </c>
      <c r="G80" s="250" t="s">
        <v>1110</v>
      </c>
      <c r="H80" s="223">
        <v>201501</v>
      </c>
      <c r="I80" s="251">
        <v>-18496.259999999998</v>
      </c>
      <c r="J80" s="223">
        <v>0</v>
      </c>
      <c r="K80" s="253">
        <v>1.4833299999999999E-3</v>
      </c>
      <c r="L80" s="251">
        <f t="shared" si="2"/>
        <v>0</v>
      </c>
      <c r="M80" s="251">
        <f t="shared" si="3"/>
        <v>-329.23</v>
      </c>
    </row>
    <row r="81" spans="1:13">
      <c r="A81" s="223" t="s">
        <v>17</v>
      </c>
      <c r="B81" s="250" t="s">
        <v>1054</v>
      </c>
      <c r="C81" s="250" t="s">
        <v>1055</v>
      </c>
      <c r="D81" s="223" t="s">
        <v>1056</v>
      </c>
      <c r="E81" s="250" t="s">
        <v>141</v>
      </c>
      <c r="F81" s="223" t="s">
        <v>142</v>
      </c>
      <c r="G81" s="250" t="s">
        <v>1110</v>
      </c>
      <c r="H81" s="223">
        <v>201501</v>
      </c>
      <c r="I81" s="251">
        <v>-13593.64</v>
      </c>
      <c r="J81" s="223">
        <v>0</v>
      </c>
      <c r="K81" s="253">
        <v>1.4833299999999999E-3</v>
      </c>
      <c r="L81" s="251">
        <f t="shared" si="2"/>
        <v>0</v>
      </c>
      <c r="M81" s="251">
        <f t="shared" si="3"/>
        <v>-241.97</v>
      </c>
    </row>
    <row r="82" spans="1:13">
      <c r="A82" s="223" t="s">
        <v>54</v>
      </c>
      <c r="B82" s="250" t="s">
        <v>1054</v>
      </c>
      <c r="C82" s="250" t="s">
        <v>1055</v>
      </c>
      <c r="D82" s="223" t="s">
        <v>1056</v>
      </c>
      <c r="E82" s="250" t="s">
        <v>141</v>
      </c>
      <c r="F82" s="223" t="s">
        <v>142</v>
      </c>
      <c r="G82" s="250" t="s">
        <v>1110</v>
      </c>
      <c r="H82" s="223">
        <v>201501</v>
      </c>
      <c r="I82" s="251">
        <v>-12508.43</v>
      </c>
      <c r="J82" s="223">
        <v>0</v>
      </c>
      <c r="K82" s="253">
        <v>1.4833299999999999E-3</v>
      </c>
      <c r="L82" s="251">
        <f t="shared" si="2"/>
        <v>0</v>
      </c>
      <c r="M82" s="251">
        <f t="shared" si="3"/>
        <v>-222.65</v>
      </c>
    </row>
    <row r="83" spans="1:13">
      <c r="A83" s="223" t="s">
        <v>17</v>
      </c>
      <c r="B83" s="250" t="s">
        <v>922</v>
      </c>
      <c r="C83" s="250" t="s">
        <v>923</v>
      </c>
      <c r="D83" s="223" t="s">
        <v>924</v>
      </c>
      <c r="E83" s="250" t="s">
        <v>925</v>
      </c>
      <c r="F83" s="223" t="s">
        <v>41</v>
      </c>
      <c r="G83" s="250" t="s">
        <v>1110</v>
      </c>
      <c r="H83" s="223">
        <v>201501</v>
      </c>
      <c r="I83" s="251">
        <v>-15692.25</v>
      </c>
      <c r="J83" s="223">
        <v>0</v>
      </c>
      <c r="K83" s="253">
        <v>1.4833299999999999E-3</v>
      </c>
      <c r="L83" s="251">
        <f t="shared" si="2"/>
        <v>0</v>
      </c>
      <c r="M83" s="251">
        <f t="shared" si="3"/>
        <v>-279.32</v>
      </c>
    </row>
    <row r="84" spans="1:13">
      <c r="A84" s="223" t="s">
        <v>54</v>
      </c>
      <c r="B84" s="250" t="s">
        <v>922</v>
      </c>
      <c r="C84" s="250" t="s">
        <v>923</v>
      </c>
      <c r="D84" s="223" t="s">
        <v>924</v>
      </c>
      <c r="E84" s="250" t="s">
        <v>925</v>
      </c>
      <c r="F84" s="223" t="s">
        <v>41</v>
      </c>
      <c r="G84" s="250" t="s">
        <v>1110</v>
      </c>
      <c r="H84" s="223">
        <v>201501</v>
      </c>
      <c r="I84" s="251">
        <v>-2433.33</v>
      </c>
      <c r="J84" s="223">
        <v>0</v>
      </c>
      <c r="K84" s="253">
        <v>1.4833299999999999E-3</v>
      </c>
      <c r="L84" s="251">
        <f t="shared" si="2"/>
        <v>0</v>
      </c>
      <c r="M84" s="251">
        <f t="shared" si="3"/>
        <v>-43.31</v>
      </c>
    </row>
    <row r="85" spans="1:13">
      <c r="A85" s="223" t="s">
        <v>2226</v>
      </c>
      <c r="B85" s="250" t="s">
        <v>941</v>
      </c>
      <c r="C85" s="250" t="s">
        <v>942</v>
      </c>
      <c r="D85" s="223" t="s">
        <v>943</v>
      </c>
      <c r="E85" s="250" t="s">
        <v>369</v>
      </c>
      <c r="F85" s="223" t="s">
        <v>41</v>
      </c>
      <c r="G85" s="250" t="s">
        <v>1110</v>
      </c>
      <c r="H85" s="223">
        <v>201501</v>
      </c>
      <c r="I85" s="251">
        <v>-632.25</v>
      </c>
      <c r="J85" s="223">
        <v>0</v>
      </c>
      <c r="K85" s="253">
        <v>2.23333E-3</v>
      </c>
      <c r="L85" s="251">
        <f t="shared" si="2"/>
        <v>0</v>
      </c>
      <c r="M85" s="251">
        <f t="shared" si="3"/>
        <v>-16.940000000000001</v>
      </c>
    </row>
    <row r="86" spans="1:13">
      <c r="A86" s="223" t="s">
        <v>17</v>
      </c>
      <c r="B86" s="250" t="s">
        <v>1075</v>
      </c>
      <c r="C86" s="250" t="s">
        <v>1076</v>
      </c>
      <c r="D86" s="223" t="s">
        <v>1077</v>
      </c>
      <c r="E86" s="250" t="s">
        <v>62</v>
      </c>
      <c r="F86" s="223" t="s">
        <v>22</v>
      </c>
      <c r="G86" s="250" t="s">
        <v>1110</v>
      </c>
      <c r="H86" s="223">
        <v>201501</v>
      </c>
      <c r="I86" s="251">
        <v>-1577.08</v>
      </c>
      <c r="J86" s="223">
        <v>0</v>
      </c>
      <c r="K86" s="253">
        <v>1.4833299999999999E-3</v>
      </c>
      <c r="L86" s="251">
        <f t="shared" si="2"/>
        <v>0</v>
      </c>
      <c r="M86" s="251">
        <f t="shared" si="3"/>
        <v>-28.07</v>
      </c>
    </row>
    <row r="87" spans="1:13">
      <c r="A87" s="223" t="s">
        <v>17</v>
      </c>
      <c r="B87" s="250" t="s">
        <v>1078</v>
      </c>
      <c r="C87" s="250" t="s">
        <v>1079</v>
      </c>
      <c r="D87" s="223" t="s">
        <v>1080</v>
      </c>
      <c r="E87" s="250" t="s">
        <v>62</v>
      </c>
      <c r="F87" s="223" t="s">
        <v>22</v>
      </c>
      <c r="G87" s="250" t="s">
        <v>1110</v>
      </c>
      <c r="H87" s="223">
        <v>201501</v>
      </c>
      <c r="I87" s="251">
        <v>-134.66</v>
      </c>
      <c r="J87" s="223">
        <v>0</v>
      </c>
      <c r="K87" s="253">
        <v>1.4833299999999999E-3</v>
      </c>
      <c r="L87" s="251">
        <f t="shared" si="2"/>
        <v>0</v>
      </c>
      <c r="M87" s="251">
        <f t="shared" si="3"/>
        <v>-2.4</v>
      </c>
    </row>
    <row r="88" spans="1:13">
      <c r="A88" s="223" t="s">
        <v>17</v>
      </c>
      <c r="B88" s="250" t="s">
        <v>2204</v>
      </c>
      <c r="C88" s="250" t="s">
        <v>2205</v>
      </c>
      <c r="D88" s="223" t="s">
        <v>2206</v>
      </c>
      <c r="E88" s="250" t="s">
        <v>440</v>
      </c>
      <c r="F88" s="223" t="s">
        <v>28</v>
      </c>
      <c r="G88" s="250" t="s">
        <v>1110</v>
      </c>
      <c r="H88" s="223">
        <v>201501</v>
      </c>
      <c r="I88" s="251">
        <v>-167.75</v>
      </c>
      <c r="J88" s="223">
        <v>0</v>
      </c>
      <c r="K88" s="253">
        <v>1.4833299999999999E-3</v>
      </c>
      <c r="L88" s="251">
        <f t="shared" si="2"/>
        <v>0</v>
      </c>
      <c r="M88" s="251">
        <f t="shared" si="3"/>
        <v>-2.99</v>
      </c>
    </row>
    <row r="89" spans="1:13">
      <c r="A89" s="223" t="s">
        <v>17</v>
      </c>
      <c r="B89" s="250" t="s">
        <v>2216</v>
      </c>
      <c r="C89" s="250" t="s">
        <v>2217</v>
      </c>
      <c r="D89" s="223" t="s">
        <v>2218</v>
      </c>
      <c r="E89" s="250" t="s">
        <v>324</v>
      </c>
      <c r="F89" s="223" t="s">
        <v>325</v>
      </c>
      <c r="G89" s="250" t="s">
        <v>1110</v>
      </c>
      <c r="H89" s="223">
        <v>201501</v>
      </c>
      <c r="I89" s="251">
        <v>-1657.54</v>
      </c>
      <c r="J89" s="223">
        <v>0</v>
      </c>
      <c r="K89" s="253">
        <v>1.4833299999999999E-3</v>
      </c>
      <c r="L89" s="251">
        <f t="shared" si="2"/>
        <v>0</v>
      </c>
      <c r="M89" s="251">
        <f t="shared" si="3"/>
        <v>-29.5</v>
      </c>
    </row>
    <row r="90" spans="1:13">
      <c r="A90" s="223" t="s">
        <v>66</v>
      </c>
      <c r="B90" s="261" t="s">
        <v>1111</v>
      </c>
      <c r="C90" s="261" t="s">
        <v>1115</v>
      </c>
      <c r="D90" s="331" t="s">
        <v>1114</v>
      </c>
      <c r="E90" s="261" t="s">
        <v>1111</v>
      </c>
      <c r="F90" s="331" t="s">
        <v>1114</v>
      </c>
      <c r="G90" s="250" t="s">
        <v>1110</v>
      </c>
      <c r="H90" s="223">
        <v>201501</v>
      </c>
      <c r="I90" s="251">
        <v>-73327.61</v>
      </c>
      <c r="J90" s="223">
        <v>0</v>
      </c>
      <c r="K90" s="253">
        <v>2.23333E-3</v>
      </c>
      <c r="L90" s="251">
        <f t="shared" si="2"/>
        <v>0</v>
      </c>
      <c r="M90" s="251">
        <f t="shared" si="3"/>
        <v>-1965.18</v>
      </c>
    </row>
    <row r="91" spans="1:13">
      <c r="A91" s="223" t="s">
        <v>1584</v>
      </c>
      <c r="B91" s="250" t="s">
        <v>1111</v>
      </c>
      <c r="C91" s="250" t="s">
        <v>1115</v>
      </c>
      <c r="D91" s="223" t="s">
        <v>1585</v>
      </c>
      <c r="E91" s="250" t="s">
        <v>1111</v>
      </c>
      <c r="F91" s="223" t="s">
        <v>1585</v>
      </c>
      <c r="G91" s="250" t="s">
        <v>1110</v>
      </c>
      <c r="H91" s="223">
        <v>201501</v>
      </c>
      <c r="I91" s="251">
        <v>-12328.25</v>
      </c>
      <c r="J91" s="223">
        <v>0</v>
      </c>
      <c r="K91" s="253">
        <v>2.0333333000000001E-3</v>
      </c>
      <c r="L91" s="251">
        <f t="shared" si="2"/>
        <v>0</v>
      </c>
      <c r="M91" s="251">
        <f t="shared" si="3"/>
        <v>-300.81</v>
      </c>
    </row>
    <row r="92" spans="1:13">
      <c r="A92" s="223" t="s">
        <v>17</v>
      </c>
      <c r="B92" s="250" t="s">
        <v>50</v>
      </c>
      <c r="C92" s="250" t="s">
        <v>51</v>
      </c>
      <c r="D92" s="223" t="s">
        <v>52</v>
      </c>
      <c r="E92" s="250" t="s">
        <v>53</v>
      </c>
      <c r="F92" s="223" t="s">
        <v>41</v>
      </c>
      <c r="G92" s="250" t="s">
        <v>1110</v>
      </c>
      <c r="H92" s="223">
        <v>201502</v>
      </c>
      <c r="I92" s="251">
        <v>-6437.88</v>
      </c>
      <c r="J92" s="223">
        <v>0</v>
      </c>
      <c r="K92" s="253">
        <v>1.4833299999999999E-3</v>
      </c>
      <c r="L92" s="251">
        <f t="shared" si="2"/>
        <v>0</v>
      </c>
      <c r="M92" s="251">
        <f t="shared" si="3"/>
        <v>-114.59</v>
      </c>
    </row>
    <row r="93" spans="1:13">
      <c r="A93" s="223" t="s">
        <v>17</v>
      </c>
      <c r="B93" s="250" t="s">
        <v>55</v>
      </c>
      <c r="C93" s="250" t="s">
        <v>56</v>
      </c>
      <c r="D93" s="223" t="s">
        <v>57</v>
      </c>
      <c r="E93" s="250" t="s">
        <v>58</v>
      </c>
      <c r="F93" s="223" t="s">
        <v>22</v>
      </c>
      <c r="G93" s="250" t="s">
        <v>1110</v>
      </c>
      <c r="H93" s="223">
        <v>201502</v>
      </c>
      <c r="I93" s="251">
        <v>-2682.12</v>
      </c>
      <c r="J93" s="223">
        <v>0</v>
      </c>
      <c r="K93" s="253">
        <v>1.4833299999999999E-3</v>
      </c>
      <c r="L93" s="251">
        <f t="shared" si="2"/>
        <v>0</v>
      </c>
      <c r="M93" s="251">
        <f t="shared" si="3"/>
        <v>-47.74</v>
      </c>
    </row>
    <row r="94" spans="1:13">
      <c r="A94" s="223" t="s">
        <v>54</v>
      </c>
      <c r="B94" s="250" t="s">
        <v>55</v>
      </c>
      <c r="C94" s="250" t="s">
        <v>56</v>
      </c>
      <c r="D94" s="223" t="s">
        <v>57</v>
      </c>
      <c r="E94" s="250" t="s">
        <v>58</v>
      </c>
      <c r="F94" s="223" t="s">
        <v>22</v>
      </c>
      <c r="G94" s="250" t="s">
        <v>1110</v>
      </c>
      <c r="H94" s="223">
        <v>201502</v>
      </c>
      <c r="I94" s="251">
        <v>-226.3</v>
      </c>
      <c r="J94" s="223">
        <v>0</v>
      </c>
      <c r="K94" s="253">
        <v>1.4833299999999999E-3</v>
      </c>
      <c r="L94" s="251">
        <f t="shared" si="2"/>
        <v>0</v>
      </c>
      <c r="M94" s="251">
        <f t="shared" si="3"/>
        <v>-4.03</v>
      </c>
    </row>
    <row r="95" spans="1:13">
      <c r="A95" s="223" t="s">
        <v>17</v>
      </c>
      <c r="B95" s="250" t="s">
        <v>281</v>
      </c>
      <c r="C95" s="250" t="s">
        <v>282</v>
      </c>
      <c r="D95" s="223" t="s">
        <v>283</v>
      </c>
      <c r="E95" s="250" t="s">
        <v>40</v>
      </c>
      <c r="F95" s="223" t="s">
        <v>41</v>
      </c>
      <c r="G95" s="250" t="s">
        <v>1110</v>
      </c>
      <c r="H95" s="223">
        <v>201502</v>
      </c>
      <c r="I95" s="251">
        <v>-9122.2099999999991</v>
      </c>
      <c r="J95" s="223">
        <v>0</v>
      </c>
      <c r="K95" s="253">
        <v>1.4833299999999999E-3</v>
      </c>
      <c r="L95" s="251">
        <f t="shared" si="2"/>
        <v>0</v>
      </c>
      <c r="M95" s="251">
        <f t="shared" si="3"/>
        <v>-162.37</v>
      </c>
    </row>
    <row r="96" spans="1:13">
      <c r="A96" s="223" t="s">
        <v>54</v>
      </c>
      <c r="B96" s="250" t="s">
        <v>281</v>
      </c>
      <c r="C96" s="250" t="s">
        <v>282</v>
      </c>
      <c r="D96" s="223" t="s">
        <v>283</v>
      </c>
      <c r="E96" s="250" t="s">
        <v>40</v>
      </c>
      <c r="F96" s="223" t="s">
        <v>41</v>
      </c>
      <c r="G96" s="250" t="s">
        <v>1110</v>
      </c>
      <c r="H96" s="223">
        <v>201502</v>
      </c>
      <c r="I96" s="251">
        <v>-3186.39</v>
      </c>
      <c r="J96" s="223">
        <v>0</v>
      </c>
      <c r="K96" s="253">
        <v>1.4833299999999999E-3</v>
      </c>
      <c r="L96" s="251">
        <f t="shared" si="2"/>
        <v>0</v>
      </c>
      <c r="M96" s="251">
        <f t="shared" si="3"/>
        <v>-56.72</v>
      </c>
    </row>
    <row r="97" spans="1:13">
      <c r="A97" s="223" t="s">
        <v>54</v>
      </c>
      <c r="B97" s="250" t="s">
        <v>1024</v>
      </c>
      <c r="C97" s="250" t="s">
        <v>1025</v>
      </c>
      <c r="D97" s="223" t="s">
        <v>1026</v>
      </c>
      <c r="E97" s="250" t="s">
        <v>216</v>
      </c>
      <c r="F97" s="223" t="s">
        <v>22</v>
      </c>
      <c r="G97" s="250" t="s">
        <v>1110</v>
      </c>
      <c r="H97" s="223">
        <v>201502</v>
      </c>
      <c r="I97" s="251">
        <v>-33.65</v>
      </c>
      <c r="J97" s="223">
        <v>0</v>
      </c>
      <c r="K97" s="253">
        <v>1.4833299999999999E-3</v>
      </c>
      <c r="L97" s="251">
        <f t="shared" si="2"/>
        <v>0</v>
      </c>
      <c r="M97" s="251">
        <f t="shared" si="3"/>
        <v>-0.6</v>
      </c>
    </row>
    <row r="98" spans="1:13">
      <c r="A98" s="223" t="s">
        <v>17</v>
      </c>
      <c r="B98" s="250" t="s">
        <v>1024</v>
      </c>
      <c r="C98" s="250" t="s">
        <v>1025</v>
      </c>
      <c r="D98" s="223" t="s">
        <v>1026</v>
      </c>
      <c r="E98" s="250" t="s">
        <v>216</v>
      </c>
      <c r="F98" s="223" t="s">
        <v>22</v>
      </c>
      <c r="G98" s="250" t="s">
        <v>1110</v>
      </c>
      <c r="H98" s="223">
        <v>201502</v>
      </c>
      <c r="I98" s="251">
        <v>-32.86</v>
      </c>
      <c r="J98" s="223">
        <v>0</v>
      </c>
      <c r="K98" s="253">
        <v>1.4833299999999999E-3</v>
      </c>
      <c r="L98" s="251">
        <f t="shared" si="2"/>
        <v>0</v>
      </c>
      <c r="M98" s="251">
        <f t="shared" si="3"/>
        <v>-0.57999999999999996</v>
      </c>
    </row>
    <row r="99" spans="1:13">
      <c r="A99" s="223" t="s">
        <v>17</v>
      </c>
      <c r="B99" s="250" t="s">
        <v>309</v>
      </c>
      <c r="C99" s="250" t="s">
        <v>310</v>
      </c>
      <c r="D99" s="223" t="s">
        <v>311</v>
      </c>
      <c r="E99" s="250" t="s">
        <v>216</v>
      </c>
      <c r="F99" s="223" t="s">
        <v>22</v>
      </c>
      <c r="G99" s="250" t="s">
        <v>1110</v>
      </c>
      <c r="H99" s="223">
        <v>201502</v>
      </c>
      <c r="I99" s="251">
        <v>-2008.21</v>
      </c>
      <c r="J99" s="223">
        <v>0</v>
      </c>
      <c r="K99" s="253">
        <v>1.4833299999999999E-3</v>
      </c>
      <c r="L99" s="251">
        <f t="shared" si="2"/>
        <v>0</v>
      </c>
      <c r="M99" s="251">
        <f t="shared" si="3"/>
        <v>-35.75</v>
      </c>
    </row>
    <row r="100" spans="1:13">
      <c r="A100" s="223" t="s">
        <v>54</v>
      </c>
      <c r="B100" s="250" t="s">
        <v>309</v>
      </c>
      <c r="C100" s="250" t="s">
        <v>310</v>
      </c>
      <c r="D100" s="223" t="s">
        <v>311</v>
      </c>
      <c r="E100" s="250" t="s">
        <v>216</v>
      </c>
      <c r="F100" s="223" t="s">
        <v>22</v>
      </c>
      <c r="G100" s="250" t="s">
        <v>1110</v>
      </c>
      <c r="H100" s="223">
        <v>201502</v>
      </c>
      <c r="I100" s="251">
        <v>-1245.42</v>
      </c>
      <c r="J100" s="223">
        <v>0</v>
      </c>
      <c r="K100" s="253">
        <v>1.4833299999999999E-3</v>
      </c>
      <c r="L100" s="251">
        <f t="shared" si="2"/>
        <v>0</v>
      </c>
      <c r="M100" s="251">
        <f t="shared" si="3"/>
        <v>-22.17</v>
      </c>
    </row>
    <row r="101" spans="1:13">
      <c r="A101" s="223" t="s">
        <v>17</v>
      </c>
      <c r="B101" s="250" t="s">
        <v>526</v>
      </c>
      <c r="C101" s="250" t="s">
        <v>527</v>
      </c>
      <c r="D101" s="223" t="s">
        <v>528</v>
      </c>
      <c r="E101" s="250" t="s">
        <v>53</v>
      </c>
      <c r="F101" s="223" t="s">
        <v>41</v>
      </c>
      <c r="G101" s="250" t="s">
        <v>1110</v>
      </c>
      <c r="H101" s="223">
        <v>201502</v>
      </c>
      <c r="I101" s="251">
        <v>-3565.44</v>
      </c>
      <c r="J101" s="223">
        <v>0</v>
      </c>
      <c r="K101" s="253">
        <v>1.4833299999999999E-3</v>
      </c>
      <c r="L101" s="251">
        <f t="shared" si="2"/>
        <v>0</v>
      </c>
      <c r="M101" s="251">
        <f t="shared" si="3"/>
        <v>-63.46</v>
      </c>
    </row>
    <row r="102" spans="1:13">
      <c r="A102" s="223" t="s">
        <v>54</v>
      </c>
      <c r="B102" s="250" t="s">
        <v>526</v>
      </c>
      <c r="C102" s="250" t="s">
        <v>527</v>
      </c>
      <c r="D102" s="223" t="s">
        <v>528</v>
      </c>
      <c r="E102" s="250" t="s">
        <v>53</v>
      </c>
      <c r="F102" s="223" t="s">
        <v>41</v>
      </c>
      <c r="G102" s="250" t="s">
        <v>1110</v>
      </c>
      <c r="H102" s="223">
        <v>201502</v>
      </c>
      <c r="I102" s="251">
        <v>-1349.64</v>
      </c>
      <c r="J102" s="223">
        <v>0</v>
      </c>
      <c r="K102" s="253">
        <v>1.4833299999999999E-3</v>
      </c>
      <c r="L102" s="251">
        <f t="shared" si="2"/>
        <v>0</v>
      </c>
      <c r="M102" s="251">
        <f t="shared" si="3"/>
        <v>-24.02</v>
      </c>
    </row>
    <row r="103" spans="1:13">
      <c r="A103" s="223" t="s">
        <v>17</v>
      </c>
      <c r="B103" s="250" t="s">
        <v>1030</v>
      </c>
      <c r="C103" s="250" t="s">
        <v>1031</v>
      </c>
      <c r="D103" s="223" t="s">
        <v>1032</v>
      </c>
      <c r="E103" s="250" t="s">
        <v>53</v>
      </c>
      <c r="F103" s="223" t="s">
        <v>41</v>
      </c>
      <c r="G103" s="250" t="s">
        <v>1110</v>
      </c>
      <c r="H103" s="223">
        <v>201502</v>
      </c>
      <c r="I103" s="251">
        <v>-3154.28</v>
      </c>
      <c r="J103" s="223">
        <v>0</v>
      </c>
      <c r="K103" s="253">
        <v>1.4833299999999999E-3</v>
      </c>
      <c r="L103" s="251">
        <f t="shared" si="2"/>
        <v>0</v>
      </c>
      <c r="M103" s="251">
        <f t="shared" si="3"/>
        <v>-56.15</v>
      </c>
    </row>
    <row r="104" spans="1:13">
      <c r="A104" s="223" t="s">
        <v>54</v>
      </c>
      <c r="B104" s="250" t="s">
        <v>1030</v>
      </c>
      <c r="C104" s="250" t="s">
        <v>1031</v>
      </c>
      <c r="D104" s="223" t="s">
        <v>1032</v>
      </c>
      <c r="E104" s="250" t="s">
        <v>53</v>
      </c>
      <c r="F104" s="223" t="s">
        <v>41</v>
      </c>
      <c r="G104" s="250" t="s">
        <v>1110</v>
      </c>
      <c r="H104" s="223">
        <v>201502</v>
      </c>
      <c r="I104" s="251">
        <v>-3134.73</v>
      </c>
      <c r="J104" s="223">
        <v>0</v>
      </c>
      <c r="K104" s="253">
        <v>1.4833299999999999E-3</v>
      </c>
      <c r="L104" s="251">
        <f t="shared" si="2"/>
        <v>0</v>
      </c>
      <c r="M104" s="251">
        <f t="shared" si="3"/>
        <v>-55.8</v>
      </c>
    </row>
    <row r="105" spans="1:13">
      <c r="A105" s="223" t="s">
        <v>17</v>
      </c>
      <c r="B105" s="250" t="s">
        <v>1033</v>
      </c>
      <c r="C105" s="250" t="s">
        <v>1034</v>
      </c>
      <c r="D105" s="223" t="s">
        <v>1035</v>
      </c>
      <c r="E105" s="250" t="s">
        <v>58</v>
      </c>
      <c r="F105" s="223" t="s">
        <v>22</v>
      </c>
      <c r="G105" s="250" t="s">
        <v>1110</v>
      </c>
      <c r="H105" s="223">
        <v>201502</v>
      </c>
      <c r="I105" s="251">
        <v>-2974.52</v>
      </c>
      <c r="J105" s="223">
        <v>0</v>
      </c>
      <c r="K105" s="253">
        <v>1.4833299999999999E-3</v>
      </c>
      <c r="L105" s="251">
        <f t="shared" si="2"/>
        <v>0</v>
      </c>
      <c r="M105" s="251">
        <f t="shared" si="3"/>
        <v>-52.95</v>
      </c>
    </row>
    <row r="106" spans="1:13">
      <c r="A106" s="223" t="s">
        <v>17</v>
      </c>
      <c r="B106" s="250" t="s">
        <v>1036</v>
      </c>
      <c r="C106" s="250" t="s">
        <v>1037</v>
      </c>
      <c r="D106" s="223" t="s">
        <v>1038</v>
      </c>
      <c r="E106" s="250" t="s">
        <v>40</v>
      </c>
      <c r="F106" s="223" t="s">
        <v>41</v>
      </c>
      <c r="G106" s="250" t="s">
        <v>1110</v>
      </c>
      <c r="H106" s="223">
        <v>201502</v>
      </c>
      <c r="I106" s="251">
        <v>-5358.42</v>
      </c>
      <c r="J106" s="223">
        <v>0</v>
      </c>
      <c r="K106" s="253">
        <v>1.4833299999999999E-3</v>
      </c>
      <c r="L106" s="251">
        <f t="shared" si="2"/>
        <v>0</v>
      </c>
      <c r="M106" s="251">
        <f t="shared" si="3"/>
        <v>-95.38</v>
      </c>
    </row>
    <row r="107" spans="1:13">
      <c r="A107" s="223" t="s">
        <v>54</v>
      </c>
      <c r="B107" s="250" t="s">
        <v>1036</v>
      </c>
      <c r="C107" s="250" t="s">
        <v>1037</v>
      </c>
      <c r="D107" s="223" t="s">
        <v>1038</v>
      </c>
      <c r="E107" s="250" t="s">
        <v>40</v>
      </c>
      <c r="F107" s="223" t="s">
        <v>41</v>
      </c>
      <c r="G107" s="250" t="s">
        <v>1110</v>
      </c>
      <c r="H107" s="223">
        <v>201502</v>
      </c>
      <c r="I107" s="251">
        <v>-3981.32</v>
      </c>
      <c r="J107" s="223">
        <v>0</v>
      </c>
      <c r="K107" s="253">
        <v>1.4833299999999999E-3</v>
      </c>
      <c r="L107" s="251">
        <f t="shared" si="2"/>
        <v>0</v>
      </c>
      <c r="M107" s="251">
        <f t="shared" si="3"/>
        <v>-70.87</v>
      </c>
    </row>
    <row r="108" spans="1:13">
      <c r="A108" s="223" t="s">
        <v>217</v>
      </c>
      <c r="B108" s="250" t="s">
        <v>1036</v>
      </c>
      <c r="C108" s="250" t="s">
        <v>1037</v>
      </c>
      <c r="D108" s="223" t="s">
        <v>1038</v>
      </c>
      <c r="E108" s="250" t="s">
        <v>40</v>
      </c>
      <c r="F108" s="223" t="s">
        <v>41</v>
      </c>
      <c r="G108" s="250" t="s">
        <v>1110</v>
      </c>
      <c r="H108" s="223">
        <v>201502</v>
      </c>
      <c r="I108" s="251">
        <v>-893.9</v>
      </c>
      <c r="J108" s="223">
        <v>0</v>
      </c>
      <c r="K108" s="253">
        <v>1.4833299999999999E-3</v>
      </c>
      <c r="L108" s="251">
        <f t="shared" si="2"/>
        <v>0</v>
      </c>
      <c r="M108" s="251">
        <f t="shared" si="3"/>
        <v>-15.91</v>
      </c>
    </row>
    <row r="109" spans="1:13">
      <c r="A109" s="223" t="s">
        <v>17</v>
      </c>
      <c r="B109" s="250" t="s">
        <v>1039</v>
      </c>
      <c r="C109" s="250" t="s">
        <v>1040</v>
      </c>
      <c r="D109" s="223" t="s">
        <v>1041</v>
      </c>
      <c r="E109" s="250" t="s">
        <v>40</v>
      </c>
      <c r="F109" s="223" t="s">
        <v>41</v>
      </c>
      <c r="G109" s="250" t="s">
        <v>1110</v>
      </c>
      <c r="H109" s="223">
        <v>201502</v>
      </c>
      <c r="I109" s="251">
        <v>-159566.51999999999</v>
      </c>
      <c r="J109" s="223">
        <v>0</v>
      </c>
      <c r="K109" s="253">
        <v>1.4833299999999999E-3</v>
      </c>
      <c r="L109" s="251">
        <f t="shared" si="2"/>
        <v>0</v>
      </c>
      <c r="M109" s="251">
        <f t="shared" si="3"/>
        <v>-2840.28</v>
      </c>
    </row>
    <row r="110" spans="1:13">
      <c r="A110" s="223" t="s">
        <v>217</v>
      </c>
      <c r="B110" s="250" t="s">
        <v>1039</v>
      </c>
      <c r="C110" s="250" t="s">
        <v>1040</v>
      </c>
      <c r="D110" s="223" t="s">
        <v>1041</v>
      </c>
      <c r="E110" s="250" t="s">
        <v>40</v>
      </c>
      <c r="F110" s="223" t="s">
        <v>41</v>
      </c>
      <c r="G110" s="250" t="s">
        <v>1110</v>
      </c>
      <c r="H110" s="223">
        <v>201502</v>
      </c>
      <c r="I110" s="251">
        <v>-11407.51</v>
      </c>
      <c r="J110" s="223">
        <v>0</v>
      </c>
      <c r="K110" s="253">
        <v>1.4833299999999999E-3</v>
      </c>
      <c r="L110" s="251">
        <f t="shared" si="2"/>
        <v>0</v>
      </c>
      <c r="M110" s="251">
        <f t="shared" si="3"/>
        <v>-203.05</v>
      </c>
    </row>
    <row r="111" spans="1:13">
      <c r="A111" s="223" t="s">
        <v>54</v>
      </c>
      <c r="B111" s="250" t="s">
        <v>1039</v>
      </c>
      <c r="C111" s="250" t="s">
        <v>1040</v>
      </c>
      <c r="D111" s="223" t="s">
        <v>1041</v>
      </c>
      <c r="E111" s="250" t="s">
        <v>40</v>
      </c>
      <c r="F111" s="223" t="s">
        <v>41</v>
      </c>
      <c r="G111" s="250" t="s">
        <v>1110</v>
      </c>
      <c r="H111" s="223">
        <v>201502</v>
      </c>
      <c r="I111" s="251">
        <v>-532.82000000000005</v>
      </c>
      <c r="J111" s="223">
        <v>0</v>
      </c>
      <c r="K111" s="253">
        <v>1.4833299999999999E-3</v>
      </c>
      <c r="L111" s="251">
        <f t="shared" si="2"/>
        <v>0</v>
      </c>
      <c r="M111" s="251">
        <f t="shared" si="3"/>
        <v>-9.48</v>
      </c>
    </row>
    <row r="112" spans="1:13">
      <c r="A112" s="223" t="s">
        <v>17</v>
      </c>
      <c r="B112" s="250" t="s">
        <v>813</v>
      </c>
      <c r="C112" s="250" t="s">
        <v>814</v>
      </c>
      <c r="D112" s="223" t="s">
        <v>815</v>
      </c>
      <c r="E112" s="250" t="s">
        <v>62</v>
      </c>
      <c r="F112" s="223" t="s">
        <v>22</v>
      </c>
      <c r="G112" s="250" t="s">
        <v>1110</v>
      </c>
      <c r="H112" s="223">
        <v>201502</v>
      </c>
      <c r="I112" s="251">
        <v>-52753.9</v>
      </c>
      <c r="J112" s="223">
        <v>0</v>
      </c>
      <c r="K112" s="253">
        <v>1.4833299999999999E-3</v>
      </c>
      <c r="L112" s="251">
        <f t="shared" si="2"/>
        <v>0</v>
      </c>
      <c r="M112" s="251">
        <f t="shared" si="3"/>
        <v>-939.02</v>
      </c>
    </row>
    <row r="113" spans="1:13">
      <c r="A113" s="223" t="s">
        <v>54</v>
      </c>
      <c r="B113" s="250" t="s">
        <v>813</v>
      </c>
      <c r="C113" s="250" t="s">
        <v>814</v>
      </c>
      <c r="D113" s="223" t="s">
        <v>815</v>
      </c>
      <c r="E113" s="250" t="s">
        <v>62</v>
      </c>
      <c r="F113" s="223" t="s">
        <v>22</v>
      </c>
      <c r="G113" s="250" t="s">
        <v>1110</v>
      </c>
      <c r="H113" s="223">
        <v>201502</v>
      </c>
      <c r="I113" s="251">
        <v>-18736</v>
      </c>
      <c r="J113" s="223">
        <v>0</v>
      </c>
      <c r="K113" s="253">
        <v>1.4833299999999999E-3</v>
      </c>
      <c r="L113" s="251">
        <f t="shared" si="2"/>
        <v>0</v>
      </c>
      <c r="M113" s="251">
        <f t="shared" si="3"/>
        <v>-333.5</v>
      </c>
    </row>
    <row r="114" spans="1:13">
      <c r="A114" s="223" t="s">
        <v>238</v>
      </c>
      <c r="B114" s="250" t="s">
        <v>1042</v>
      </c>
      <c r="C114" s="250" t="s">
        <v>1043</v>
      </c>
      <c r="D114" s="223" t="s">
        <v>1044</v>
      </c>
      <c r="E114" s="250" t="s">
        <v>168</v>
      </c>
      <c r="F114" s="223" t="s">
        <v>169</v>
      </c>
      <c r="G114" s="250" t="s">
        <v>1110</v>
      </c>
      <c r="H114" s="223">
        <v>201502</v>
      </c>
      <c r="I114" s="251">
        <v>-4046.9</v>
      </c>
      <c r="J114" s="223">
        <v>0</v>
      </c>
      <c r="K114" s="253">
        <v>2.3833299999999999E-3</v>
      </c>
      <c r="L114" s="251">
        <f t="shared" si="2"/>
        <v>0</v>
      </c>
      <c r="M114" s="251">
        <f t="shared" si="3"/>
        <v>-115.74</v>
      </c>
    </row>
    <row r="115" spans="1:13">
      <c r="A115" s="223" t="s">
        <v>17</v>
      </c>
      <c r="B115" s="250" t="s">
        <v>1042</v>
      </c>
      <c r="C115" s="250" t="s">
        <v>1043</v>
      </c>
      <c r="D115" s="223" t="s">
        <v>1044</v>
      </c>
      <c r="E115" s="250" t="s">
        <v>168</v>
      </c>
      <c r="F115" s="223" t="s">
        <v>169</v>
      </c>
      <c r="G115" s="250" t="s">
        <v>1110</v>
      </c>
      <c r="H115" s="223">
        <v>201502</v>
      </c>
      <c r="I115" s="251">
        <v>-2065.3200000000002</v>
      </c>
      <c r="J115" s="223">
        <v>0</v>
      </c>
      <c r="K115" s="253">
        <v>1.4833299999999999E-3</v>
      </c>
      <c r="L115" s="251">
        <f t="shared" si="2"/>
        <v>0</v>
      </c>
      <c r="M115" s="251">
        <f t="shared" si="3"/>
        <v>-36.76</v>
      </c>
    </row>
    <row r="116" spans="1:13">
      <c r="A116" s="223" t="s">
        <v>17</v>
      </c>
      <c r="B116" s="250" t="s">
        <v>2183</v>
      </c>
      <c r="C116" s="250" t="s">
        <v>2184</v>
      </c>
      <c r="D116" s="223" t="s">
        <v>2185</v>
      </c>
      <c r="E116" s="250" t="s">
        <v>62</v>
      </c>
      <c r="F116" s="223" t="s">
        <v>22</v>
      </c>
      <c r="G116" s="250" t="s">
        <v>1110</v>
      </c>
      <c r="H116" s="223">
        <v>201502</v>
      </c>
      <c r="I116" s="251">
        <v>-5507.33</v>
      </c>
      <c r="J116" s="223">
        <v>0</v>
      </c>
      <c r="K116" s="253">
        <v>1.4833299999999999E-3</v>
      </c>
      <c r="L116" s="251">
        <f t="shared" si="2"/>
        <v>0</v>
      </c>
      <c r="M116" s="251">
        <f t="shared" si="3"/>
        <v>-98.03</v>
      </c>
    </row>
    <row r="117" spans="1:13">
      <c r="A117" s="223" t="s">
        <v>54</v>
      </c>
      <c r="B117" s="250" t="s">
        <v>2183</v>
      </c>
      <c r="C117" s="250" t="s">
        <v>2184</v>
      </c>
      <c r="D117" s="223" t="s">
        <v>2185</v>
      </c>
      <c r="E117" s="250" t="s">
        <v>62</v>
      </c>
      <c r="F117" s="223" t="s">
        <v>22</v>
      </c>
      <c r="G117" s="250" t="s">
        <v>1110</v>
      </c>
      <c r="H117" s="223">
        <v>201502</v>
      </c>
      <c r="I117" s="251">
        <v>-1115.8599999999999</v>
      </c>
      <c r="J117" s="223">
        <v>0</v>
      </c>
      <c r="K117" s="253">
        <v>1.4833299999999999E-3</v>
      </c>
      <c r="L117" s="251">
        <f t="shared" si="2"/>
        <v>0</v>
      </c>
      <c r="M117" s="251">
        <f t="shared" si="3"/>
        <v>-19.86</v>
      </c>
    </row>
    <row r="118" spans="1:13">
      <c r="A118" s="223" t="s">
        <v>217</v>
      </c>
      <c r="B118" s="250" t="s">
        <v>1045</v>
      </c>
      <c r="C118" s="250" t="s">
        <v>1046</v>
      </c>
      <c r="D118" s="223" t="s">
        <v>1047</v>
      </c>
      <c r="E118" s="250" t="s">
        <v>462</v>
      </c>
      <c r="F118" s="223" t="s">
        <v>142</v>
      </c>
      <c r="G118" s="250" t="s">
        <v>1110</v>
      </c>
      <c r="H118" s="223">
        <v>201502</v>
      </c>
      <c r="I118" s="251">
        <v>-256.57</v>
      </c>
      <c r="J118" s="223">
        <v>0</v>
      </c>
      <c r="K118" s="253">
        <v>1.4833299999999999E-3</v>
      </c>
      <c r="L118" s="251">
        <f t="shared" si="2"/>
        <v>0</v>
      </c>
      <c r="M118" s="251">
        <f t="shared" si="3"/>
        <v>-4.57</v>
      </c>
    </row>
    <row r="119" spans="1:13">
      <c r="A119" s="223" t="s">
        <v>17</v>
      </c>
      <c r="B119" s="250" t="s">
        <v>2190</v>
      </c>
      <c r="C119" s="250" t="s">
        <v>1733</v>
      </c>
      <c r="D119" s="223" t="s">
        <v>1734</v>
      </c>
      <c r="E119" s="250" t="s">
        <v>216</v>
      </c>
      <c r="F119" s="223" t="s">
        <v>22</v>
      </c>
      <c r="G119" s="250" t="s">
        <v>1110</v>
      </c>
      <c r="H119" s="223">
        <v>201502</v>
      </c>
      <c r="I119" s="251">
        <v>-814.31</v>
      </c>
      <c r="J119" s="223">
        <v>0</v>
      </c>
      <c r="K119" s="253">
        <v>1.4833299999999999E-3</v>
      </c>
      <c r="L119" s="251">
        <f t="shared" si="2"/>
        <v>0</v>
      </c>
      <c r="M119" s="251">
        <f t="shared" si="3"/>
        <v>-14.49</v>
      </c>
    </row>
    <row r="120" spans="1:13">
      <c r="A120" s="223" t="s">
        <v>54</v>
      </c>
      <c r="B120" s="250" t="s">
        <v>2190</v>
      </c>
      <c r="C120" s="250" t="s">
        <v>1733</v>
      </c>
      <c r="D120" s="223" t="s">
        <v>1734</v>
      </c>
      <c r="E120" s="250" t="s">
        <v>216</v>
      </c>
      <c r="F120" s="223" t="s">
        <v>22</v>
      </c>
      <c r="G120" s="250" t="s">
        <v>1110</v>
      </c>
      <c r="H120" s="223">
        <v>201502</v>
      </c>
      <c r="I120" s="251">
        <v>-646.76</v>
      </c>
      <c r="J120" s="223">
        <v>0</v>
      </c>
      <c r="K120" s="253">
        <v>1.4833299999999999E-3</v>
      </c>
      <c r="L120" s="251">
        <f t="shared" si="2"/>
        <v>0</v>
      </c>
      <c r="M120" s="251">
        <f t="shared" si="3"/>
        <v>-11.51</v>
      </c>
    </row>
    <row r="121" spans="1:13">
      <c r="A121" s="223" t="s">
        <v>54</v>
      </c>
      <c r="B121" s="250" t="s">
        <v>919</v>
      </c>
      <c r="C121" s="250" t="s">
        <v>920</v>
      </c>
      <c r="D121" s="223" t="s">
        <v>921</v>
      </c>
      <c r="E121" s="250" t="s">
        <v>362</v>
      </c>
      <c r="F121" s="223" t="s">
        <v>41</v>
      </c>
      <c r="G121" s="250" t="s">
        <v>1110</v>
      </c>
      <c r="H121" s="223">
        <v>201502</v>
      </c>
      <c r="I121" s="251">
        <v>-7977.37</v>
      </c>
      <c r="J121" s="223">
        <v>0</v>
      </c>
      <c r="K121" s="253">
        <v>1.4833299999999999E-3</v>
      </c>
      <c r="L121" s="251">
        <f t="shared" si="2"/>
        <v>0</v>
      </c>
      <c r="M121" s="251">
        <f t="shared" si="3"/>
        <v>-142</v>
      </c>
    </row>
    <row r="122" spans="1:13">
      <c r="A122" s="223" t="s">
        <v>17</v>
      </c>
      <c r="B122" s="250" t="s">
        <v>919</v>
      </c>
      <c r="C122" s="250" t="s">
        <v>920</v>
      </c>
      <c r="D122" s="223" t="s">
        <v>921</v>
      </c>
      <c r="E122" s="250" t="s">
        <v>362</v>
      </c>
      <c r="F122" s="223" t="s">
        <v>41</v>
      </c>
      <c r="G122" s="250" t="s">
        <v>1110</v>
      </c>
      <c r="H122" s="223">
        <v>201502</v>
      </c>
      <c r="I122" s="251">
        <v>-5224.79</v>
      </c>
      <c r="J122" s="223">
        <v>0</v>
      </c>
      <c r="K122" s="253">
        <v>1.4833299999999999E-3</v>
      </c>
      <c r="L122" s="251">
        <f t="shared" si="2"/>
        <v>0</v>
      </c>
      <c r="M122" s="251">
        <f t="shared" si="3"/>
        <v>-93</v>
      </c>
    </row>
    <row r="123" spans="1:13">
      <c r="A123" s="223" t="s">
        <v>17</v>
      </c>
      <c r="B123" s="250" t="s">
        <v>1057</v>
      </c>
      <c r="C123" s="250" t="s">
        <v>1058</v>
      </c>
      <c r="D123" s="223" t="s">
        <v>1059</v>
      </c>
      <c r="E123" s="250" t="s">
        <v>925</v>
      </c>
      <c r="F123" s="223" t="s">
        <v>41</v>
      </c>
      <c r="G123" s="250" t="s">
        <v>1110</v>
      </c>
      <c r="H123" s="223">
        <v>201502</v>
      </c>
      <c r="I123" s="251">
        <v>-635.41</v>
      </c>
      <c r="J123" s="223">
        <v>0</v>
      </c>
      <c r="K123" s="253">
        <v>1.4833299999999999E-3</v>
      </c>
      <c r="L123" s="251">
        <f t="shared" si="2"/>
        <v>0</v>
      </c>
      <c r="M123" s="251">
        <f t="shared" si="3"/>
        <v>-11.31</v>
      </c>
    </row>
    <row r="124" spans="1:13">
      <c r="A124" s="223" t="s">
        <v>17</v>
      </c>
      <c r="B124" s="250" t="s">
        <v>929</v>
      </c>
      <c r="C124" s="250" t="s">
        <v>930</v>
      </c>
      <c r="D124" s="223" t="s">
        <v>931</v>
      </c>
      <c r="E124" s="250" t="s">
        <v>394</v>
      </c>
      <c r="F124" s="223" t="s">
        <v>137</v>
      </c>
      <c r="G124" s="250" t="s">
        <v>1110</v>
      </c>
      <c r="H124" s="223">
        <v>201502</v>
      </c>
      <c r="I124" s="251">
        <v>-651.04999999999995</v>
      </c>
      <c r="J124" s="223">
        <v>0</v>
      </c>
      <c r="K124" s="253">
        <v>1.4833299999999999E-3</v>
      </c>
      <c r="L124" s="251">
        <f t="shared" si="2"/>
        <v>0</v>
      </c>
      <c r="M124" s="251">
        <f t="shared" si="3"/>
        <v>-11.59</v>
      </c>
    </row>
    <row r="125" spans="1:13">
      <c r="A125" s="223" t="s">
        <v>54</v>
      </c>
      <c r="B125" s="250" t="s">
        <v>929</v>
      </c>
      <c r="C125" s="250" t="s">
        <v>930</v>
      </c>
      <c r="D125" s="223" t="s">
        <v>931</v>
      </c>
      <c r="E125" s="250" t="s">
        <v>394</v>
      </c>
      <c r="F125" s="223" t="s">
        <v>137</v>
      </c>
      <c r="G125" s="250" t="s">
        <v>1110</v>
      </c>
      <c r="H125" s="223">
        <v>201502</v>
      </c>
      <c r="I125" s="251">
        <v>-263.98</v>
      </c>
      <c r="J125" s="223">
        <v>0</v>
      </c>
      <c r="K125" s="253">
        <v>1.4833299999999999E-3</v>
      </c>
      <c r="L125" s="251">
        <f t="shared" si="2"/>
        <v>0</v>
      </c>
      <c r="M125" s="251">
        <f t="shared" si="3"/>
        <v>-4.7</v>
      </c>
    </row>
    <row r="126" spans="1:13">
      <c r="A126" s="223" t="s">
        <v>17</v>
      </c>
      <c r="B126" s="250" t="s">
        <v>1060</v>
      </c>
      <c r="C126" s="250" t="s">
        <v>1061</v>
      </c>
      <c r="D126" s="223" t="s">
        <v>1062</v>
      </c>
      <c r="E126" s="250" t="s">
        <v>53</v>
      </c>
      <c r="F126" s="223" t="s">
        <v>41</v>
      </c>
      <c r="G126" s="250" t="s">
        <v>1110</v>
      </c>
      <c r="H126" s="223">
        <v>201502</v>
      </c>
      <c r="I126" s="251">
        <v>-1908.92</v>
      </c>
      <c r="J126" s="223">
        <v>0</v>
      </c>
      <c r="K126" s="253">
        <v>1.4833299999999999E-3</v>
      </c>
      <c r="L126" s="251">
        <f t="shared" si="2"/>
        <v>0</v>
      </c>
      <c r="M126" s="251">
        <f t="shared" si="3"/>
        <v>-33.979999999999997</v>
      </c>
    </row>
    <row r="127" spans="1:13">
      <c r="A127" s="223" t="s">
        <v>54</v>
      </c>
      <c r="B127" s="250" t="s">
        <v>1060</v>
      </c>
      <c r="C127" s="250" t="s">
        <v>1061</v>
      </c>
      <c r="D127" s="223" t="s">
        <v>1062</v>
      </c>
      <c r="E127" s="250" t="s">
        <v>53</v>
      </c>
      <c r="F127" s="223" t="s">
        <v>41</v>
      </c>
      <c r="G127" s="250" t="s">
        <v>1110</v>
      </c>
      <c r="H127" s="223">
        <v>201502</v>
      </c>
      <c r="I127" s="251">
        <v>-400.83</v>
      </c>
      <c r="J127" s="223">
        <v>0</v>
      </c>
      <c r="K127" s="253">
        <v>1.4833299999999999E-3</v>
      </c>
      <c r="L127" s="251">
        <f t="shared" si="2"/>
        <v>0</v>
      </c>
      <c r="M127" s="251">
        <f t="shared" si="3"/>
        <v>-7.13</v>
      </c>
    </row>
    <row r="128" spans="1:13">
      <c r="A128" s="223" t="s">
        <v>17</v>
      </c>
      <c r="B128" s="250" t="s">
        <v>935</v>
      </c>
      <c r="C128" s="250" t="s">
        <v>936</v>
      </c>
      <c r="D128" s="223" t="s">
        <v>937</v>
      </c>
      <c r="E128" s="250" t="s">
        <v>53</v>
      </c>
      <c r="F128" s="223" t="s">
        <v>41</v>
      </c>
      <c r="G128" s="250" t="s">
        <v>1110</v>
      </c>
      <c r="H128" s="223">
        <v>201502</v>
      </c>
      <c r="I128" s="251">
        <v>-102.85</v>
      </c>
      <c r="J128" s="223">
        <v>0</v>
      </c>
      <c r="K128" s="253">
        <v>1.4833299999999999E-3</v>
      </c>
      <c r="L128" s="251">
        <f t="shared" si="2"/>
        <v>0</v>
      </c>
      <c r="M128" s="251">
        <f t="shared" si="3"/>
        <v>-1.83</v>
      </c>
    </row>
    <row r="129" spans="1:13">
      <c r="A129" s="223" t="s">
        <v>17</v>
      </c>
      <c r="B129" s="250" t="s">
        <v>956</v>
      </c>
      <c r="C129" s="250" t="s">
        <v>957</v>
      </c>
      <c r="D129" s="223" t="s">
        <v>958</v>
      </c>
      <c r="E129" s="250" t="s">
        <v>40</v>
      </c>
      <c r="F129" s="223" t="s">
        <v>41</v>
      </c>
      <c r="G129" s="250" t="s">
        <v>1110</v>
      </c>
      <c r="H129" s="223">
        <v>201502</v>
      </c>
      <c r="I129" s="251">
        <v>-39.15</v>
      </c>
      <c r="J129" s="223">
        <v>0</v>
      </c>
      <c r="K129" s="253">
        <v>1.4833299999999999E-3</v>
      </c>
      <c r="L129" s="251">
        <f t="shared" si="2"/>
        <v>0</v>
      </c>
      <c r="M129" s="251">
        <f t="shared" si="3"/>
        <v>-0.7</v>
      </c>
    </row>
    <row r="130" spans="1:13">
      <c r="A130" s="223" t="s">
        <v>17</v>
      </c>
      <c r="B130" s="250" t="s">
        <v>968</v>
      </c>
      <c r="C130" s="250" t="s">
        <v>969</v>
      </c>
      <c r="D130" s="223" t="s">
        <v>970</v>
      </c>
      <c r="E130" s="250" t="s">
        <v>394</v>
      </c>
      <c r="F130" s="223" t="s">
        <v>137</v>
      </c>
      <c r="G130" s="250" t="s">
        <v>1110</v>
      </c>
      <c r="H130" s="223">
        <v>201502</v>
      </c>
      <c r="I130" s="251">
        <v>-2135.54</v>
      </c>
      <c r="J130" s="223">
        <v>0</v>
      </c>
      <c r="K130" s="253">
        <v>1.4833299999999999E-3</v>
      </c>
      <c r="L130" s="251">
        <f t="shared" si="2"/>
        <v>0</v>
      </c>
      <c r="M130" s="251">
        <f t="shared" si="3"/>
        <v>-38.01</v>
      </c>
    </row>
    <row r="131" spans="1:13">
      <c r="A131" s="223" t="s">
        <v>54</v>
      </c>
      <c r="B131" s="250" t="s">
        <v>968</v>
      </c>
      <c r="C131" s="250" t="s">
        <v>969</v>
      </c>
      <c r="D131" s="223" t="s">
        <v>970</v>
      </c>
      <c r="E131" s="250" t="s">
        <v>394</v>
      </c>
      <c r="F131" s="223" t="s">
        <v>137</v>
      </c>
      <c r="G131" s="250" t="s">
        <v>1110</v>
      </c>
      <c r="H131" s="223">
        <v>201502</v>
      </c>
      <c r="I131" s="251">
        <v>-587.23</v>
      </c>
      <c r="J131" s="223">
        <v>0</v>
      </c>
      <c r="K131" s="253">
        <v>1.4833299999999999E-3</v>
      </c>
      <c r="L131" s="251">
        <f t="shared" si="2"/>
        <v>0</v>
      </c>
      <c r="M131" s="251">
        <f t="shared" si="3"/>
        <v>-10.45</v>
      </c>
    </row>
    <row r="132" spans="1:13">
      <c r="A132" s="223" t="s">
        <v>17</v>
      </c>
      <c r="B132" s="250" t="s">
        <v>1002</v>
      </c>
      <c r="C132" s="250" t="s">
        <v>1003</v>
      </c>
      <c r="D132" s="223" t="s">
        <v>1004</v>
      </c>
      <c r="E132" s="250" t="s">
        <v>216</v>
      </c>
      <c r="F132" s="223" t="s">
        <v>22</v>
      </c>
      <c r="G132" s="250" t="s">
        <v>1110</v>
      </c>
      <c r="H132" s="223">
        <v>201502</v>
      </c>
      <c r="I132" s="251">
        <v>-148.22999999999999</v>
      </c>
      <c r="J132" s="223">
        <v>0</v>
      </c>
      <c r="K132" s="253">
        <v>1.4833299999999999E-3</v>
      </c>
      <c r="L132" s="251">
        <f t="shared" si="2"/>
        <v>0</v>
      </c>
      <c r="M132" s="251">
        <f t="shared" si="3"/>
        <v>-2.64</v>
      </c>
    </row>
    <row r="133" spans="1:13">
      <c r="A133" s="223" t="s">
        <v>17</v>
      </c>
      <c r="B133" s="250" t="s">
        <v>1066</v>
      </c>
      <c r="C133" s="250" t="s">
        <v>1067</v>
      </c>
      <c r="D133" s="223" t="s">
        <v>1068</v>
      </c>
      <c r="E133" s="250" t="s">
        <v>567</v>
      </c>
      <c r="F133" s="223" t="s">
        <v>137</v>
      </c>
      <c r="G133" s="250" t="s">
        <v>1110</v>
      </c>
      <c r="H133" s="223">
        <v>201502</v>
      </c>
      <c r="I133" s="251">
        <v>-280.05</v>
      </c>
      <c r="J133" s="223">
        <v>0</v>
      </c>
      <c r="K133" s="253">
        <v>1.4833299999999999E-3</v>
      </c>
      <c r="L133" s="251">
        <f t="shared" ref="L133:L154" si="4">ROUND(I133*J133*K133,2)</f>
        <v>0</v>
      </c>
      <c r="M133" s="251">
        <f t="shared" ref="M133:M154" si="5">ROUND(I133*K133*12,2)</f>
        <v>-4.9800000000000004</v>
      </c>
    </row>
    <row r="134" spans="1:13">
      <c r="A134" s="223" t="s">
        <v>54</v>
      </c>
      <c r="B134" s="250" t="s">
        <v>1014</v>
      </c>
      <c r="C134" s="250" t="s">
        <v>1015</v>
      </c>
      <c r="D134" s="223" t="s">
        <v>1016</v>
      </c>
      <c r="E134" s="250" t="s">
        <v>296</v>
      </c>
      <c r="F134" s="223" t="s">
        <v>28</v>
      </c>
      <c r="G134" s="250" t="s">
        <v>1110</v>
      </c>
      <c r="H134" s="223">
        <v>201502</v>
      </c>
      <c r="I134" s="251">
        <v>-1409.99</v>
      </c>
      <c r="J134" s="223">
        <v>0</v>
      </c>
      <c r="K134" s="253">
        <v>1.4833299999999999E-3</v>
      </c>
      <c r="L134" s="251">
        <f t="shared" si="4"/>
        <v>0</v>
      </c>
      <c r="M134" s="251">
        <f t="shared" si="5"/>
        <v>-25.1</v>
      </c>
    </row>
    <row r="135" spans="1:13">
      <c r="A135" s="223" t="s">
        <v>17</v>
      </c>
      <c r="B135" s="250" t="s">
        <v>1017</v>
      </c>
      <c r="C135" s="250" t="s">
        <v>1018</v>
      </c>
      <c r="D135" s="223" t="s">
        <v>1019</v>
      </c>
      <c r="E135" s="250" t="s">
        <v>1020</v>
      </c>
      <c r="F135" s="223" t="s">
        <v>22</v>
      </c>
      <c r="G135" s="250" t="s">
        <v>1110</v>
      </c>
      <c r="H135" s="223">
        <v>201502</v>
      </c>
      <c r="I135" s="251">
        <v>-338.65</v>
      </c>
      <c r="J135" s="223">
        <v>0</v>
      </c>
      <c r="K135" s="253">
        <v>1.4833299999999999E-3</v>
      </c>
      <c r="L135" s="251">
        <f t="shared" si="4"/>
        <v>0</v>
      </c>
      <c r="M135" s="251">
        <f t="shared" si="5"/>
        <v>-6.03</v>
      </c>
    </row>
    <row r="136" spans="1:13">
      <c r="A136" s="223" t="s">
        <v>54</v>
      </c>
      <c r="B136" s="250" t="s">
        <v>1017</v>
      </c>
      <c r="C136" s="250" t="s">
        <v>1018</v>
      </c>
      <c r="D136" s="223" t="s">
        <v>1019</v>
      </c>
      <c r="E136" s="250" t="s">
        <v>1020</v>
      </c>
      <c r="F136" s="223" t="s">
        <v>22</v>
      </c>
      <c r="G136" s="250" t="s">
        <v>1110</v>
      </c>
      <c r="H136" s="223">
        <v>201502</v>
      </c>
      <c r="I136" s="251">
        <v>-21.04</v>
      </c>
      <c r="J136" s="223">
        <v>0</v>
      </c>
      <c r="K136" s="253">
        <v>1.4833299999999999E-3</v>
      </c>
      <c r="L136" s="251">
        <f t="shared" si="4"/>
        <v>0</v>
      </c>
      <c r="M136" s="251">
        <f t="shared" si="5"/>
        <v>-0.37</v>
      </c>
    </row>
    <row r="137" spans="1:13">
      <c r="A137" s="223" t="s">
        <v>54</v>
      </c>
      <c r="B137" s="250" t="s">
        <v>1072</v>
      </c>
      <c r="C137" s="250" t="s">
        <v>1073</v>
      </c>
      <c r="D137" s="223" t="s">
        <v>1074</v>
      </c>
      <c r="E137" s="250" t="s">
        <v>296</v>
      </c>
      <c r="F137" s="223" t="s">
        <v>28</v>
      </c>
      <c r="G137" s="250" t="s">
        <v>1110</v>
      </c>
      <c r="H137" s="223">
        <v>201502</v>
      </c>
      <c r="I137" s="251">
        <v>-3731.87</v>
      </c>
      <c r="J137" s="223">
        <v>0</v>
      </c>
      <c r="K137" s="253">
        <v>1.4833299999999999E-3</v>
      </c>
      <c r="L137" s="251">
        <f t="shared" si="4"/>
        <v>0</v>
      </c>
      <c r="M137" s="251">
        <f t="shared" si="5"/>
        <v>-66.430000000000007</v>
      </c>
    </row>
    <row r="138" spans="1:13">
      <c r="A138" s="223" t="s">
        <v>17</v>
      </c>
      <c r="B138" s="250" t="s">
        <v>1072</v>
      </c>
      <c r="C138" s="250" t="s">
        <v>1073</v>
      </c>
      <c r="D138" s="223" t="s">
        <v>1074</v>
      </c>
      <c r="E138" s="250" t="s">
        <v>296</v>
      </c>
      <c r="F138" s="223" t="s">
        <v>28</v>
      </c>
      <c r="G138" s="250" t="s">
        <v>1110</v>
      </c>
      <c r="H138" s="223">
        <v>201502</v>
      </c>
      <c r="I138" s="251">
        <v>-113.39</v>
      </c>
      <c r="J138" s="223">
        <v>0</v>
      </c>
      <c r="K138" s="253">
        <v>1.4833299999999999E-3</v>
      </c>
      <c r="L138" s="251">
        <f t="shared" si="4"/>
        <v>0</v>
      </c>
      <c r="M138" s="251">
        <f t="shared" si="5"/>
        <v>-2.02</v>
      </c>
    </row>
    <row r="139" spans="1:13">
      <c r="A139" s="223" t="s">
        <v>217</v>
      </c>
      <c r="B139" s="250" t="s">
        <v>1081</v>
      </c>
      <c r="C139" s="250" t="s">
        <v>1082</v>
      </c>
      <c r="D139" s="223" t="s">
        <v>1083</v>
      </c>
      <c r="E139" s="250" t="s">
        <v>141</v>
      </c>
      <c r="F139" s="223" t="s">
        <v>142</v>
      </c>
      <c r="G139" s="250" t="s">
        <v>1110</v>
      </c>
      <c r="H139" s="223">
        <v>201502</v>
      </c>
      <c r="I139" s="251">
        <v>-4847.25</v>
      </c>
      <c r="J139" s="223">
        <v>0</v>
      </c>
      <c r="K139" s="253">
        <v>1.4833299999999999E-3</v>
      </c>
      <c r="L139" s="251">
        <f t="shared" si="4"/>
        <v>0</v>
      </c>
      <c r="M139" s="251">
        <f t="shared" si="5"/>
        <v>-86.28</v>
      </c>
    </row>
    <row r="140" spans="1:13">
      <c r="A140" s="223" t="s">
        <v>17</v>
      </c>
      <c r="B140" s="250" t="s">
        <v>1084</v>
      </c>
      <c r="C140" s="250" t="s">
        <v>1085</v>
      </c>
      <c r="D140" s="223" t="s">
        <v>1086</v>
      </c>
      <c r="E140" s="250" t="s">
        <v>21</v>
      </c>
      <c r="F140" s="223" t="s">
        <v>22</v>
      </c>
      <c r="G140" s="250" t="s">
        <v>1110</v>
      </c>
      <c r="H140" s="223">
        <v>201502</v>
      </c>
      <c r="I140" s="251">
        <v>-254.23</v>
      </c>
      <c r="J140" s="223">
        <v>0</v>
      </c>
      <c r="K140" s="253">
        <v>1.4833299999999999E-3</v>
      </c>
      <c r="L140" s="251">
        <f t="shared" si="4"/>
        <v>0</v>
      </c>
      <c r="M140" s="251">
        <f t="shared" si="5"/>
        <v>-4.53</v>
      </c>
    </row>
    <row r="141" spans="1:13">
      <c r="A141" s="223" t="s">
        <v>17</v>
      </c>
      <c r="B141" s="250" t="s">
        <v>2197</v>
      </c>
      <c r="C141" s="250" t="s">
        <v>1741</v>
      </c>
      <c r="D141" s="223" t="s">
        <v>1742</v>
      </c>
      <c r="E141" s="250" t="s">
        <v>216</v>
      </c>
      <c r="F141" s="223" t="s">
        <v>22</v>
      </c>
      <c r="G141" s="250" t="s">
        <v>1110</v>
      </c>
      <c r="H141" s="223">
        <v>201502</v>
      </c>
      <c r="I141" s="251">
        <v>-536.29</v>
      </c>
      <c r="J141" s="223">
        <v>0</v>
      </c>
      <c r="K141" s="253">
        <v>1.4833299999999999E-3</v>
      </c>
      <c r="L141" s="251">
        <f t="shared" si="4"/>
        <v>0</v>
      </c>
      <c r="M141" s="251">
        <f t="shared" si="5"/>
        <v>-9.5500000000000007</v>
      </c>
    </row>
    <row r="142" spans="1:13">
      <c r="A142" s="223" t="s">
        <v>54</v>
      </c>
      <c r="B142" s="250" t="s">
        <v>2197</v>
      </c>
      <c r="C142" s="250" t="s">
        <v>1741</v>
      </c>
      <c r="D142" s="223" t="s">
        <v>1742</v>
      </c>
      <c r="E142" s="250" t="s">
        <v>216</v>
      </c>
      <c r="F142" s="223" t="s">
        <v>22</v>
      </c>
      <c r="G142" s="250" t="s">
        <v>1110</v>
      </c>
      <c r="H142" s="223">
        <v>201502</v>
      </c>
      <c r="I142" s="251">
        <v>-421.16</v>
      </c>
      <c r="J142" s="223">
        <v>0</v>
      </c>
      <c r="K142" s="253">
        <v>1.4833299999999999E-3</v>
      </c>
      <c r="L142" s="251">
        <f t="shared" si="4"/>
        <v>0</v>
      </c>
      <c r="M142" s="251">
        <f t="shared" si="5"/>
        <v>-7.5</v>
      </c>
    </row>
    <row r="143" spans="1:13">
      <c r="A143" s="223" t="s">
        <v>17</v>
      </c>
      <c r="B143" s="250" t="s">
        <v>1087</v>
      </c>
      <c r="C143" s="250" t="s">
        <v>1088</v>
      </c>
      <c r="D143" s="223" t="s">
        <v>1089</v>
      </c>
      <c r="E143" s="250" t="s">
        <v>1020</v>
      </c>
      <c r="F143" s="223" t="s">
        <v>22</v>
      </c>
      <c r="G143" s="250" t="s">
        <v>1110</v>
      </c>
      <c r="H143" s="223">
        <v>201502</v>
      </c>
      <c r="I143" s="251">
        <v>-93.05</v>
      </c>
      <c r="J143" s="223">
        <v>0</v>
      </c>
      <c r="K143" s="253">
        <v>1.4833299999999999E-3</v>
      </c>
      <c r="L143" s="251">
        <f t="shared" si="4"/>
        <v>0</v>
      </c>
      <c r="M143" s="251">
        <f t="shared" si="5"/>
        <v>-1.66</v>
      </c>
    </row>
    <row r="144" spans="1:13">
      <c r="A144" s="223" t="s">
        <v>17</v>
      </c>
      <c r="B144" s="250" t="s">
        <v>1090</v>
      </c>
      <c r="C144" s="250" t="s">
        <v>1091</v>
      </c>
      <c r="D144" s="223" t="s">
        <v>1092</v>
      </c>
      <c r="E144" s="250" t="s">
        <v>216</v>
      </c>
      <c r="F144" s="223" t="s">
        <v>22</v>
      </c>
      <c r="G144" s="250" t="s">
        <v>1110</v>
      </c>
      <c r="H144" s="223">
        <v>201502</v>
      </c>
      <c r="I144" s="251">
        <v>-412.52</v>
      </c>
      <c r="J144" s="223">
        <v>0</v>
      </c>
      <c r="K144" s="253">
        <v>1.4833299999999999E-3</v>
      </c>
      <c r="L144" s="251">
        <f t="shared" si="4"/>
        <v>0</v>
      </c>
      <c r="M144" s="251">
        <f t="shared" si="5"/>
        <v>-7.34</v>
      </c>
    </row>
    <row r="145" spans="1:13">
      <c r="A145" s="223" t="s">
        <v>54</v>
      </c>
      <c r="B145" s="250" t="s">
        <v>2219</v>
      </c>
      <c r="C145" s="250" t="s">
        <v>1743</v>
      </c>
      <c r="D145" s="223" t="s">
        <v>1744</v>
      </c>
      <c r="E145" s="250" t="s">
        <v>53</v>
      </c>
      <c r="F145" s="223" t="s">
        <v>41</v>
      </c>
      <c r="G145" s="250" t="s">
        <v>1110</v>
      </c>
      <c r="H145" s="223">
        <v>201502</v>
      </c>
      <c r="I145" s="251">
        <v>-1976.59</v>
      </c>
      <c r="J145" s="223">
        <v>0</v>
      </c>
      <c r="K145" s="253">
        <v>1.4833299999999999E-3</v>
      </c>
      <c r="L145" s="251">
        <f t="shared" si="4"/>
        <v>0</v>
      </c>
      <c r="M145" s="251">
        <f t="shared" si="5"/>
        <v>-35.18</v>
      </c>
    </row>
    <row r="146" spans="1:13">
      <c r="A146" s="223" t="s">
        <v>54</v>
      </c>
      <c r="B146" s="250" t="s">
        <v>1096</v>
      </c>
      <c r="C146" s="250" t="s">
        <v>1097</v>
      </c>
      <c r="D146" s="223" t="s">
        <v>1098</v>
      </c>
      <c r="E146" s="250" t="s">
        <v>462</v>
      </c>
      <c r="F146" s="223" t="s">
        <v>142</v>
      </c>
      <c r="G146" s="250" t="s">
        <v>1110</v>
      </c>
      <c r="H146" s="223">
        <v>201502</v>
      </c>
      <c r="I146" s="251">
        <v>-8376.39</v>
      </c>
      <c r="J146" s="223">
        <v>0</v>
      </c>
      <c r="K146" s="253">
        <v>1.4833299999999999E-3</v>
      </c>
      <c r="L146" s="251">
        <f t="shared" si="4"/>
        <v>0</v>
      </c>
      <c r="M146" s="251">
        <f t="shared" si="5"/>
        <v>-149.1</v>
      </c>
    </row>
    <row r="147" spans="1:13">
      <c r="A147" s="223" t="s">
        <v>217</v>
      </c>
      <c r="B147" s="250" t="s">
        <v>1096</v>
      </c>
      <c r="C147" s="250" t="s">
        <v>1097</v>
      </c>
      <c r="D147" s="223" t="s">
        <v>1098</v>
      </c>
      <c r="E147" s="250" t="s">
        <v>462</v>
      </c>
      <c r="F147" s="223" t="s">
        <v>142</v>
      </c>
      <c r="G147" s="250" t="s">
        <v>1110</v>
      </c>
      <c r="H147" s="223">
        <v>201502</v>
      </c>
      <c r="I147" s="251">
        <v>-1847.28</v>
      </c>
      <c r="J147" s="223">
        <v>0</v>
      </c>
      <c r="K147" s="253">
        <v>1.4833299999999999E-3</v>
      </c>
      <c r="L147" s="251">
        <f t="shared" si="4"/>
        <v>0</v>
      </c>
      <c r="M147" s="251">
        <f t="shared" si="5"/>
        <v>-32.880000000000003</v>
      </c>
    </row>
    <row r="148" spans="1:13">
      <c r="A148" s="223" t="s">
        <v>217</v>
      </c>
      <c r="B148" s="250" t="s">
        <v>2207</v>
      </c>
      <c r="C148" s="250" t="s">
        <v>2208</v>
      </c>
      <c r="D148" s="223" t="s">
        <v>2209</v>
      </c>
      <c r="E148" s="250" t="s">
        <v>141</v>
      </c>
      <c r="F148" s="223" t="s">
        <v>142</v>
      </c>
      <c r="G148" s="250" t="s">
        <v>1110</v>
      </c>
      <c r="H148" s="223">
        <v>201502</v>
      </c>
      <c r="I148" s="251">
        <v>-2099.7800000000002</v>
      </c>
      <c r="J148" s="223">
        <v>0</v>
      </c>
      <c r="K148" s="253">
        <v>1.4833299999999999E-3</v>
      </c>
      <c r="L148" s="251">
        <f t="shared" si="4"/>
        <v>0</v>
      </c>
      <c r="M148" s="251">
        <f t="shared" si="5"/>
        <v>-37.380000000000003</v>
      </c>
    </row>
    <row r="149" spans="1:13">
      <c r="A149" s="223" t="s">
        <v>17</v>
      </c>
      <c r="B149" s="250" t="s">
        <v>2207</v>
      </c>
      <c r="C149" s="250" t="s">
        <v>2208</v>
      </c>
      <c r="D149" s="223" t="s">
        <v>2209</v>
      </c>
      <c r="E149" s="250" t="s">
        <v>141</v>
      </c>
      <c r="F149" s="223" t="s">
        <v>142</v>
      </c>
      <c r="G149" s="250" t="s">
        <v>1110</v>
      </c>
      <c r="H149" s="223">
        <v>201502</v>
      </c>
      <c r="I149" s="251">
        <v>-133.38</v>
      </c>
      <c r="J149" s="223">
        <v>0</v>
      </c>
      <c r="K149" s="253">
        <v>1.4833299999999999E-3</v>
      </c>
      <c r="L149" s="251">
        <f t="shared" si="4"/>
        <v>0</v>
      </c>
      <c r="M149" s="251">
        <f t="shared" si="5"/>
        <v>-2.37</v>
      </c>
    </row>
    <row r="150" spans="1:13">
      <c r="A150" s="223" t="s">
        <v>17</v>
      </c>
      <c r="B150" s="250" t="s">
        <v>2210</v>
      </c>
      <c r="C150" s="250" t="s">
        <v>2211</v>
      </c>
      <c r="D150" s="223" t="s">
        <v>2212</v>
      </c>
      <c r="E150" s="250" t="s">
        <v>45</v>
      </c>
      <c r="F150" s="223" t="s">
        <v>22</v>
      </c>
      <c r="G150" s="250" t="s">
        <v>1110</v>
      </c>
      <c r="H150" s="223">
        <v>201502</v>
      </c>
      <c r="I150" s="251">
        <v>-321.79000000000002</v>
      </c>
      <c r="J150" s="223">
        <v>0</v>
      </c>
      <c r="K150" s="253">
        <v>1.4833299999999999E-3</v>
      </c>
      <c r="L150" s="251">
        <f t="shared" si="4"/>
        <v>0</v>
      </c>
      <c r="M150" s="251">
        <f t="shared" si="5"/>
        <v>-5.73</v>
      </c>
    </row>
    <row r="151" spans="1:13">
      <c r="A151" s="223" t="s">
        <v>17</v>
      </c>
      <c r="B151" s="250" t="s">
        <v>2213</v>
      </c>
      <c r="C151" s="250" t="s">
        <v>2214</v>
      </c>
      <c r="D151" s="223" t="s">
        <v>2215</v>
      </c>
      <c r="E151" s="250" t="s">
        <v>108</v>
      </c>
      <c r="F151" s="223" t="s">
        <v>28</v>
      </c>
      <c r="G151" s="250" t="s">
        <v>1110</v>
      </c>
      <c r="H151" s="223">
        <v>201502</v>
      </c>
      <c r="I151" s="251">
        <v>-24.12</v>
      </c>
      <c r="J151" s="223">
        <v>0</v>
      </c>
      <c r="K151" s="253">
        <v>1.4833299999999999E-3</v>
      </c>
      <c r="L151" s="251">
        <f t="shared" si="4"/>
        <v>0</v>
      </c>
      <c r="M151" s="251">
        <f t="shared" si="5"/>
        <v>-0.43</v>
      </c>
    </row>
    <row r="152" spans="1:13">
      <c r="A152" s="223" t="s">
        <v>217</v>
      </c>
      <c r="B152" s="250" t="s">
        <v>2247</v>
      </c>
      <c r="C152" s="250" t="s">
        <v>2248</v>
      </c>
      <c r="D152" s="223" t="s">
        <v>2249</v>
      </c>
      <c r="E152" s="250" t="s">
        <v>141</v>
      </c>
      <c r="F152" s="223" t="s">
        <v>142</v>
      </c>
      <c r="G152" s="250" t="s">
        <v>1110</v>
      </c>
      <c r="H152" s="223">
        <v>201502</v>
      </c>
      <c r="I152" s="251">
        <v>-17.36</v>
      </c>
      <c r="J152" s="223">
        <v>0</v>
      </c>
      <c r="K152" s="253">
        <v>1.4833299999999999E-3</v>
      </c>
      <c r="L152" s="251">
        <f t="shared" si="4"/>
        <v>0</v>
      </c>
      <c r="M152" s="251">
        <f t="shared" si="5"/>
        <v>-0.31</v>
      </c>
    </row>
    <row r="153" spans="1:13">
      <c r="A153" s="223" t="s">
        <v>66</v>
      </c>
      <c r="B153" s="261" t="s">
        <v>1111</v>
      </c>
      <c r="C153" s="261" t="s">
        <v>1115</v>
      </c>
      <c r="D153" s="331" t="s">
        <v>1114</v>
      </c>
      <c r="E153" s="261" t="s">
        <v>1111</v>
      </c>
      <c r="F153" s="331" t="s">
        <v>1114</v>
      </c>
      <c r="G153" s="250" t="s">
        <v>1110</v>
      </c>
      <c r="H153" s="223">
        <v>201502</v>
      </c>
      <c r="I153" s="251">
        <v>-177663.03</v>
      </c>
      <c r="J153" s="223">
        <v>0</v>
      </c>
      <c r="K153" s="253">
        <v>2.23333E-3</v>
      </c>
      <c r="L153" s="251">
        <f t="shared" si="4"/>
        <v>0</v>
      </c>
      <c r="M153" s="251">
        <f t="shared" si="5"/>
        <v>-4761.3599999999997</v>
      </c>
    </row>
    <row r="154" spans="1:13">
      <c r="A154" s="223" t="s">
        <v>1584</v>
      </c>
      <c r="B154" s="250" t="s">
        <v>1111</v>
      </c>
      <c r="C154" s="250" t="s">
        <v>1115</v>
      </c>
      <c r="D154" s="223" t="s">
        <v>1585</v>
      </c>
      <c r="E154" s="250" t="s">
        <v>1111</v>
      </c>
      <c r="F154" s="223" t="s">
        <v>1585</v>
      </c>
      <c r="G154" s="250" t="s">
        <v>1110</v>
      </c>
      <c r="H154" s="223">
        <v>201502</v>
      </c>
      <c r="I154" s="251">
        <v>-25579.33</v>
      </c>
      <c r="J154" s="223">
        <v>0</v>
      </c>
      <c r="K154" s="253">
        <v>2.0333333000000001E-3</v>
      </c>
      <c r="L154" s="251">
        <f t="shared" si="4"/>
        <v>0</v>
      </c>
      <c r="M154" s="251">
        <f t="shared" si="5"/>
        <v>-624.14</v>
      </c>
    </row>
    <row r="155" spans="1:13">
      <c r="A155" s="223"/>
      <c r="B155" s="250"/>
      <c r="C155" s="250"/>
      <c r="D155" s="223"/>
      <c r="E155" s="250"/>
      <c r="F155" s="223"/>
      <c r="G155" s="250"/>
      <c r="H155" s="223"/>
      <c r="I155" s="251"/>
      <c r="J155" s="223"/>
      <c r="K155" s="253"/>
      <c r="L155" s="251"/>
      <c r="M155" s="251"/>
    </row>
    <row r="157" spans="1:13" ht="15.75" thickBot="1">
      <c r="B157"/>
      <c r="C157"/>
      <c r="E157"/>
      <c r="G157"/>
      <c r="H157" s="30" t="s">
        <v>1116</v>
      </c>
      <c r="I157" s="31">
        <f>SUM(I5:I156)</f>
        <v>-1859621.6900000006</v>
      </c>
      <c r="J157"/>
      <c r="M157" s="31">
        <f>SUM(M5:M156)</f>
        <v>-40291.899999999994</v>
      </c>
    </row>
    <row r="158" spans="1:13" ht="15.75" thickTop="1">
      <c r="B158"/>
      <c r="C158"/>
      <c r="E158"/>
      <c r="G158"/>
      <c r="J158"/>
    </row>
    <row r="159" spans="1:13">
      <c r="H159" s="30" t="s">
        <v>2312</v>
      </c>
      <c r="I159" s="33">
        <f>SUM(I5:I71)</f>
        <v>-1015806.7600000002</v>
      </c>
    </row>
  </sheetData>
  <pageMargins left="0.45" right="0.45" top="1.25" bottom="0.5" header="0.8" footer="0.3"/>
  <pageSetup scale="40" fitToHeight="2" orientation="landscape" r:id="rId1"/>
  <headerFooter>
    <oddHeader>&amp;RAppendix D
Page &amp;P of &amp;N</oddHeader>
  </headerFooter>
</worksheet>
</file>

<file path=xl/worksheets/sheet7.xml><?xml version="1.0" encoding="utf-8"?>
<worksheet xmlns="http://schemas.openxmlformats.org/spreadsheetml/2006/main" xmlns:r="http://schemas.openxmlformats.org/officeDocument/2006/relationships">
  <sheetPr>
    <tabColor rgb="FF00B050"/>
  </sheetPr>
  <dimension ref="A1:G387"/>
  <sheetViews>
    <sheetView zoomScale="85" zoomScaleNormal="85" workbookViewId="0">
      <pane ySplit="4" topLeftCell="A375" activePane="bottomLeft" state="frozen"/>
      <selection pane="bottomLeft" activeCell="G387" sqref="G387"/>
    </sheetView>
  </sheetViews>
  <sheetFormatPr defaultRowHeight="15"/>
  <cols>
    <col min="1" max="1" width="12.140625" style="2" customWidth="1"/>
    <col min="2" max="2" width="13.140625" style="2" customWidth="1"/>
    <col min="3" max="3" width="40" style="35" customWidth="1"/>
    <col min="4" max="4" width="92.140625" style="3" customWidth="1"/>
    <col min="5" max="5" width="9.42578125" style="2" customWidth="1"/>
    <col min="6" max="6" width="33" style="3" customWidth="1"/>
    <col min="7" max="7" width="14.7109375" style="6" customWidth="1"/>
    <col min="8" max="16384" width="9.140625" style="3"/>
  </cols>
  <sheetData>
    <row r="1" spans="1:7">
      <c r="A1" s="1">
        <v>5395</v>
      </c>
    </row>
    <row r="2" spans="1:7">
      <c r="A2" s="1" t="s">
        <v>2</v>
      </c>
    </row>
    <row r="3" spans="1:7">
      <c r="A3" s="36" t="s">
        <v>1117</v>
      </c>
    </row>
    <row r="4" spans="1:7" s="13" customFormat="1" ht="35.25" customHeight="1">
      <c r="A4" s="9" t="s">
        <v>5</v>
      </c>
      <c r="B4" s="9" t="s">
        <v>4</v>
      </c>
      <c r="C4" s="37" t="s">
        <v>6</v>
      </c>
      <c r="D4" s="8" t="s">
        <v>1118</v>
      </c>
      <c r="E4" s="9" t="s">
        <v>7</v>
      </c>
      <c r="F4" s="8" t="s">
        <v>8</v>
      </c>
      <c r="G4" s="11" t="s">
        <v>11</v>
      </c>
    </row>
    <row r="5" spans="1:7" ht="45">
      <c r="A5" s="15" t="s">
        <v>19</v>
      </c>
      <c r="B5" s="15" t="s">
        <v>18</v>
      </c>
      <c r="C5" s="38" t="s">
        <v>20</v>
      </c>
      <c r="D5" s="39" t="s">
        <v>1119</v>
      </c>
      <c r="E5" s="15" t="s">
        <v>21</v>
      </c>
      <c r="F5" s="38" t="s">
        <v>22</v>
      </c>
      <c r="G5" s="16">
        <v>-607.88</v>
      </c>
    </row>
    <row r="6" spans="1:7" ht="30">
      <c r="A6" s="15" t="s">
        <v>25</v>
      </c>
      <c r="B6" s="15" t="s">
        <v>24</v>
      </c>
      <c r="C6" s="38" t="s">
        <v>26</v>
      </c>
      <c r="D6" s="39" t="s">
        <v>1120</v>
      </c>
      <c r="E6" s="15" t="s">
        <v>27</v>
      </c>
      <c r="F6" s="38" t="s">
        <v>28</v>
      </c>
      <c r="G6" s="16">
        <v>2.6</v>
      </c>
    </row>
    <row r="7" spans="1:7" ht="45">
      <c r="A7" s="15" t="s">
        <v>30</v>
      </c>
      <c r="B7" s="15" t="s">
        <v>29</v>
      </c>
      <c r="C7" s="38" t="s">
        <v>31</v>
      </c>
      <c r="D7" s="39" t="s">
        <v>1121</v>
      </c>
      <c r="E7" s="15" t="s">
        <v>32</v>
      </c>
      <c r="F7" s="38" t="s">
        <v>22</v>
      </c>
      <c r="G7" s="16">
        <v>-49.61</v>
      </c>
    </row>
    <row r="8" spans="1:7" ht="30">
      <c r="A8" s="15" t="s">
        <v>34</v>
      </c>
      <c r="B8" s="15" t="s">
        <v>33</v>
      </c>
      <c r="C8" s="38" t="s">
        <v>35</v>
      </c>
      <c r="D8" s="39" t="s">
        <v>1122</v>
      </c>
      <c r="E8" s="15" t="s">
        <v>36</v>
      </c>
      <c r="F8" s="38" t="s">
        <v>22</v>
      </c>
      <c r="G8" s="16">
        <v>-133.36000000000001</v>
      </c>
    </row>
    <row r="9" spans="1:7" ht="30">
      <c r="A9" s="15" t="s">
        <v>38</v>
      </c>
      <c r="B9" s="15" t="s">
        <v>37</v>
      </c>
      <c r="C9" s="38" t="s">
        <v>39</v>
      </c>
      <c r="D9" s="39" t="s">
        <v>1123</v>
      </c>
      <c r="E9" s="15" t="s">
        <v>40</v>
      </c>
      <c r="F9" s="38" t="s">
        <v>41</v>
      </c>
      <c r="G9" s="16">
        <v>10.42</v>
      </c>
    </row>
    <row r="10" spans="1:7" ht="30">
      <c r="A10" s="15" t="s">
        <v>43</v>
      </c>
      <c r="B10" s="15" t="s">
        <v>42</v>
      </c>
      <c r="C10" s="38" t="s">
        <v>44</v>
      </c>
      <c r="D10" s="39" t="s">
        <v>1124</v>
      </c>
      <c r="E10" s="15" t="s">
        <v>45</v>
      </c>
      <c r="F10" s="38" t="s">
        <v>22</v>
      </c>
      <c r="G10" s="16">
        <v>7.45</v>
      </c>
    </row>
    <row r="11" spans="1:7" ht="60">
      <c r="A11" s="15" t="s">
        <v>47</v>
      </c>
      <c r="B11" s="15" t="s">
        <v>46</v>
      </c>
      <c r="C11" s="38" t="s">
        <v>48</v>
      </c>
      <c r="D11" s="39" t="s">
        <v>1125</v>
      </c>
      <c r="E11" s="15" t="s">
        <v>49</v>
      </c>
      <c r="F11" s="38" t="s">
        <v>22</v>
      </c>
      <c r="G11" s="16">
        <v>20.05</v>
      </c>
    </row>
    <row r="12" spans="1:7" ht="75">
      <c r="A12" s="15" t="s">
        <v>51</v>
      </c>
      <c r="B12" s="15" t="s">
        <v>50</v>
      </c>
      <c r="C12" s="38" t="s">
        <v>52</v>
      </c>
      <c r="D12" s="39" t="s">
        <v>1126</v>
      </c>
      <c r="E12" s="15" t="s">
        <v>53</v>
      </c>
      <c r="F12" s="38" t="s">
        <v>41</v>
      </c>
      <c r="G12" s="16">
        <v>24407.95</v>
      </c>
    </row>
    <row r="13" spans="1:7" ht="120">
      <c r="A13" s="15" t="s">
        <v>56</v>
      </c>
      <c r="B13" s="15" t="s">
        <v>55</v>
      </c>
      <c r="C13" s="38" t="s">
        <v>57</v>
      </c>
      <c r="D13" s="39" t="s">
        <v>1127</v>
      </c>
      <c r="E13" s="15" t="s">
        <v>58</v>
      </c>
      <c r="F13" s="38" t="s">
        <v>22</v>
      </c>
      <c r="G13" s="16">
        <v>181244.16</v>
      </c>
    </row>
    <row r="14" spans="1:7" ht="150">
      <c r="A14" s="15" t="s">
        <v>60</v>
      </c>
      <c r="B14" s="15" t="s">
        <v>59</v>
      </c>
      <c r="C14" s="38" t="s">
        <v>61</v>
      </c>
      <c r="D14" s="39" t="s">
        <v>1128</v>
      </c>
      <c r="E14" s="15" t="s">
        <v>62</v>
      </c>
      <c r="F14" s="38" t="s">
        <v>22</v>
      </c>
      <c r="G14" s="16">
        <v>9975.01</v>
      </c>
    </row>
    <row r="15" spans="1:7" ht="60">
      <c r="A15" s="15" t="s">
        <v>64</v>
      </c>
      <c r="B15" s="15" t="s">
        <v>63</v>
      </c>
      <c r="C15" s="38" t="s">
        <v>65</v>
      </c>
      <c r="D15" s="39" t="s">
        <v>1129</v>
      </c>
      <c r="E15" s="15" t="s">
        <v>32</v>
      </c>
      <c r="F15" s="38" t="s">
        <v>22</v>
      </c>
      <c r="G15" s="16">
        <v>3.2</v>
      </c>
    </row>
    <row r="16" spans="1:7" ht="30">
      <c r="A16" s="15" t="s">
        <v>68</v>
      </c>
      <c r="B16" s="15" t="s">
        <v>67</v>
      </c>
      <c r="C16" s="38" t="s">
        <v>69</v>
      </c>
      <c r="D16" s="207" t="s">
        <v>1618</v>
      </c>
      <c r="E16" s="15" t="s">
        <v>70</v>
      </c>
      <c r="F16" s="38" t="s">
        <v>71</v>
      </c>
      <c r="G16" s="16">
        <v>33.67</v>
      </c>
    </row>
    <row r="17" spans="1:7" ht="30">
      <c r="A17" s="15" t="s">
        <v>73</v>
      </c>
      <c r="B17" s="15" t="s">
        <v>72</v>
      </c>
      <c r="C17" s="38" t="s">
        <v>74</v>
      </c>
      <c r="D17" s="207" t="s">
        <v>1619</v>
      </c>
      <c r="E17" s="15" t="s">
        <v>75</v>
      </c>
      <c r="F17" s="38" t="s">
        <v>71</v>
      </c>
      <c r="G17" s="16">
        <v>413445.6</v>
      </c>
    </row>
    <row r="18" spans="1:7" ht="30">
      <c r="A18" s="15" t="s">
        <v>77</v>
      </c>
      <c r="B18" s="15" t="s">
        <v>76</v>
      </c>
      <c r="C18" s="38" t="s">
        <v>78</v>
      </c>
      <c r="D18" s="207" t="s">
        <v>1620</v>
      </c>
      <c r="E18" s="15" t="s">
        <v>79</v>
      </c>
      <c r="F18" s="38" t="s">
        <v>80</v>
      </c>
      <c r="G18" s="16">
        <v>5719.2</v>
      </c>
    </row>
    <row r="19" spans="1:7" ht="30">
      <c r="A19" s="15" t="s">
        <v>82</v>
      </c>
      <c r="B19" s="15" t="s">
        <v>81</v>
      </c>
      <c r="C19" s="38" t="s">
        <v>83</v>
      </c>
      <c r="D19" s="208" t="s">
        <v>1621</v>
      </c>
      <c r="E19" s="15" t="s">
        <v>84</v>
      </c>
      <c r="F19" s="38" t="s">
        <v>85</v>
      </c>
      <c r="G19" s="16">
        <v>220581.19</v>
      </c>
    </row>
    <row r="20" spans="1:7" ht="30">
      <c r="A20" s="15" t="s">
        <v>87</v>
      </c>
      <c r="B20" s="15" t="s">
        <v>86</v>
      </c>
      <c r="C20" s="38" t="s">
        <v>88</v>
      </c>
      <c r="D20" s="208" t="s">
        <v>1622</v>
      </c>
      <c r="E20" s="15" t="s">
        <v>89</v>
      </c>
      <c r="F20" s="38" t="s">
        <v>85</v>
      </c>
      <c r="G20" s="16">
        <v>5005.29</v>
      </c>
    </row>
    <row r="21" spans="1:7" ht="30">
      <c r="A21" s="15" t="s">
        <v>91</v>
      </c>
      <c r="B21" s="15" t="s">
        <v>90</v>
      </c>
      <c r="C21" s="38" t="s">
        <v>78</v>
      </c>
      <c r="D21" s="208" t="s">
        <v>1623</v>
      </c>
      <c r="E21" s="15" t="s">
        <v>92</v>
      </c>
      <c r="F21" s="38" t="s">
        <v>80</v>
      </c>
      <c r="G21" s="16">
        <v>71511.290000000008</v>
      </c>
    </row>
    <row r="22" spans="1:7" ht="30">
      <c r="A22" s="15" t="s">
        <v>94</v>
      </c>
      <c r="B22" s="15" t="s">
        <v>93</v>
      </c>
      <c r="C22" s="38" t="s">
        <v>95</v>
      </c>
      <c r="D22" s="207" t="s">
        <v>1624</v>
      </c>
      <c r="E22" s="15" t="s">
        <v>96</v>
      </c>
      <c r="F22" s="38" t="s">
        <v>97</v>
      </c>
      <c r="G22" s="16">
        <v>-596.15</v>
      </c>
    </row>
    <row r="23" spans="1:7" ht="45">
      <c r="A23" s="15" t="s">
        <v>99</v>
      </c>
      <c r="B23" s="15" t="s">
        <v>98</v>
      </c>
      <c r="C23" s="38" t="s">
        <v>100</v>
      </c>
      <c r="D23" s="39" t="s">
        <v>1131</v>
      </c>
      <c r="E23" s="15" t="s">
        <v>62</v>
      </c>
      <c r="F23" s="38" t="s">
        <v>22</v>
      </c>
      <c r="G23" s="16">
        <v>0.32</v>
      </c>
    </row>
    <row r="24" spans="1:7" ht="75">
      <c r="A24" s="15" t="s">
        <v>102</v>
      </c>
      <c r="B24" s="15" t="s">
        <v>101</v>
      </c>
      <c r="C24" s="38" t="s">
        <v>103</v>
      </c>
      <c r="D24" s="39" t="s">
        <v>1132</v>
      </c>
      <c r="E24" s="15" t="s">
        <v>104</v>
      </c>
      <c r="F24" s="38" t="s">
        <v>41</v>
      </c>
      <c r="G24" s="16">
        <v>-39.9</v>
      </c>
    </row>
    <row r="25" spans="1:7" ht="75">
      <c r="A25" s="15" t="s">
        <v>106</v>
      </c>
      <c r="B25" s="15" t="s">
        <v>105</v>
      </c>
      <c r="C25" s="38" t="s">
        <v>107</v>
      </c>
      <c r="D25" s="39" t="s">
        <v>1133</v>
      </c>
      <c r="E25" s="15" t="s">
        <v>108</v>
      </c>
      <c r="F25" s="38" t="s">
        <v>28</v>
      </c>
      <c r="G25" s="16">
        <v>-10949.9</v>
      </c>
    </row>
    <row r="26" spans="1:7" ht="60">
      <c r="A26" s="15" t="s">
        <v>110</v>
      </c>
      <c r="B26" s="15" t="s">
        <v>109</v>
      </c>
      <c r="C26" s="38" t="s">
        <v>111</v>
      </c>
      <c r="D26" s="39" t="s">
        <v>1134</v>
      </c>
      <c r="E26" s="15" t="s">
        <v>112</v>
      </c>
      <c r="F26" s="38" t="s">
        <v>22</v>
      </c>
      <c r="G26" s="16">
        <v>-30.63</v>
      </c>
    </row>
    <row r="27" spans="1:7" ht="105">
      <c r="A27" s="15" t="s">
        <v>114</v>
      </c>
      <c r="B27" s="15" t="s">
        <v>113</v>
      </c>
      <c r="C27" s="38" t="s">
        <v>115</v>
      </c>
      <c r="D27" s="39" t="s">
        <v>1135</v>
      </c>
      <c r="E27" s="15" t="s">
        <v>58</v>
      </c>
      <c r="F27" s="38" t="s">
        <v>22</v>
      </c>
      <c r="G27" s="16">
        <v>-170.7</v>
      </c>
    </row>
    <row r="28" spans="1:7" ht="120">
      <c r="A28" s="15" t="s">
        <v>117</v>
      </c>
      <c r="B28" s="15" t="s">
        <v>116</v>
      </c>
      <c r="C28" s="38" t="s">
        <v>118</v>
      </c>
      <c r="D28" s="39" t="s">
        <v>1136</v>
      </c>
      <c r="E28" s="15" t="s">
        <v>27</v>
      </c>
      <c r="F28" s="38" t="s">
        <v>28</v>
      </c>
      <c r="G28" s="16">
        <v>-586.59</v>
      </c>
    </row>
    <row r="29" spans="1:7" ht="75">
      <c r="A29" s="15" t="s">
        <v>120</v>
      </c>
      <c r="B29" s="15" t="s">
        <v>119</v>
      </c>
      <c r="C29" s="38" t="s">
        <v>121</v>
      </c>
      <c r="D29" s="39" t="s">
        <v>1137</v>
      </c>
      <c r="E29" s="15" t="s">
        <v>32</v>
      </c>
      <c r="F29" s="38" t="s">
        <v>22</v>
      </c>
      <c r="G29" s="16">
        <v>-269.26</v>
      </c>
    </row>
    <row r="30" spans="1:7" ht="120">
      <c r="A30" s="15" t="s">
        <v>123</v>
      </c>
      <c r="B30" s="15" t="s">
        <v>122</v>
      </c>
      <c r="C30" s="38" t="s">
        <v>124</v>
      </c>
      <c r="D30" s="39" t="s">
        <v>1138</v>
      </c>
      <c r="E30" s="15" t="s">
        <v>125</v>
      </c>
      <c r="F30" s="38" t="s">
        <v>126</v>
      </c>
      <c r="G30" s="16">
        <v>-131.71</v>
      </c>
    </row>
    <row r="31" spans="1:7" ht="150">
      <c r="A31" s="15" t="s">
        <v>128</v>
      </c>
      <c r="B31" s="15" t="s">
        <v>127</v>
      </c>
      <c r="C31" s="38" t="s">
        <v>129</v>
      </c>
      <c r="D31" s="39" t="s">
        <v>1139</v>
      </c>
      <c r="E31" s="15" t="s">
        <v>62</v>
      </c>
      <c r="F31" s="38" t="s">
        <v>22</v>
      </c>
      <c r="G31" s="16">
        <v>-1334.18</v>
      </c>
    </row>
    <row r="32" spans="1:7" ht="30">
      <c r="A32" s="15" t="s">
        <v>131</v>
      </c>
      <c r="B32" s="15" t="s">
        <v>130</v>
      </c>
      <c r="C32" s="38" t="s">
        <v>132</v>
      </c>
      <c r="D32" s="39" t="s">
        <v>1140</v>
      </c>
      <c r="E32" s="15" t="s">
        <v>36</v>
      </c>
      <c r="F32" s="38" t="s">
        <v>22</v>
      </c>
      <c r="G32" s="16">
        <v>-317.52</v>
      </c>
    </row>
    <row r="33" spans="1:7" ht="105">
      <c r="A33" s="15" t="s">
        <v>134</v>
      </c>
      <c r="B33" s="15" t="s">
        <v>133</v>
      </c>
      <c r="C33" s="38" t="s">
        <v>135</v>
      </c>
      <c r="D33" s="39" t="s">
        <v>1141</v>
      </c>
      <c r="E33" s="15" t="s">
        <v>136</v>
      </c>
      <c r="F33" s="38" t="s">
        <v>137</v>
      </c>
      <c r="G33" s="16">
        <v>-3718.06</v>
      </c>
    </row>
    <row r="34" spans="1:7" ht="60">
      <c r="A34" s="15" t="s">
        <v>139</v>
      </c>
      <c r="B34" s="15" t="s">
        <v>138</v>
      </c>
      <c r="C34" s="38" t="s">
        <v>140</v>
      </c>
      <c r="D34" s="39" t="s">
        <v>1142</v>
      </c>
      <c r="E34" s="15" t="s">
        <v>141</v>
      </c>
      <c r="F34" s="38" t="s">
        <v>142</v>
      </c>
      <c r="G34" s="16">
        <v>-2154.0500000000002</v>
      </c>
    </row>
    <row r="35" spans="1:7" ht="45">
      <c r="A35" s="15" t="s">
        <v>144</v>
      </c>
      <c r="B35" s="15" t="s">
        <v>143</v>
      </c>
      <c r="C35" s="38" t="s">
        <v>145</v>
      </c>
      <c r="D35" s="39" t="s">
        <v>1143</v>
      </c>
      <c r="E35" s="15" t="s">
        <v>62</v>
      </c>
      <c r="F35" s="38" t="s">
        <v>22</v>
      </c>
      <c r="G35" s="16">
        <v>-515.72</v>
      </c>
    </row>
    <row r="36" spans="1:7" ht="105">
      <c r="A36" s="15" t="s">
        <v>147</v>
      </c>
      <c r="B36" s="15" t="s">
        <v>146</v>
      </c>
      <c r="C36" s="38" t="s">
        <v>148</v>
      </c>
      <c r="D36" s="39" t="s">
        <v>1144</v>
      </c>
      <c r="E36" s="15" t="s">
        <v>62</v>
      </c>
      <c r="F36" s="38" t="s">
        <v>22</v>
      </c>
      <c r="G36" s="16">
        <v>805061.71</v>
      </c>
    </row>
    <row r="37" spans="1:7" ht="45">
      <c r="A37" s="15" t="s">
        <v>150</v>
      </c>
      <c r="B37" s="15" t="s">
        <v>149</v>
      </c>
      <c r="C37" s="38" t="s">
        <v>151</v>
      </c>
      <c r="D37" s="39" t="s">
        <v>1145</v>
      </c>
      <c r="E37" s="15" t="s">
        <v>40</v>
      </c>
      <c r="F37" s="38" t="s">
        <v>41</v>
      </c>
      <c r="G37" s="16">
        <v>18692.43</v>
      </c>
    </row>
    <row r="38" spans="1:7" ht="60">
      <c r="A38" s="15" t="s">
        <v>153</v>
      </c>
      <c r="B38" s="15" t="s">
        <v>152</v>
      </c>
      <c r="C38" s="38" t="s">
        <v>154</v>
      </c>
      <c r="D38" s="39" t="s">
        <v>1146</v>
      </c>
      <c r="E38" s="15" t="s">
        <v>53</v>
      </c>
      <c r="F38" s="38" t="s">
        <v>41</v>
      </c>
      <c r="G38" s="16">
        <v>-31.85</v>
      </c>
    </row>
    <row r="39" spans="1:7" ht="45">
      <c r="A39" s="15" t="s">
        <v>156</v>
      </c>
      <c r="B39" s="15" t="s">
        <v>155</v>
      </c>
      <c r="C39" s="38" t="s">
        <v>157</v>
      </c>
      <c r="D39" s="39" t="s">
        <v>1147</v>
      </c>
      <c r="E39" s="15" t="s">
        <v>32</v>
      </c>
      <c r="F39" s="38" t="s">
        <v>22</v>
      </c>
      <c r="G39" s="16">
        <v>-469.08</v>
      </c>
    </row>
    <row r="40" spans="1:7">
      <c r="A40" s="15" t="s">
        <v>159</v>
      </c>
      <c r="B40" s="15" t="s">
        <v>158</v>
      </c>
      <c r="C40" s="38" t="s">
        <v>160</v>
      </c>
      <c r="D40" s="39" t="s">
        <v>1148</v>
      </c>
      <c r="E40" s="15" t="s">
        <v>108</v>
      </c>
      <c r="F40" s="38" t="s">
        <v>28</v>
      </c>
      <c r="G40" s="16">
        <v>-217.66</v>
      </c>
    </row>
    <row r="41" spans="1:7" ht="60">
      <c r="A41" s="15" t="s">
        <v>162</v>
      </c>
      <c r="B41" s="15" t="s">
        <v>161</v>
      </c>
      <c r="C41" s="38" t="s">
        <v>163</v>
      </c>
      <c r="D41" s="39" t="s">
        <v>1149</v>
      </c>
      <c r="E41" s="15" t="s">
        <v>62</v>
      </c>
      <c r="F41" s="38" t="s">
        <v>22</v>
      </c>
      <c r="G41" s="16">
        <v>-286.58999999999997</v>
      </c>
    </row>
    <row r="42" spans="1:7" ht="120">
      <c r="A42" s="15" t="s">
        <v>166</v>
      </c>
      <c r="B42" s="15" t="s">
        <v>165</v>
      </c>
      <c r="C42" s="38" t="s">
        <v>167</v>
      </c>
      <c r="D42" s="39" t="s">
        <v>1150</v>
      </c>
      <c r="E42" s="15" t="s">
        <v>168</v>
      </c>
      <c r="F42" s="38" t="s">
        <v>169</v>
      </c>
      <c r="G42" s="16">
        <v>-54</v>
      </c>
    </row>
    <row r="43" spans="1:7" ht="180">
      <c r="A43" s="15" t="s">
        <v>171</v>
      </c>
      <c r="B43" s="15" t="s">
        <v>170</v>
      </c>
      <c r="C43" s="38" t="s">
        <v>172</v>
      </c>
      <c r="D43" s="39" t="s">
        <v>1151</v>
      </c>
      <c r="E43" s="15" t="s">
        <v>62</v>
      </c>
      <c r="F43" s="38" t="s">
        <v>22</v>
      </c>
      <c r="G43" s="16">
        <v>-4746.1899999999996</v>
      </c>
    </row>
    <row r="44" spans="1:7" ht="60">
      <c r="A44" s="15" t="s">
        <v>174</v>
      </c>
      <c r="B44" s="15" t="s">
        <v>173</v>
      </c>
      <c r="C44" s="38" t="s">
        <v>175</v>
      </c>
      <c r="D44" s="39" t="s">
        <v>1152</v>
      </c>
      <c r="E44" s="15" t="s">
        <v>176</v>
      </c>
      <c r="F44" s="38" t="s">
        <v>28</v>
      </c>
      <c r="G44" s="16">
        <v>10.59</v>
      </c>
    </row>
    <row r="45" spans="1:7" ht="30">
      <c r="A45" s="15" t="s">
        <v>178</v>
      </c>
      <c r="B45" s="15" t="s">
        <v>177</v>
      </c>
      <c r="C45" s="38" t="s">
        <v>179</v>
      </c>
      <c r="D45" s="39" t="s">
        <v>1153</v>
      </c>
      <c r="E45" s="15" t="s">
        <v>176</v>
      </c>
      <c r="F45" s="38" t="s">
        <v>28</v>
      </c>
      <c r="G45" s="16">
        <v>28.45</v>
      </c>
    </row>
    <row r="46" spans="1:7" ht="75">
      <c r="A46" s="15" t="s">
        <v>181</v>
      </c>
      <c r="B46" s="15" t="s">
        <v>180</v>
      </c>
      <c r="C46" s="38" t="s">
        <v>182</v>
      </c>
      <c r="D46" s="39" t="s">
        <v>1154</v>
      </c>
      <c r="E46" s="15" t="s">
        <v>53</v>
      </c>
      <c r="F46" s="38" t="s">
        <v>41</v>
      </c>
      <c r="G46" s="16">
        <v>-243.49</v>
      </c>
    </row>
    <row r="47" spans="1:7" ht="90">
      <c r="A47" s="15" t="s">
        <v>184</v>
      </c>
      <c r="B47" s="15" t="s">
        <v>183</v>
      </c>
      <c r="C47" s="38" t="s">
        <v>185</v>
      </c>
      <c r="D47" s="39" t="s">
        <v>1155</v>
      </c>
      <c r="E47" s="15" t="s">
        <v>53</v>
      </c>
      <c r="F47" s="38" t="s">
        <v>41</v>
      </c>
      <c r="G47" s="16">
        <v>-1163.68</v>
      </c>
    </row>
    <row r="48" spans="1:7" ht="30">
      <c r="A48" s="15" t="s">
        <v>187</v>
      </c>
      <c r="B48" s="15" t="s">
        <v>186</v>
      </c>
      <c r="C48" s="38" t="s">
        <v>188</v>
      </c>
      <c r="D48" s="39" t="s">
        <v>1156</v>
      </c>
      <c r="E48" s="15" t="s">
        <v>108</v>
      </c>
      <c r="F48" s="38" t="s">
        <v>28</v>
      </c>
      <c r="G48" s="16">
        <v>-23.18</v>
      </c>
    </row>
    <row r="49" spans="1:7" ht="165">
      <c r="A49" s="15" t="s">
        <v>190</v>
      </c>
      <c r="B49" s="15" t="s">
        <v>189</v>
      </c>
      <c r="C49" s="38" t="s">
        <v>191</v>
      </c>
      <c r="D49" s="39" t="s">
        <v>1157</v>
      </c>
      <c r="E49" s="15" t="s">
        <v>62</v>
      </c>
      <c r="F49" s="38" t="s">
        <v>22</v>
      </c>
      <c r="G49" s="16">
        <v>-2735.9100000000035</v>
      </c>
    </row>
    <row r="50" spans="1:7">
      <c r="A50" s="15" t="s">
        <v>193</v>
      </c>
      <c r="B50" s="15" t="s">
        <v>192</v>
      </c>
      <c r="C50" s="38" t="s">
        <v>194</v>
      </c>
      <c r="D50" s="39" t="s">
        <v>1625</v>
      </c>
      <c r="E50" s="15" t="s">
        <v>195</v>
      </c>
      <c r="F50" s="38" t="s">
        <v>196</v>
      </c>
      <c r="G50" s="16">
        <v>88.73</v>
      </c>
    </row>
    <row r="51" spans="1:7" ht="30">
      <c r="A51" s="15" t="s">
        <v>198</v>
      </c>
      <c r="B51" s="15" t="s">
        <v>197</v>
      </c>
      <c r="C51" s="38" t="s">
        <v>69</v>
      </c>
      <c r="D51" s="207" t="s">
        <v>1626</v>
      </c>
      <c r="E51" s="15" t="s">
        <v>199</v>
      </c>
      <c r="F51" s="38" t="s">
        <v>71</v>
      </c>
      <c r="G51" s="16">
        <v>4194.6400000000003</v>
      </c>
    </row>
    <row r="52" spans="1:7" ht="30">
      <c r="A52" s="15" t="s">
        <v>201</v>
      </c>
      <c r="B52" s="15" t="s">
        <v>200</v>
      </c>
      <c r="C52" s="38" t="s">
        <v>202</v>
      </c>
      <c r="D52" s="208" t="s">
        <v>1627</v>
      </c>
      <c r="E52" s="15" t="s">
        <v>203</v>
      </c>
      <c r="F52" s="38" t="s">
        <v>80</v>
      </c>
      <c r="G52" s="16">
        <v>199633.21</v>
      </c>
    </row>
    <row r="53" spans="1:7" ht="30">
      <c r="A53" s="15" t="s">
        <v>205</v>
      </c>
      <c r="B53" s="15" t="s">
        <v>204</v>
      </c>
      <c r="C53" s="38" t="s">
        <v>206</v>
      </c>
      <c r="D53" s="207" t="s">
        <v>1628</v>
      </c>
      <c r="E53" s="15" t="s">
        <v>207</v>
      </c>
      <c r="F53" s="38" t="s">
        <v>97</v>
      </c>
      <c r="G53" s="16">
        <v>-46.62</v>
      </c>
    </row>
    <row r="54" spans="1:7" ht="30">
      <c r="A54" s="15" t="s">
        <v>209</v>
      </c>
      <c r="B54" s="15" t="s">
        <v>208</v>
      </c>
      <c r="C54" s="38" t="s">
        <v>210</v>
      </c>
      <c r="D54" s="207" t="s">
        <v>1629</v>
      </c>
      <c r="E54" s="15" t="s">
        <v>211</v>
      </c>
      <c r="F54" s="38" t="s">
        <v>212</v>
      </c>
      <c r="G54" s="16">
        <v>-620.16</v>
      </c>
    </row>
    <row r="55" spans="1:7" ht="45">
      <c r="A55" s="15" t="s">
        <v>214</v>
      </c>
      <c r="B55" s="15" t="s">
        <v>213</v>
      </c>
      <c r="C55" s="38" t="s">
        <v>215</v>
      </c>
      <c r="D55" s="39" t="s">
        <v>1158</v>
      </c>
      <c r="E55" s="15" t="s">
        <v>216</v>
      </c>
      <c r="F55" s="38" t="s">
        <v>22</v>
      </c>
      <c r="G55" s="16">
        <v>-587.16999999999996</v>
      </c>
    </row>
    <row r="56" spans="1:7">
      <c r="A56" s="15" t="s">
        <v>219</v>
      </c>
      <c r="B56" s="15" t="s">
        <v>218</v>
      </c>
      <c r="C56" s="38" t="s">
        <v>220</v>
      </c>
      <c r="D56" s="39" t="s">
        <v>1130</v>
      </c>
      <c r="E56" s="15" t="s">
        <v>221</v>
      </c>
      <c r="F56" s="38" t="s">
        <v>222</v>
      </c>
      <c r="G56" s="16">
        <v>285460.00999999995</v>
      </c>
    </row>
    <row r="57" spans="1:7" ht="30">
      <c r="A57" s="15" t="s">
        <v>224</v>
      </c>
      <c r="B57" s="15" t="s">
        <v>223</v>
      </c>
      <c r="C57" s="38" t="s">
        <v>88</v>
      </c>
      <c r="D57" s="208" t="s">
        <v>1630</v>
      </c>
      <c r="E57" s="15" t="s">
        <v>225</v>
      </c>
      <c r="F57" s="38" t="s">
        <v>85</v>
      </c>
      <c r="G57" s="16">
        <v>5404.0300000000007</v>
      </c>
    </row>
    <row r="58" spans="1:7" ht="30">
      <c r="A58" s="15" t="s">
        <v>227</v>
      </c>
      <c r="B58" s="15" t="s">
        <v>226</v>
      </c>
      <c r="C58" s="38" t="s">
        <v>78</v>
      </c>
      <c r="D58" s="208" t="s">
        <v>1631</v>
      </c>
      <c r="E58" s="15" t="s">
        <v>228</v>
      </c>
      <c r="F58" s="38" t="s">
        <v>80</v>
      </c>
      <c r="G58" s="16">
        <v>17053.289999999997</v>
      </c>
    </row>
    <row r="59" spans="1:7" ht="30">
      <c r="A59" s="15" t="s">
        <v>230</v>
      </c>
      <c r="B59" s="15" t="s">
        <v>229</v>
      </c>
      <c r="C59" s="38" t="s">
        <v>78</v>
      </c>
      <c r="D59" s="208" t="s">
        <v>1632</v>
      </c>
      <c r="E59" s="15" t="s">
        <v>231</v>
      </c>
      <c r="F59" s="38" t="s">
        <v>80</v>
      </c>
      <c r="G59" s="16">
        <v>55181.929999999993</v>
      </c>
    </row>
    <row r="60" spans="1:7" ht="45">
      <c r="A60" s="15" t="s">
        <v>233</v>
      </c>
      <c r="B60" s="15" t="s">
        <v>232</v>
      </c>
      <c r="C60" s="38" t="s">
        <v>234</v>
      </c>
      <c r="D60" s="39" t="s">
        <v>1159</v>
      </c>
      <c r="E60" s="15" t="s">
        <v>40</v>
      </c>
      <c r="F60" s="38" t="s">
        <v>41</v>
      </c>
      <c r="G60" s="16">
        <v>34.520000000000003</v>
      </c>
    </row>
    <row r="61" spans="1:7" ht="105">
      <c r="A61" s="15" t="s">
        <v>236</v>
      </c>
      <c r="B61" s="15" t="s">
        <v>235</v>
      </c>
      <c r="C61" s="38" t="s">
        <v>237</v>
      </c>
      <c r="D61" s="39" t="s">
        <v>1160</v>
      </c>
      <c r="E61" s="15" t="s">
        <v>62</v>
      </c>
      <c r="F61" s="38" t="s">
        <v>22</v>
      </c>
      <c r="G61" s="16">
        <v>16.510000000000002</v>
      </c>
    </row>
    <row r="62" spans="1:7" ht="105">
      <c r="A62" s="15" t="s">
        <v>240</v>
      </c>
      <c r="B62" s="15" t="s">
        <v>239</v>
      </c>
      <c r="C62" s="38" t="s">
        <v>241</v>
      </c>
      <c r="D62" s="39" t="s">
        <v>1161</v>
      </c>
      <c r="E62" s="15" t="s">
        <v>168</v>
      </c>
      <c r="F62" s="38" t="s">
        <v>169</v>
      </c>
      <c r="G62" s="16">
        <v>5.08</v>
      </c>
    </row>
    <row r="63" spans="1:7" ht="30">
      <c r="A63" s="15" t="s">
        <v>244</v>
      </c>
      <c r="B63" s="15" t="s">
        <v>243</v>
      </c>
      <c r="C63" s="38" t="s">
        <v>245</v>
      </c>
      <c r="D63" s="39" t="s">
        <v>1162</v>
      </c>
      <c r="E63" s="15" t="s">
        <v>246</v>
      </c>
      <c r="F63" s="38" t="s">
        <v>247</v>
      </c>
      <c r="G63" s="16">
        <v>-9517.91</v>
      </c>
    </row>
    <row r="64" spans="1:7" ht="60">
      <c r="A64" s="15" t="s">
        <v>249</v>
      </c>
      <c r="B64" s="15" t="s">
        <v>251</v>
      </c>
      <c r="C64" s="38" t="s">
        <v>250</v>
      </c>
      <c r="D64" s="39" t="s">
        <v>1163</v>
      </c>
      <c r="E64" s="15" t="s">
        <v>62</v>
      </c>
      <c r="F64" s="38" t="s">
        <v>22</v>
      </c>
      <c r="G64" s="16">
        <v>-736.17000000000007</v>
      </c>
    </row>
    <row r="65" spans="1:7" ht="45">
      <c r="A65" s="15" t="s">
        <v>253</v>
      </c>
      <c r="B65" s="15" t="s">
        <v>252</v>
      </c>
      <c r="C65" s="38" t="s">
        <v>254</v>
      </c>
      <c r="D65" s="39" t="s">
        <v>1164</v>
      </c>
      <c r="E65" s="15" t="s">
        <v>141</v>
      </c>
      <c r="F65" s="38" t="s">
        <v>142</v>
      </c>
      <c r="G65" s="16">
        <v>-226.18</v>
      </c>
    </row>
    <row r="66" spans="1:7" ht="60">
      <c r="A66" s="15" t="s">
        <v>256</v>
      </c>
      <c r="B66" s="15" t="s">
        <v>255</v>
      </c>
      <c r="C66" s="38" t="s">
        <v>257</v>
      </c>
      <c r="D66" s="39" t="s">
        <v>1165</v>
      </c>
      <c r="E66" s="15" t="s">
        <v>258</v>
      </c>
      <c r="F66" s="38" t="s">
        <v>259</v>
      </c>
      <c r="G66" s="16">
        <v>-257.27</v>
      </c>
    </row>
    <row r="67" spans="1:7" ht="60">
      <c r="A67" s="15" t="s">
        <v>261</v>
      </c>
      <c r="B67" s="15" t="s">
        <v>260</v>
      </c>
      <c r="C67" s="38" t="s">
        <v>262</v>
      </c>
      <c r="D67" s="39" t="s">
        <v>1166</v>
      </c>
      <c r="E67" s="15" t="s">
        <v>258</v>
      </c>
      <c r="F67" s="38" t="s">
        <v>259</v>
      </c>
      <c r="G67" s="16">
        <v>-264.56</v>
      </c>
    </row>
    <row r="68" spans="1:7" ht="60">
      <c r="A68" s="15" t="s">
        <v>264</v>
      </c>
      <c r="B68" s="15" t="s">
        <v>263</v>
      </c>
      <c r="C68" s="38" t="s">
        <v>265</v>
      </c>
      <c r="D68" s="39" t="s">
        <v>1167</v>
      </c>
      <c r="E68" s="15" t="s">
        <v>62</v>
      </c>
      <c r="F68" s="38" t="s">
        <v>22</v>
      </c>
      <c r="G68" s="16">
        <v>-405.55</v>
      </c>
    </row>
    <row r="69" spans="1:7" ht="45">
      <c r="A69" s="15" t="s">
        <v>267</v>
      </c>
      <c r="B69" s="15" t="s">
        <v>266</v>
      </c>
      <c r="C69" s="38" t="s">
        <v>268</v>
      </c>
      <c r="D69" s="39" t="s">
        <v>1168</v>
      </c>
      <c r="E69" s="15" t="s">
        <v>104</v>
      </c>
      <c r="F69" s="38" t="s">
        <v>41</v>
      </c>
      <c r="G69" s="16">
        <v>3</v>
      </c>
    </row>
    <row r="70" spans="1:7" ht="60">
      <c r="A70" s="15" t="s">
        <v>270</v>
      </c>
      <c r="B70" s="15" t="s">
        <v>269</v>
      </c>
      <c r="C70" s="38" t="s">
        <v>271</v>
      </c>
      <c r="D70" s="39" t="s">
        <v>1169</v>
      </c>
      <c r="E70" s="15" t="s">
        <v>62</v>
      </c>
      <c r="F70" s="38" t="s">
        <v>22</v>
      </c>
      <c r="G70" s="16">
        <v>0.82</v>
      </c>
    </row>
    <row r="71" spans="1:7" ht="45">
      <c r="A71" s="15" t="s">
        <v>273</v>
      </c>
      <c r="B71" s="15" t="s">
        <v>272</v>
      </c>
      <c r="C71" s="38" t="s">
        <v>274</v>
      </c>
      <c r="D71" s="39" t="s">
        <v>1170</v>
      </c>
      <c r="E71" s="15" t="s">
        <v>36</v>
      </c>
      <c r="F71" s="38" t="s">
        <v>22</v>
      </c>
      <c r="G71" s="16">
        <v>-319.7400000000016</v>
      </c>
    </row>
    <row r="72" spans="1:7" ht="60">
      <c r="A72" s="15" t="s">
        <v>276</v>
      </c>
      <c r="B72" s="15" t="s">
        <v>275</v>
      </c>
      <c r="C72" s="38" t="s">
        <v>277</v>
      </c>
      <c r="D72" s="39" t="s">
        <v>1171</v>
      </c>
      <c r="E72" s="15" t="s">
        <v>40</v>
      </c>
      <c r="F72" s="38" t="s">
        <v>41</v>
      </c>
      <c r="G72" s="16">
        <v>-1167.27</v>
      </c>
    </row>
    <row r="73" spans="1:7" ht="45">
      <c r="A73" s="15" t="s">
        <v>279</v>
      </c>
      <c r="B73" s="15" t="s">
        <v>278</v>
      </c>
      <c r="C73" s="38" t="s">
        <v>280</v>
      </c>
      <c r="D73" s="39" t="s">
        <v>1172</v>
      </c>
      <c r="E73" s="15" t="s">
        <v>104</v>
      </c>
      <c r="F73" s="38" t="s">
        <v>41</v>
      </c>
      <c r="G73" s="16">
        <v>-53.519999999999982</v>
      </c>
    </row>
    <row r="74" spans="1:7" ht="105">
      <c r="A74" s="15" t="s">
        <v>282</v>
      </c>
      <c r="B74" s="15" t="s">
        <v>281</v>
      </c>
      <c r="C74" s="38" t="s">
        <v>283</v>
      </c>
      <c r="D74" s="39" t="s">
        <v>1173</v>
      </c>
      <c r="E74" s="15" t="s">
        <v>40</v>
      </c>
      <c r="F74" s="38" t="s">
        <v>41</v>
      </c>
      <c r="G74" s="16">
        <v>-3433.06</v>
      </c>
    </row>
    <row r="75" spans="1:7" ht="75">
      <c r="A75" s="15" t="s">
        <v>285</v>
      </c>
      <c r="B75" s="15" t="s">
        <v>284</v>
      </c>
      <c r="C75" s="38" t="s">
        <v>286</v>
      </c>
      <c r="D75" s="39" t="s">
        <v>1174</v>
      </c>
      <c r="E75" s="15" t="s">
        <v>58</v>
      </c>
      <c r="F75" s="38" t="s">
        <v>22</v>
      </c>
      <c r="G75" s="16">
        <v>258234.64</v>
      </c>
    </row>
    <row r="76" spans="1:7" ht="60">
      <c r="A76" s="15" t="s">
        <v>288</v>
      </c>
      <c r="B76" s="15" t="s">
        <v>287</v>
      </c>
      <c r="C76" s="38" t="s">
        <v>289</v>
      </c>
      <c r="D76" s="39" t="s">
        <v>1175</v>
      </c>
      <c r="E76" s="15" t="s">
        <v>21</v>
      </c>
      <c r="F76" s="38" t="s">
        <v>22</v>
      </c>
      <c r="G76" s="16">
        <v>-258.58</v>
      </c>
    </row>
    <row r="77" spans="1:7" ht="60">
      <c r="A77" s="15" t="s">
        <v>291</v>
      </c>
      <c r="B77" s="15" t="s">
        <v>290</v>
      </c>
      <c r="C77" s="38" t="s">
        <v>292</v>
      </c>
      <c r="D77" s="39" t="s">
        <v>1176</v>
      </c>
      <c r="E77" s="15" t="s">
        <v>62</v>
      </c>
      <c r="F77" s="38" t="s">
        <v>22</v>
      </c>
      <c r="G77" s="16">
        <v>-309.68</v>
      </c>
    </row>
    <row r="78" spans="1:7" ht="60">
      <c r="A78" s="15" t="s">
        <v>294</v>
      </c>
      <c r="B78" s="15" t="s">
        <v>293</v>
      </c>
      <c r="C78" s="38" t="s">
        <v>295</v>
      </c>
      <c r="D78" s="39" t="s">
        <v>1177</v>
      </c>
      <c r="E78" s="15" t="s">
        <v>296</v>
      </c>
      <c r="F78" s="38" t="s">
        <v>28</v>
      </c>
      <c r="G78" s="16">
        <v>-79.17</v>
      </c>
    </row>
    <row r="79" spans="1:7" ht="60">
      <c r="A79" s="15" t="s">
        <v>298</v>
      </c>
      <c r="B79" s="15" t="s">
        <v>297</v>
      </c>
      <c r="C79" s="38" t="s">
        <v>299</v>
      </c>
      <c r="D79" s="39" t="s">
        <v>1178</v>
      </c>
      <c r="E79" s="15" t="s">
        <v>21</v>
      </c>
      <c r="F79" s="38" t="s">
        <v>22</v>
      </c>
      <c r="G79" s="16">
        <v>-1027.9100000000001</v>
      </c>
    </row>
    <row r="80" spans="1:7" ht="45">
      <c r="A80" s="15" t="s">
        <v>301</v>
      </c>
      <c r="B80" s="15" t="s">
        <v>300</v>
      </c>
      <c r="C80" s="38" t="s">
        <v>302</v>
      </c>
      <c r="D80" s="39" t="s">
        <v>1179</v>
      </c>
      <c r="E80" s="15" t="s">
        <v>141</v>
      </c>
      <c r="F80" s="38" t="s">
        <v>142</v>
      </c>
      <c r="G80" s="16">
        <v>-683.05</v>
      </c>
    </row>
    <row r="81" spans="1:7" ht="90">
      <c r="A81" s="15" t="s">
        <v>1025</v>
      </c>
      <c r="B81" s="15" t="s">
        <v>1024</v>
      </c>
      <c r="C81" s="38" t="s">
        <v>1026</v>
      </c>
      <c r="D81" s="39" t="s">
        <v>1180</v>
      </c>
      <c r="E81" s="15" t="s">
        <v>216</v>
      </c>
      <c r="F81" s="38" t="s">
        <v>22</v>
      </c>
      <c r="G81" s="16">
        <v>48840.31</v>
      </c>
    </row>
    <row r="82" spans="1:7" ht="60">
      <c r="A82" s="15" t="s">
        <v>304</v>
      </c>
      <c r="B82" s="15" t="s">
        <v>303</v>
      </c>
      <c r="C82" s="38" t="s">
        <v>305</v>
      </c>
      <c r="D82" s="39" t="s">
        <v>1181</v>
      </c>
      <c r="E82" s="15" t="s">
        <v>104</v>
      </c>
      <c r="F82" s="38" t="s">
        <v>41</v>
      </c>
      <c r="G82" s="16">
        <v>-52.25</v>
      </c>
    </row>
    <row r="83" spans="1:7" ht="30">
      <c r="A83" s="15" t="s">
        <v>307</v>
      </c>
      <c r="B83" s="15" t="s">
        <v>306</v>
      </c>
      <c r="C83" s="38" t="s">
        <v>308</v>
      </c>
      <c r="D83" s="39" t="s">
        <v>1182</v>
      </c>
      <c r="E83" s="15" t="s">
        <v>36</v>
      </c>
      <c r="F83" s="38" t="s">
        <v>22</v>
      </c>
      <c r="G83" s="16">
        <v>-195.22</v>
      </c>
    </row>
    <row r="84" spans="1:7" ht="75">
      <c r="A84" s="15" t="s">
        <v>310</v>
      </c>
      <c r="B84" s="15" t="s">
        <v>309</v>
      </c>
      <c r="C84" s="38" t="s">
        <v>311</v>
      </c>
      <c r="D84" s="39" t="s">
        <v>1183</v>
      </c>
      <c r="E84" s="15" t="s">
        <v>216</v>
      </c>
      <c r="F84" s="38" t="s">
        <v>22</v>
      </c>
      <c r="G84" s="16">
        <v>40676.43</v>
      </c>
    </row>
    <row r="85" spans="1:7" ht="45">
      <c r="A85" s="15" t="s">
        <v>313</v>
      </c>
      <c r="B85" s="15" t="s">
        <v>312</v>
      </c>
      <c r="C85" s="38" t="s">
        <v>314</v>
      </c>
      <c r="D85" s="39" t="s">
        <v>1184</v>
      </c>
      <c r="E85" s="15" t="s">
        <v>176</v>
      </c>
      <c r="F85" s="38" t="s">
        <v>28</v>
      </c>
      <c r="G85" s="16">
        <v>5.0199999999999996</v>
      </c>
    </row>
    <row r="86" spans="1:7" ht="60">
      <c r="A86" s="15" t="s">
        <v>316</v>
      </c>
      <c r="B86" s="15" t="s">
        <v>315</v>
      </c>
      <c r="C86" s="38" t="s">
        <v>317</v>
      </c>
      <c r="D86" s="39" t="s">
        <v>1185</v>
      </c>
      <c r="E86" s="15" t="s">
        <v>141</v>
      </c>
      <c r="F86" s="38" t="s">
        <v>142</v>
      </c>
      <c r="G86" s="16">
        <v>-417.76</v>
      </c>
    </row>
    <row r="87" spans="1:7" ht="30">
      <c r="A87" s="15" t="s">
        <v>319</v>
      </c>
      <c r="B87" s="15" t="s">
        <v>318</v>
      </c>
      <c r="C87" s="38" t="s">
        <v>320</v>
      </c>
      <c r="D87" s="39" t="s">
        <v>1186</v>
      </c>
      <c r="E87" s="15" t="s">
        <v>141</v>
      </c>
      <c r="F87" s="38" t="s">
        <v>142</v>
      </c>
      <c r="G87" s="16">
        <v>-427.59</v>
      </c>
    </row>
    <row r="88" spans="1:7" ht="105">
      <c r="A88" s="15" t="s">
        <v>322</v>
      </c>
      <c r="B88" s="15" t="s">
        <v>321</v>
      </c>
      <c r="C88" s="38" t="s">
        <v>323</v>
      </c>
      <c r="D88" s="39" t="s">
        <v>1187</v>
      </c>
      <c r="E88" s="15" t="s">
        <v>324</v>
      </c>
      <c r="F88" s="38" t="s">
        <v>325</v>
      </c>
      <c r="G88" s="16">
        <v>-370.12</v>
      </c>
    </row>
    <row r="89" spans="1:7" ht="60">
      <c r="A89" s="15" t="s">
        <v>327</v>
      </c>
      <c r="B89" s="15" t="s">
        <v>326</v>
      </c>
      <c r="C89" s="38" t="s">
        <v>328</v>
      </c>
      <c r="D89" s="39" t="s">
        <v>1188</v>
      </c>
      <c r="E89" s="15" t="s">
        <v>32</v>
      </c>
      <c r="F89" s="38" t="s">
        <v>22</v>
      </c>
      <c r="G89" s="16">
        <v>-118.82</v>
      </c>
    </row>
    <row r="90" spans="1:7" ht="30">
      <c r="A90" s="15" t="s">
        <v>330</v>
      </c>
      <c r="B90" s="15" t="s">
        <v>329</v>
      </c>
      <c r="C90" s="38" t="s">
        <v>331</v>
      </c>
      <c r="D90" s="39" t="s">
        <v>1189</v>
      </c>
      <c r="E90" s="15" t="s">
        <v>108</v>
      </c>
      <c r="F90" s="38" t="s">
        <v>28</v>
      </c>
      <c r="G90" s="16">
        <v>5.61</v>
      </c>
    </row>
    <row r="91" spans="1:7" ht="45">
      <c r="A91" s="15" t="s">
        <v>333</v>
      </c>
      <c r="B91" s="15" t="s">
        <v>332</v>
      </c>
      <c r="C91" s="38" t="s">
        <v>334</v>
      </c>
      <c r="D91" s="39" t="s">
        <v>1190</v>
      </c>
      <c r="E91" s="15" t="s">
        <v>36</v>
      </c>
      <c r="F91" s="38" t="s">
        <v>22</v>
      </c>
      <c r="G91" s="16">
        <v>-149.47999999999999</v>
      </c>
    </row>
    <row r="92" spans="1:7" ht="60">
      <c r="A92" s="15" t="s">
        <v>336</v>
      </c>
      <c r="B92" s="15" t="s">
        <v>335</v>
      </c>
      <c r="C92" s="38" t="s">
        <v>337</v>
      </c>
      <c r="D92" s="39" t="s">
        <v>1191</v>
      </c>
      <c r="E92" s="15" t="s">
        <v>62</v>
      </c>
      <c r="F92" s="38" t="s">
        <v>22</v>
      </c>
      <c r="G92" s="16">
        <v>-2164.7800000000002</v>
      </c>
    </row>
    <row r="93" spans="1:7" ht="180">
      <c r="A93" s="15" t="s">
        <v>339</v>
      </c>
      <c r="B93" s="15" t="s">
        <v>338</v>
      </c>
      <c r="C93" s="38" t="s">
        <v>340</v>
      </c>
      <c r="D93" s="39" t="s">
        <v>1192</v>
      </c>
      <c r="E93" s="15" t="s">
        <v>62</v>
      </c>
      <c r="F93" s="38" t="s">
        <v>22</v>
      </c>
      <c r="G93" s="16">
        <v>-1152.29</v>
      </c>
    </row>
    <row r="94" spans="1:7" ht="45">
      <c r="A94" s="15" t="s">
        <v>342</v>
      </c>
      <c r="B94" s="15" t="s">
        <v>341</v>
      </c>
      <c r="C94" s="38" t="s">
        <v>343</v>
      </c>
      <c r="D94" s="39" t="s">
        <v>1193</v>
      </c>
      <c r="E94" s="15" t="s">
        <v>168</v>
      </c>
      <c r="F94" s="38" t="s">
        <v>169</v>
      </c>
      <c r="G94" s="16">
        <v>-787.04</v>
      </c>
    </row>
    <row r="95" spans="1:7" ht="45">
      <c r="A95" s="15" t="s">
        <v>345</v>
      </c>
      <c r="B95" s="15" t="s">
        <v>344</v>
      </c>
      <c r="C95" s="38" t="s">
        <v>346</v>
      </c>
      <c r="D95" s="39" t="s">
        <v>1194</v>
      </c>
      <c r="E95" s="15" t="s">
        <v>53</v>
      </c>
      <c r="F95" s="38" t="s">
        <v>41</v>
      </c>
      <c r="G95" s="16">
        <v>-1802.78</v>
      </c>
    </row>
    <row r="96" spans="1:7" ht="105">
      <c r="A96" s="15" t="s">
        <v>348</v>
      </c>
      <c r="B96" s="15" t="s">
        <v>347</v>
      </c>
      <c r="C96" s="38" t="s">
        <v>349</v>
      </c>
      <c r="D96" s="39" t="s">
        <v>1195</v>
      </c>
      <c r="E96" s="15" t="s">
        <v>324</v>
      </c>
      <c r="F96" s="38" t="s">
        <v>325</v>
      </c>
      <c r="G96" s="16">
        <v>2510.02</v>
      </c>
    </row>
    <row r="97" spans="1:7" ht="30">
      <c r="A97" s="15" t="s">
        <v>351</v>
      </c>
      <c r="B97" s="15" t="s">
        <v>350</v>
      </c>
      <c r="C97" s="38" t="s">
        <v>352</v>
      </c>
      <c r="D97" s="39" t="s">
        <v>1196</v>
      </c>
      <c r="E97" s="15" t="s">
        <v>108</v>
      </c>
      <c r="F97" s="38" t="s">
        <v>28</v>
      </c>
      <c r="G97" s="16">
        <v>8.58</v>
      </c>
    </row>
    <row r="98" spans="1:7" ht="165">
      <c r="A98" s="15" t="s">
        <v>354</v>
      </c>
      <c r="B98" s="15" t="s">
        <v>353</v>
      </c>
      <c r="C98" s="38" t="s">
        <v>355</v>
      </c>
      <c r="D98" s="39" t="s">
        <v>1197</v>
      </c>
      <c r="E98" s="15" t="s">
        <v>62</v>
      </c>
      <c r="F98" s="38" t="s">
        <v>22</v>
      </c>
      <c r="G98" s="16">
        <v>-1349</v>
      </c>
    </row>
    <row r="99" spans="1:7" ht="30">
      <c r="A99" s="15" t="s">
        <v>357</v>
      </c>
      <c r="B99" s="15" t="s">
        <v>356</v>
      </c>
      <c r="C99" s="38" t="s">
        <v>358</v>
      </c>
      <c r="D99" s="39" t="s">
        <v>1198</v>
      </c>
      <c r="E99" s="15" t="s">
        <v>168</v>
      </c>
      <c r="F99" s="38" t="s">
        <v>169</v>
      </c>
      <c r="G99" s="16">
        <v>-2239.5500000000002</v>
      </c>
    </row>
    <row r="100" spans="1:7" ht="75">
      <c r="A100" s="15" t="s">
        <v>360</v>
      </c>
      <c r="B100" s="15" t="s">
        <v>359</v>
      </c>
      <c r="C100" s="38" t="s">
        <v>361</v>
      </c>
      <c r="D100" s="39" t="s">
        <v>1199</v>
      </c>
      <c r="E100" s="15" t="s">
        <v>362</v>
      </c>
      <c r="F100" s="38" t="s">
        <v>41</v>
      </c>
      <c r="G100" s="16">
        <v>-110.7300000000003</v>
      </c>
    </row>
    <row r="101" spans="1:7" ht="30">
      <c r="A101" s="15" t="s">
        <v>364</v>
      </c>
      <c r="B101" s="15" t="s">
        <v>363</v>
      </c>
      <c r="C101" s="38" t="s">
        <v>365</v>
      </c>
      <c r="D101" s="39" t="s">
        <v>1200</v>
      </c>
      <c r="E101" s="15" t="s">
        <v>21</v>
      </c>
      <c r="F101" s="38" t="s">
        <v>22</v>
      </c>
      <c r="G101" s="16">
        <v>25.47</v>
      </c>
    </row>
    <row r="102" spans="1:7" ht="180">
      <c r="A102" s="15" t="s">
        <v>367</v>
      </c>
      <c r="B102" s="15" t="s">
        <v>366</v>
      </c>
      <c r="C102" s="38" t="s">
        <v>368</v>
      </c>
      <c r="D102" s="39" t="s">
        <v>1201</v>
      </c>
      <c r="E102" s="15" t="s">
        <v>369</v>
      </c>
      <c r="F102" s="38" t="s">
        <v>41</v>
      </c>
      <c r="G102" s="16">
        <v>2407015.73</v>
      </c>
    </row>
    <row r="103" spans="1:7" ht="30">
      <c r="A103" s="15" t="s">
        <v>372</v>
      </c>
      <c r="B103" s="15" t="s">
        <v>371</v>
      </c>
      <c r="C103" s="38" t="s">
        <v>88</v>
      </c>
      <c r="D103" s="208" t="s">
        <v>1633</v>
      </c>
      <c r="E103" s="15" t="s">
        <v>373</v>
      </c>
      <c r="F103" s="38" t="s">
        <v>85</v>
      </c>
      <c r="G103" s="16">
        <v>62713.229999999996</v>
      </c>
    </row>
    <row r="104" spans="1:7" ht="30">
      <c r="A104" s="15" t="s">
        <v>375</v>
      </c>
      <c r="B104" s="15" t="s">
        <v>374</v>
      </c>
      <c r="C104" s="38" t="s">
        <v>376</v>
      </c>
      <c r="D104" s="207" t="s">
        <v>1634</v>
      </c>
      <c r="E104" s="15" t="s">
        <v>377</v>
      </c>
      <c r="F104" s="38" t="s">
        <v>378</v>
      </c>
      <c r="G104" s="16">
        <v>43574.51</v>
      </c>
    </row>
    <row r="105" spans="1:7" ht="30">
      <c r="A105" s="15" t="s">
        <v>380</v>
      </c>
      <c r="B105" s="15" t="s">
        <v>379</v>
      </c>
      <c r="C105" s="38" t="s">
        <v>381</v>
      </c>
      <c r="D105" s="207" t="s">
        <v>1635</v>
      </c>
      <c r="E105" s="15" t="s">
        <v>382</v>
      </c>
      <c r="F105" s="38" t="s">
        <v>212</v>
      </c>
      <c r="G105" s="16">
        <v>100827.27</v>
      </c>
    </row>
    <row r="106" spans="1:7">
      <c r="A106" s="15" t="s">
        <v>384</v>
      </c>
      <c r="B106" s="15" t="s">
        <v>383</v>
      </c>
      <c r="C106" s="38" t="s">
        <v>385</v>
      </c>
      <c r="D106" s="39" t="s">
        <v>1636</v>
      </c>
      <c r="E106" s="15" t="s">
        <v>386</v>
      </c>
      <c r="F106" s="38" t="s">
        <v>387</v>
      </c>
      <c r="G106" s="16">
        <v>554851.19999999995</v>
      </c>
    </row>
    <row r="107" spans="1:7">
      <c r="A107" s="15" t="s">
        <v>389</v>
      </c>
      <c r="B107" s="15" t="s">
        <v>388</v>
      </c>
      <c r="C107" s="38" t="s">
        <v>385</v>
      </c>
      <c r="D107" s="39" t="s">
        <v>1637</v>
      </c>
      <c r="E107" s="15" t="s">
        <v>390</v>
      </c>
      <c r="F107" s="38" t="s">
        <v>387</v>
      </c>
      <c r="G107" s="16">
        <v>106355.48</v>
      </c>
    </row>
    <row r="108" spans="1:7" ht="150">
      <c r="A108" s="15" t="s">
        <v>392</v>
      </c>
      <c r="B108" s="15" t="s">
        <v>391</v>
      </c>
      <c r="C108" s="38" t="s">
        <v>393</v>
      </c>
      <c r="D108" s="39" t="s">
        <v>1202</v>
      </c>
      <c r="E108" s="15" t="s">
        <v>394</v>
      </c>
      <c r="F108" s="38" t="s">
        <v>137</v>
      </c>
      <c r="G108" s="16">
        <v>8381.369999999999</v>
      </c>
    </row>
    <row r="109" spans="1:7" ht="45">
      <c r="A109" s="15" t="s">
        <v>396</v>
      </c>
      <c r="B109" s="15" t="s">
        <v>395</v>
      </c>
      <c r="C109" s="38" t="s">
        <v>397</v>
      </c>
      <c r="D109" s="39" t="s">
        <v>1203</v>
      </c>
      <c r="E109" s="15" t="s">
        <v>49</v>
      </c>
      <c r="F109" s="38" t="s">
        <v>22</v>
      </c>
      <c r="G109" s="16">
        <v>-5.66</v>
      </c>
    </row>
    <row r="110" spans="1:7" ht="60">
      <c r="A110" s="15" t="s">
        <v>399</v>
      </c>
      <c r="B110" s="15" t="s">
        <v>398</v>
      </c>
      <c r="C110" s="38" t="s">
        <v>400</v>
      </c>
      <c r="D110" s="39" t="s">
        <v>1204</v>
      </c>
      <c r="E110" s="15" t="s">
        <v>104</v>
      </c>
      <c r="F110" s="38" t="s">
        <v>41</v>
      </c>
      <c r="G110" s="16">
        <v>-13.72</v>
      </c>
    </row>
    <row r="111" spans="1:7" ht="105">
      <c r="A111" s="15" t="s">
        <v>402</v>
      </c>
      <c r="B111" s="15" t="s">
        <v>401</v>
      </c>
      <c r="C111" s="38" t="s">
        <v>403</v>
      </c>
      <c r="D111" s="39" t="s">
        <v>1205</v>
      </c>
      <c r="E111" s="15" t="s">
        <v>168</v>
      </c>
      <c r="F111" s="38" t="s">
        <v>169</v>
      </c>
      <c r="G111" s="16">
        <v>-304.64</v>
      </c>
    </row>
    <row r="112" spans="1:7" ht="60">
      <c r="A112" s="15" t="s">
        <v>405</v>
      </c>
      <c r="B112" s="15" t="s">
        <v>404</v>
      </c>
      <c r="C112" s="38" t="s">
        <v>406</v>
      </c>
      <c r="D112" s="39" t="s">
        <v>1206</v>
      </c>
      <c r="E112" s="15" t="s">
        <v>58</v>
      </c>
      <c r="F112" s="38" t="s">
        <v>22</v>
      </c>
      <c r="G112" s="16">
        <v>-346.31</v>
      </c>
    </row>
    <row r="113" spans="1:7" ht="75">
      <c r="A113" s="15" t="s">
        <v>408</v>
      </c>
      <c r="B113" s="15" t="s">
        <v>407</v>
      </c>
      <c r="C113" s="38" t="s">
        <v>409</v>
      </c>
      <c r="D113" s="39" t="s">
        <v>1207</v>
      </c>
      <c r="E113" s="15" t="s">
        <v>53</v>
      </c>
      <c r="F113" s="38" t="s">
        <v>41</v>
      </c>
      <c r="G113" s="16">
        <v>-191.38</v>
      </c>
    </row>
    <row r="114" spans="1:7" ht="45">
      <c r="A114" s="15" t="s">
        <v>411</v>
      </c>
      <c r="B114" s="15" t="s">
        <v>410</v>
      </c>
      <c r="C114" s="38" t="s">
        <v>412</v>
      </c>
      <c r="D114" s="39" t="s">
        <v>1208</v>
      </c>
      <c r="E114" s="15" t="s">
        <v>62</v>
      </c>
      <c r="F114" s="38" t="s">
        <v>22</v>
      </c>
      <c r="G114" s="16">
        <v>-363.84</v>
      </c>
    </row>
    <row r="115" spans="1:7" ht="45">
      <c r="A115" s="15" t="s">
        <v>414</v>
      </c>
      <c r="B115" s="15" t="s">
        <v>413</v>
      </c>
      <c r="C115" s="38" t="s">
        <v>415</v>
      </c>
      <c r="D115" s="39" t="s">
        <v>1209</v>
      </c>
      <c r="E115" s="15" t="s">
        <v>104</v>
      </c>
      <c r="F115" s="38" t="s">
        <v>41</v>
      </c>
      <c r="G115" s="16">
        <v>-174.39</v>
      </c>
    </row>
    <row r="116" spans="1:7" ht="60">
      <c r="A116" s="15" t="s">
        <v>417</v>
      </c>
      <c r="B116" s="15" t="s">
        <v>416</v>
      </c>
      <c r="C116" s="38" t="s">
        <v>418</v>
      </c>
      <c r="D116" s="39" t="s">
        <v>1210</v>
      </c>
      <c r="E116" s="15" t="s">
        <v>141</v>
      </c>
      <c r="F116" s="38" t="s">
        <v>142</v>
      </c>
      <c r="G116" s="16">
        <v>679.2</v>
      </c>
    </row>
    <row r="117" spans="1:7" ht="75">
      <c r="A117" s="15" t="s">
        <v>420</v>
      </c>
      <c r="B117" s="15" t="s">
        <v>419</v>
      </c>
      <c r="C117" s="38" t="s">
        <v>421</v>
      </c>
      <c r="D117" s="39" t="s">
        <v>1211</v>
      </c>
      <c r="E117" s="15" t="s">
        <v>32</v>
      </c>
      <c r="F117" s="38" t="s">
        <v>22</v>
      </c>
      <c r="G117" s="16">
        <v>-1052.3799999999999</v>
      </c>
    </row>
    <row r="118" spans="1:7" ht="135">
      <c r="A118" s="15" t="s">
        <v>423</v>
      </c>
      <c r="B118" s="15" t="s">
        <v>422</v>
      </c>
      <c r="C118" s="38" t="s">
        <v>424</v>
      </c>
      <c r="D118" s="39" t="s">
        <v>1212</v>
      </c>
      <c r="E118" s="15" t="s">
        <v>246</v>
      </c>
      <c r="F118" s="38" t="s">
        <v>247</v>
      </c>
      <c r="G118" s="16">
        <v>-418.81</v>
      </c>
    </row>
    <row r="119" spans="1:7" ht="30">
      <c r="A119" s="15" t="s">
        <v>426</v>
      </c>
      <c r="B119" s="15" t="s">
        <v>425</v>
      </c>
      <c r="C119" s="38" t="s">
        <v>427</v>
      </c>
      <c r="D119" s="39" t="s">
        <v>1213</v>
      </c>
      <c r="E119" s="15" t="s">
        <v>104</v>
      </c>
      <c r="F119" s="38" t="s">
        <v>41</v>
      </c>
      <c r="G119" s="16">
        <v>1.99</v>
      </c>
    </row>
    <row r="120" spans="1:7" ht="60">
      <c r="A120" s="15" t="s">
        <v>429</v>
      </c>
      <c r="B120" s="15" t="s">
        <v>428</v>
      </c>
      <c r="C120" s="38" t="s">
        <v>430</v>
      </c>
      <c r="D120" s="39" t="s">
        <v>1214</v>
      </c>
      <c r="E120" s="15" t="s">
        <v>32</v>
      </c>
      <c r="F120" s="38" t="s">
        <v>22</v>
      </c>
      <c r="G120" s="16">
        <v>-61.26</v>
      </c>
    </row>
    <row r="121" spans="1:7" ht="60">
      <c r="A121" s="15" t="s">
        <v>432</v>
      </c>
      <c r="B121" s="15" t="s">
        <v>431</v>
      </c>
      <c r="C121" s="38" t="s">
        <v>433</v>
      </c>
      <c r="D121" s="39" t="s">
        <v>1215</v>
      </c>
      <c r="E121" s="15" t="s">
        <v>258</v>
      </c>
      <c r="F121" s="38" t="s">
        <v>259</v>
      </c>
      <c r="G121" s="16">
        <v>-175.94</v>
      </c>
    </row>
    <row r="122" spans="1:7" ht="60">
      <c r="A122" s="15" t="s">
        <v>435</v>
      </c>
      <c r="B122" s="15" t="s">
        <v>434</v>
      </c>
      <c r="C122" s="38" t="s">
        <v>436</v>
      </c>
      <c r="D122" s="39" t="s">
        <v>1216</v>
      </c>
      <c r="E122" s="15" t="s">
        <v>58</v>
      </c>
      <c r="F122" s="38" t="s">
        <v>22</v>
      </c>
      <c r="G122" s="16">
        <v>-94.86</v>
      </c>
    </row>
    <row r="123" spans="1:7" ht="30">
      <c r="A123" s="15" t="s">
        <v>438</v>
      </c>
      <c r="B123" s="15" t="s">
        <v>437</v>
      </c>
      <c r="C123" s="38" t="s">
        <v>439</v>
      </c>
      <c r="D123" s="39" t="s">
        <v>1217</v>
      </c>
      <c r="E123" s="15" t="s">
        <v>440</v>
      </c>
      <c r="F123" s="38" t="s">
        <v>28</v>
      </c>
      <c r="G123" s="16">
        <v>8.2100000000000009</v>
      </c>
    </row>
    <row r="124" spans="1:7" ht="150">
      <c r="A124" s="15" t="s">
        <v>442</v>
      </c>
      <c r="B124" s="15" t="s">
        <v>441</v>
      </c>
      <c r="C124" s="38" t="s">
        <v>443</v>
      </c>
      <c r="D124" s="39" t="s">
        <v>1218</v>
      </c>
      <c r="E124" s="15" t="s">
        <v>141</v>
      </c>
      <c r="F124" s="38" t="s">
        <v>142</v>
      </c>
      <c r="G124" s="16">
        <v>-15549.44</v>
      </c>
    </row>
    <row r="125" spans="1:7" ht="30">
      <c r="A125" s="15" t="s">
        <v>445</v>
      </c>
      <c r="B125" s="15" t="s">
        <v>444</v>
      </c>
      <c r="C125" s="38" t="s">
        <v>446</v>
      </c>
      <c r="D125" s="39" t="s">
        <v>1219</v>
      </c>
      <c r="E125" s="15" t="s">
        <v>62</v>
      </c>
      <c r="F125" s="38" t="s">
        <v>22</v>
      </c>
      <c r="G125" s="16">
        <v>-148.77000000000001</v>
      </c>
    </row>
    <row r="126" spans="1:7" ht="90">
      <c r="A126" s="15" t="s">
        <v>448</v>
      </c>
      <c r="B126" s="15" t="s">
        <v>447</v>
      </c>
      <c r="C126" s="38" t="s">
        <v>449</v>
      </c>
      <c r="D126" s="39" t="s">
        <v>1220</v>
      </c>
      <c r="E126" s="15" t="s">
        <v>296</v>
      </c>
      <c r="F126" s="38" t="s">
        <v>28</v>
      </c>
      <c r="G126" s="16">
        <v>-625.21</v>
      </c>
    </row>
    <row r="127" spans="1:7" ht="30">
      <c r="A127" s="15" t="s">
        <v>451</v>
      </c>
      <c r="B127" s="15" t="s">
        <v>450</v>
      </c>
      <c r="C127" s="38" t="s">
        <v>452</v>
      </c>
      <c r="D127" s="39" t="s">
        <v>1221</v>
      </c>
      <c r="E127" s="15" t="s">
        <v>45</v>
      </c>
      <c r="F127" s="38" t="s">
        <v>22</v>
      </c>
      <c r="G127" s="16">
        <v>-5.2</v>
      </c>
    </row>
    <row r="128" spans="1:7" ht="75">
      <c r="A128" s="15" t="s">
        <v>454</v>
      </c>
      <c r="B128" s="15" t="s">
        <v>453</v>
      </c>
      <c r="C128" s="38" t="s">
        <v>455</v>
      </c>
      <c r="D128" s="39" t="s">
        <v>1222</v>
      </c>
      <c r="E128" s="15" t="s">
        <v>62</v>
      </c>
      <c r="F128" s="38" t="s">
        <v>22</v>
      </c>
      <c r="G128" s="16">
        <v>777.26</v>
      </c>
    </row>
    <row r="129" spans="1:7" ht="45">
      <c r="A129" s="15" t="s">
        <v>457</v>
      </c>
      <c r="B129" s="15" t="s">
        <v>456</v>
      </c>
      <c r="C129" s="38" t="s">
        <v>458</v>
      </c>
      <c r="D129" s="39" t="s">
        <v>1223</v>
      </c>
      <c r="E129" s="15" t="s">
        <v>21</v>
      </c>
      <c r="F129" s="38" t="s">
        <v>22</v>
      </c>
      <c r="G129" s="16">
        <v>-591.12</v>
      </c>
    </row>
    <row r="130" spans="1:7" ht="45">
      <c r="A130" s="15" t="s">
        <v>460</v>
      </c>
      <c r="B130" s="15" t="s">
        <v>459</v>
      </c>
      <c r="C130" s="38" t="s">
        <v>461</v>
      </c>
      <c r="D130" s="39" t="s">
        <v>1224</v>
      </c>
      <c r="E130" s="15" t="s">
        <v>462</v>
      </c>
      <c r="F130" s="38" t="s">
        <v>142</v>
      </c>
      <c r="G130" s="16">
        <v>-771.19</v>
      </c>
    </row>
    <row r="131" spans="1:7" ht="45">
      <c r="A131" s="15" t="s">
        <v>464</v>
      </c>
      <c r="B131" s="15" t="s">
        <v>463</v>
      </c>
      <c r="C131" s="38" t="s">
        <v>465</v>
      </c>
      <c r="D131" s="39" t="s">
        <v>1225</v>
      </c>
      <c r="E131" s="15" t="s">
        <v>466</v>
      </c>
      <c r="F131" s="38" t="s">
        <v>467</v>
      </c>
      <c r="G131" s="16">
        <v>-442.33</v>
      </c>
    </row>
    <row r="132" spans="1:7" ht="60">
      <c r="A132" s="15" t="s">
        <v>469</v>
      </c>
      <c r="B132" s="15" t="s">
        <v>468</v>
      </c>
      <c r="C132" s="38" t="s">
        <v>470</v>
      </c>
      <c r="D132" s="39" t="s">
        <v>1226</v>
      </c>
      <c r="E132" s="15" t="s">
        <v>136</v>
      </c>
      <c r="F132" s="38" t="s">
        <v>137</v>
      </c>
      <c r="G132" s="16">
        <v>-992.83</v>
      </c>
    </row>
    <row r="133" spans="1:7" ht="30">
      <c r="A133" s="15" t="s">
        <v>472</v>
      </c>
      <c r="B133" s="15" t="s">
        <v>471</v>
      </c>
      <c r="C133" s="38" t="s">
        <v>473</v>
      </c>
      <c r="D133" s="39" t="s">
        <v>1227</v>
      </c>
      <c r="E133" s="15" t="s">
        <v>27</v>
      </c>
      <c r="F133" s="38" t="s">
        <v>28</v>
      </c>
      <c r="G133" s="16">
        <v>-48.87</v>
      </c>
    </row>
    <row r="134" spans="1:7" ht="90">
      <c r="A134" s="15" t="s">
        <v>475</v>
      </c>
      <c r="B134" s="15" t="s">
        <v>474</v>
      </c>
      <c r="C134" s="38" t="s">
        <v>476</v>
      </c>
      <c r="D134" s="39" t="s">
        <v>1228</v>
      </c>
      <c r="E134" s="15" t="s">
        <v>40</v>
      </c>
      <c r="F134" s="38" t="s">
        <v>41</v>
      </c>
      <c r="G134" s="16">
        <v>-659.04</v>
      </c>
    </row>
    <row r="135" spans="1:7" ht="45">
      <c r="A135" s="15" t="s">
        <v>478</v>
      </c>
      <c r="B135" s="15" t="s">
        <v>477</v>
      </c>
      <c r="C135" s="38" t="s">
        <v>479</v>
      </c>
      <c r="D135" s="39" t="s">
        <v>1229</v>
      </c>
      <c r="E135" s="15" t="s">
        <v>440</v>
      </c>
      <c r="F135" s="38" t="s">
        <v>28</v>
      </c>
      <c r="G135" s="16">
        <v>-15.86</v>
      </c>
    </row>
    <row r="136" spans="1:7" ht="45">
      <c r="A136" s="15" t="s">
        <v>481</v>
      </c>
      <c r="B136" s="15" t="s">
        <v>480</v>
      </c>
      <c r="C136" s="38" t="s">
        <v>482</v>
      </c>
      <c r="D136" s="39" t="s">
        <v>1230</v>
      </c>
      <c r="E136" s="15" t="s">
        <v>141</v>
      </c>
      <c r="F136" s="38" t="s">
        <v>142</v>
      </c>
      <c r="G136" s="16">
        <v>-331.73</v>
      </c>
    </row>
    <row r="137" spans="1:7" ht="120">
      <c r="A137" s="15" t="s">
        <v>484</v>
      </c>
      <c r="B137" s="15" t="s">
        <v>483</v>
      </c>
      <c r="C137" s="38" t="s">
        <v>485</v>
      </c>
      <c r="D137" s="39" t="s">
        <v>1231</v>
      </c>
      <c r="E137" s="15" t="s">
        <v>324</v>
      </c>
      <c r="F137" s="38" t="s">
        <v>325</v>
      </c>
      <c r="G137" s="16">
        <v>-297.13</v>
      </c>
    </row>
    <row r="138" spans="1:7" ht="45">
      <c r="A138" s="15" t="s">
        <v>487</v>
      </c>
      <c r="B138" s="15" t="s">
        <v>486</v>
      </c>
      <c r="C138" s="38" t="s">
        <v>488</v>
      </c>
      <c r="D138" s="39" t="s">
        <v>1232</v>
      </c>
      <c r="E138" s="15" t="s">
        <v>141</v>
      </c>
      <c r="F138" s="38" t="s">
        <v>142</v>
      </c>
      <c r="G138" s="16">
        <v>-374.06</v>
      </c>
    </row>
    <row r="139" spans="1:7" ht="30">
      <c r="A139" s="15" t="s">
        <v>490</v>
      </c>
      <c r="B139" s="15" t="s">
        <v>489</v>
      </c>
      <c r="C139" s="38" t="s">
        <v>491</v>
      </c>
      <c r="D139" s="207" t="s">
        <v>1638</v>
      </c>
      <c r="E139" s="15" t="s">
        <v>492</v>
      </c>
      <c r="F139" s="38" t="s">
        <v>378</v>
      </c>
      <c r="G139" s="16">
        <v>-575.10000000000025</v>
      </c>
    </row>
    <row r="140" spans="1:7" ht="45">
      <c r="A140" s="15" t="s">
        <v>494</v>
      </c>
      <c r="B140" s="15" t="s">
        <v>493</v>
      </c>
      <c r="C140" s="38" t="s">
        <v>495</v>
      </c>
      <c r="D140" s="39" t="s">
        <v>1233</v>
      </c>
      <c r="E140" s="15" t="s">
        <v>62</v>
      </c>
      <c r="F140" s="38" t="s">
        <v>22</v>
      </c>
      <c r="G140" s="16">
        <v>-24.13</v>
      </c>
    </row>
    <row r="141" spans="1:7" ht="30">
      <c r="A141" s="15" t="s">
        <v>497</v>
      </c>
      <c r="B141" s="15" t="s">
        <v>496</v>
      </c>
      <c r="C141" s="38" t="s">
        <v>376</v>
      </c>
      <c r="D141" s="207" t="s">
        <v>1639</v>
      </c>
      <c r="E141" s="15" t="s">
        <v>498</v>
      </c>
      <c r="F141" s="38" t="s">
        <v>378</v>
      </c>
      <c r="G141" s="16">
        <v>187802.28</v>
      </c>
    </row>
    <row r="142" spans="1:7">
      <c r="A142" s="15" t="s">
        <v>500</v>
      </c>
      <c r="B142" s="15" t="s">
        <v>499</v>
      </c>
      <c r="C142" s="38" t="s">
        <v>385</v>
      </c>
      <c r="D142" s="39" t="s">
        <v>1640</v>
      </c>
      <c r="E142" s="15" t="s">
        <v>501</v>
      </c>
      <c r="F142" s="38" t="s">
        <v>387</v>
      </c>
      <c r="G142" s="16">
        <v>79895.22</v>
      </c>
    </row>
    <row r="143" spans="1:7" ht="60">
      <c r="A143" s="15" t="s">
        <v>503</v>
      </c>
      <c r="B143" s="15" t="s">
        <v>502</v>
      </c>
      <c r="C143" s="38" t="s">
        <v>504</v>
      </c>
      <c r="D143" s="39" t="s">
        <v>1234</v>
      </c>
      <c r="E143" s="15" t="s">
        <v>40</v>
      </c>
      <c r="F143" s="38" t="s">
        <v>41</v>
      </c>
      <c r="G143" s="16">
        <v>-28.62</v>
      </c>
    </row>
    <row r="144" spans="1:7" ht="90">
      <c r="A144" s="15" t="s">
        <v>506</v>
      </c>
      <c r="B144" s="15" t="s">
        <v>505</v>
      </c>
      <c r="C144" s="38" t="s">
        <v>507</v>
      </c>
      <c r="D144" s="39" t="s">
        <v>1235</v>
      </c>
      <c r="E144" s="15" t="s">
        <v>104</v>
      </c>
      <c r="F144" s="38" t="s">
        <v>41</v>
      </c>
      <c r="G144" s="16">
        <v>-27.17</v>
      </c>
    </row>
    <row r="145" spans="1:7" ht="90">
      <c r="A145" s="15" t="s">
        <v>509</v>
      </c>
      <c r="B145" s="15" t="s">
        <v>508</v>
      </c>
      <c r="C145" s="38" t="s">
        <v>510</v>
      </c>
      <c r="D145" s="39" t="s">
        <v>1236</v>
      </c>
      <c r="E145" s="15" t="s">
        <v>27</v>
      </c>
      <c r="F145" s="38" t="s">
        <v>28</v>
      </c>
      <c r="G145" s="16">
        <v>-147.01</v>
      </c>
    </row>
    <row r="146" spans="1:7" ht="90">
      <c r="A146" s="15" t="s">
        <v>512</v>
      </c>
      <c r="B146" s="15" t="s">
        <v>511</v>
      </c>
      <c r="C146" s="38" t="s">
        <v>513</v>
      </c>
      <c r="D146" s="39" t="s">
        <v>1237</v>
      </c>
      <c r="E146" s="15" t="s">
        <v>324</v>
      </c>
      <c r="F146" s="38" t="s">
        <v>325</v>
      </c>
      <c r="G146" s="16">
        <v>-3618.02</v>
      </c>
    </row>
    <row r="147" spans="1:7" ht="60">
      <c r="A147" s="15" t="s">
        <v>515</v>
      </c>
      <c r="B147" s="15" t="s">
        <v>514</v>
      </c>
      <c r="C147" s="38" t="s">
        <v>516</v>
      </c>
      <c r="D147" s="39" t="s">
        <v>1238</v>
      </c>
      <c r="E147" s="15" t="s">
        <v>49</v>
      </c>
      <c r="F147" s="38" t="s">
        <v>22</v>
      </c>
      <c r="G147" s="16">
        <v>-46.01</v>
      </c>
    </row>
    <row r="148" spans="1:7" ht="90">
      <c r="A148" s="15" t="s">
        <v>518</v>
      </c>
      <c r="B148" s="15" t="s">
        <v>517</v>
      </c>
      <c r="C148" s="38" t="s">
        <v>519</v>
      </c>
      <c r="D148" s="39" t="s">
        <v>1239</v>
      </c>
      <c r="E148" s="15" t="s">
        <v>125</v>
      </c>
      <c r="F148" s="38" t="s">
        <v>126</v>
      </c>
      <c r="G148" s="16">
        <v>-94.11</v>
      </c>
    </row>
    <row r="149" spans="1:7" ht="90">
      <c r="A149" s="15" t="s">
        <v>521</v>
      </c>
      <c r="B149" s="15" t="s">
        <v>520</v>
      </c>
      <c r="C149" s="38" t="s">
        <v>522</v>
      </c>
      <c r="D149" s="39" t="s">
        <v>1240</v>
      </c>
      <c r="E149" s="15" t="s">
        <v>125</v>
      </c>
      <c r="F149" s="38" t="s">
        <v>126</v>
      </c>
      <c r="G149" s="16">
        <v>-89.47</v>
      </c>
    </row>
    <row r="150" spans="1:7" ht="45">
      <c r="A150" s="15" t="s">
        <v>524</v>
      </c>
      <c r="B150" s="15" t="s">
        <v>523</v>
      </c>
      <c r="C150" s="38" t="s">
        <v>525</v>
      </c>
      <c r="D150" s="39" t="s">
        <v>1241</v>
      </c>
      <c r="E150" s="15" t="s">
        <v>141</v>
      </c>
      <c r="F150" s="38" t="s">
        <v>142</v>
      </c>
      <c r="G150" s="16">
        <v>-54.19</v>
      </c>
    </row>
    <row r="151" spans="1:7" ht="105">
      <c r="A151" s="15" t="s">
        <v>527</v>
      </c>
      <c r="B151" s="15" t="s">
        <v>526</v>
      </c>
      <c r="C151" s="38" t="s">
        <v>528</v>
      </c>
      <c r="D151" s="39" t="s">
        <v>1242</v>
      </c>
      <c r="E151" s="15" t="s">
        <v>53</v>
      </c>
      <c r="F151" s="38" t="s">
        <v>41</v>
      </c>
      <c r="G151" s="16">
        <v>-4837.0200000000004</v>
      </c>
    </row>
    <row r="152" spans="1:7" ht="60">
      <c r="A152" s="15" t="s">
        <v>530</v>
      </c>
      <c r="B152" s="15" t="s">
        <v>529</v>
      </c>
      <c r="C152" s="38" t="s">
        <v>531</v>
      </c>
      <c r="D152" s="39" t="s">
        <v>1243</v>
      </c>
      <c r="E152" s="15" t="s">
        <v>141</v>
      </c>
      <c r="F152" s="38" t="s">
        <v>142</v>
      </c>
      <c r="G152" s="16">
        <v>-450.77</v>
      </c>
    </row>
    <row r="153" spans="1:7" ht="120">
      <c r="A153" s="15" t="s">
        <v>533</v>
      </c>
      <c r="B153" s="15" t="s">
        <v>532</v>
      </c>
      <c r="C153" s="38" t="s">
        <v>534</v>
      </c>
      <c r="D153" s="39" t="s">
        <v>1244</v>
      </c>
      <c r="E153" s="15" t="s">
        <v>535</v>
      </c>
      <c r="F153" s="38" t="s">
        <v>536</v>
      </c>
      <c r="G153" s="16">
        <v>-650.67999999999995</v>
      </c>
    </row>
    <row r="154" spans="1:7" ht="60">
      <c r="A154" s="15" t="s">
        <v>538</v>
      </c>
      <c r="B154" s="15" t="s">
        <v>537</v>
      </c>
      <c r="C154" s="38" t="s">
        <v>539</v>
      </c>
      <c r="D154" s="39" t="s">
        <v>1245</v>
      </c>
      <c r="E154" s="15" t="s">
        <v>53</v>
      </c>
      <c r="F154" s="38" t="s">
        <v>41</v>
      </c>
      <c r="G154" s="16">
        <v>-295.94</v>
      </c>
    </row>
    <row r="155" spans="1:7" ht="60">
      <c r="A155" s="15" t="s">
        <v>541</v>
      </c>
      <c r="B155" s="15" t="s">
        <v>540</v>
      </c>
      <c r="C155" s="38" t="s">
        <v>542</v>
      </c>
      <c r="D155" s="39" t="s">
        <v>1246</v>
      </c>
      <c r="E155" s="15" t="s">
        <v>216</v>
      </c>
      <c r="F155" s="38" t="s">
        <v>22</v>
      </c>
      <c r="G155" s="16">
        <v>-127.22</v>
      </c>
    </row>
    <row r="156" spans="1:7" ht="30">
      <c r="A156" s="15" t="s">
        <v>544</v>
      </c>
      <c r="B156" s="15" t="s">
        <v>543</v>
      </c>
      <c r="C156" s="38" t="s">
        <v>545</v>
      </c>
      <c r="D156" s="39" t="s">
        <v>1247</v>
      </c>
      <c r="E156" s="15" t="s">
        <v>62</v>
      </c>
      <c r="F156" s="38" t="s">
        <v>22</v>
      </c>
      <c r="G156" s="16">
        <v>26296.01</v>
      </c>
    </row>
    <row r="157" spans="1:7" ht="45">
      <c r="A157" s="15" t="s">
        <v>547</v>
      </c>
      <c r="B157" s="15" t="s">
        <v>546</v>
      </c>
      <c r="C157" s="38" t="s">
        <v>548</v>
      </c>
      <c r="D157" s="39" t="s">
        <v>1248</v>
      </c>
      <c r="E157" s="15" t="s">
        <v>141</v>
      </c>
      <c r="F157" s="38" t="s">
        <v>142</v>
      </c>
      <c r="G157" s="16">
        <v>-1572.84</v>
      </c>
    </row>
    <row r="158" spans="1:7" ht="180">
      <c r="A158" s="15" t="s">
        <v>550</v>
      </c>
      <c r="B158" s="15" t="s">
        <v>549</v>
      </c>
      <c r="C158" s="38" t="s">
        <v>551</v>
      </c>
      <c r="D158" s="39" t="s">
        <v>1249</v>
      </c>
      <c r="E158" s="15" t="s">
        <v>136</v>
      </c>
      <c r="F158" s="38" t="s">
        <v>137</v>
      </c>
      <c r="G158" s="16">
        <v>-3150.43</v>
      </c>
    </row>
    <row r="159" spans="1:7" ht="90">
      <c r="A159" s="15" t="s">
        <v>553</v>
      </c>
      <c r="B159" s="15" t="s">
        <v>552</v>
      </c>
      <c r="C159" s="38" t="s">
        <v>554</v>
      </c>
      <c r="D159" s="39" t="s">
        <v>1250</v>
      </c>
      <c r="E159" s="15" t="s">
        <v>62</v>
      </c>
      <c r="F159" s="38" t="s">
        <v>22</v>
      </c>
      <c r="G159" s="16">
        <v>43909.450000000004</v>
      </c>
    </row>
    <row r="160" spans="1:7" ht="45">
      <c r="A160" s="15" t="s">
        <v>556</v>
      </c>
      <c r="B160" s="15" t="s">
        <v>555</v>
      </c>
      <c r="C160" s="38" t="s">
        <v>557</v>
      </c>
      <c r="D160" s="39" t="s">
        <v>1251</v>
      </c>
      <c r="E160" s="15" t="s">
        <v>141</v>
      </c>
      <c r="F160" s="38" t="s">
        <v>142</v>
      </c>
      <c r="G160" s="16">
        <v>-399.68</v>
      </c>
    </row>
    <row r="161" spans="1:7" ht="45">
      <c r="A161" s="15" t="s">
        <v>559</v>
      </c>
      <c r="B161" s="15" t="s">
        <v>558</v>
      </c>
      <c r="C161" s="38" t="s">
        <v>560</v>
      </c>
      <c r="D161" s="39" t="s">
        <v>1252</v>
      </c>
      <c r="E161" s="15" t="s">
        <v>36</v>
      </c>
      <c r="F161" s="38" t="s">
        <v>22</v>
      </c>
      <c r="G161" s="16">
        <v>-480.27</v>
      </c>
    </row>
    <row r="162" spans="1:7" ht="75">
      <c r="A162" s="15" t="s">
        <v>562</v>
      </c>
      <c r="B162" s="15" t="s">
        <v>561</v>
      </c>
      <c r="C162" s="38" t="s">
        <v>563</v>
      </c>
      <c r="D162" s="39" t="s">
        <v>1253</v>
      </c>
      <c r="E162" s="15" t="s">
        <v>58</v>
      </c>
      <c r="F162" s="38" t="s">
        <v>22</v>
      </c>
      <c r="G162" s="16">
        <v>-363.06</v>
      </c>
    </row>
    <row r="163" spans="1:7" ht="105">
      <c r="A163" s="15" t="s">
        <v>1100</v>
      </c>
      <c r="B163" s="15" t="s">
        <v>1099</v>
      </c>
      <c r="C163" s="38" t="s">
        <v>1101</v>
      </c>
      <c r="D163" s="39" t="s">
        <v>1254</v>
      </c>
      <c r="E163" s="15" t="s">
        <v>104</v>
      </c>
      <c r="F163" s="38" t="s">
        <v>41</v>
      </c>
      <c r="G163" s="16">
        <v>164742.15</v>
      </c>
    </row>
    <row r="164" spans="1:7" ht="30">
      <c r="A164" s="15" t="s">
        <v>565</v>
      </c>
      <c r="B164" s="15" t="s">
        <v>564</v>
      </c>
      <c r="C164" s="38" t="s">
        <v>566</v>
      </c>
      <c r="D164" s="39" t="s">
        <v>1255</v>
      </c>
      <c r="E164" s="15" t="s">
        <v>567</v>
      </c>
      <c r="F164" s="38" t="s">
        <v>137</v>
      </c>
      <c r="G164" s="16">
        <v>13.59</v>
      </c>
    </row>
    <row r="165" spans="1:7" ht="105">
      <c r="A165" s="15" t="s">
        <v>569</v>
      </c>
      <c r="B165" s="15" t="s">
        <v>568</v>
      </c>
      <c r="C165" s="38" t="s">
        <v>570</v>
      </c>
      <c r="D165" s="39" t="s">
        <v>1256</v>
      </c>
      <c r="E165" s="15" t="s">
        <v>324</v>
      </c>
      <c r="F165" s="38" t="s">
        <v>325</v>
      </c>
      <c r="G165" s="16">
        <v>-124.35</v>
      </c>
    </row>
    <row r="166" spans="1:7" ht="30">
      <c r="A166" s="15" t="s">
        <v>572</v>
      </c>
      <c r="B166" s="15" t="s">
        <v>571</v>
      </c>
      <c r="C166" s="38" t="s">
        <v>573</v>
      </c>
      <c r="D166" s="39" t="s">
        <v>1257</v>
      </c>
      <c r="E166" s="15" t="s">
        <v>574</v>
      </c>
      <c r="F166" s="38" t="s">
        <v>28</v>
      </c>
      <c r="G166" s="16">
        <v>-89.13</v>
      </c>
    </row>
    <row r="167" spans="1:7" ht="60">
      <c r="A167" s="15" t="s">
        <v>576</v>
      </c>
      <c r="B167" s="15" t="s">
        <v>575</v>
      </c>
      <c r="C167" s="38" t="s">
        <v>577</v>
      </c>
      <c r="D167" s="39" t="s">
        <v>1258</v>
      </c>
      <c r="E167" s="15" t="s">
        <v>462</v>
      </c>
      <c r="F167" s="38" t="s">
        <v>142</v>
      </c>
      <c r="G167" s="16">
        <v>-1970.29</v>
      </c>
    </row>
    <row r="168" spans="1:7" ht="60">
      <c r="A168" s="15" t="s">
        <v>579</v>
      </c>
      <c r="B168" s="15" t="s">
        <v>578</v>
      </c>
      <c r="C168" s="38" t="s">
        <v>580</v>
      </c>
      <c r="D168" s="39" t="s">
        <v>1259</v>
      </c>
      <c r="E168" s="15" t="s">
        <v>136</v>
      </c>
      <c r="F168" s="38" t="s">
        <v>137</v>
      </c>
      <c r="G168" s="16">
        <v>-19.86</v>
      </c>
    </row>
    <row r="169" spans="1:7" ht="135">
      <c r="A169" s="15" t="s">
        <v>582</v>
      </c>
      <c r="B169" s="15" t="s">
        <v>581</v>
      </c>
      <c r="C169" s="38" t="s">
        <v>583</v>
      </c>
      <c r="D169" s="39" t="s">
        <v>1260</v>
      </c>
      <c r="E169" s="15" t="s">
        <v>104</v>
      </c>
      <c r="F169" s="38" t="s">
        <v>41</v>
      </c>
      <c r="G169" s="16">
        <v>102238.08000000002</v>
      </c>
    </row>
    <row r="170" spans="1:7" ht="180">
      <c r="A170" s="15" t="s">
        <v>585</v>
      </c>
      <c r="B170" s="15" t="s">
        <v>584</v>
      </c>
      <c r="C170" s="38" t="s">
        <v>586</v>
      </c>
      <c r="D170" s="39" t="s">
        <v>1261</v>
      </c>
      <c r="E170" s="15" t="s">
        <v>62</v>
      </c>
      <c r="F170" s="38" t="s">
        <v>22</v>
      </c>
      <c r="G170" s="16">
        <v>-7974.11</v>
      </c>
    </row>
    <row r="171" spans="1:7">
      <c r="A171" s="15" t="s">
        <v>1028</v>
      </c>
      <c r="B171" s="15" t="s">
        <v>1027</v>
      </c>
      <c r="C171" s="38" t="s">
        <v>194</v>
      </c>
      <c r="D171" s="39" t="s">
        <v>1641</v>
      </c>
      <c r="E171" s="15" t="s">
        <v>1029</v>
      </c>
      <c r="F171" s="38" t="s">
        <v>196</v>
      </c>
      <c r="G171" s="16">
        <v>463.42</v>
      </c>
    </row>
    <row r="172" spans="1:7" ht="30">
      <c r="A172" s="15" t="s">
        <v>588</v>
      </c>
      <c r="B172" s="15" t="s">
        <v>587</v>
      </c>
      <c r="C172" s="38" t="s">
        <v>589</v>
      </c>
      <c r="D172" s="208" t="s">
        <v>1642</v>
      </c>
      <c r="E172" s="15" t="s">
        <v>590</v>
      </c>
      <c r="F172" s="38" t="s">
        <v>591</v>
      </c>
      <c r="G172" s="16">
        <v>-3.04</v>
      </c>
    </row>
    <row r="173" spans="1:7" ht="30">
      <c r="A173" s="15" t="s">
        <v>593</v>
      </c>
      <c r="B173" s="15" t="s">
        <v>592</v>
      </c>
      <c r="C173" s="38" t="s">
        <v>381</v>
      </c>
      <c r="D173" s="207" t="s">
        <v>1643</v>
      </c>
      <c r="E173" s="15" t="s">
        <v>594</v>
      </c>
      <c r="F173" s="38" t="s">
        <v>212</v>
      </c>
      <c r="G173" s="16">
        <v>-383.88</v>
      </c>
    </row>
    <row r="174" spans="1:7" ht="30">
      <c r="A174" s="15" t="s">
        <v>596</v>
      </c>
      <c r="B174" s="15" t="s">
        <v>595</v>
      </c>
      <c r="C174" s="38" t="s">
        <v>597</v>
      </c>
      <c r="D174" s="207" t="s">
        <v>1644</v>
      </c>
      <c r="E174" s="15" t="s">
        <v>598</v>
      </c>
      <c r="F174" s="38" t="s">
        <v>212</v>
      </c>
      <c r="G174" s="16">
        <v>431343.84999999992</v>
      </c>
    </row>
    <row r="175" spans="1:7">
      <c r="A175" s="15" t="s">
        <v>600</v>
      </c>
      <c r="B175" s="15" t="s">
        <v>599</v>
      </c>
      <c r="C175" s="38" t="s">
        <v>385</v>
      </c>
      <c r="D175" s="39" t="s">
        <v>1645</v>
      </c>
      <c r="E175" s="15" t="s">
        <v>601</v>
      </c>
      <c r="F175" s="38" t="s">
        <v>387</v>
      </c>
      <c r="G175" s="16">
        <v>20186.599999999999</v>
      </c>
    </row>
    <row r="176" spans="1:7" ht="60">
      <c r="A176" s="15" t="s">
        <v>603</v>
      </c>
      <c r="B176" s="15" t="s">
        <v>602</v>
      </c>
      <c r="C176" s="38" t="s">
        <v>604</v>
      </c>
      <c r="D176" s="39" t="s">
        <v>1262</v>
      </c>
      <c r="E176" s="15" t="s">
        <v>58</v>
      </c>
      <c r="F176" s="38" t="s">
        <v>22</v>
      </c>
      <c r="G176" s="16">
        <v>50.89</v>
      </c>
    </row>
    <row r="177" spans="1:7" ht="180">
      <c r="A177" s="15" t="s">
        <v>606</v>
      </c>
      <c r="B177" s="15" t="s">
        <v>605</v>
      </c>
      <c r="C177" s="38" t="s">
        <v>607</v>
      </c>
      <c r="D177" s="39" t="s">
        <v>1263</v>
      </c>
      <c r="E177" s="15" t="s">
        <v>62</v>
      </c>
      <c r="F177" s="38" t="s">
        <v>22</v>
      </c>
      <c r="G177" s="16">
        <v>-1362.37</v>
      </c>
    </row>
    <row r="178" spans="1:7" ht="45">
      <c r="A178" s="15" t="s">
        <v>609</v>
      </c>
      <c r="B178" s="15" t="s">
        <v>608</v>
      </c>
      <c r="C178" s="38" t="s">
        <v>610</v>
      </c>
      <c r="D178" s="39" t="s">
        <v>1264</v>
      </c>
      <c r="E178" s="15" t="s">
        <v>45</v>
      </c>
      <c r="F178" s="38" t="s">
        <v>22</v>
      </c>
      <c r="G178" s="16">
        <v>-283.43</v>
      </c>
    </row>
    <row r="179" spans="1:7" ht="120">
      <c r="A179" s="15" t="s">
        <v>612</v>
      </c>
      <c r="B179" s="15" t="s">
        <v>611</v>
      </c>
      <c r="C179" s="38" t="s">
        <v>613</v>
      </c>
      <c r="D179" s="39" t="s">
        <v>1265</v>
      </c>
      <c r="E179" s="15" t="s">
        <v>324</v>
      </c>
      <c r="F179" s="38" t="s">
        <v>325</v>
      </c>
      <c r="G179" s="16">
        <v>-386.84</v>
      </c>
    </row>
    <row r="180" spans="1:7" ht="30">
      <c r="A180" s="15" t="s">
        <v>615</v>
      </c>
      <c r="B180" s="15" t="s">
        <v>614</v>
      </c>
      <c r="C180" s="38" t="s">
        <v>616</v>
      </c>
      <c r="D180" s="39" t="s">
        <v>1266</v>
      </c>
      <c r="E180" s="15" t="s">
        <v>40</v>
      </c>
      <c r="F180" s="38" t="s">
        <v>41</v>
      </c>
      <c r="G180" s="16">
        <v>-6.15</v>
      </c>
    </row>
    <row r="181" spans="1:7" ht="60">
      <c r="A181" s="15" t="s">
        <v>618</v>
      </c>
      <c r="B181" s="15" t="s">
        <v>617</v>
      </c>
      <c r="C181" s="38" t="s">
        <v>619</v>
      </c>
      <c r="D181" s="39" t="s">
        <v>1267</v>
      </c>
      <c r="E181" s="15" t="s">
        <v>141</v>
      </c>
      <c r="F181" s="38" t="s">
        <v>142</v>
      </c>
      <c r="G181" s="16">
        <v>-725.84</v>
      </c>
    </row>
    <row r="182" spans="1:7" ht="45">
      <c r="A182" s="15" t="s">
        <v>621</v>
      </c>
      <c r="B182" s="15" t="s">
        <v>620</v>
      </c>
      <c r="C182" s="38" t="s">
        <v>622</v>
      </c>
      <c r="D182" s="39" t="s">
        <v>1268</v>
      </c>
      <c r="E182" s="15" t="s">
        <v>623</v>
      </c>
      <c r="F182" s="38" t="s">
        <v>624</v>
      </c>
      <c r="G182" s="16">
        <v>-176.28</v>
      </c>
    </row>
    <row r="183" spans="1:7" ht="60">
      <c r="A183" s="15" t="s">
        <v>626</v>
      </c>
      <c r="B183" s="15" t="s">
        <v>625</v>
      </c>
      <c r="C183" s="38" t="s">
        <v>627</v>
      </c>
      <c r="D183" s="39" t="s">
        <v>1269</v>
      </c>
      <c r="E183" s="15" t="s">
        <v>62</v>
      </c>
      <c r="F183" s="38" t="s">
        <v>22</v>
      </c>
      <c r="G183" s="16">
        <v>-536.53</v>
      </c>
    </row>
    <row r="184" spans="1:7" ht="75">
      <c r="A184" s="15" t="s">
        <v>1031</v>
      </c>
      <c r="B184" s="15" t="s">
        <v>1030</v>
      </c>
      <c r="C184" s="38" t="s">
        <v>1032</v>
      </c>
      <c r="D184" s="39" t="s">
        <v>1270</v>
      </c>
      <c r="E184" s="15" t="s">
        <v>53</v>
      </c>
      <c r="F184" s="38" t="s">
        <v>41</v>
      </c>
      <c r="G184" s="16">
        <v>77100.09</v>
      </c>
    </row>
    <row r="185" spans="1:7" ht="45">
      <c r="A185" s="15" t="s">
        <v>629</v>
      </c>
      <c r="B185" s="15" t="s">
        <v>628</v>
      </c>
      <c r="C185" s="38" t="s">
        <v>630</v>
      </c>
      <c r="D185" s="39" t="s">
        <v>1271</v>
      </c>
      <c r="E185" s="15" t="s">
        <v>440</v>
      </c>
      <c r="F185" s="38" t="s">
        <v>28</v>
      </c>
      <c r="G185" s="16">
        <v>24.81</v>
      </c>
    </row>
    <row r="186" spans="1:7" ht="60">
      <c r="A186" s="15" t="s">
        <v>632</v>
      </c>
      <c r="B186" s="15" t="s">
        <v>631</v>
      </c>
      <c r="C186" s="38" t="s">
        <v>633</v>
      </c>
      <c r="D186" s="39" t="s">
        <v>1272</v>
      </c>
      <c r="E186" s="15" t="s">
        <v>32</v>
      </c>
      <c r="F186" s="38" t="s">
        <v>22</v>
      </c>
      <c r="G186" s="16">
        <v>-175.31</v>
      </c>
    </row>
    <row r="187" spans="1:7" ht="105">
      <c r="A187" s="15" t="s">
        <v>635</v>
      </c>
      <c r="B187" s="15" t="s">
        <v>634</v>
      </c>
      <c r="C187" s="38" t="s">
        <v>636</v>
      </c>
      <c r="D187" s="39" t="s">
        <v>1273</v>
      </c>
      <c r="E187" s="15" t="s">
        <v>567</v>
      </c>
      <c r="F187" s="38" t="s">
        <v>137</v>
      </c>
      <c r="G187" s="16">
        <v>-13425.840000000084</v>
      </c>
    </row>
    <row r="188" spans="1:7" ht="150">
      <c r="A188" s="15" t="s">
        <v>638</v>
      </c>
      <c r="B188" s="15" t="s">
        <v>637</v>
      </c>
      <c r="C188" s="38" t="s">
        <v>639</v>
      </c>
      <c r="D188" s="39" t="s">
        <v>1274</v>
      </c>
      <c r="E188" s="15" t="s">
        <v>136</v>
      </c>
      <c r="F188" s="38" t="s">
        <v>137</v>
      </c>
      <c r="G188" s="16">
        <v>4065.0500000000011</v>
      </c>
    </row>
    <row r="189" spans="1:7" ht="60">
      <c r="A189" s="15" t="s">
        <v>641</v>
      </c>
      <c r="B189" s="15" t="s">
        <v>640</v>
      </c>
      <c r="C189" s="38" t="s">
        <v>642</v>
      </c>
      <c r="D189" s="39" t="s">
        <v>1275</v>
      </c>
      <c r="E189" s="15" t="s">
        <v>362</v>
      </c>
      <c r="F189" s="38" t="s">
        <v>41</v>
      </c>
      <c r="G189" s="16">
        <v>-115.28</v>
      </c>
    </row>
    <row r="190" spans="1:7" ht="75">
      <c r="A190" s="15" t="s">
        <v>644</v>
      </c>
      <c r="B190" s="15" t="s">
        <v>643</v>
      </c>
      <c r="C190" s="38" t="s">
        <v>645</v>
      </c>
      <c r="D190" s="39" t="s">
        <v>1276</v>
      </c>
      <c r="E190" s="15" t="s">
        <v>141</v>
      </c>
      <c r="F190" s="38" t="s">
        <v>142</v>
      </c>
      <c r="G190" s="16">
        <v>-912.44</v>
      </c>
    </row>
    <row r="191" spans="1:7" ht="60">
      <c r="A191" s="15" t="s">
        <v>647</v>
      </c>
      <c r="B191" s="15" t="s">
        <v>646</v>
      </c>
      <c r="C191" s="38" t="s">
        <v>648</v>
      </c>
      <c r="D191" s="39" t="s">
        <v>1277</v>
      </c>
      <c r="E191" s="15" t="s">
        <v>176</v>
      </c>
      <c r="F191" s="38" t="s">
        <v>28</v>
      </c>
      <c r="G191" s="16">
        <v>18.130000000000003</v>
      </c>
    </row>
    <row r="192" spans="1:7" ht="105">
      <c r="A192" s="15" t="s">
        <v>650</v>
      </c>
      <c r="B192" s="15" t="s">
        <v>649</v>
      </c>
      <c r="C192" s="38" t="s">
        <v>651</v>
      </c>
      <c r="D192" s="39" t="s">
        <v>1278</v>
      </c>
      <c r="E192" s="15" t="s">
        <v>104</v>
      </c>
      <c r="F192" s="38" t="s">
        <v>41</v>
      </c>
      <c r="G192" s="16">
        <v>-33.92</v>
      </c>
    </row>
    <row r="193" spans="1:7" ht="75">
      <c r="A193" s="15" t="s">
        <v>653</v>
      </c>
      <c r="B193" s="15" t="s">
        <v>652</v>
      </c>
      <c r="C193" s="38" t="s">
        <v>654</v>
      </c>
      <c r="D193" s="39" t="s">
        <v>1279</v>
      </c>
      <c r="E193" s="15" t="s">
        <v>40</v>
      </c>
      <c r="F193" s="38" t="s">
        <v>41</v>
      </c>
      <c r="G193" s="16">
        <v>-1136.6400000000001</v>
      </c>
    </row>
    <row r="194" spans="1:7" ht="30">
      <c r="A194" s="15" t="s">
        <v>656</v>
      </c>
      <c r="B194" s="15" t="s">
        <v>655</v>
      </c>
      <c r="C194" s="38" t="s">
        <v>657</v>
      </c>
      <c r="D194" s="39" t="s">
        <v>1280</v>
      </c>
      <c r="E194" s="15" t="s">
        <v>36</v>
      </c>
      <c r="F194" s="38" t="s">
        <v>22</v>
      </c>
      <c r="G194" s="16">
        <v>-42.2</v>
      </c>
    </row>
    <row r="195" spans="1:7">
      <c r="A195" s="15" t="s">
        <v>659</v>
      </c>
      <c r="B195" s="15" t="s">
        <v>658</v>
      </c>
      <c r="C195" s="38" t="s">
        <v>660</v>
      </c>
      <c r="D195" s="39" t="s">
        <v>1281</v>
      </c>
      <c r="E195" s="15" t="s">
        <v>440</v>
      </c>
      <c r="F195" s="38" t="s">
        <v>28</v>
      </c>
      <c r="G195" s="16">
        <v>10.48</v>
      </c>
    </row>
    <row r="196" spans="1:7" ht="60">
      <c r="A196" s="15" t="s">
        <v>662</v>
      </c>
      <c r="B196" s="15" t="s">
        <v>661</v>
      </c>
      <c r="C196" s="38" t="s">
        <v>663</v>
      </c>
      <c r="D196" s="39" t="s">
        <v>1282</v>
      </c>
      <c r="E196" s="15" t="s">
        <v>40</v>
      </c>
      <c r="F196" s="38" t="s">
        <v>41</v>
      </c>
      <c r="G196" s="16">
        <v>-187.92</v>
      </c>
    </row>
    <row r="197" spans="1:7" ht="45">
      <c r="A197" s="15" t="s">
        <v>665</v>
      </c>
      <c r="B197" s="15" t="s">
        <v>664</v>
      </c>
      <c r="C197" s="38" t="s">
        <v>666</v>
      </c>
      <c r="D197" s="39" t="s">
        <v>1283</v>
      </c>
      <c r="E197" s="15" t="s">
        <v>667</v>
      </c>
      <c r="F197" s="38" t="s">
        <v>28</v>
      </c>
      <c r="G197" s="16">
        <v>5.21</v>
      </c>
    </row>
    <row r="198" spans="1:7" ht="30">
      <c r="A198" s="15" t="s">
        <v>669</v>
      </c>
      <c r="B198" s="15" t="s">
        <v>668</v>
      </c>
      <c r="C198" s="38" t="s">
        <v>670</v>
      </c>
      <c r="D198" s="209" t="s">
        <v>1284</v>
      </c>
      <c r="E198" s="15" t="s">
        <v>45</v>
      </c>
      <c r="F198" s="38" t="s">
        <v>22</v>
      </c>
      <c r="G198" s="16">
        <v>-193.2</v>
      </c>
    </row>
    <row r="199" spans="1:7" ht="30">
      <c r="A199" s="15" t="s">
        <v>672</v>
      </c>
      <c r="B199" s="15" t="s">
        <v>671</v>
      </c>
      <c r="C199" s="38" t="s">
        <v>206</v>
      </c>
      <c r="D199" s="207" t="s">
        <v>1646</v>
      </c>
      <c r="E199" s="15" t="s">
        <v>673</v>
      </c>
      <c r="F199" s="38" t="s">
        <v>97</v>
      </c>
      <c r="G199" s="16">
        <v>-16.150000000000048</v>
      </c>
    </row>
    <row r="200" spans="1:7">
      <c r="A200" s="15" t="s">
        <v>675</v>
      </c>
      <c r="B200" s="15" t="s">
        <v>674</v>
      </c>
      <c r="C200" s="38" t="s">
        <v>385</v>
      </c>
      <c r="D200" s="39" t="s">
        <v>1647</v>
      </c>
      <c r="E200" s="15" t="s">
        <v>676</v>
      </c>
      <c r="F200" s="38" t="s">
        <v>387</v>
      </c>
      <c r="G200" s="16">
        <v>30795.620000000003</v>
      </c>
    </row>
    <row r="201" spans="1:7" ht="60">
      <c r="A201" s="15" t="s">
        <v>678</v>
      </c>
      <c r="B201" s="15" t="s">
        <v>677</v>
      </c>
      <c r="C201" s="38" t="s">
        <v>679</v>
      </c>
      <c r="D201" s="39" t="s">
        <v>1285</v>
      </c>
      <c r="E201" s="15" t="s">
        <v>216</v>
      </c>
      <c r="F201" s="38" t="s">
        <v>22</v>
      </c>
      <c r="G201" s="16">
        <v>6.37</v>
      </c>
    </row>
    <row r="202" spans="1:7" ht="45">
      <c r="A202" s="15" t="s">
        <v>681</v>
      </c>
      <c r="B202" s="15" t="s">
        <v>680</v>
      </c>
      <c r="C202" s="38" t="s">
        <v>682</v>
      </c>
      <c r="D202" s="39" t="s">
        <v>1286</v>
      </c>
      <c r="E202" s="15" t="s">
        <v>683</v>
      </c>
      <c r="F202" s="38" t="s">
        <v>684</v>
      </c>
      <c r="G202" s="16">
        <v>-215.87</v>
      </c>
    </row>
    <row r="203" spans="1:7" ht="75">
      <c r="A203" s="15" t="s">
        <v>686</v>
      </c>
      <c r="B203" s="15" t="s">
        <v>685</v>
      </c>
      <c r="C203" s="38" t="s">
        <v>687</v>
      </c>
      <c r="D203" s="39" t="s">
        <v>1287</v>
      </c>
      <c r="E203" s="15" t="s">
        <v>40</v>
      </c>
      <c r="F203" s="38" t="s">
        <v>41</v>
      </c>
      <c r="G203" s="16">
        <v>-5404.17</v>
      </c>
    </row>
    <row r="204" spans="1:7" ht="150">
      <c r="A204" s="15" t="s">
        <v>689</v>
      </c>
      <c r="B204" s="15" t="s">
        <v>688</v>
      </c>
      <c r="C204" s="38" t="s">
        <v>690</v>
      </c>
      <c r="D204" s="39" t="s">
        <v>1288</v>
      </c>
      <c r="E204" s="15" t="s">
        <v>141</v>
      </c>
      <c r="F204" s="38" t="s">
        <v>142</v>
      </c>
      <c r="G204" s="16">
        <v>-919.54</v>
      </c>
    </row>
    <row r="205" spans="1:7" ht="105">
      <c r="A205" s="15" t="s">
        <v>692</v>
      </c>
      <c r="B205" s="15" t="s">
        <v>691</v>
      </c>
      <c r="C205" s="38" t="s">
        <v>693</v>
      </c>
      <c r="D205" s="39" t="s">
        <v>1289</v>
      </c>
      <c r="E205" s="15" t="s">
        <v>58</v>
      </c>
      <c r="F205" s="38" t="s">
        <v>22</v>
      </c>
      <c r="G205" s="16">
        <v>-115.71</v>
      </c>
    </row>
    <row r="206" spans="1:7" ht="60">
      <c r="A206" s="15" t="s">
        <v>695</v>
      </c>
      <c r="B206" s="15" t="s">
        <v>694</v>
      </c>
      <c r="C206" s="38" t="s">
        <v>696</v>
      </c>
      <c r="D206" s="39" t="s">
        <v>1290</v>
      </c>
      <c r="E206" s="15" t="s">
        <v>141</v>
      </c>
      <c r="F206" s="38" t="s">
        <v>142</v>
      </c>
      <c r="G206" s="16">
        <v>-90.01</v>
      </c>
    </row>
    <row r="207" spans="1:7" ht="45">
      <c r="A207" s="15" t="s">
        <v>698</v>
      </c>
      <c r="B207" s="15" t="s">
        <v>697</v>
      </c>
      <c r="C207" s="38" t="s">
        <v>699</v>
      </c>
      <c r="D207" s="39" t="s">
        <v>1291</v>
      </c>
      <c r="E207" s="15" t="s">
        <v>108</v>
      </c>
      <c r="F207" s="38" t="s">
        <v>28</v>
      </c>
      <c r="G207" s="16">
        <v>-61.29</v>
      </c>
    </row>
    <row r="208" spans="1:7" ht="105">
      <c r="A208" s="15" t="s">
        <v>701</v>
      </c>
      <c r="B208" s="15" t="s">
        <v>700</v>
      </c>
      <c r="C208" s="38" t="s">
        <v>702</v>
      </c>
      <c r="D208" s="39" t="s">
        <v>1292</v>
      </c>
      <c r="E208" s="15" t="s">
        <v>703</v>
      </c>
      <c r="F208" s="38" t="s">
        <v>142</v>
      </c>
      <c r="G208" s="16">
        <v>-1328.44</v>
      </c>
    </row>
    <row r="209" spans="1:7" ht="105">
      <c r="A209" s="15" t="s">
        <v>705</v>
      </c>
      <c r="B209" s="15" t="s">
        <v>704</v>
      </c>
      <c r="C209" s="38" t="s">
        <v>706</v>
      </c>
      <c r="D209" s="39" t="s">
        <v>1293</v>
      </c>
      <c r="E209" s="15" t="s">
        <v>58</v>
      </c>
      <c r="F209" s="38" t="s">
        <v>22</v>
      </c>
      <c r="G209" s="16">
        <v>11314.14</v>
      </c>
    </row>
    <row r="210" spans="1:7" ht="135">
      <c r="A210" s="15" t="s">
        <v>708</v>
      </c>
      <c r="B210" s="15" t="s">
        <v>707</v>
      </c>
      <c r="C210" s="38" t="s">
        <v>709</v>
      </c>
      <c r="D210" s="39" t="s">
        <v>1294</v>
      </c>
      <c r="E210" s="15" t="s">
        <v>62</v>
      </c>
      <c r="F210" s="38" t="s">
        <v>22</v>
      </c>
      <c r="G210" s="16">
        <v>-1477.33</v>
      </c>
    </row>
    <row r="211" spans="1:7" ht="90">
      <c r="A211" s="15" t="s">
        <v>711</v>
      </c>
      <c r="B211" s="15" t="s">
        <v>710</v>
      </c>
      <c r="C211" s="38" t="s">
        <v>712</v>
      </c>
      <c r="D211" s="39" t="s">
        <v>1295</v>
      </c>
      <c r="E211" s="15" t="s">
        <v>45</v>
      </c>
      <c r="F211" s="38" t="s">
        <v>22</v>
      </c>
      <c r="G211" s="16">
        <v>-5845.57</v>
      </c>
    </row>
    <row r="212" spans="1:7" ht="135">
      <c r="A212" s="15" t="s">
        <v>714</v>
      </c>
      <c r="B212" s="15" t="s">
        <v>713</v>
      </c>
      <c r="C212" s="38" t="s">
        <v>715</v>
      </c>
      <c r="D212" s="39" t="s">
        <v>1296</v>
      </c>
      <c r="E212" s="15" t="s">
        <v>258</v>
      </c>
      <c r="F212" s="38" t="s">
        <v>259</v>
      </c>
      <c r="G212" s="16">
        <v>-332.16</v>
      </c>
    </row>
    <row r="213" spans="1:7" ht="45">
      <c r="A213" s="15" t="s">
        <v>717</v>
      </c>
      <c r="B213" s="15" t="s">
        <v>716</v>
      </c>
      <c r="C213" s="38" t="s">
        <v>718</v>
      </c>
      <c r="D213" s="39" t="s">
        <v>1297</v>
      </c>
      <c r="E213" s="15" t="s">
        <v>104</v>
      </c>
      <c r="F213" s="38" t="s">
        <v>41</v>
      </c>
      <c r="G213" s="16">
        <v>-46.05</v>
      </c>
    </row>
    <row r="214" spans="1:7" ht="90">
      <c r="A214" s="15" t="s">
        <v>720</v>
      </c>
      <c r="B214" s="15" t="s">
        <v>719</v>
      </c>
      <c r="C214" s="38" t="s">
        <v>721</v>
      </c>
      <c r="D214" s="39" t="s">
        <v>1298</v>
      </c>
      <c r="E214" s="15" t="s">
        <v>27</v>
      </c>
      <c r="F214" s="38" t="s">
        <v>28</v>
      </c>
      <c r="G214" s="16">
        <v>-622.91</v>
      </c>
    </row>
    <row r="215" spans="1:7" ht="105">
      <c r="A215" s="15" t="s">
        <v>723</v>
      </c>
      <c r="B215" s="15" t="s">
        <v>722</v>
      </c>
      <c r="C215" s="38" t="s">
        <v>724</v>
      </c>
      <c r="D215" s="39" t="s">
        <v>1299</v>
      </c>
      <c r="E215" s="15" t="s">
        <v>40</v>
      </c>
      <c r="F215" s="38" t="s">
        <v>41</v>
      </c>
      <c r="G215" s="16">
        <v>-3374.08</v>
      </c>
    </row>
    <row r="216" spans="1:7" ht="45">
      <c r="A216" s="15" t="s">
        <v>726</v>
      </c>
      <c r="B216" s="15" t="s">
        <v>725</v>
      </c>
      <c r="C216" s="38" t="s">
        <v>727</v>
      </c>
      <c r="D216" s="39" t="s">
        <v>1300</v>
      </c>
      <c r="E216" s="15" t="s">
        <v>141</v>
      </c>
      <c r="F216" s="38" t="s">
        <v>142</v>
      </c>
      <c r="G216" s="16">
        <v>-1433.54</v>
      </c>
    </row>
    <row r="217" spans="1:7" ht="45">
      <c r="A217" s="15" t="s">
        <v>729</v>
      </c>
      <c r="B217" s="15" t="s">
        <v>728</v>
      </c>
      <c r="C217" s="38" t="s">
        <v>730</v>
      </c>
      <c r="D217" s="39" t="s">
        <v>1301</v>
      </c>
      <c r="E217" s="15" t="s">
        <v>141</v>
      </c>
      <c r="F217" s="38" t="s">
        <v>142</v>
      </c>
      <c r="G217" s="16">
        <v>-505.02</v>
      </c>
    </row>
    <row r="218" spans="1:7" ht="135">
      <c r="A218" s="15" t="s">
        <v>732</v>
      </c>
      <c r="B218" s="15" t="s">
        <v>731</v>
      </c>
      <c r="C218" s="38" t="s">
        <v>733</v>
      </c>
      <c r="D218" s="39" t="s">
        <v>1302</v>
      </c>
      <c r="E218" s="15" t="s">
        <v>104</v>
      </c>
      <c r="F218" s="38" t="s">
        <v>41</v>
      </c>
      <c r="G218" s="16">
        <v>-1019.7</v>
      </c>
    </row>
    <row r="219" spans="1:7" ht="90">
      <c r="A219" s="15" t="s">
        <v>1034</v>
      </c>
      <c r="B219" s="15" t="s">
        <v>1033</v>
      </c>
      <c r="C219" s="38" t="s">
        <v>1035</v>
      </c>
      <c r="D219" s="39" t="s">
        <v>1303</v>
      </c>
      <c r="E219" s="15" t="s">
        <v>58</v>
      </c>
      <c r="F219" s="38" t="s">
        <v>22</v>
      </c>
      <c r="G219" s="16">
        <v>192036.17</v>
      </c>
    </row>
    <row r="220" spans="1:7" ht="60">
      <c r="A220" s="15" t="s">
        <v>735</v>
      </c>
      <c r="B220" s="15" t="s">
        <v>734</v>
      </c>
      <c r="C220" s="38" t="s">
        <v>736</v>
      </c>
      <c r="D220" s="39" t="s">
        <v>1304</v>
      </c>
      <c r="E220" s="15" t="s">
        <v>737</v>
      </c>
      <c r="F220" s="38" t="s">
        <v>624</v>
      </c>
      <c r="G220" s="16">
        <v>-44.18</v>
      </c>
    </row>
    <row r="221" spans="1:7" ht="30">
      <c r="A221" s="15" t="s">
        <v>739</v>
      </c>
      <c r="B221" s="15" t="s">
        <v>738</v>
      </c>
      <c r="C221" s="38" t="s">
        <v>69</v>
      </c>
      <c r="D221" s="207" t="s">
        <v>1648</v>
      </c>
      <c r="E221" s="15" t="s">
        <v>740</v>
      </c>
      <c r="F221" s="38" t="s">
        <v>71</v>
      </c>
      <c r="G221" s="16">
        <v>29.7</v>
      </c>
    </row>
    <row r="222" spans="1:7" ht="30">
      <c r="A222" s="15" t="s">
        <v>742</v>
      </c>
      <c r="B222" s="15" t="s">
        <v>741</v>
      </c>
      <c r="C222" s="38" t="s">
        <v>69</v>
      </c>
      <c r="D222" s="207" t="s">
        <v>1649</v>
      </c>
      <c r="E222" s="15" t="s">
        <v>70</v>
      </c>
      <c r="F222" s="38" t="s">
        <v>71</v>
      </c>
      <c r="G222" s="16">
        <v>1084.73</v>
      </c>
    </row>
    <row r="223" spans="1:7" ht="30">
      <c r="A223" s="15" t="s">
        <v>744</v>
      </c>
      <c r="B223" s="15" t="s">
        <v>743</v>
      </c>
      <c r="C223" s="38" t="s">
        <v>745</v>
      </c>
      <c r="D223" s="207" t="s">
        <v>1650</v>
      </c>
      <c r="E223" s="15" t="s">
        <v>746</v>
      </c>
      <c r="F223" s="38" t="s">
        <v>80</v>
      </c>
      <c r="G223" s="16">
        <v>100315.48</v>
      </c>
    </row>
    <row r="224" spans="1:7" ht="30">
      <c r="A224" s="15" t="s">
        <v>748</v>
      </c>
      <c r="B224" s="15" t="s">
        <v>747</v>
      </c>
      <c r="C224" s="38" t="s">
        <v>78</v>
      </c>
      <c r="D224" s="207" t="s">
        <v>1651</v>
      </c>
      <c r="E224" s="15" t="s">
        <v>749</v>
      </c>
      <c r="F224" s="38" t="s">
        <v>80</v>
      </c>
      <c r="G224" s="16">
        <v>137841.29</v>
      </c>
    </row>
    <row r="225" spans="1:7" ht="30">
      <c r="A225" s="15" t="s">
        <v>751</v>
      </c>
      <c r="B225" s="15" t="s">
        <v>750</v>
      </c>
      <c r="C225" s="38" t="s">
        <v>78</v>
      </c>
      <c r="D225" s="207" t="s">
        <v>1652</v>
      </c>
      <c r="E225" s="15" t="s">
        <v>752</v>
      </c>
      <c r="F225" s="38" t="s">
        <v>80</v>
      </c>
      <c r="G225" s="16">
        <v>48.160000000000004</v>
      </c>
    </row>
    <row r="226" spans="1:7" ht="30">
      <c r="A226" s="15" t="s">
        <v>754</v>
      </c>
      <c r="B226" s="15" t="s">
        <v>753</v>
      </c>
      <c r="C226" s="38" t="s">
        <v>206</v>
      </c>
      <c r="D226" s="207" t="s">
        <v>1653</v>
      </c>
      <c r="E226" s="15" t="s">
        <v>755</v>
      </c>
      <c r="F226" s="38" t="s">
        <v>97</v>
      </c>
      <c r="G226" s="16">
        <v>24540.01</v>
      </c>
    </row>
    <row r="227" spans="1:7" ht="45">
      <c r="A227" s="15" t="s">
        <v>757</v>
      </c>
      <c r="B227" s="15" t="s">
        <v>756</v>
      </c>
      <c r="C227" s="38" t="s">
        <v>758</v>
      </c>
      <c r="D227" s="39" t="s">
        <v>1305</v>
      </c>
      <c r="E227" s="15" t="s">
        <v>141</v>
      </c>
      <c r="F227" s="38" t="s">
        <v>142</v>
      </c>
      <c r="G227" s="16">
        <v>-4641.3900000000003</v>
      </c>
    </row>
    <row r="228" spans="1:7" ht="75">
      <c r="A228" s="15" t="s">
        <v>760</v>
      </c>
      <c r="B228" s="15" t="s">
        <v>759</v>
      </c>
      <c r="C228" s="38" t="s">
        <v>761</v>
      </c>
      <c r="D228" s="39" t="s">
        <v>1306</v>
      </c>
      <c r="E228" s="15" t="s">
        <v>62</v>
      </c>
      <c r="F228" s="38" t="s">
        <v>22</v>
      </c>
      <c r="G228" s="16">
        <v>411.77000000000004</v>
      </c>
    </row>
    <row r="229" spans="1:7" ht="105">
      <c r="A229" s="15" t="s">
        <v>763</v>
      </c>
      <c r="B229" s="15" t="s">
        <v>762</v>
      </c>
      <c r="C229" s="38" t="s">
        <v>764</v>
      </c>
      <c r="D229" s="39" t="s">
        <v>1307</v>
      </c>
      <c r="E229" s="15" t="s">
        <v>168</v>
      </c>
      <c r="F229" s="38" t="s">
        <v>169</v>
      </c>
      <c r="G229" s="16">
        <v>-567.96</v>
      </c>
    </row>
    <row r="230" spans="1:7" ht="135">
      <c r="A230" s="15" t="s">
        <v>766</v>
      </c>
      <c r="B230" s="15" t="s">
        <v>765</v>
      </c>
      <c r="C230" s="38" t="s">
        <v>767</v>
      </c>
      <c r="D230" s="39" t="s">
        <v>1308</v>
      </c>
      <c r="E230" s="15" t="s">
        <v>216</v>
      </c>
      <c r="F230" s="38" t="s">
        <v>22</v>
      </c>
      <c r="G230" s="16">
        <v>-1384.18</v>
      </c>
    </row>
    <row r="231" spans="1:7" ht="90">
      <c r="A231" s="15" t="s">
        <v>769</v>
      </c>
      <c r="B231" s="15" t="s">
        <v>768</v>
      </c>
      <c r="C231" s="38" t="s">
        <v>770</v>
      </c>
      <c r="D231" s="39" t="s">
        <v>1309</v>
      </c>
      <c r="E231" s="15" t="s">
        <v>104</v>
      </c>
      <c r="F231" s="38" t="s">
        <v>41</v>
      </c>
      <c r="G231" s="16">
        <v>-630.88</v>
      </c>
    </row>
    <row r="232" spans="1:7" ht="120">
      <c r="A232" s="15" t="s">
        <v>772</v>
      </c>
      <c r="B232" s="15" t="s">
        <v>771</v>
      </c>
      <c r="C232" s="38" t="s">
        <v>773</v>
      </c>
      <c r="D232" s="39" t="s">
        <v>1310</v>
      </c>
      <c r="E232" s="15" t="s">
        <v>168</v>
      </c>
      <c r="F232" s="38" t="s">
        <v>169</v>
      </c>
      <c r="G232" s="16">
        <v>-212.27</v>
      </c>
    </row>
    <row r="233" spans="1:7" ht="75">
      <c r="A233" s="15" t="s">
        <v>775</v>
      </c>
      <c r="B233" s="15" t="s">
        <v>774</v>
      </c>
      <c r="C233" s="38" t="s">
        <v>776</v>
      </c>
      <c r="D233" s="39" t="s">
        <v>1311</v>
      </c>
      <c r="E233" s="15" t="s">
        <v>168</v>
      </c>
      <c r="F233" s="38" t="s">
        <v>169</v>
      </c>
      <c r="G233" s="16">
        <v>12.14</v>
      </c>
    </row>
    <row r="234" spans="1:7" ht="105">
      <c r="A234" s="15" t="s">
        <v>778</v>
      </c>
      <c r="B234" s="15" t="s">
        <v>777</v>
      </c>
      <c r="C234" s="38" t="s">
        <v>779</v>
      </c>
      <c r="D234" s="39" t="s">
        <v>1312</v>
      </c>
      <c r="E234" s="15" t="s">
        <v>62</v>
      </c>
      <c r="F234" s="38" t="s">
        <v>22</v>
      </c>
      <c r="G234" s="16">
        <v>-66.150000000000006</v>
      </c>
    </row>
    <row r="235" spans="1:7" ht="75">
      <c r="A235" s="15" t="s">
        <v>781</v>
      </c>
      <c r="B235" s="15" t="s">
        <v>780</v>
      </c>
      <c r="C235" s="38" t="s">
        <v>782</v>
      </c>
      <c r="D235" s="39" t="s">
        <v>1313</v>
      </c>
      <c r="E235" s="15" t="s">
        <v>141</v>
      </c>
      <c r="F235" s="38" t="s">
        <v>142</v>
      </c>
      <c r="G235" s="16">
        <v>-1734.87</v>
      </c>
    </row>
    <row r="236" spans="1:7" ht="165">
      <c r="A236" s="15" t="s">
        <v>784</v>
      </c>
      <c r="B236" s="15" t="s">
        <v>783</v>
      </c>
      <c r="C236" s="38" t="s">
        <v>785</v>
      </c>
      <c r="D236" s="39" t="s">
        <v>1314</v>
      </c>
      <c r="E236" s="15" t="s">
        <v>141</v>
      </c>
      <c r="F236" s="38" t="s">
        <v>142</v>
      </c>
      <c r="G236" s="16">
        <v>-2330.69</v>
      </c>
    </row>
    <row r="237" spans="1:7" ht="150">
      <c r="A237" s="15" t="s">
        <v>787</v>
      </c>
      <c r="B237" s="15" t="s">
        <v>786</v>
      </c>
      <c r="C237" s="38" t="s">
        <v>788</v>
      </c>
      <c r="D237" s="39" t="s">
        <v>1315</v>
      </c>
      <c r="E237" s="15" t="s">
        <v>246</v>
      </c>
      <c r="F237" s="38" t="s">
        <v>247</v>
      </c>
      <c r="G237" s="16">
        <v>-15326.11</v>
      </c>
    </row>
    <row r="238" spans="1:7" ht="120">
      <c r="A238" s="15" t="s">
        <v>1037</v>
      </c>
      <c r="B238" s="15" t="s">
        <v>1036</v>
      </c>
      <c r="C238" s="38" t="s">
        <v>1038</v>
      </c>
      <c r="D238" s="39" t="s">
        <v>1316</v>
      </c>
      <c r="E238" s="15" t="s">
        <v>40</v>
      </c>
      <c r="F238" s="38" t="s">
        <v>41</v>
      </c>
      <c r="G238" s="16">
        <v>423003.39</v>
      </c>
    </row>
    <row r="239" spans="1:7" ht="120">
      <c r="A239" s="15" t="s">
        <v>790</v>
      </c>
      <c r="B239" s="15" t="s">
        <v>789</v>
      </c>
      <c r="C239" s="38" t="s">
        <v>791</v>
      </c>
      <c r="D239" s="39" t="s">
        <v>1317</v>
      </c>
      <c r="E239" s="15" t="s">
        <v>246</v>
      </c>
      <c r="F239" s="38" t="s">
        <v>247</v>
      </c>
      <c r="G239" s="16">
        <v>-1896.12</v>
      </c>
    </row>
    <row r="240" spans="1:7" ht="45">
      <c r="A240" s="15" t="s">
        <v>793</v>
      </c>
      <c r="B240" s="15" t="s">
        <v>792</v>
      </c>
      <c r="C240" s="38" t="s">
        <v>794</v>
      </c>
      <c r="D240" s="39" t="s">
        <v>1318</v>
      </c>
      <c r="E240" s="15" t="s">
        <v>58</v>
      </c>
      <c r="F240" s="38" t="s">
        <v>22</v>
      </c>
      <c r="G240" s="16">
        <v>-672.99</v>
      </c>
    </row>
    <row r="241" spans="1:7" ht="75">
      <c r="A241" s="15" t="s">
        <v>1040</v>
      </c>
      <c r="B241" s="15" t="s">
        <v>1039</v>
      </c>
      <c r="C241" s="38" t="s">
        <v>1041</v>
      </c>
      <c r="D241" s="39" t="s">
        <v>1319</v>
      </c>
      <c r="E241" s="15" t="s">
        <v>40</v>
      </c>
      <c r="F241" s="38" t="s">
        <v>41</v>
      </c>
      <c r="G241" s="16">
        <v>4268934.05</v>
      </c>
    </row>
    <row r="242" spans="1:7" ht="75">
      <c r="A242" s="15" t="s">
        <v>796</v>
      </c>
      <c r="B242" s="15" t="s">
        <v>795</v>
      </c>
      <c r="C242" s="38" t="s">
        <v>797</v>
      </c>
      <c r="D242" s="39" t="s">
        <v>1320</v>
      </c>
      <c r="E242" s="15" t="s">
        <v>176</v>
      </c>
      <c r="F242" s="38" t="s">
        <v>28</v>
      </c>
      <c r="G242" s="16">
        <v>-155.05000000000001</v>
      </c>
    </row>
    <row r="243" spans="1:7" ht="60">
      <c r="A243" s="15" t="s">
        <v>799</v>
      </c>
      <c r="B243" s="15" t="s">
        <v>798</v>
      </c>
      <c r="C243" s="38" t="s">
        <v>800</v>
      </c>
      <c r="D243" s="39" t="s">
        <v>1321</v>
      </c>
      <c r="E243" s="15" t="s">
        <v>62</v>
      </c>
      <c r="F243" s="38" t="s">
        <v>22</v>
      </c>
      <c r="G243" s="16">
        <v>-228.89</v>
      </c>
    </row>
    <row r="244" spans="1:7" ht="30">
      <c r="A244" s="15" t="s">
        <v>802</v>
      </c>
      <c r="B244" s="15" t="s">
        <v>801</v>
      </c>
      <c r="C244" s="38" t="s">
        <v>803</v>
      </c>
      <c r="D244" s="39" t="s">
        <v>1322</v>
      </c>
      <c r="E244" s="15" t="s">
        <v>440</v>
      </c>
      <c r="F244" s="38" t="s">
        <v>28</v>
      </c>
      <c r="G244" s="16">
        <v>-553.08000000000004</v>
      </c>
    </row>
    <row r="245" spans="1:7" ht="60">
      <c r="A245" s="15" t="s">
        <v>805</v>
      </c>
      <c r="B245" s="15" t="s">
        <v>804</v>
      </c>
      <c r="C245" s="38" t="s">
        <v>806</v>
      </c>
      <c r="D245" s="39" t="s">
        <v>1323</v>
      </c>
      <c r="E245" s="15" t="s">
        <v>141</v>
      </c>
      <c r="F245" s="38" t="s">
        <v>142</v>
      </c>
      <c r="G245" s="16">
        <v>-540.4</v>
      </c>
    </row>
    <row r="246" spans="1:7" ht="30">
      <c r="A246" s="15" t="s">
        <v>808</v>
      </c>
      <c r="B246" s="15" t="s">
        <v>807</v>
      </c>
      <c r="C246" s="38" t="s">
        <v>809</v>
      </c>
      <c r="D246" s="39" t="s">
        <v>1324</v>
      </c>
      <c r="E246" s="15" t="s">
        <v>108</v>
      </c>
      <c r="F246" s="38" t="s">
        <v>28</v>
      </c>
      <c r="G246" s="16">
        <v>27.48</v>
      </c>
    </row>
    <row r="247" spans="1:7" ht="75">
      <c r="A247" s="15" t="s">
        <v>811</v>
      </c>
      <c r="B247" s="15" t="s">
        <v>810</v>
      </c>
      <c r="C247" s="38" t="s">
        <v>812</v>
      </c>
      <c r="D247" s="39" t="s">
        <v>1325</v>
      </c>
      <c r="E247" s="15" t="s">
        <v>104</v>
      </c>
      <c r="F247" s="38" t="s">
        <v>41</v>
      </c>
      <c r="G247" s="16">
        <v>-320.4900000000016</v>
      </c>
    </row>
    <row r="248" spans="1:7" ht="210">
      <c r="A248" s="15" t="s">
        <v>814</v>
      </c>
      <c r="B248" s="15" t="s">
        <v>813</v>
      </c>
      <c r="C248" s="38" t="s">
        <v>815</v>
      </c>
      <c r="D248" s="39" t="s">
        <v>1326</v>
      </c>
      <c r="E248" s="15" t="s">
        <v>62</v>
      </c>
      <c r="F248" s="38" t="s">
        <v>22</v>
      </c>
      <c r="G248" s="16">
        <v>626507.63</v>
      </c>
    </row>
    <row r="249" spans="1:7" ht="75">
      <c r="A249" s="15" t="s">
        <v>817</v>
      </c>
      <c r="B249" s="15" t="s">
        <v>816</v>
      </c>
      <c r="C249" s="38" t="s">
        <v>818</v>
      </c>
      <c r="D249" s="39" t="s">
        <v>1327</v>
      </c>
      <c r="E249" s="15" t="s">
        <v>62</v>
      </c>
      <c r="F249" s="38" t="s">
        <v>22</v>
      </c>
      <c r="G249" s="16">
        <v>-1019.8100000000001</v>
      </c>
    </row>
    <row r="250" spans="1:7" ht="135">
      <c r="A250" s="15" t="s">
        <v>820</v>
      </c>
      <c r="B250" s="15" t="s">
        <v>819</v>
      </c>
      <c r="C250" s="38" t="s">
        <v>821</v>
      </c>
      <c r="D250" s="39" t="s">
        <v>1328</v>
      </c>
      <c r="E250" s="15" t="s">
        <v>822</v>
      </c>
      <c r="F250" s="38" t="s">
        <v>823</v>
      </c>
      <c r="G250" s="16">
        <v>-125.78</v>
      </c>
    </row>
    <row r="251" spans="1:7" ht="60">
      <c r="A251" s="15" t="s">
        <v>825</v>
      </c>
      <c r="B251" s="15" t="s">
        <v>824</v>
      </c>
      <c r="C251" s="38" t="s">
        <v>826</v>
      </c>
      <c r="D251" s="39" t="s">
        <v>1329</v>
      </c>
      <c r="E251" s="15" t="s">
        <v>136</v>
      </c>
      <c r="F251" s="38" t="s">
        <v>137</v>
      </c>
      <c r="G251" s="16">
        <v>6203.97</v>
      </c>
    </row>
    <row r="252" spans="1:7" ht="30">
      <c r="A252" s="15" t="s">
        <v>828</v>
      </c>
      <c r="B252" s="15" t="s">
        <v>827</v>
      </c>
      <c r="C252" s="38" t="s">
        <v>829</v>
      </c>
      <c r="D252" s="39" t="s">
        <v>1330</v>
      </c>
      <c r="E252" s="15" t="s">
        <v>62</v>
      </c>
      <c r="F252" s="38" t="s">
        <v>22</v>
      </c>
      <c r="G252" s="16">
        <v>-72.66</v>
      </c>
    </row>
    <row r="253" spans="1:7" ht="60">
      <c r="A253" s="15" t="s">
        <v>831</v>
      </c>
      <c r="B253" s="15" t="s">
        <v>830</v>
      </c>
      <c r="C253" s="38" t="s">
        <v>832</v>
      </c>
      <c r="D253" s="39" t="s">
        <v>1331</v>
      </c>
      <c r="E253" s="15" t="s">
        <v>62</v>
      </c>
      <c r="F253" s="38" t="s">
        <v>22</v>
      </c>
      <c r="G253" s="16">
        <v>35701.57</v>
      </c>
    </row>
    <row r="254" spans="1:7" ht="45">
      <c r="A254" s="15" t="s">
        <v>834</v>
      </c>
      <c r="B254" s="15" t="s">
        <v>833</v>
      </c>
      <c r="C254" s="38" t="s">
        <v>835</v>
      </c>
      <c r="D254" s="39" t="s">
        <v>1332</v>
      </c>
      <c r="E254" s="15" t="s">
        <v>40</v>
      </c>
      <c r="F254" s="38" t="s">
        <v>41</v>
      </c>
      <c r="G254" s="16">
        <v>-307.58</v>
      </c>
    </row>
    <row r="255" spans="1:7" ht="60">
      <c r="A255" s="15" t="s">
        <v>837</v>
      </c>
      <c r="B255" s="15" t="s">
        <v>836</v>
      </c>
      <c r="C255" s="38" t="s">
        <v>838</v>
      </c>
      <c r="D255" s="39" t="s">
        <v>1333</v>
      </c>
      <c r="E255" s="15" t="s">
        <v>21</v>
      </c>
      <c r="F255" s="38" t="s">
        <v>22</v>
      </c>
      <c r="G255" s="16">
        <v>-910.58</v>
      </c>
    </row>
    <row r="256" spans="1:7" ht="30">
      <c r="A256" s="15" t="s">
        <v>840</v>
      </c>
      <c r="B256" s="15" t="s">
        <v>839</v>
      </c>
      <c r="C256" s="38" t="s">
        <v>841</v>
      </c>
      <c r="D256" s="39" t="s">
        <v>1334</v>
      </c>
      <c r="E256" s="15" t="s">
        <v>842</v>
      </c>
      <c r="F256" s="38" t="s">
        <v>624</v>
      </c>
      <c r="G256" s="16">
        <v>-113.44</v>
      </c>
    </row>
    <row r="257" spans="1:7" ht="30">
      <c r="A257" s="15" t="s">
        <v>844</v>
      </c>
      <c r="B257" s="15" t="s">
        <v>843</v>
      </c>
      <c r="C257" s="38" t="s">
        <v>845</v>
      </c>
      <c r="D257" s="39" t="s">
        <v>1335</v>
      </c>
      <c r="E257" s="15" t="s">
        <v>45</v>
      </c>
      <c r="F257" s="38" t="s">
        <v>22</v>
      </c>
      <c r="G257" s="16">
        <v>1768.89</v>
      </c>
    </row>
    <row r="258" spans="1:7" ht="135">
      <c r="A258" s="15" t="s">
        <v>847</v>
      </c>
      <c r="B258" s="15" t="s">
        <v>846</v>
      </c>
      <c r="C258" s="38" t="s">
        <v>848</v>
      </c>
      <c r="D258" s="39" t="s">
        <v>1336</v>
      </c>
      <c r="E258" s="15" t="s">
        <v>141</v>
      </c>
      <c r="F258" s="38" t="s">
        <v>142</v>
      </c>
      <c r="G258" s="16">
        <v>1279405.1700000002</v>
      </c>
    </row>
    <row r="259" spans="1:7" ht="60">
      <c r="A259" s="15" t="s">
        <v>850</v>
      </c>
      <c r="B259" s="15" t="s">
        <v>849</v>
      </c>
      <c r="C259" s="38" t="s">
        <v>851</v>
      </c>
      <c r="D259" s="39" t="s">
        <v>1337</v>
      </c>
      <c r="E259" s="15" t="s">
        <v>27</v>
      </c>
      <c r="F259" s="38" t="s">
        <v>28</v>
      </c>
      <c r="G259" s="16">
        <v>-211.49</v>
      </c>
    </row>
    <row r="260" spans="1:7" ht="75">
      <c r="A260" s="15" t="s">
        <v>853</v>
      </c>
      <c r="B260" s="15" t="s">
        <v>852</v>
      </c>
      <c r="C260" s="38" t="s">
        <v>854</v>
      </c>
      <c r="D260" s="39" t="s">
        <v>1338</v>
      </c>
      <c r="E260" s="15" t="s">
        <v>62</v>
      </c>
      <c r="F260" s="38" t="s">
        <v>22</v>
      </c>
      <c r="G260" s="16">
        <v>29246.079999999998</v>
      </c>
    </row>
    <row r="261" spans="1:7" ht="45">
      <c r="A261" s="15" t="s">
        <v>856</v>
      </c>
      <c r="B261" s="15" t="s">
        <v>855</v>
      </c>
      <c r="C261" s="38" t="s">
        <v>857</v>
      </c>
      <c r="D261" s="39" t="s">
        <v>1339</v>
      </c>
      <c r="E261" s="15" t="s">
        <v>62</v>
      </c>
      <c r="F261" s="38" t="s">
        <v>22</v>
      </c>
      <c r="G261" s="16">
        <v>1307.1799999999998</v>
      </c>
    </row>
    <row r="262" spans="1:7" ht="180">
      <c r="A262" s="15" t="s">
        <v>859</v>
      </c>
      <c r="B262" s="15" t="s">
        <v>858</v>
      </c>
      <c r="C262" s="38" t="s">
        <v>860</v>
      </c>
      <c r="D262" s="39" t="s">
        <v>1340</v>
      </c>
      <c r="E262" s="15" t="s">
        <v>62</v>
      </c>
      <c r="F262" s="38" t="s">
        <v>22</v>
      </c>
      <c r="G262" s="16">
        <v>90029.31</v>
      </c>
    </row>
    <row r="263" spans="1:7" ht="30">
      <c r="A263" s="15" t="s">
        <v>862</v>
      </c>
      <c r="B263" s="15" t="s">
        <v>861</v>
      </c>
      <c r="C263" s="38" t="s">
        <v>863</v>
      </c>
      <c r="D263" s="39" t="s">
        <v>1341</v>
      </c>
      <c r="E263" s="15" t="s">
        <v>45</v>
      </c>
      <c r="F263" s="38" t="s">
        <v>22</v>
      </c>
      <c r="G263" s="16">
        <v>-345.16</v>
      </c>
    </row>
    <row r="264" spans="1:7" ht="60">
      <c r="A264" s="15" t="s">
        <v>1043</v>
      </c>
      <c r="B264" s="15" t="s">
        <v>1042</v>
      </c>
      <c r="C264" s="38" t="s">
        <v>1044</v>
      </c>
      <c r="D264" s="39" t="s">
        <v>1342</v>
      </c>
      <c r="E264" s="15" t="s">
        <v>168</v>
      </c>
      <c r="F264" s="38" t="s">
        <v>169</v>
      </c>
      <c r="G264" s="16">
        <v>32263.57</v>
      </c>
    </row>
    <row r="265" spans="1:7" ht="45">
      <c r="A265" s="15" t="s">
        <v>865</v>
      </c>
      <c r="B265" s="15" t="s">
        <v>864</v>
      </c>
      <c r="C265" s="38" t="s">
        <v>866</v>
      </c>
      <c r="D265" s="39" t="s">
        <v>1343</v>
      </c>
      <c r="E265" s="15" t="s">
        <v>141</v>
      </c>
      <c r="F265" s="38" t="s">
        <v>142</v>
      </c>
      <c r="G265" s="16">
        <v>-827.79</v>
      </c>
    </row>
    <row r="266" spans="1:7" ht="45">
      <c r="A266" s="15" t="s">
        <v>868</v>
      </c>
      <c r="B266" s="15" t="s">
        <v>867</v>
      </c>
      <c r="C266" s="38" t="s">
        <v>869</v>
      </c>
      <c r="D266" s="39" t="s">
        <v>1344</v>
      </c>
      <c r="E266" s="15" t="s">
        <v>36</v>
      </c>
      <c r="F266" s="38" t="s">
        <v>22</v>
      </c>
      <c r="G266" s="16">
        <v>-95.199999999999989</v>
      </c>
    </row>
    <row r="267" spans="1:7" ht="30">
      <c r="A267" s="15" t="s">
        <v>871</v>
      </c>
      <c r="B267" s="15" t="s">
        <v>870</v>
      </c>
      <c r="C267" s="38" t="s">
        <v>872</v>
      </c>
      <c r="D267" s="39" t="s">
        <v>1345</v>
      </c>
      <c r="E267" s="15" t="s">
        <v>108</v>
      </c>
      <c r="F267" s="38" t="s">
        <v>28</v>
      </c>
      <c r="G267" s="16">
        <v>-169.98</v>
      </c>
    </row>
    <row r="268" spans="1:7" ht="45">
      <c r="A268" s="15" t="s">
        <v>874</v>
      </c>
      <c r="B268" s="15" t="s">
        <v>873</v>
      </c>
      <c r="C268" s="38" t="s">
        <v>875</v>
      </c>
      <c r="D268" s="39" t="s">
        <v>1346</v>
      </c>
      <c r="E268" s="15" t="s">
        <v>36</v>
      </c>
      <c r="F268" s="38" t="s">
        <v>22</v>
      </c>
      <c r="G268" s="16">
        <v>-146.97999999999999</v>
      </c>
    </row>
    <row r="269" spans="1:7" ht="60">
      <c r="A269" s="15" t="s">
        <v>877</v>
      </c>
      <c r="B269" s="15" t="s">
        <v>876</v>
      </c>
      <c r="C269" s="38" t="s">
        <v>878</v>
      </c>
      <c r="D269" s="39" t="s">
        <v>1347</v>
      </c>
      <c r="E269" s="15" t="s">
        <v>62</v>
      </c>
      <c r="F269" s="38" t="s">
        <v>22</v>
      </c>
      <c r="G269" s="16">
        <v>48303.040000000001</v>
      </c>
    </row>
    <row r="270" spans="1:7" ht="30">
      <c r="A270" s="15" t="s">
        <v>1046</v>
      </c>
      <c r="B270" s="15" t="s">
        <v>1045</v>
      </c>
      <c r="C270" s="38" t="s">
        <v>1047</v>
      </c>
      <c r="D270" s="39" t="s">
        <v>1348</v>
      </c>
      <c r="E270" s="15" t="s">
        <v>462</v>
      </c>
      <c r="F270" s="38" t="s">
        <v>142</v>
      </c>
      <c r="G270" s="16">
        <v>5321.09</v>
      </c>
    </row>
    <row r="271" spans="1:7" ht="60">
      <c r="A271" s="15" t="s">
        <v>880</v>
      </c>
      <c r="B271" s="15" t="s">
        <v>879</v>
      </c>
      <c r="C271" s="38" t="s">
        <v>881</v>
      </c>
      <c r="D271" s="39" t="s">
        <v>1349</v>
      </c>
      <c r="E271" s="15" t="s">
        <v>53</v>
      </c>
      <c r="F271" s="38" t="s">
        <v>41</v>
      </c>
      <c r="G271" s="16">
        <v>-6834.44</v>
      </c>
    </row>
    <row r="272" spans="1:7" ht="75">
      <c r="A272" s="15" t="s">
        <v>1049</v>
      </c>
      <c r="B272" s="15" t="s">
        <v>1048</v>
      </c>
      <c r="C272" s="38" t="s">
        <v>1050</v>
      </c>
      <c r="D272" s="39" t="s">
        <v>1350</v>
      </c>
      <c r="E272" s="15" t="s">
        <v>925</v>
      </c>
      <c r="F272" s="38" t="s">
        <v>41</v>
      </c>
      <c r="G272" s="16">
        <v>310904.90000000002</v>
      </c>
    </row>
    <row r="273" spans="1:7" ht="60">
      <c r="A273" s="15" t="s">
        <v>883</v>
      </c>
      <c r="B273" s="15" t="s">
        <v>882</v>
      </c>
      <c r="C273" s="38" t="s">
        <v>884</v>
      </c>
      <c r="D273" s="39" t="s">
        <v>1351</v>
      </c>
      <c r="E273" s="15" t="s">
        <v>216</v>
      </c>
      <c r="F273" s="38" t="s">
        <v>22</v>
      </c>
      <c r="G273" s="16">
        <v>-133.04</v>
      </c>
    </row>
    <row r="274" spans="1:7">
      <c r="A274" s="15" t="s">
        <v>886</v>
      </c>
      <c r="B274" s="15" t="s">
        <v>885</v>
      </c>
      <c r="C274" s="38" t="s">
        <v>887</v>
      </c>
      <c r="D274" s="39" t="s">
        <v>1352</v>
      </c>
      <c r="E274" s="15" t="s">
        <v>141</v>
      </c>
      <c r="F274" s="38" t="s">
        <v>142</v>
      </c>
      <c r="G274" s="16">
        <v>55.230000000000004</v>
      </c>
    </row>
    <row r="275" spans="1:7" ht="60">
      <c r="A275" s="15" t="s">
        <v>1052</v>
      </c>
      <c r="B275" s="15" t="s">
        <v>1051</v>
      </c>
      <c r="C275" s="38" t="s">
        <v>1053</v>
      </c>
      <c r="D275" s="39" t="s">
        <v>1353</v>
      </c>
      <c r="E275" s="15" t="s">
        <v>45</v>
      </c>
      <c r="F275" s="38" t="s">
        <v>22</v>
      </c>
      <c r="G275" s="16">
        <v>74180.240000000005</v>
      </c>
    </row>
    <row r="276" spans="1:7" ht="75">
      <c r="A276" s="15" t="s">
        <v>889</v>
      </c>
      <c r="B276" s="15" t="s">
        <v>888</v>
      </c>
      <c r="C276" s="38" t="s">
        <v>890</v>
      </c>
      <c r="D276" s="39" t="s">
        <v>1354</v>
      </c>
      <c r="E276" s="15" t="s">
        <v>32</v>
      </c>
      <c r="F276" s="38" t="s">
        <v>22</v>
      </c>
      <c r="G276" s="16">
        <v>-1910.67</v>
      </c>
    </row>
    <row r="277" spans="1:7" ht="45">
      <c r="A277" s="15" t="s">
        <v>1103</v>
      </c>
      <c r="B277" s="15" t="s">
        <v>1102</v>
      </c>
      <c r="C277" s="38" t="s">
        <v>1104</v>
      </c>
      <c r="D277" s="39" t="s">
        <v>1355</v>
      </c>
      <c r="E277" s="15" t="s">
        <v>466</v>
      </c>
      <c r="F277" s="38" t="s">
        <v>467</v>
      </c>
      <c r="G277" s="16">
        <v>4582.0200000000004</v>
      </c>
    </row>
    <row r="278" spans="1:7" ht="135">
      <c r="A278" s="15" t="s">
        <v>892</v>
      </c>
      <c r="B278" s="15" t="s">
        <v>891</v>
      </c>
      <c r="C278" s="38" t="s">
        <v>893</v>
      </c>
      <c r="D278" s="39" t="s">
        <v>1356</v>
      </c>
      <c r="E278" s="15" t="s">
        <v>32</v>
      </c>
      <c r="F278" s="38" t="s">
        <v>22</v>
      </c>
      <c r="G278" s="16">
        <v>823.55</v>
      </c>
    </row>
    <row r="279" spans="1:7" ht="30">
      <c r="A279" s="15" t="s">
        <v>895</v>
      </c>
      <c r="B279" s="15" t="s">
        <v>894</v>
      </c>
      <c r="C279" s="38" t="s">
        <v>896</v>
      </c>
      <c r="D279" s="39" t="s">
        <v>1357</v>
      </c>
      <c r="E279" s="15" t="s">
        <v>440</v>
      </c>
      <c r="F279" s="38" t="s">
        <v>28</v>
      </c>
      <c r="G279" s="16">
        <v>-95.449999999999989</v>
      </c>
    </row>
    <row r="280" spans="1:7" ht="30">
      <c r="A280" s="15" t="s">
        <v>898</v>
      </c>
      <c r="B280" s="15" t="s">
        <v>897</v>
      </c>
      <c r="C280" s="38" t="s">
        <v>899</v>
      </c>
      <c r="D280" s="39" t="s">
        <v>1358</v>
      </c>
      <c r="E280" s="15" t="s">
        <v>45</v>
      </c>
      <c r="F280" s="38" t="s">
        <v>22</v>
      </c>
      <c r="G280" s="16">
        <v>-4462.34</v>
      </c>
    </row>
    <row r="281" spans="1:7" ht="120">
      <c r="A281" s="15" t="s">
        <v>1055</v>
      </c>
      <c r="B281" s="15" t="s">
        <v>1054</v>
      </c>
      <c r="C281" s="38" t="s">
        <v>1056</v>
      </c>
      <c r="D281" s="39" t="s">
        <v>1359</v>
      </c>
      <c r="E281" s="15" t="s">
        <v>141</v>
      </c>
      <c r="F281" s="38" t="s">
        <v>142</v>
      </c>
      <c r="G281" s="16">
        <v>887506.89</v>
      </c>
    </row>
    <row r="282" spans="1:7" ht="30">
      <c r="A282" s="15" t="s">
        <v>901</v>
      </c>
      <c r="B282" s="15" t="s">
        <v>900</v>
      </c>
      <c r="C282" s="38" t="s">
        <v>902</v>
      </c>
      <c r="D282" s="39" t="s">
        <v>1360</v>
      </c>
      <c r="E282" s="15" t="s">
        <v>462</v>
      </c>
      <c r="F282" s="38" t="s">
        <v>142</v>
      </c>
      <c r="G282" s="16">
        <v>1302.79</v>
      </c>
    </row>
    <row r="283" spans="1:7" ht="60">
      <c r="A283" s="15" t="s">
        <v>904</v>
      </c>
      <c r="B283" s="15" t="s">
        <v>903</v>
      </c>
      <c r="C283" s="38" t="s">
        <v>905</v>
      </c>
      <c r="D283" s="39" t="s">
        <v>1361</v>
      </c>
      <c r="E283" s="15" t="s">
        <v>49</v>
      </c>
      <c r="F283" s="38" t="s">
        <v>22</v>
      </c>
      <c r="G283" s="16">
        <v>3094.21</v>
      </c>
    </row>
    <row r="284" spans="1:7">
      <c r="A284" s="15" t="s">
        <v>907</v>
      </c>
      <c r="B284" s="15" t="s">
        <v>906</v>
      </c>
      <c r="C284" s="38" t="s">
        <v>908</v>
      </c>
      <c r="D284" s="39" t="s">
        <v>1362</v>
      </c>
      <c r="E284" s="15" t="s">
        <v>909</v>
      </c>
      <c r="F284" s="38" t="s">
        <v>22</v>
      </c>
      <c r="G284" s="16">
        <v>-192.88</v>
      </c>
    </row>
    <row r="285" spans="1:7" ht="45">
      <c r="A285" s="15" t="s">
        <v>911</v>
      </c>
      <c r="B285" s="15" t="s">
        <v>910</v>
      </c>
      <c r="C285" s="38" t="s">
        <v>912</v>
      </c>
      <c r="D285" s="39" t="s">
        <v>1363</v>
      </c>
      <c r="E285" s="15" t="s">
        <v>362</v>
      </c>
      <c r="F285" s="38" t="s">
        <v>41</v>
      </c>
      <c r="G285" s="16">
        <v>-57.76</v>
      </c>
    </row>
    <row r="286" spans="1:7">
      <c r="A286" s="15" t="s">
        <v>914</v>
      </c>
      <c r="B286" s="15" t="s">
        <v>913</v>
      </c>
      <c r="C286" s="38" t="s">
        <v>915</v>
      </c>
      <c r="D286" s="39" t="s">
        <v>1364</v>
      </c>
      <c r="E286" s="15" t="s">
        <v>36</v>
      </c>
      <c r="F286" s="38" t="s">
        <v>22</v>
      </c>
      <c r="G286" s="16">
        <v>9796.590000000002</v>
      </c>
    </row>
    <row r="287" spans="1:7">
      <c r="A287" s="15" t="s">
        <v>917</v>
      </c>
      <c r="B287" s="15" t="s">
        <v>916</v>
      </c>
      <c r="C287" s="38" t="s">
        <v>918</v>
      </c>
      <c r="D287" s="39" t="s">
        <v>1362</v>
      </c>
      <c r="E287" s="15" t="s">
        <v>909</v>
      </c>
      <c r="F287" s="38" t="s">
        <v>22</v>
      </c>
      <c r="G287" s="16">
        <v>6120.49</v>
      </c>
    </row>
    <row r="288" spans="1:7" ht="120">
      <c r="A288" s="15" t="s">
        <v>920</v>
      </c>
      <c r="B288" s="15" t="s">
        <v>919</v>
      </c>
      <c r="C288" s="38" t="s">
        <v>921</v>
      </c>
      <c r="D288" s="39" t="s">
        <v>1365</v>
      </c>
      <c r="E288" s="15" t="s">
        <v>362</v>
      </c>
      <c r="F288" s="38" t="s">
        <v>41</v>
      </c>
      <c r="G288" s="16">
        <v>156155.56</v>
      </c>
    </row>
    <row r="289" spans="1:7" ht="45">
      <c r="A289" s="15" t="s">
        <v>1058</v>
      </c>
      <c r="B289" s="15" t="s">
        <v>1057</v>
      </c>
      <c r="C289" s="38" t="s">
        <v>1059</v>
      </c>
      <c r="D289" s="39" t="s">
        <v>1366</v>
      </c>
      <c r="E289" s="15" t="s">
        <v>925</v>
      </c>
      <c r="F289" s="38" t="s">
        <v>41</v>
      </c>
      <c r="G289" s="16">
        <v>37991.93</v>
      </c>
    </row>
    <row r="290" spans="1:7" ht="75">
      <c r="A290" s="15" t="s">
        <v>923</v>
      </c>
      <c r="B290" s="15" t="s">
        <v>922</v>
      </c>
      <c r="C290" s="38" t="s">
        <v>924</v>
      </c>
      <c r="D290" s="39" t="s">
        <v>1367</v>
      </c>
      <c r="E290" s="15" t="s">
        <v>925</v>
      </c>
      <c r="F290" s="38" t="s">
        <v>41</v>
      </c>
      <c r="G290" s="16">
        <v>102295.31999999999</v>
      </c>
    </row>
    <row r="291" spans="1:7" ht="45">
      <c r="A291" s="15" t="s">
        <v>927</v>
      </c>
      <c r="B291" s="15" t="s">
        <v>926</v>
      </c>
      <c r="C291" s="38" t="s">
        <v>928</v>
      </c>
      <c r="D291" s="39" t="s">
        <v>1368</v>
      </c>
      <c r="E291" s="15" t="s">
        <v>141</v>
      </c>
      <c r="F291" s="38" t="s">
        <v>142</v>
      </c>
      <c r="G291" s="16">
        <v>11120.92</v>
      </c>
    </row>
    <row r="292" spans="1:7" ht="90">
      <c r="A292" s="15" t="s">
        <v>930</v>
      </c>
      <c r="B292" s="15" t="s">
        <v>929</v>
      </c>
      <c r="C292" s="38" t="s">
        <v>931</v>
      </c>
      <c r="D292" s="39" t="s">
        <v>1369</v>
      </c>
      <c r="E292" s="15" t="s">
        <v>394</v>
      </c>
      <c r="F292" s="38" t="s">
        <v>137</v>
      </c>
      <c r="G292" s="16">
        <v>37254.089999999997</v>
      </c>
    </row>
    <row r="293" spans="1:7" ht="90">
      <c r="A293" s="15" t="s">
        <v>1061</v>
      </c>
      <c r="B293" s="15" t="s">
        <v>1060</v>
      </c>
      <c r="C293" s="38" t="s">
        <v>1062</v>
      </c>
      <c r="D293" s="39" t="s">
        <v>1370</v>
      </c>
      <c r="E293" s="15" t="s">
        <v>53</v>
      </c>
      <c r="F293" s="38" t="s">
        <v>41</v>
      </c>
      <c r="G293" s="16">
        <v>116872.01</v>
      </c>
    </row>
    <row r="294" spans="1:7" ht="45">
      <c r="A294" s="15" t="s">
        <v>933</v>
      </c>
      <c r="B294" s="15" t="s">
        <v>932</v>
      </c>
      <c r="C294" s="38" t="s">
        <v>934</v>
      </c>
      <c r="D294" s="39" t="s">
        <v>1371</v>
      </c>
      <c r="E294" s="15" t="s">
        <v>925</v>
      </c>
      <c r="F294" s="38" t="s">
        <v>41</v>
      </c>
      <c r="G294" s="16">
        <v>72707.5</v>
      </c>
    </row>
    <row r="295" spans="1:7" ht="75">
      <c r="A295" s="15" t="s">
        <v>936</v>
      </c>
      <c r="B295" s="15" t="s">
        <v>935</v>
      </c>
      <c r="C295" s="38" t="s">
        <v>937</v>
      </c>
      <c r="D295" s="39" t="s">
        <v>1372</v>
      </c>
      <c r="E295" s="15" t="s">
        <v>53</v>
      </c>
      <c r="F295" s="38" t="s">
        <v>41</v>
      </c>
      <c r="G295" s="16">
        <v>319.49</v>
      </c>
    </row>
    <row r="296" spans="1:7" ht="30">
      <c r="A296" s="15" t="s">
        <v>939</v>
      </c>
      <c r="B296" s="15" t="s">
        <v>938</v>
      </c>
      <c r="C296" s="38" t="s">
        <v>940</v>
      </c>
      <c r="D296" s="39" t="s">
        <v>1373</v>
      </c>
      <c r="E296" s="15" t="s">
        <v>141</v>
      </c>
      <c r="F296" s="38" t="s">
        <v>142</v>
      </c>
      <c r="G296" s="16">
        <v>39904.71</v>
      </c>
    </row>
    <row r="297" spans="1:7" ht="45">
      <c r="A297" s="15" t="s">
        <v>942</v>
      </c>
      <c r="B297" s="15" t="s">
        <v>941</v>
      </c>
      <c r="C297" s="38" t="s">
        <v>943</v>
      </c>
      <c r="D297" s="39" t="s">
        <v>1374</v>
      </c>
      <c r="E297" s="15" t="s">
        <v>369</v>
      </c>
      <c r="F297" s="38" t="s">
        <v>41</v>
      </c>
      <c r="G297" s="16">
        <v>-49.67</v>
      </c>
    </row>
    <row r="298" spans="1:7" ht="30">
      <c r="A298" s="15" t="s">
        <v>945</v>
      </c>
      <c r="B298" s="15" t="s">
        <v>944</v>
      </c>
      <c r="C298" s="38" t="s">
        <v>946</v>
      </c>
      <c r="D298" s="39" t="s">
        <v>1375</v>
      </c>
      <c r="E298" s="15" t="s">
        <v>104</v>
      </c>
      <c r="F298" s="38" t="s">
        <v>41</v>
      </c>
      <c r="G298" s="16">
        <v>4157.7899999999991</v>
      </c>
    </row>
    <row r="299" spans="1:7" ht="75">
      <c r="A299" s="15" t="s">
        <v>948</v>
      </c>
      <c r="B299" s="15" t="s">
        <v>947</v>
      </c>
      <c r="C299" s="38" t="s">
        <v>949</v>
      </c>
      <c r="D299" s="39" t="s">
        <v>1376</v>
      </c>
      <c r="E299" s="15" t="s">
        <v>141</v>
      </c>
      <c r="F299" s="38" t="s">
        <v>142</v>
      </c>
      <c r="G299" s="16">
        <v>218302.18</v>
      </c>
    </row>
    <row r="300" spans="1:7" ht="30">
      <c r="A300" s="15" t="s">
        <v>951</v>
      </c>
      <c r="B300" s="15" t="s">
        <v>950</v>
      </c>
      <c r="C300" s="38" t="s">
        <v>952</v>
      </c>
      <c r="D300" s="39" t="s">
        <v>1377</v>
      </c>
      <c r="E300" s="15" t="s">
        <v>141</v>
      </c>
      <c r="F300" s="38" t="s">
        <v>142</v>
      </c>
      <c r="G300" s="16">
        <v>109536.13</v>
      </c>
    </row>
    <row r="301" spans="1:7" ht="45">
      <c r="A301" s="15" t="s">
        <v>954</v>
      </c>
      <c r="B301" s="15" t="s">
        <v>953</v>
      </c>
      <c r="C301" s="38" t="s">
        <v>955</v>
      </c>
      <c r="D301" s="39" t="s">
        <v>1378</v>
      </c>
      <c r="E301" s="15" t="s">
        <v>40</v>
      </c>
      <c r="F301" s="38" t="s">
        <v>41</v>
      </c>
      <c r="G301" s="16">
        <v>-852.14</v>
      </c>
    </row>
    <row r="302" spans="1:7" ht="30">
      <c r="A302" s="15" t="s">
        <v>957</v>
      </c>
      <c r="B302" s="15" t="s">
        <v>956</v>
      </c>
      <c r="C302" s="38" t="s">
        <v>958</v>
      </c>
      <c r="D302" s="39" t="s">
        <v>1379</v>
      </c>
      <c r="E302" s="15" t="s">
        <v>40</v>
      </c>
      <c r="F302" s="38" t="s">
        <v>41</v>
      </c>
      <c r="G302" s="16">
        <v>3673.07</v>
      </c>
    </row>
    <row r="303" spans="1:7" ht="60">
      <c r="A303" s="15" t="s">
        <v>960</v>
      </c>
      <c r="B303" s="15" t="s">
        <v>959</v>
      </c>
      <c r="C303" s="38" t="s">
        <v>961</v>
      </c>
      <c r="D303" s="39" t="s">
        <v>1380</v>
      </c>
      <c r="E303" s="15" t="s">
        <v>40</v>
      </c>
      <c r="F303" s="38" t="s">
        <v>41</v>
      </c>
      <c r="G303" s="16">
        <v>93.65</v>
      </c>
    </row>
    <row r="304" spans="1:7" ht="90">
      <c r="A304" s="15" t="s">
        <v>963</v>
      </c>
      <c r="B304" s="15" t="s">
        <v>962</v>
      </c>
      <c r="C304" s="38" t="s">
        <v>964</v>
      </c>
      <c r="D304" s="39" t="s">
        <v>1381</v>
      </c>
      <c r="E304" s="15" t="s">
        <v>40</v>
      </c>
      <c r="F304" s="38" t="s">
        <v>41</v>
      </c>
      <c r="G304" s="16">
        <v>78669.56</v>
      </c>
    </row>
    <row r="305" spans="1:7" ht="90">
      <c r="A305" s="15" t="s">
        <v>966</v>
      </c>
      <c r="B305" s="15" t="s">
        <v>965</v>
      </c>
      <c r="C305" s="38" t="s">
        <v>967</v>
      </c>
      <c r="D305" s="39" t="s">
        <v>1382</v>
      </c>
      <c r="E305" s="15" t="s">
        <v>53</v>
      </c>
      <c r="F305" s="38" t="s">
        <v>41</v>
      </c>
      <c r="G305" s="16">
        <v>-10400.310000000001</v>
      </c>
    </row>
    <row r="306" spans="1:7" ht="90">
      <c r="A306" s="15" t="s">
        <v>969</v>
      </c>
      <c r="B306" s="15" t="s">
        <v>968</v>
      </c>
      <c r="C306" s="38" t="s">
        <v>970</v>
      </c>
      <c r="D306" s="39" t="s">
        <v>1383</v>
      </c>
      <c r="E306" s="15" t="s">
        <v>394</v>
      </c>
      <c r="F306" s="38" t="s">
        <v>137</v>
      </c>
      <c r="G306" s="16">
        <v>45310.11</v>
      </c>
    </row>
    <row r="307" spans="1:7" ht="45">
      <c r="A307" s="15" t="s">
        <v>972</v>
      </c>
      <c r="B307" s="15" t="s">
        <v>971</v>
      </c>
      <c r="C307" s="38" t="s">
        <v>973</v>
      </c>
      <c r="D307" s="39" t="s">
        <v>1384</v>
      </c>
      <c r="E307" s="15" t="s">
        <v>567</v>
      </c>
      <c r="F307" s="38" t="s">
        <v>137</v>
      </c>
      <c r="G307" s="16">
        <v>38530.83</v>
      </c>
    </row>
    <row r="308" spans="1:7" ht="45">
      <c r="A308" s="15" t="s">
        <v>975</v>
      </c>
      <c r="B308" s="15" t="s">
        <v>974</v>
      </c>
      <c r="C308" s="38" t="s">
        <v>976</v>
      </c>
      <c r="D308" s="39" t="s">
        <v>1385</v>
      </c>
      <c r="E308" s="15" t="s">
        <v>141</v>
      </c>
      <c r="F308" s="38" t="s">
        <v>142</v>
      </c>
      <c r="G308" s="16">
        <v>5604.9900000000007</v>
      </c>
    </row>
    <row r="309" spans="1:7" ht="30">
      <c r="A309" s="15" t="s">
        <v>978</v>
      </c>
      <c r="B309" s="15" t="s">
        <v>977</v>
      </c>
      <c r="C309" s="38" t="s">
        <v>979</v>
      </c>
      <c r="D309" s="39" t="s">
        <v>1386</v>
      </c>
      <c r="E309" s="15" t="s">
        <v>980</v>
      </c>
      <c r="F309" s="38" t="s">
        <v>259</v>
      </c>
      <c r="G309" s="16">
        <v>1142.98</v>
      </c>
    </row>
    <row r="310" spans="1:7" ht="30">
      <c r="A310" s="15" t="s">
        <v>982</v>
      </c>
      <c r="B310" s="15" t="s">
        <v>981</v>
      </c>
      <c r="C310" s="38" t="s">
        <v>983</v>
      </c>
      <c r="D310" s="39" t="s">
        <v>1387</v>
      </c>
      <c r="E310" s="15" t="s">
        <v>440</v>
      </c>
      <c r="F310" s="38" t="s">
        <v>28</v>
      </c>
      <c r="G310" s="16">
        <v>53.69</v>
      </c>
    </row>
    <row r="311" spans="1:7" ht="30">
      <c r="A311" s="15" t="s">
        <v>985</v>
      </c>
      <c r="B311" s="15" t="s">
        <v>984</v>
      </c>
      <c r="C311" s="38" t="s">
        <v>986</v>
      </c>
      <c r="D311" s="39" t="s">
        <v>1388</v>
      </c>
      <c r="E311" s="15" t="s">
        <v>141</v>
      </c>
      <c r="F311" s="38" t="s">
        <v>142</v>
      </c>
      <c r="G311" s="16">
        <v>1558.07</v>
      </c>
    </row>
    <row r="312" spans="1:7" ht="30">
      <c r="A312" s="15" t="s">
        <v>988</v>
      </c>
      <c r="B312" s="15" t="s">
        <v>987</v>
      </c>
      <c r="C312" s="38" t="s">
        <v>989</v>
      </c>
      <c r="D312" s="39" t="s">
        <v>1389</v>
      </c>
      <c r="E312" s="15" t="s">
        <v>45</v>
      </c>
      <c r="F312" s="38" t="s">
        <v>22</v>
      </c>
      <c r="G312" s="16">
        <v>538.04999999999995</v>
      </c>
    </row>
    <row r="313" spans="1:7" ht="75">
      <c r="A313" s="15" t="s">
        <v>991</v>
      </c>
      <c r="B313" s="15" t="s">
        <v>990</v>
      </c>
      <c r="C313" s="38" t="s">
        <v>992</v>
      </c>
      <c r="D313" s="39" t="s">
        <v>1390</v>
      </c>
      <c r="E313" s="15" t="s">
        <v>141</v>
      </c>
      <c r="F313" s="38" t="s">
        <v>142</v>
      </c>
      <c r="G313" s="16">
        <v>118296.37</v>
      </c>
    </row>
    <row r="314" spans="1:7" ht="45">
      <c r="A314" s="15" t="s">
        <v>994</v>
      </c>
      <c r="B314" s="15" t="s">
        <v>993</v>
      </c>
      <c r="C314" s="38" t="s">
        <v>995</v>
      </c>
      <c r="D314" s="39" t="s">
        <v>1391</v>
      </c>
      <c r="E314" s="15" t="s">
        <v>40</v>
      </c>
      <c r="F314" s="38" t="s">
        <v>41</v>
      </c>
      <c r="G314" s="16">
        <v>20707.579999999998</v>
      </c>
    </row>
    <row r="315" spans="1:7" ht="75">
      <c r="A315" s="15" t="s">
        <v>997</v>
      </c>
      <c r="B315" s="15" t="s">
        <v>996</v>
      </c>
      <c r="C315" s="38" t="s">
        <v>998</v>
      </c>
      <c r="D315" s="39" t="s">
        <v>1392</v>
      </c>
      <c r="E315" s="15" t="s">
        <v>27</v>
      </c>
      <c r="F315" s="38" t="s">
        <v>28</v>
      </c>
      <c r="G315" s="16">
        <v>19849.080000000002</v>
      </c>
    </row>
    <row r="316" spans="1:7" ht="105">
      <c r="A316" s="15" t="s">
        <v>1064</v>
      </c>
      <c r="B316" s="15" t="s">
        <v>1063</v>
      </c>
      <c r="C316" s="38" t="s">
        <v>1065</v>
      </c>
      <c r="D316" s="39" t="s">
        <v>1393</v>
      </c>
      <c r="E316" s="15" t="s">
        <v>125</v>
      </c>
      <c r="F316" s="38" t="s">
        <v>126</v>
      </c>
      <c r="G316" s="16">
        <v>21760.85</v>
      </c>
    </row>
    <row r="317" spans="1:7" ht="60">
      <c r="A317" s="15" t="s">
        <v>1000</v>
      </c>
      <c r="B317" s="15" t="s">
        <v>999</v>
      </c>
      <c r="C317" s="38" t="s">
        <v>1001</v>
      </c>
      <c r="D317" s="39" t="s">
        <v>1394</v>
      </c>
      <c r="E317" s="15" t="s">
        <v>176</v>
      </c>
      <c r="F317" s="38" t="s">
        <v>28</v>
      </c>
      <c r="G317" s="16">
        <v>2372.0599999999995</v>
      </c>
    </row>
    <row r="318" spans="1:7" ht="75">
      <c r="A318" s="15" t="s">
        <v>1003</v>
      </c>
      <c r="B318" s="15" t="s">
        <v>1002</v>
      </c>
      <c r="C318" s="38" t="s">
        <v>1004</v>
      </c>
      <c r="D318" s="39" t="s">
        <v>1395</v>
      </c>
      <c r="E318" s="15" t="s">
        <v>216</v>
      </c>
      <c r="F318" s="38" t="s">
        <v>22</v>
      </c>
      <c r="G318" s="16">
        <v>21699.35</v>
      </c>
    </row>
    <row r="319" spans="1:7" ht="45">
      <c r="A319" s="15" t="s">
        <v>1006</v>
      </c>
      <c r="B319" s="15" t="s">
        <v>1005</v>
      </c>
      <c r="C319" s="38" t="s">
        <v>1007</v>
      </c>
      <c r="D319" s="39" t="s">
        <v>1396</v>
      </c>
      <c r="E319" s="15" t="s">
        <v>141</v>
      </c>
      <c r="F319" s="38" t="s">
        <v>142</v>
      </c>
      <c r="G319" s="16">
        <v>34824.92</v>
      </c>
    </row>
    <row r="320" spans="1:7" ht="45">
      <c r="A320" s="15" t="s">
        <v>1009</v>
      </c>
      <c r="B320" s="15" t="s">
        <v>1008</v>
      </c>
      <c r="C320" s="38" t="s">
        <v>1010</v>
      </c>
      <c r="D320" s="39" t="s">
        <v>1397</v>
      </c>
      <c r="E320" s="15" t="s">
        <v>49</v>
      </c>
      <c r="F320" s="38" t="s">
        <v>22</v>
      </c>
      <c r="G320" s="16">
        <v>18070.98</v>
      </c>
    </row>
    <row r="321" spans="1:7" ht="30">
      <c r="A321" s="15" t="s">
        <v>1012</v>
      </c>
      <c r="B321" s="15" t="s">
        <v>1011</v>
      </c>
      <c r="C321" s="38" t="s">
        <v>1013</v>
      </c>
      <c r="D321" s="39" t="s">
        <v>1398</v>
      </c>
      <c r="E321" s="15" t="s">
        <v>21</v>
      </c>
      <c r="F321" s="38" t="s">
        <v>22</v>
      </c>
      <c r="G321" s="16">
        <v>4250.08</v>
      </c>
    </row>
    <row r="322" spans="1:7" ht="45">
      <c r="A322" s="15" t="s">
        <v>1067</v>
      </c>
      <c r="B322" s="15" t="s">
        <v>1066</v>
      </c>
      <c r="C322" s="38" t="s">
        <v>1068</v>
      </c>
      <c r="D322" s="39" t="s">
        <v>1399</v>
      </c>
      <c r="E322" s="15" t="s">
        <v>567</v>
      </c>
      <c r="F322" s="38" t="s">
        <v>137</v>
      </c>
      <c r="G322" s="16">
        <v>105895.42</v>
      </c>
    </row>
    <row r="323" spans="1:7" ht="45">
      <c r="A323" s="15" t="s">
        <v>1015</v>
      </c>
      <c r="B323" s="15" t="s">
        <v>1014</v>
      </c>
      <c r="C323" s="38" t="s">
        <v>1016</v>
      </c>
      <c r="D323" s="39" t="s">
        <v>1400</v>
      </c>
      <c r="E323" s="15" t="s">
        <v>296</v>
      </c>
      <c r="F323" s="38" t="s">
        <v>28</v>
      </c>
      <c r="G323" s="16">
        <v>4441.6000000000004</v>
      </c>
    </row>
    <row r="324" spans="1:7" ht="45">
      <c r="A324" s="15" t="s">
        <v>1018</v>
      </c>
      <c r="B324" s="15" t="s">
        <v>1017</v>
      </c>
      <c r="C324" s="38" t="s">
        <v>1019</v>
      </c>
      <c r="D324" s="39" t="s">
        <v>1401</v>
      </c>
      <c r="E324" s="15" t="s">
        <v>1020</v>
      </c>
      <c r="F324" s="38" t="s">
        <v>22</v>
      </c>
      <c r="G324" s="16">
        <v>14148.079999999998</v>
      </c>
    </row>
    <row r="325" spans="1:7" ht="75">
      <c r="A325" s="15" t="s">
        <v>1070</v>
      </c>
      <c r="B325" s="15" t="s">
        <v>1069</v>
      </c>
      <c r="C325" s="38" t="s">
        <v>1071</v>
      </c>
      <c r="D325" s="39" t="s">
        <v>1402</v>
      </c>
      <c r="E325" s="15" t="s">
        <v>296</v>
      </c>
      <c r="F325" s="38" t="s">
        <v>28</v>
      </c>
      <c r="G325" s="16">
        <v>-310.58999999999997</v>
      </c>
    </row>
    <row r="326" spans="1:7" ht="180">
      <c r="A326" s="15" t="s">
        <v>1073</v>
      </c>
      <c r="B326" s="15" t="s">
        <v>1072</v>
      </c>
      <c r="C326" s="38" t="s">
        <v>1074</v>
      </c>
      <c r="D326" s="39" t="s">
        <v>1403</v>
      </c>
      <c r="E326" s="15" t="s">
        <v>296</v>
      </c>
      <c r="F326" s="38" t="s">
        <v>28</v>
      </c>
      <c r="G326" s="16">
        <v>24647.69</v>
      </c>
    </row>
    <row r="327" spans="1:7" ht="45">
      <c r="A327" s="15" t="s">
        <v>1076</v>
      </c>
      <c r="B327" s="15" t="s">
        <v>1075</v>
      </c>
      <c r="C327" s="38" t="s">
        <v>1077</v>
      </c>
      <c r="D327" s="39" t="s">
        <v>1404</v>
      </c>
      <c r="E327" s="15" t="s">
        <v>62</v>
      </c>
      <c r="F327" s="38" t="s">
        <v>22</v>
      </c>
      <c r="G327" s="16">
        <v>25101.279999999999</v>
      </c>
    </row>
    <row r="328" spans="1:7" ht="45">
      <c r="A328" s="15" t="s">
        <v>1022</v>
      </c>
      <c r="B328" s="15" t="s">
        <v>1021</v>
      </c>
      <c r="C328" s="38" t="s">
        <v>1023</v>
      </c>
      <c r="D328" s="39" t="s">
        <v>1405</v>
      </c>
      <c r="E328" s="15" t="s">
        <v>108</v>
      </c>
      <c r="F328" s="38" t="s">
        <v>28</v>
      </c>
      <c r="G328" s="16">
        <v>1163.6500000000001</v>
      </c>
    </row>
    <row r="329" spans="1:7" ht="30">
      <c r="A329" s="15" t="s">
        <v>1079</v>
      </c>
      <c r="B329" s="15" t="s">
        <v>1078</v>
      </c>
      <c r="C329" s="38" t="s">
        <v>1080</v>
      </c>
      <c r="D329" s="39" t="s">
        <v>1406</v>
      </c>
      <c r="E329" s="15" t="s">
        <v>62</v>
      </c>
      <c r="F329" s="38" t="s">
        <v>22</v>
      </c>
      <c r="G329" s="16">
        <v>5227.7</v>
      </c>
    </row>
    <row r="330" spans="1:7" ht="30">
      <c r="A330" s="15" t="s">
        <v>1082</v>
      </c>
      <c r="B330" s="15" t="s">
        <v>1081</v>
      </c>
      <c r="C330" s="38" t="s">
        <v>1083</v>
      </c>
      <c r="D330" s="39" t="s">
        <v>1407</v>
      </c>
      <c r="E330" s="15" t="s">
        <v>141</v>
      </c>
      <c r="F330" s="38" t="s">
        <v>142</v>
      </c>
      <c r="G330" s="16">
        <v>75631.14</v>
      </c>
    </row>
    <row r="331" spans="1:7" ht="60">
      <c r="A331" s="15" t="s">
        <v>1085</v>
      </c>
      <c r="B331" s="15" t="s">
        <v>1084</v>
      </c>
      <c r="C331" s="38" t="s">
        <v>1086</v>
      </c>
      <c r="D331" s="39" t="s">
        <v>1408</v>
      </c>
      <c r="E331" s="15" t="s">
        <v>21</v>
      </c>
      <c r="F331" s="38" t="s">
        <v>22</v>
      </c>
      <c r="G331" s="16">
        <v>36271.120000000003</v>
      </c>
    </row>
    <row r="332" spans="1:7" ht="30">
      <c r="A332" s="15" t="s">
        <v>1088</v>
      </c>
      <c r="B332" s="15" t="s">
        <v>1087</v>
      </c>
      <c r="C332" s="38" t="s">
        <v>1089</v>
      </c>
      <c r="D332" s="39" t="s">
        <v>1409</v>
      </c>
      <c r="E332" s="15" t="s">
        <v>1020</v>
      </c>
      <c r="F332" s="38" t="s">
        <v>22</v>
      </c>
      <c r="G332" s="16">
        <v>6257.37</v>
      </c>
    </row>
    <row r="333" spans="1:7" ht="60">
      <c r="A333" s="15" t="s">
        <v>1091</v>
      </c>
      <c r="B333" s="15" t="s">
        <v>1090</v>
      </c>
      <c r="C333" s="38" t="s">
        <v>1092</v>
      </c>
      <c r="D333" s="39" t="s">
        <v>1410</v>
      </c>
      <c r="E333" s="15" t="s">
        <v>216</v>
      </c>
      <c r="F333" s="38" t="s">
        <v>22</v>
      </c>
      <c r="G333" s="16">
        <v>11632.66</v>
      </c>
    </row>
    <row r="334" spans="1:7" ht="39.75" customHeight="1">
      <c r="A334" s="15" t="s">
        <v>1106</v>
      </c>
      <c r="B334" s="15" t="s">
        <v>1105</v>
      </c>
      <c r="C334" s="38" t="s">
        <v>1107</v>
      </c>
      <c r="D334" s="39" t="s">
        <v>1411</v>
      </c>
      <c r="E334" s="15" t="s">
        <v>466</v>
      </c>
      <c r="F334" s="38" t="s">
        <v>467</v>
      </c>
      <c r="G334" s="16">
        <v>3227.34</v>
      </c>
    </row>
    <row r="335" spans="1:7" ht="47.25" customHeight="1">
      <c r="A335" s="15" t="s">
        <v>1094</v>
      </c>
      <c r="B335" s="15" t="s">
        <v>1093</v>
      </c>
      <c r="C335" s="38" t="s">
        <v>1095</v>
      </c>
      <c r="D335" s="39" t="s">
        <v>1412</v>
      </c>
      <c r="E335" s="15" t="s">
        <v>27</v>
      </c>
      <c r="F335" s="38" t="s">
        <v>28</v>
      </c>
      <c r="G335" s="16">
        <v>134.33000000000001</v>
      </c>
    </row>
    <row r="336" spans="1:7" ht="47.25" customHeight="1">
      <c r="A336" s="15" t="s">
        <v>1097</v>
      </c>
      <c r="B336" s="15" t="s">
        <v>1096</v>
      </c>
      <c r="C336" s="38" t="s">
        <v>1098</v>
      </c>
      <c r="D336" s="39" t="s">
        <v>1413</v>
      </c>
      <c r="E336" s="15" t="s">
        <v>462</v>
      </c>
      <c r="F336" s="38" t="s">
        <v>142</v>
      </c>
      <c r="G336" s="40">
        <v>16814.27</v>
      </c>
    </row>
    <row r="337" spans="1:7" ht="30">
      <c r="A337" s="15" t="s">
        <v>1587</v>
      </c>
      <c r="B337" s="15" t="s">
        <v>1586</v>
      </c>
      <c r="C337" s="38" t="s">
        <v>1588</v>
      </c>
      <c r="D337" s="207" t="s">
        <v>1654</v>
      </c>
      <c r="E337" s="15" t="s">
        <v>1589</v>
      </c>
      <c r="F337" s="14" t="s">
        <v>1590</v>
      </c>
      <c r="G337" s="40">
        <v>20150.589999999997</v>
      </c>
    </row>
    <row r="338" spans="1:7" ht="30">
      <c r="A338" s="15" t="s">
        <v>1592</v>
      </c>
      <c r="B338" s="15" t="s">
        <v>1591</v>
      </c>
      <c r="C338" s="38" t="s">
        <v>1593</v>
      </c>
      <c r="D338" s="207" t="s">
        <v>1655</v>
      </c>
      <c r="E338" s="15" t="s">
        <v>1594</v>
      </c>
      <c r="F338" s="14" t="s">
        <v>1590</v>
      </c>
      <c r="G338" s="40">
        <v>3468.24</v>
      </c>
    </row>
    <row r="339" spans="1:7" ht="30">
      <c r="A339" s="15" t="s">
        <v>1596</v>
      </c>
      <c r="B339" s="15" t="s">
        <v>1595</v>
      </c>
      <c r="C339" s="38" t="s">
        <v>1593</v>
      </c>
      <c r="D339" s="207" t="s">
        <v>1656</v>
      </c>
      <c r="E339" s="15" t="s">
        <v>1597</v>
      </c>
      <c r="F339" s="14" t="s">
        <v>1590</v>
      </c>
      <c r="G339" s="40">
        <v>97507.5</v>
      </c>
    </row>
    <row r="340" spans="1:7" ht="30">
      <c r="A340" s="15" t="s">
        <v>1599</v>
      </c>
      <c r="B340" s="15" t="s">
        <v>1598</v>
      </c>
      <c r="C340" s="38" t="s">
        <v>1600</v>
      </c>
      <c r="D340" s="208" t="s">
        <v>1657</v>
      </c>
      <c r="E340" s="15" t="s">
        <v>1601</v>
      </c>
      <c r="F340" s="14" t="s">
        <v>1590</v>
      </c>
      <c r="G340" s="40">
        <v>73423.5</v>
      </c>
    </row>
    <row r="341" spans="1:7" ht="30">
      <c r="A341" s="15" t="s">
        <v>1603</v>
      </c>
      <c r="B341" s="15" t="s">
        <v>1602</v>
      </c>
      <c r="C341" s="14" t="s">
        <v>1588</v>
      </c>
      <c r="D341" s="207" t="s">
        <v>1658</v>
      </c>
      <c r="E341" s="15" t="s">
        <v>1604</v>
      </c>
      <c r="F341" s="14" t="s">
        <v>1590</v>
      </c>
      <c r="G341" s="40">
        <v>-4.0199999999999996</v>
      </c>
    </row>
    <row r="342" spans="1:7" ht="30">
      <c r="A342" s="15" t="s">
        <v>1606</v>
      </c>
      <c r="B342" s="15" t="s">
        <v>1605</v>
      </c>
      <c r="C342" s="38" t="s">
        <v>1607</v>
      </c>
      <c r="D342" s="207" t="s">
        <v>1659</v>
      </c>
      <c r="E342" s="15" t="s">
        <v>1608</v>
      </c>
      <c r="F342" s="14" t="s">
        <v>1590</v>
      </c>
      <c r="G342" s="40">
        <v>56561.8</v>
      </c>
    </row>
    <row r="343" spans="1:7" ht="30">
      <c r="A343" s="15" t="s">
        <v>1610</v>
      </c>
      <c r="B343" s="15" t="s">
        <v>1609</v>
      </c>
      <c r="C343" s="38" t="s">
        <v>1588</v>
      </c>
      <c r="D343" s="208" t="s">
        <v>1660</v>
      </c>
      <c r="E343" s="15" t="s">
        <v>1611</v>
      </c>
      <c r="F343" s="14" t="s">
        <v>1590</v>
      </c>
      <c r="G343" s="40">
        <v>-5.08</v>
      </c>
    </row>
    <row r="344" spans="1:7" ht="30">
      <c r="A344" s="15" t="s">
        <v>1613</v>
      </c>
      <c r="B344" s="15" t="s">
        <v>1612</v>
      </c>
      <c r="C344" s="38" t="s">
        <v>1588</v>
      </c>
      <c r="D344" s="207" t="s">
        <v>1661</v>
      </c>
      <c r="E344" s="15" t="s">
        <v>1614</v>
      </c>
      <c r="F344" s="14" t="s">
        <v>1590</v>
      </c>
      <c r="G344" s="40">
        <v>1645.15</v>
      </c>
    </row>
    <row r="345" spans="1:7" ht="30">
      <c r="A345" s="15" t="s">
        <v>1616</v>
      </c>
      <c r="B345" s="15" t="s">
        <v>1615</v>
      </c>
      <c r="C345" s="38" t="s">
        <v>1593</v>
      </c>
      <c r="D345" s="207" t="s">
        <v>1662</v>
      </c>
      <c r="E345" s="15" t="s">
        <v>1617</v>
      </c>
      <c r="F345" s="14" t="s">
        <v>1590</v>
      </c>
      <c r="G345" s="40">
        <v>16983.07</v>
      </c>
    </row>
    <row r="346" spans="1:7" ht="60">
      <c r="A346" s="250" t="s">
        <v>1714</v>
      </c>
      <c r="B346" s="250" t="s">
        <v>2182</v>
      </c>
      <c r="C346" s="332" t="s">
        <v>1715</v>
      </c>
      <c r="D346" s="333" t="s">
        <v>2227</v>
      </c>
      <c r="E346" s="250" t="s">
        <v>574</v>
      </c>
      <c r="F346" s="332" t="s">
        <v>28</v>
      </c>
      <c r="G346" s="251">
        <v>146040.44</v>
      </c>
    </row>
    <row r="347" spans="1:7" ht="45">
      <c r="A347" s="250" t="s">
        <v>2205</v>
      </c>
      <c r="B347" s="250" t="s">
        <v>2204</v>
      </c>
      <c r="C347" s="332" t="s">
        <v>2206</v>
      </c>
      <c r="D347" s="335" t="s">
        <v>2228</v>
      </c>
      <c r="E347" s="250" t="s">
        <v>440</v>
      </c>
      <c r="F347" s="332" t="s">
        <v>28</v>
      </c>
      <c r="G347" s="251">
        <v>22886.23</v>
      </c>
    </row>
    <row r="348" spans="1:7">
      <c r="A348" s="250" t="s">
        <v>2214</v>
      </c>
      <c r="B348" s="250" t="s">
        <v>2213</v>
      </c>
      <c r="C348" s="332" t="s">
        <v>2215</v>
      </c>
      <c r="D348" t="s">
        <v>2229</v>
      </c>
      <c r="E348" s="250" t="s">
        <v>108</v>
      </c>
      <c r="F348" s="332" t="s">
        <v>28</v>
      </c>
      <c r="G348" s="251">
        <v>3822.71</v>
      </c>
    </row>
    <row r="349" spans="1:7" ht="60">
      <c r="A349" s="250" t="s">
        <v>2217</v>
      </c>
      <c r="B349" s="250" t="s">
        <v>2216</v>
      </c>
      <c r="C349" s="332" t="s">
        <v>2218</v>
      </c>
      <c r="D349" s="336" t="s">
        <v>2230</v>
      </c>
      <c r="E349" s="250" t="s">
        <v>324</v>
      </c>
      <c r="F349" s="332" t="s">
        <v>325</v>
      </c>
      <c r="G349" s="251">
        <v>11034.87</v>
      </c>
    </row>
    <row r="350" spans="1:7" ht="180">
      <c r="A350" s="250" t="s">
        <v>1729</v>
      </c>
      <c r="B350" s="250" t="s">
        <v>2181</v>
      </c>
      <c r="C350" s="332" t="s">
        <v>1730</v>
      </c>
      <c r="D350" s="336" t="s">
        <v>2231</v>
      </c>
      <c r="E350" s="250" t="s">
        <v>62</v>
      </c>
      <c r="F350" s="332" t="s">
        <v>22</v>
      </c>
      <c r="G350" s="251">
        <v>219686.48</v>
      </c>
    </row>
    <row r="351" spans="1:7" ht="195">
      <c r="A351" s="250" t="s">
        <v>2184</v>
      </c>
      <c r="B351" s="250" t="s">
        <v>2183</v>
      </c>
      <c r="C351" s="332" t="s">
        <v>2185</v>
      </c>
      <c r="D351" s="336" t="s">
        <v>2232</v>
      </c>
      <c r="E351" s="250" t="s">
        <v>62</v>
      </c>
      <c r="F351" s="332" t="s">
        <v>22</v>
      </c>
      <c r="G351" s="251">
        <v>93860.72</v>
      </c>
    </row>
    <row r="352" spans="1:7" ht="120">
      <c r="A352" s="250" t="s">
        <v>2187</v>
      </c>
      <c r="B352" s="250" t="s">
        <v>2186</v>
      </c>
      <c r="C352" s="332" t="s">
        <v>2188</v>
      </c>
      <c r="D352" s="336" t="s">
        <v>2233</v>
      </c>
      <c r="E352" s="250" t="s">
        <v>27</v>
      </c>
      <c r="F352" s="332" t="s">
        <v>28</v>
      </c>
      <c r="G352" s="251">
        <v>21847.29</v>
      </c>
    </row>
    <row r="353" spans="1:7" ht="60">
      <c r="A353" s="250" t="s">
        <v>1731</v>
      </c>
      <c r="B353" s="250" t="s">
        <v>2189</v>
      </c>
      <c r="C353" s="332" t="s">
        <v>1732</v>
      </c>
      <c r="D353" s="336" t="s">
        <v>2234</v>
      </c>
      <c r="E353" s="250" t="s">
        <v>62</v>
      </c>
      <c r="F353" s="332" t="s">
        <v>22</v>
      </c>
      <c r="G353" s="251">
        <v>769399.64</v>
      </c>
    </row>
    <row r="354" spans="1:7" ht="60">
      <c r="A354" s="250" t="s">
        <v>1733</v>
      </c>
      <c r="B354" s="250" t="s">
        <v>2190</v>
      </c>
      <c r="C354" s="332" t="s">
        <v>1734</v>
      </c>
      <c r="D354" s="336" t="s">
        <v>2235</v>
      </c>
      <c r="E354" s="250" t="s">
        <v>216</v>
      </c>
      <c r="F354" s="332" t="s">
        <v>22</v>
      </c>
      <c r="G354" s="251">
        <v>34182.43</v>
      </c>
    </row>
    <row r="355" spans="1:7">
      <c r="A355" s="250" t="s">
        <v>2195</v>
      </c>
      <c r="B355" s="250" t="s">
        <v>2194</v>
      </c>
      <c r="C355" s="332" t="s">
        <v>2196</v>
      </c>
      <c r="D355" t="s">
        <v>2236</v>
      </c>
      <c r="E355" s="250" t="s">
        <v>36</v>
      </c>
      <c r="F355" s="332" t="s">
        <v>22</v>
      </c>
      <c r="G355" s="251">
        <v>23997.22</v>
      </c>
    </row>
    <row r="356" spans="1:7" ht="60">
      <c r="A356" s="250" t="s">
        <v>1741</v>
      </c>
      <c r="B356" s="250" t="s">
        <v>2197</v>
      </c>
      <c r="C356" s="332" t="s">
        <v>1742</v>
      </c>
      <c r="D356" s="336" t="s">
        <v>2237</v>
      </c>
      <c r="E356" s="250" t="s">
        <v>216</v>
      </c>
      <c r="F356" s="332" t="s">
        <v>22</v>
      </c>
      <c r="G356" s="251">
        <v>43695.4</v>
      </c>
    </row>
    <row r="357" spans="1:7" ht="60">
      <c r="A357" s="250" t="s">
        <v>2199</v>
      </c>
      <c r="B357" s="250" t="s">
        <v>2198</v>
      </c>
      <c r="C357" s="332" t="s">
        <v>2200</v>
      </c>
      <c r="D357" s="333" t="s">
        <v>2238</v>
      </c>
      <c r="E357" s="250" t="s">
        <v>176</v>
      </c>
      <c r="F357" s="332" t="s">
        <v>28</v>
      </c>
      <c r="G357" s="251">
        <v>128.97999999999999</v>
      </c>
    </row>
    <row r="358" spans="1:7" ht="60">
      <c r="A358" s="250" t="s">
        <v>1743</v>
      </c>
      <c r="B358" s="250" t="s">
        <v>2219</v>
      </c>
      <c r="C358" s="332" t="s">
        <v>1744</v>
      </c>
      <c r="D358" s="333" t="s">
        <v>2239</v>
      </c>
      <c r="E358" s="250" t="s">
        <v>53</v>
      </c>
      <c r="F358" s="332" t="s">
        <v>41</v>
      </c>
      <c r="G358" s="251">
        <v>10706.71</v>
      </c>
    </row>
    <row r="359" spans="1:7" ht="45">
      <c r="A359" s="250" t="s">
        <v>2202</v>
      </c>
      <c r="B359" s="250" t="s">
        <v>2201</v>
      </c>
      <c r="C359" s="332" t="s">
        <v>2203</v>
      </c>
      <c r="D359" s="333" t="s">
        <v>2240</v>
      </c>
      <c r="E359" s="250" t="s">
        <v>909</v>
      </c>
      <c r="F359" s="332" t="s">
        <v>22</v>
      </c>
      <c r="G359" s="251">
        <v>3215.27</v>
      </c>
    </row>
    <row r="360" spans="1:7" ht="75">
      <c r="A360" s="250" t="s">
        <v>2208</v>
      </c>
      <c r="B360" s="250" t="s">
        <v>2207</v>
      </c>
      <c r="C360" s="332" t="s">
        <v>2209</v>
      </c>
      <c r="D360" s="337" t="s">
        <v>2241</v>
      </c>
      <c r="E360" s="250" t="s">
        <v>141</v>
      </c>
      <c r="F360" s="332" t="s">
        <v>142</v>
      </c>
      <c r="G360" s="251">
        <v>65796.67</v>
      </c>
    </row>
    <row r="361" spans="1:7" ht="45">
      <c r="A361" s="250" t="s">
        <v>2211</v>
      </c>
      <c r="B361" s="250" t="s">
        <v>2210</v>
      </c>
      <c r="C361" s="332" t="s">
        <v>2212</v>
      </c>
      <c r="D361" s="337" t="s">
        <v>2240</v>
      </c>
      <c r="E361" s="250" t="s">
        <v>45</v>
      </c>
      <c r="F361" s="332" t="s">
        <v>22</v>
      </c>
      <c r="G361" s="251">
        <v>32651.14</v>
      </c>
    </row>
    <row r="362" spans="1:7" ht="60">
      <c r="A362" s="250" t="s">
        <v>2221</v>
      </c>
      <c r="B362" s="250" t="s">
        <v>2220</v>
      </c>
      <c r="C362" s="332" t="s">
        <v>2222</v>
      </c>
      <c r="D362" s="337" t="s">
        <v>2242</v>
      </c>
      <c r="E362" s="250" t="s">
        <v>362</v>
      </c>
      <c r="F362" s="332" t="s">
        <v>41</v>
      </c>
      <c r="G362" s="251">
        <v>14496.1</v>
      </c>
    </row>
    <row r="363" spans="1:7" ht="90">
      <c r="A363" s="250" t="s">
        <v>2224</v>
      </c>
      <c r="B363" s="250" t="s">
        <v>2223</v>
      </c>
      <c r="C363" s="332" t="s">
        <v>2225</v>
      </c>
      <c r="D363" s="333" t="s">
        <v>2243</v>
      </c>
      <c r="E363" s="250" t="s">
        <v>168</v>
      </c>
      <c r="F363" s="332" t="s">
        <v>169</v>
      </c>
      <c r="G363" s="251">
        <v>213064.46</v>
      </c>
    </row>
    <row r="364" spans="1:7" ht="45">
      <c r="A364" s="250" t="s">
        <v>99</v>
      </c>
      <c r="B364" s="250" t="s">
        <v>98</v>
      </c>
      <c r="C364" s="332" t="s">
        <v>100</v>
      </c>
      <c r="D364" s="336" t="s">
        <v>1131</v>
      </c>
      <c r="E364" s="250" t="s">
        <v>62</v>
      </c>
      <c r="F364" s="332" t="s">
        <v>22</v>
      </c>
      <c r="G364" s="251">
        <v>0.32</v>
      </c>
    </row>
    <row r="365" spans="1:7" ht="26.25">
      <c r="A365" s="250" t="s">
        <v>2253</v>
      </c>
      <c r="B365" s="250" t="s">
        <v>2252</v>
      </c>
      <c r="C365" s="332" t="s">
        <v>589</v>
      </c>
      <c r="D365" s="339" t="s">
        <v>2293</v>
      </c>
      <c r="E365" s="250" t="s">
        <v>2254</v>
      </c>
      <c r="F365" s="332" t="s">
        <v>591</v>
      </c>
      <c r="G365" s="251">
        <v>7194.54</v>
      </c>
    </row>
    <row r="366" spans="1:7" ht="60">
      <c r="A366" s="250" t="s">
        <v>1727</v>
      </c>
      <c r="B366" s="250" t="s">
        <v>2282</v>
      </c>
      <c r="C366" s="332" t="s">
        <v>1728</v>
      </c>
      <c r="D366" s="333" t="s">
        <v>2294</v>
      </c>
      <c r="E366" s="250" t="s">
        <v>53</v>
      </c>
      <c r="F366" s="332" t="s">
        <v>41</v>
      </c>
      <c r="G366" s="334">
        <v>137127.51</v>
      </c>
    </row>
    <row r="367" spans="1:7" ht="105">
      <c r="A367" s="250" t="s">
        <v>569</v>
      </c>
      <c r="B367" s="250" t="s">
        <v>568</v>
      </c>
      <c r="C367" s="332" t="s">
        <v>570</v>
      </c>
      <c r="D367" s="333" t="s">
        <v>1256</v>
      </c>
      <c r="E367" s="250" t="s">
        <v>324</v>
      </c>
      <c r="F367" s="332" t="s">
        <v>325</v>
      </c>
      <c r="G367" s="334">
        <v>391.21</v>
      </c>
    </row>
    <row r="368" spans="1:7" ht="135">
      <c r="A368" s="250" t="s">
        <v>2256</v>
      </c>
      <c r="B368" s="250" t="s">
        <v>2255</v>
      </c>
      <c r="C368" s="332" t="s">
        <v>2257</v>
      </c>
      <c r="D368" s="333" t="s">
        <v>2295</v>
      </c>
      <c r="E368" s="250" t="s">
        <v>216</v>
      </c>
      <c r="F368" s="332" t="s">
        <v>22</v>
      </c>
      <c r="G368" s="334">
        <v>106051.23</v>
      </c>
    </row>
    <row r="369" spans="1:7" ht="105">
      <c r="A369" s="250" t="s">
        <v>1720</v>
      </c>
      <c r="B369" s="250" t="s">
        <v>2258</v>
      </c>
      <c r="C369" s="332" t="s">
        <v>1721</v>
      </c>
      <c r="D369" s="333" t="s">
        <v>2296</v>
      </c>
      <c r="E369" s="250" t="s">
        <v>32</v>
      </c>
      <c r="F369" s="332" t="s">
        <v>22</v>
      </c>
      <c r="G369" s="334">
        <v>107240.43</v>
      </c>
    </row>
    <row r="370" spans="1:7" ht="105">
      <c r="A370" s="250" t="s">
        <v>1723</v>
      </c>
      <c r="B370" s="250" t="s">
        <v>2259</v>
      </c>
      <c r="C370" s="332" t="s">
        <v>1724</v>
      </c>
      <c r="D370" s="333" t="s">
        <v>2297</v>
      </c>
      <c r="E370" s="250" t="s">
        <v>62</v>
      </c>
      <c r="F370" s="332" t="s">
        <v>22</v>
      </c>
      <c r="G370" s="334">
        <v>901406.9</v>
      </c>
    </row>
    <row r="371" spans="1:7" ht="60">
      <c r="A371" s="250" t="s">
        <v>1735</v>
      </c>
      <c r="B371" s="250" t="s">
        <v>2283</v>
      </c>
      <c r="C371" s="332" t="s">
        <v>1736</v>
      </c>
      <c r="D371" s="333" t="s">
        <v>2298</v>
      </c>
      <c r="E371" s="250" t="s">
        <v>104</v>
      </c>
      <c r="F371" s="332" t="s">
        <v>41</v>
      </c>
      <c r="G371" s="334">
        <v>5271.89</v>
      </c>
    </row>
    <row r="372" spans="1:7" ht="105">
      <c r="A372" s="250" t="s">
        <v>2261</v>
      </c>
      <c r="B372" s="250" t="s">
        <v>2260</v>
      </c>
      <c r="C372" s="332" t="s">
        <v>2262</v>
      </c>
      <c r="D372" s="333" t="s">
        <v>2299</v>
      </c>
      <c r="E372" s="250" t="s">
        <v>535</v>
      </c>
      <c r="F372" s="332" t="s">
        <v>536</v>
      </c>
      <c r="G372" s="334">
        <v>17732.099999999999</v>
      </c>
    </row>
    <row r="373" spans="1:7" ht="90">
      <c r="A373" s="250" t="s">
        <v>2264</v>
      </c>
      <c r="B373" s="250" t="s">
        <v>2263</v>
      </c>
      <c r="C373" s="332" t="s">
        <v>2265</v>
      </c>
      <c r="D373" s="333" t="s">
        <v>2300</v>
      </c>
      <c r="E373" s="250" t="s">
        <v>324</v>
      </c>
      <c r="F373" s="332" t="s">
        <v>325</v>
      </c>
      <c r="G373" s="334">
        <v>19096.580000000002</v>
      </c>
    </row>
    <row r="374" spans="1:7" ht="105">
      <c r="A374" s="250" t="s">
        <v>1739</v>
      </c>
      <c r="B374" s="250" t="s">
        <v>2266</v>
      </c>
      <c r="C374" s="332" t="s">
        <v>1740</v>
      </c>
      <c r="D374" s="333" t="s">
        <v>2301</v>
      </c>
      <c r="E374" s="250" t="s">
        <v>324</v>
      </c>
      <c r="F374" s="332" t="s">
        <v>325</v>
      </c>
      <c r="G374" s="334">
        <v>19268.349999999999</v>
      </c>
    </row>
    <row r="375" spans="1:7" ht="105">
      <c r="A375" s="250" t="s">
        <v>2285</v>
      </c>
      <c r="B375" s="250" t="s">
        <v>2284</v>
      </c>
      <c r="C375" s="332" t="s">
        <v>2286</v>
      </c>
      <c r="D375" s="333" t="s">
        <v>2302</v>
      </c>
      <c r="E375" s="250" t="s">
        <v>53</v>
      </c>
      <c r="F375" s="332" t="s">
        <v>41</v>
      </c>
      <c r="G375" s="334">
        <v>40121.800000000003</v>
      </c>
    </row>
    <row r="376" spans="1:7" ht="60">
      <c r="A376" s="250" t="s">
        <v>2268</v>
      </c>
      <c r="B376" s="250" t="s">
        <v>2267</v>
      </c>
      <c r="C376" s="332" t="s">
        <v>2269</v>
      </c>
      <c r="D376" s="333" t="s">
        <v>2303</v>
      </c>
      <c r="E376" s="250" t="s">
        <v>216</v>
      </c>
      <c r="F376" s="332" t="s">
        <v>22</v>
      </c>
      <c r="G376" s="334">
        <v>30154.54</v>
      </c>
    </row>
    <row r="377" spans="1:7" ht="60">
      <c r="A377" s="250" t="s">
        <v>2271</v>
      </c>
      <c r="B377" s="250" t="s">
        <v>2270</v>
      </c>
      <c r="C377" s="332" t="s">
        <v>2272</v>
      </c>
      <c r="D377" s="333" t="s">
        <v>2304</v>
      </c>
      <c r="E377" s="250" t="s">
        <v>62</v>
      </c>
      <c r="F377" s="332" t="s">
        <v>22</v>
      </c>
      <c r="G377" s="334">
        <v>19363.54</v>
      </c>
    </row>
    <row r="378" spans="1:7" ht="45">
      <c r="A378" s="250" t="s">
        <v>2274</v>
      </c>
      <c r="B378" s="250" t="s">
        <v>2273</v>
      </c>
      <c r="C378" s="332" t="s">
        <v>2275</v>
      </c>
      <c r="D378" s="333" t="s">
        <v>2305</v>
      </c>
      <c r="E378" s="250" t="s">
        <v>141</v>
      </c>
      <c r="F378" s="332" t="s">
        <v>142</v>
      </c>
      <c r="G378" s="334">
        <v>111629.67</v>
      </c>
    </row>
    <row r="379" spans="1:7" ht="30">
      <c r="A379" s="250" t="s">
        <v>2288</v>
      </c>
      <c r="B379" s="250" t="s">
        <v>2287</v>
      </c>
      <c r="C379" s="332" t="s">
        <v>2289</v>
      </c>
      <c r="D379" s="333" t="s">
        <v>2306</v>
      </c>
      <c r="E379" s="250" t="s">
        <v>40</v>
      </c>
      <c r="F379" s="332" t="s">
        <v>41</v>
      </c>
      <c r="G379" s="334">
        <v>73950.03</v>
      </c>
    </row>
    <row r="380" spans="1:7" ht="60">
      <c r="A380" s="250" t="s">
        <v>2277</v>
      </c>
      <c r="B380" s="250" t="s">
        <v>2276</v>
      </c>
      <c r="C380" s="332" t="s">
        <v>2278</v>
      </c>
      <c r="D380" s="333" t="s">
        <v>2307</v>
      </c>
      <c r="E380" s="250" t="s">
        <v>462</v>
      </c>
      <c r="F380" s="332" t="s">
        <v>142</v>
      </c>
      <c r="G380" s="334">
        <v>196544.7</v>
      </c>
    </row>
    <row r="381" spans="1:7" ht="45">
      <c r="A381" s="250" t="s">
        <v>2248</v>
      </c>
      <c r="B381" s="250" t="s">
        <v>2247</v>
      </c>
      <c r="C381" s="332" t="s">
        <v>2249</v>
      </c>
      <c r="D381" s="333" t="s">
        <v>2308</v>
      </c>
      <c r="E381" s="250" t="s">
        <v>141</v>
      </c>
      <c r="F381" s="332" t="s">
        <v>142</v>
      </c>
      <c r="G381" s="334">
        <v>18792.990000000002</v>
      </c>
    </row>
    <row r="382" spans="1:7" ht="60">
      <c r="A382" s="250" t="s">
        <v>2291</v>
      </c>
      <c r="B382" s="250" t="s">
        <v>2290</v>
      </c>
      <c r="C382" s="332" t="s">
        <v>2292</v>
      </c>
      <c r="D382" s="333" t="s">
        <v>2309</v>
      </c>
      <c r="E382" s="250" t="s">
        <v>53</v>
      </c>
      <c r="F382" s="332" t="s">
        <v>41</v>
      </c>
      <c r="G382" s="334">
        <v>4513.7700000000004</v>
      </c>
    </row>
    <row r="383" spans="1:7" ht="30">
      <c r="A383" s="250" t="s">
        <v>2280</v>
      </c>
      <c r="B383" s="250" t="s">
        <v>2279</v>
      </c>
      <c r="C383" s="332" t="s">
        <v>2281</v>
      </c>
      <c r="D383" s="333" t="s">
        <v>2310</v>
      </c>
      <c r="E383" s="250" t="s">
        <v>909</v>
      </c>
      <c r="F383" s="332" t="s">
        <v>22</v>
      </c>
      <c r="G383" s="334">
        <v>9861.58</v>
      </c>
    </row>
    <row r="384" spans="1:7">
      <c r="A384" s="250" t="s">
        <v>2251</v>
      </c>
      <c r="B384" s="250" t="s">
        <v>2250</v>
      </c>
      <c r="C384" s="223" t="s">
        <v>194</v>
      </c>
      <c r="D384" s="333" t="s">
        <v>2311</v>
      </c>
      <c r="E384" s="250" t="s">
        <v>195</v>
      </c>
      <c r="F384" s="332" t="s">
        <v>196</v>
      </c>
      <c r="G384" s="251">
        <v>1767.23</v>
      </c>
    </row>
    <row r="385" spans="1:7">
      <c r="A385" s="250"/>
      <c r="B385" s="250"/>
      <c r="C385" s="332"/>
      <c r="D385" s="336"/>
      <c r="E385" s="250"/>
      <c r="F385" s="332"/>
      <c r="G385" s="334"/>
    </row>
    <row r="386" spans="1:7" ht="15.75" thickBot="1">
      <c r="A386" s="15"/>
      <c r="B386" s="15"/>
      <c r="C386" s="38"/>
      <c r="D386" s="14"/>
      <c r="E386" s="15"/>
      <c r="F386" s="14"/>
      <c r="G386" s="24">
        <f>SUM(G5:G385)</f>
        <v>21025240.700000018</v>
      </c>
    </row>
    <row r="387" spans="1:7" ht="15.75" thickTop="1">
      <c r="A387" s="3"/>
      <c r="B387" s="3"/>
      <c r="G387" s="3"/>
    </row>
  </sheetData>
  <pageMargins left="0.2" right="0.2" top="0.25" bottom="0.25" header="0.3" footer="0.3"/>
  <pageSetup scale="60" orientation="landscape" r:id="rId1"/>
</worksheet>
</file>

<file path=xl/worksheets/sheet8.xml><?xml version="1.0" encoding="utf-8"?>
<worksheet xmlns="http://schemas.openxmlformats.org/spreadsheetml/2006/main" xmlns:r="http://schemas.openxmlformats.org/officeDocument/2006/relationships">
  <dimension ref="A1:L113"/>
  <sheetViews>
    <sheetView topLeftCell="A77" workbookViewId="0">
      <selection activeCell="J56" sqref="J56"/>
    </sheetView>
  </sheetViews>
  <sheetFormatPr defaultRowHeight="15"/>
  <cols>
    <col min="1" max="1" width="23.28515625" customWidth="1"/>
    <col min="2" max="2" width="16.28515625" customWidth="1"/>
    <col min="3" max="5" width="11.5703125" bestFit="1" customWidth="1"/>
    <col min="6" max="6" width="13.28515625" bestFit="1" customWidth="1"/>
    <col min="8" max="9" width="11.7109375" bestFit="1" customWidth="1"/>
    <col min="10" max="10" width="13.28515625" bestFit="1" customWidth="1"/>
    <col min="12" max="12" width="16.85546875" customWidth="1"/>
    <col min="13" max="13" width="35.42578125" bestFit="1" customWidth="1"/>
  </cols>
  <sheetData>
    <row r="1" spans="1:12">
      <c r="A1" t="s">
        <v>1695</v>
      </c>
      <c r="B1" t="s">
        <v>1695</v>
      </c>
    </row>
    <row r="3" spans="1:12">
      <c r="A3" t="s">
        <v>1696</v>
      </c>
      <c r="B3" t="s">
        <v>1697</v>
      </c>
    </row>
    <row r="4" spans="1:12">
      <c r="A4" t="s">
        <v>1698</v>
      </c>
      <c r="B4">
        <v>201409</v>
      </c>
      <c r="C4">
        <v>201410</v>
      </c>
      <c r="D4">
        <v>201411</v>
      </c>
      <c r="E4">
        <v>201412</v>
      </c>
      <c r="F4" t="s">
        <v>1450</v>
      </c>
      <c r="H4">
        <v>201501</v>
      </c>
      <c r="I4">
        <v>201502</v>
      </c>
      <c r="L4" t="s">
        <v>1745</v>
      </c>
    </row>
    <row r="5" spans="1:12">
      <c r="A5" s="218" t="s">
        <v>70</v>
      </c>
      <c r="B5" s="219">
        <v>1237.47</v>
      </c>
      <c r="C5" s="219">
        <v>0</v>
      </c>
      <c r="D5" s="219">
        <v>-127.08</v>
      </c>
      <c r="E5" s="219">
        <v>8.01</v>
      </c>
      <c r="F5" s="219">
        <v>1118.4000000000001</v>
      </c>
      <c r="L5">
        <v>2.23333E-3</v>
      </c>
    </row>
    <row r="6" spans="1:12">
      <c r="A6" s="218" t="s">
        <v>203</v>
      </c>
      <c r="B6" s="219">
        <v>103697.26</v>
      </c>
      <c r="C6" s="219">
        <v>64057.599999999999</v>
      </c>
      <c r="D6" s="219">
        <v>8450.75</v>
      </c>
      <c r="E6" s="219">
        <v>23427.599999999999</v>
      </c>
      <c r="F6" s="219">
        <v>199633.21</v>
      </c>
      <c r="H6" s="220">
        <f t="shared" ref="H6:H48" si="0">SUM(C6:E6)/3</f>
        <v>31978.650000000005</v>
      </c>
      <c r="I6" s="220">
        <f>((H6/30)*28)*0.8</f>
        <v>23877.392000000007</v>
      </c>
      <c r="J6" s="219">
        <f>SUM(H6:I6)</f>
        <v>55856.042000000016</v>
      </c>
      <c r="L6">
        <v>2.23333E-3</v>
      </c>
    </row>
    <row r="7" spans="1:12">
      <c r="A7" s="218" t="s">
        <v>96</v>
      </c>
      <c r="B7" s="219">
        <v>-596.15</v>
      </c>
      <c r="C7" s="219"/>
      <c r="D7" s="219"/>
      <c r="E7" s="219"/>
      <c r="F7" s="219">
        <v>-596.15</v>
      </c>
      <c r="H7" s="220">
        <f t="shared" si="0"/>
        <v>0</v>
      </c>
      <c r="I7" s="220">
        <f t="shared" ref="I7:I48" si="1">((H7/30)*28)*0.8</f>
        <v>0</v>
      </c>
      <c r="J7" s="219">
        <f t="shared" ref="J7:J48" si="2">SUM(H7:I7)</f>
        <v>0</v>
      </c>
      <c r="L7">
        <v>2.23333E-3</v>
      </c>
    </row>
    <row r="8" spans="1:12">
      <c r="A8" s="218" t="s">
        <v>228</v>
      </c>
      <c r="B8" s="219">
        <v>16732.5</v>
      </c>
      <c r="C8" s="219">
        <v>955.76</v>
      </c>
      <c r="D8" s="219">
        <v>-783.88</v>
      </c>
      <c r="E8" s="219">
        <v>148.91</v>
      </c>
      <c r="F8" s="219">
        <v>17053.289999999997</v>
      </c>
      <c r="H8" s="220">
        <f t="shared" si="0"/>
        <v>106.92999999999999</v>
      </c>
      <c r="I8" s="220">
        <f t="shared" si="1"/>
        <v>79.841066666666663</v>
      </c>
      <c r="J8" s="219">
        <f t="shared" si="2"/>
        <v>186.77106666666666</v>
      </c>
      <c r="L8">
        <v>2.23333E-3</v>
      </c>
    </row>
    <row r="9" spans="1:12">
      <c r="A9" s="218" t="s">
        <v>390</v>
      </c>
      <c r="B9" s="219">
        <v>42682.33</v>
      </c>
      <c r="C9" s="219">
        <v>30625.17</v>
      </c>
      <c r="D9" s="219">
        <v>8594.43</v>
      </c>
      <c r="E9" s="219">
        <v>24453.55</v>
      </c>
      <c r="F9" s="219">
        <v>106355.48</v>
      </c>
      <c r="H9" s="220">
        <f t="shared" si="0"/>
        <v>21224.383333333331</v>
      </c>
      <c r="I9" s="220">
        <f t="shared" si="1"/>
        <v>15847.539555555557</v>
      </c>
      <c r="J9" s="219">
        <f t="shared" si="2"/>
        <v>37071.92288888889</v>
      </c>
      <c r="L9">
        <v>2.23333E-3</v>
      </c>
    </row>
    <row r="10" spans="1:12">
      <c r="A10" s="218" t="s">
        <v>231</v>
      </c>
      <c r="B10" s="219">
        <v>46346.59</v>
      </c>
      <c r="C10" s="219">
        <v>7523.71</v>
      </c>
      <c r="D10" s="219">
        <v>-3450.23</v>
      </c>
      <c r="E10" s="219">
        <v>4761.8599999999997</v>
      </c>
      <c r="F10" s="219">
        <v>55181.929999999993</v>
      </c>
      <c r="H10" s="220">
        <f t="shared" si="0"/>
        <v>2945.1133333333332</v>
      </c>
      <c r="I10" s="220">
        <f t="shared" si="1"/>
        <v>2199.0179555555555</v>
      </c>
      <c r="J10" s="219">
        <f t="shared" si="2"/>
        <v>5144.1312888888888</v>
      </c>
      <c r="L10">
        <v>2.23333E-3</v>
      </c>
    </row>
    <row r="11" spans="1:12">
      <c r="A11" s="218" t="s">
        <v>1589</v>
      </c>
      <c r="B11" s="219">
        <v>3649.84</v>
      </c>
      <c r="C11" s="219">
        <v>10750.98</v>
      </c>
      <c r="D11" s="219">
        <v>3556.67</v>
      </c>
      <c r="E11" s="219">
        <v>2193.1</v>
      </c>
      <c r="F11" s="219">
        <v>20150.589999999997</v>
      </c>
      <c r="H11" s="220">
        <f t="shared" si="0"/>
        <v>5500.25</v>
      </c>
      <c r="I11" s="220">
        <f t="shared" si="1"/>
        <v>4106.8533333333335</v>
      </c>
      <c r="J11" s="219">
        <f t="shared" si="2"/>
        <v>9607.1033333333326</v>
      </c>
      <c r="L11">
        <v>2.23333E-3</v>
      </c>
    </row>
    <row r="12" spans="1:12">
      <c r="A12" s="218" t="s">
        <v>377</v>
      </c>
      <c r="B12" s="219">
        <v>23482.38</v>
      </c>
      <c r="C12" s="219">
        <v>18639.88</v>
      </c>
      <c r="D12" s="219">
        <v>-119.93</v>
      </c>
      <c r="E12" s="219">
        <v>1572.18</v>
      </c>
      <c r="F12" s="219">
        <v>43574.51</v>
      </c>
      <c r="H12" s="220">
        <f t="shared" si="0"/>
        <v>6697.376666666667</v>
      </c>
      <c r="I12" s="220">
        <f t="shared" si="1"/>
        <v>5000.7079111111125</v>
      </c>
      <c r="J12" s="219">
        <f t="shared" si="2"/>
        <v>11698.084577777779</v>
      </c>
      <c r="L12">
        <v>2.23333E-3</v>
      </c>
    </row>
    <row r="13" spans="1:12">
      <c r="A13" s="218" t="s">
        <v>1611</v>
      </c>
      <c r="B13" s="219">
        <v>-5.08</v>
      </c>
      <c r="C13" s="219"/>
      <c r="D13" s="219"/>
      <c r="E13" s="219"/>
      <c r="F13" s="219">
        <v>-5.08</v>
      </c>
      <c r="H13" s="220">
        <f t="shared" si="0"/>
        <v>0</v>
      </c>
      <c r="I13" s="220">
        <f t="shared" si="1"/>
        <v>0</v>
      </c>
      <c r="J13" s="219">
        <f t="shared" si="2"/>
        <v>0</v>
      </c>
      <c r="L13">
        <v>2.0333299999999999E-3</v>
      </c>
    </row>
    <row r="14" spans="1:12">
      <c r="A14" s="218" t="s">
        <v>199</v>
      </c>
      <c r="B14" s="219">
        <v>4610.79</v>
      </c>
      <c r="C14" s="219"/>
      <c r="D14" s="219">
        <v>-444.19</v>
      </c>
      <c r="E14" s="219">
        <v>28.04</v>
      </c>
      <c r="F14" s="219">
        <v>4194.6400000000003</v>
      </c>
      <c r="H14" s="220">
        <f t="shared" si="0"/>
        <v>-138.71666666666667</v>
      </c>
      <c r="I14" s="220">
        <f t="shared" si="1"/>
        <v>-103.57511111111113</v>
      </c>
      <c r="J14" s="219">
        <f t="shared" si="2"/>
        <v>-242.29177777777778</v>
      </c>
      <c r="L14">
        <v>2.23333E-3</v>
      </c>
    </row>
    <row r="15" spans="1:12">
      <c r="A15" s="218" t="s">
        <v>92</v>
      </c>
      <c r="B15" s="219">
        <v>26370.98</v>
      </c>
      <c r="C15" s="219">
        <v>7587.08</v>
      </c>
      <c r="D15" s="219">
        <v>25805.41</v>
      </c>
      <c r="E15" s="219">
        <v>11747.82</v>
      </c>
      <c r="F15" s="219">
        <v>71511.290000000008</v>
      </c>
      <c r="H15" s="220">
        <f t="shared" si="0"/>
        <v>15046.769999999999</v>
      </c>
      <c r="I15" s="220">
        <f t="shared" si="1"/>
        <v>11234.9216</v>
      </c>
      <c r="J15" s="219">
        <f t="shared" si="2"/>
        <v>26281.691599999998</v>
      </c>
      <c r="L15">
        <v>2.23333E-3</v>
      </c>
    </row>
    <row r="16" spans="1:12">
      <c r="A16" s="218" t="s">
        <v>673</v>
      </c>
      <c r="B16" s="219">
        <v>642.49</v>
      </c>
      <c r="C16" s="219">
        <v>-743.2</v>
      </c>
      <c r="D16" s="219">
        <v>20.29</v>
      </c>
      <c r="E16" s="219">
        <v>64.27</v>
      </c>
      <c r="F16" s="219">
        <v>-16.150000000000048</v>
      </c>
      <c r="H16" s="220">
        <f t="shared" si="0"/>
        <v>-219.54666666666671</v>
      </c>
      <c r="I16" s="220">
        <f t="shared" si="1"/>
        <v>-163.92817777777782</v>
      </c>
      <c r="J16" s="219">
        <f t="shared" si="2"/>
        <v>-383.47484444444456</v>
      </c>
      <c r="L16">
        <v>2.23333E-3</v>
      </c>
    </row>
    <row r="17" spans="1:12">
      <c r="A17" s="218" t="s">
        <v>1597</v>
      </c>
      <c r="B17" s="219">
        <v>34137.56</v>
      </c>
      <c r="C17" s="219">
        <v>26051.41</v>
      </c>
      <c r="D17" s="219">
        <v>12942.18</v>
      </c>
      <c r="E17" s="219">
        <v>24376.35</v>
      </c>
      <c r="F17" s="219">
        <v>97507.5</v>
      </c>
      <c r="H17" s="220">
        <f t="shared" si="0"/>
        <v>21123.313333333332</v>
      </c>
      <c r="I17" s="220">
        <f t="shared" si="1"/>
        <v>15772.073955555556</v>
      </c>
      <c r="J17" s="219">
        <f t="shared" si="2"/>
        <v>36895.387288888887</v>
      </c>
      <c r="L17">
        <v>2.0333299999999999E-3</v>
      </c>
    </row>
    <row r="18" spans="1:12">
      <c r="A18" s="218" t="s">
        <v>501</v>
      </c>
      <c r="B18" s="219">
        <v>26046.38</v>
      </c>
      <c r="C18" s="219">
        <v>41073.32</v>
      </c>
      <c r="D18" s="219">
        <v>14235.91</v>
      </c>
      <c r="E18" s="219">
        <v>-1460.39</v>
      </c>
      <c r="F18" s="219">
        <v>79895.22</v>
      </c>
      <c r="H18" s="220">
        <f t="shared" si="0"/>
        <v>17949.613333333331</v>
      </c>
      <c r="I18" s="220">
        <f t="shared" si="1"/>
        <v>13402.377955555552</v>
      </c>
      <c r="J18" s="219">
        <f t="shared" si="2"/>
        <v>31351.991288888883</v>
      </c>
      <c r="L18">
        <v>2.23333E-3</v>
      </c>
    </row>
    <row r="19" spans="1:12">
      <c r="A19" s="218" t="s">
        <v>1601</v>
      </c>
      <c r="B19" s="219">
        <v>34733.839999999997</v>
      </c>
      <c r="C19" s="219">
        <v>8169.02</v>
      </c>
      <c r="D19" s="219">
        <v>7279.43</v>
      </c>
      <c r="E19" s="219">
        <v>23241.21</v>
      </c>
      <c r="F19" s="219">
        <v>73423.5</v>
      </c>
      <c r="H19" s="220">
        <f t="shared" si="0"/>
        <v>12896.553333333335</v>
      </c>
      <c r="I19" s="220">
        <f t="shared" si="1"/>
        <v>9629.4264888888902</v>
      </c>
      <c r="J19" s="219">
        <f t="shared" si="2"/>
        <v>22525.979822222223</v>
      </c>
      <c r="L19">
        <v>2.0333299999999999E-3</v>
      </c>
    </row>
    <row r="20" spans="1:12">
      <c r="A20" s="218" t="s">
        <v>89</v>
      </c>
      <c r="B20" s="219">
        <v>5005.29</v>
      </c>
      <c r="C20" s="219"/>
      <c r="D20" s="219"/>
      <c r="E20" s="219"/>
      <c r="F20" s="219">
        <v>5005.29</v>
      </c>
      <c r="H20" s="220">
        <f t="shared" si="0"/>
        <v>0</v>
      </c>
      <c r="I20" s="220">
        <f t="shared" si="1"/>
        <v>0</v>
      </c>
      <c r="J20" s="219">
        <f t="shared" si="2"/>
        <v>0</v>
      </c>
      <c r="L20">
        <v>2.23333E-3</v>
      </c>
    </row>
    <row r="21" spans="1:12">
      <c r="A21" s="218" t="s">
        <v>598</v>
      </c>
      <c r="B21" s="219">
        <v>260099.33</v>
      </c>
      <c r="C21" s="219">
        <v>100421.51</v>
      </c>
      <c r="D21" s="219">
        <v>46466.6</v>
      </c>
      <c r="E21" s="219">
        <v>24356.41</v>
      </c>
      <c r="F21" s="219">
        <v>431343.84999999992</v>
      </c>
      <c r="H21" s="220">
        <f t="shared" si="0"/>
        <v>57081.506666666661</v>
      </c>
      <c r="I21" s="220">
        <f t="shared" si="1"/>
        <v>42620.858311111107</v>
      </c>
      <c r="J21" s="219">
        <f t="shared" si="2"/>
        <v>99702.364977777761</v>
      </c>
      <c r="L21">
        <v>2.23333E-3</v>
      </c>
    </row>
    <row r="22" spans="1:12">
      <c r="A22" s="218" t="s">
        <v>75</v>
      </c>
      <c r="B22" s="219">
        <v>29889.97</v>
      </c>
      <c r="C22" s="219">
        <v>170646.25</v>
      </c>
      <c r="D22" s="219">
        <v>75040.75</v>
      </c>
      <c r="E22" s="219">
        <v>137868.63</v>
      </c>
      <c r="F22" s="219">
        <v>413445.6</v>
      </c>
      <c r="H22" s="220">
        <f t="shared" si="0"/>
        <v>127851.87666666666</v>
      </c>
      <c r="I22" s="220">
        <f t="shared" si="1"/>
        <v>95462.734577777781</v>
      </c>
      <c r="J22" s="219">
        <f t="shared" si="2"/>
        <v>223314.61124444444</v>
      </c>
      <c r="L22">
        <v>2.23333E-3</v>
      </c>
    </row>
    <row r="23" spans="1:12">
      <c r="A23" s="218" t="s">
        <v>382</v>
      </c>
      <c r="B23" s="219">
        <v>51541.52</v>
      </c>
      <c r="C23" s="219">
        <v>44071.92</v>
      </c>
      <c r="D23" s="219">
        <v>8632.84</v>
      </c>
      <c r="E23" s="219">
        <v>-3419.01</v>
      </c>
      <c r="F23" s="219">
        <v>100827.27</v>
      </c>
      <c r="H23" s="220">
        <f t="shared" si="0"/>
        <v>16428.583333333332</v>
      </c>
      <c r="I23" s="220">
        <f t="shared" si="1"/>
        <v>12266.675555555556</v>
      </c>
      <c r="J23" s="219">
        <f t="shared" si="2"/>
        <v>28695.258888888886</v>
      </c>
      <c r="L23">
        <v>2.23333E-3</v>
      </c>
    </row>
    <row r="24" spans="1:12">
      <c r="A24" s="218" t="s">
        <v>601</v>
      </c>
      <c r="B24" s="219">
        <v>3438.85</v>
      </c>
      <c r="C24" s="219">
        <v>5829.85</v>
      </c>
      <c r="D24" s="219">
        <v>5494.87</v>
      </c>
      <c r="E24" s="219">
        <v>5423.03</v>
      </c>
      <c r="F24" s="219">
        <v>20186.599999999999</v>
      </c>
      <c r="H24" s="220">
        <f t="shared" si="0"/>
        <v>5582.583333333333</v>
      </c>
      <c r="I24" s="220">
        <f t="shared" si="1"/>
        <v>4168.3288888888883</v>
      </c>
      <c r="J24" s="219">
        <f t="shared" si="2"/>
        <v>9750.9122222222213</v>
      </c>
      <c r="L24">
        <v>2.23333E-3</v>
      </c>
    </row>
    <row r="25" spans="1:12">
      <c r="A25" s="218" t="s">
        <v>746</v>
      </c>
      <c r="B25" s="219">
        <v>47053.64</v>
      </c>
      <c r="C25" s="219">
        <v>49038.54</v>
      </c>
      <c r="D25" s="219">
        <v>8037.46</v>
      </c>
      <c r="E25" s="219">
        <v>-3814.16</v>
      </c>
      <c r="F25" s="219">
        <v>100315.48</v>
      </c>
      <c r="H25" s="220">
        <f t="shared" si="0"/>
        <v>17753.946666666667</v>
      </c>
      <c r="I25" s="220">
        <f t="shared" si="1"/>
        <v>13256.280177777779</v>
      </c>
      <c r="J25" s="219">
        <f t="shared" si="2"/>
        <v>31010.226844444445</v>
      </c>
      <c r="L25">
        <v>2.23333E-3</v>
      </c>
    </row>
    <row r="26" spans="1:12">
      <c r="A26" s="218" t="s">
        <v>84</v>
      </c>
      <c r="B26" s="219">
        <v>152025.89000000001</v>
      </c>
      <c r="C26" s="219">
        <v>28628.69</v>
      </c>
      <c r="D26" s="219">
        <v>18288.689999999999</v>
      </c>
      <c r="E26" s="219">
        <v>21637.919999999998</v>
      </c>
      <c r="F26" s="219">
        <v>220581.19</v>
      </c>
      <c r="H26" s="220">
        <f t="shared" si="0"/>
        <v>22851.766666666663</v>
      </c>
      <c r="I26" s="220">
        <f t="shared" si="1"/>
        <v>17062.65244444444</v>
      </c>
      <c r="J26" s="219">
        <f t="shared" si="2"/>
        <v>39914.419111111099</v>
      </c>
      <c r="L26">
        <v>2.23333E-3</v>
      </c>
    </row>
    <row r="27" spans="1:12">
      <c r="A27" s="218" t="s">
        <v>211</v>
      </c>
      <c r="B27" s="219">
        <v>-620.16</v>
      </c>
      <c r="C27" s="219"/>
      <c r="D27" s="219"/>
      <c r="E27" s="219"/>
      <c r="F27" s="219">
        <v>-620.16</v>
      </c>
      <c r="H27" s="220">
        <f t="shared" si="0"/>
        <v>0</v>
      </c>
      <c r="I27" s="220">
        <f t="shared" si="1"/>
        <v>0</v>
      </c>
      <c r="J27" s="219">
        <f t="shared" si="2"/>
        <v>0</v>
      </c>
      <c r="L27">
        <v>2.23333E-3</v>
      </c>
    </row>
    <row r="28" spans="1:12">
      <c r="A28" s="218" t="s">
        <v>79</v>
      </c>
      <c r="B28" s="219">
        <v>5719.2</v>
      </c>
      <c r="C28" s="219"/>
      <c r="D28" s="219"/>
      <c r="E28" s="219"/>
      <c r="F28" s="219">
        <v>5719.2</v>
      </c>
      <c r="H28" s="220">
        <f t="shared" si="0"/>
        <v>0</v>
      </c>
      <c r="I28" s="220">
        <f t="shared" si="1"/>
        <v>0</v>
      </c>
      <c r="J28" s="219">
        <f t="shared" si="2"/>
        <v>0</v>
      </c>
      <c r="L28">
        <v>2.23333E-3</v>
      </c>
    </row>
    <row r="29" spans="1:12">
      <c r="A29" s="218" t="s">
        <v>1608</v>
      </c>
      <c r="B29" s="219">
        <v>14022.68</v>
      </c>
      <c r="C29" s="219">
        <v>18008.71</v>
      </c>
      <c r="D29" s="219">
        <v>13521.65</v>
      </c>
      <c r="E29" s="219">
        <v>11008.76</v>
      </c>
      <c r="F29" s="219">
        <v>56561.8</v>
      </c>
      <c r="H29" s="220">
        <f t="shared" si="0"/>
        <v>14179.706666666667</v>
      </c>
      <c r="I29" s="220">
        <f t="shared" si="1"/>
        <v>10587.514311111112</v>
      </c>
      <c r="J29" s="219">
        <f t="shared" si="2"/>
        <v>24767.220977777779</v>
      </c>
      <c r="L29">
        <v>2.0333299999999999E-3</v>
      </c>
    </row>
    <row r="30" spans="1:12">
      <c r="A30" s="218" t="s">
        <v>492</v>
      </c>
      <c r="B30" s="219">
        <v>-2416.5500000000002</v>
      </c>
      <c r="C30" s="219"/>
      <c r="D30" s="219">
        <v>2182.83</v>
      </c>
      <c r="E30" s="219">
        <v>-341.38</v>
      </c>
      <c r="F30" s="219">
        <v>-575.10000000000025</v>
      </c>
      <c r="H30" s="220">
        <f t="shared" si="0"/>
        <v>613.81666666666661</v>
      </c>
      <c r="I30" s="220">
        <f t="shared" si="1"/>
        <v>458.31644444444447</v>
      </c>
      <c r="J30" s="219">
        <f t="shared" si="2"/>
        <v>1072.133111111111</v>
      </c>
      <c r="L30">
        <v>2.23333E-3</v>
      </c>
    </row>
    <row r="31" spans="1:12">
      <c r="A31" s="218" t="s">
        <v>752</v>
      </c>
      <c r="B31" s="219">
        <v>-0.62</v>
      </c>
      <c r="C31" s="219"/>
      <c r="D31" s="219"/>
      <c r="E31" s="219">
        <v>48.78</v>
      </c>
      <c r="F31" s="219">
        <v>48.160000000000004</v>
      </c>
      <c r="H31" s="220">
        <f t="shared" si="0"/>
        <v>16.260000000000002</v>
      </c>
      <c r="I31" s="220">
        <f t="shared" si="1"/>
        <v>12.140800000000002</v>
      </c>
      <c r="J31" s="219">
        <f t="shared" si="2"/>
        <v>28.400800000000004</v>
      </c>
      <c r="L31">
        <v>2.23333E-3</v>
      </c>
    </row>
    <row r="32" spans="1:12">
      <c r="A32" s="218" t="s">
        <v>590</v>
      </c>
      <c r="B32" s="219">
        <v>-3.04</v>
      </c>
      <c r="C32" s="219"/>
      <c r="D32" s="219"/>
      <c r="E32" s="219"/>
      <c r="F32" s="219">
        <v>-3.04</v>
      </c>
      <c r="H32" s="220">
        <f t="shared" si="0"/>
        <v>0</v>
      </c>
      <c r="I32" s="220">
        <f t="shared" si="1"/>
        <v>0</v>
      </c>
      <c r="J32" s="219">
        <f t="shared" si="2"/>
        <v>0</v>
      </c>
      <c r="L32">
        <v>2.23333E-3</v>
      </c>
    </row>
    <row r="33" spans="1:12">
      <c r="A33" s="218" t="s">
        <v>1614</v>
      </c>
      <c r="B33" s="219">
        <v>453.16</v>
      </c>
      <c r="C33" s="219">
        <v>434.13</v>
      </c>
      <c r="D33" s="219">
        <v>425.66</v>
      </c>
      <c r="E33" s="219">
        <v>332.2</v>
      </c>
      <c r="F33" s="219">
        <v>1645.15</v>
      </c>
      <c r="H33" s="220">
        <f t="shared" si="0"/>
        <v>397.33</v>
      </c>
      <c r="I33" s="220">
        <f t="shared" si="1"/>
        <v>296.67306666666667</v>
      </c>
      <c r="J33" s="219">
        <f t="shared" si="2"/>
        <v>694.00306666666665</v>
      </c>
      <c r="L33">
        <v>2.0333299999999999E-3</v>
      </c>
    </row>
    <row r="34" spans="1:12">
      <c r="A34" s="218" t="s">
        <v>498</v>
      </c>
      <c r="B34" s="219">
        <v>55968.13</v>
      </c>
      <c r="C34" s="219">
        <v>86678.53</v>
      </c>
      <c r="D34" s="219">
        <v>467</v>
      </c>
      <c r="E34" s="219">
        <v>44688.62</v>
      </c>
      <c r="F34" s="219">
        <v>187802.28</v>
      </c>
      <c r="H34" s="220">
        <f t="shared" si="0"/>
        <v>43944.716666666667</v>
      </c>
      <c r="I34" s="220">
        <f t="shared" si="1"/>
        <v>32812.055111111113</v>
      </c>
      <c r="J34" s="219">
        <f t="shared" si="2"/>
        <v>76756.771777777787</v>
      </c>
      <c r="L34">
        <v>2.23333E-3</v>
      </c>
    </row>
    <row r="35" spans="1:12">
      <c r="A35" s="218" t="s">
        <v>386</v>
      </c>
      <c r="B35" s="219">
        <v>103600.86</v>
      </c>
      <c r="C35" s="219">
        <v>183813.51</v>
      </c>
      <c r="D35" s="219">
        <v>112142.79</v>
      </c>
      <c r="E35" s="219">
        <v>155294.04</v>
      </c>
      <c r="F35" s="219">
        <v>554851.19999999995</v>
      </c>
      <c r="H35" s="220">
        <f t="shared" si="0"/>
        <v>150416.78</v>
      </c>
      <c r="I35" s="220">
        <f t="shared" si="1"/>
        <v>112311.19573333334</v>
      </c>
      <c r="J35" s="219">
        <f t="shared" si="2"/>
        <v>262727.97573333333</v>
      </c>
      <c r="L35">
        <v>2.23333E-3</v>
      </c>
    </row>
    <row r="36" spans="1:12">
      <c r="A36" s="218" t="s">
        <v>594</v>
      </c>
      <c r="B36" s="219">
        <v>-383.88</v>
      </c>
      <c r="C36" s="219"/>
      <c r="D36" s="219"/>
      <c r="E36" s="219"/>
      <c r="F36" s="219">
        <v>-383.88</v>
      </c>
      <c r="H36" s="220">
        <f t="shared" si="0"/>
        <v>0</v>
      </c>
      <c r="I36" s="220">
        <f t="shared" si="1"/>
        <v>0</v>
      </c>
      <c r="J36" s="219">
        <f t="shared" si="2"/>
        <v>0</v>
      </c>
      <c r="L36">
        <v>2.23333E-3</v>
      </c>
    </row>
    <row r="37" spans="1:12">
      <c r="A37" s="218" t="s">
        <v>225</v>
      </c>
      <c r="B37" s="219">
        <v>6250.26</v>
      </c>
      <c r="C37" s="219"/>
      <c r="D37" s="219">
        <v>-864.28</v>
      </c>
      <c r="E37" s="219">
        <v>18.05</v>
      </c>
      <c r="F37" s="219">
        <v>5404.0300000000007</v>
      </c>
      <c r="H37" s="220">
        <f t="shared" si="0"/>
        <v>-282.07666666666665</v>
      </c>
      <c r="I37" s="220">
        <f t="shared" si="1"/>
        <v>-210.61724444444445</v>
      </c>
      <c r="J37" s="219">
        <f t="shared" si="2"/>
        <v>-492.69391111111111</v>
      </c>
      <c r="L37">
        <v>2.23333E-3</v>
      </c>
    </row>
    <row r="38" spans="1:12">
      <c r="A38" s="218" t="s">
        <v>1617</v>
      </c>
      <c r="B38" s="219">
        <v>13225.13</v>
      </c>
      <c r="C38" s="219">
        <v>4029.73</v>
      </c>
      <c r="D38" s="219">
        <v>4.0199999999999996</v>
      </c>
      <c r="E38" s="219">
        <v>-275.81</v>
      </c>
      <c r="F38" s="219">
        <v>16983.07</v>
      </c>
      <c r="H38" s="220">
        <f t="shared" si="0"/>
        <v>1252.6466666666668</v>
      </c>
      <c r="I38" s="220">
        <f t="shared" si="1"/>
        <v>935.30951111111119</v>
      </c>
      <c r="J38" s="219">
        <f t="shared" si="2"/>
        <v>2187.9561777777781</v>
      </c>
      <c r="L38">
        <v>2.0333299999999999E-3</v>
      </c>
    </row>
    <row r="39" spans="1:12">
      <c r="A39" s="218" t="s">
        <v>740</v>
      </c>
      <c r="B39" s="219">
        <v>29.7</v>
      </c>
      <c r="C39" s="219"/>
      <c r="D39" s="219"/>
      <c r="E39" s="219"/>
      <c r="F39" s="219">
        <v>29.7</v>
      </c>
      <c r="H39" s="220">
        <f t="shared" si="0"/>
        <v>0</v>
      </c>
      <c r="I39" s="220">
        <f t="shared" si="1"/>
        <v>0</v>
      </c>
      <c r="J39" s="219">
        <f t="shared" si="2"/>
        <v>0</v>
      </c>
      <c r="L39">
        <v>2.23333E-3</v>
      </c>
    </row>
    <row r="40" spans="1:12">
      <c r="A40" s="218" t="s">
        <v>207</v>
      </c>
      <c r="B40" s="219">
        <v>-46.62</v>
      </c>
      <c r="C40" s="219"/>
      <c r="D40" s="219"/>
      <c r="E40" s="219"/>
      <c r="F40" s="219">
        <v>-46.62</v>
      </c>
      <c r="H40" s="220">
        <f t="shared" si="0"/>
        <v>0</v>
      </c>
      <c r="I40" s="220">
        <f t="shared" si="1"/>
        <v>0</v>
      </c>
      <c r="J40" s="219">
        <f t="shared" si="2"/>
        <v>0</v>
      </c>
      <c r="L40">
        <v>2.23333E-3</v>
      </c>
    </row>
    <row r="41" spans="1:12">
      <c r="A41" s="218" t="s">
        <v>1029</v>
      </c>
      <c r="B41" s="219"/>
      <c r="C41" s="219"/>
      <c r="D41" s="219"/>
      <c r="E41" s="219">
        <v>463.42</v>
      </c>
      <c r="F41" s="219">
        <v>463.42</v>
      </c>
      <c r="H41" s="220">
        <f t="shared" si="0"/>
        <v>154.47333333333333</v>
      </c>
      <c r="I41" s="220">
        <f t="shared" si="1"/>
        <v>115.34008888888889</v>
      </c>
      <c r="J41" s="219">
        <f t="shared" si="2"/>
        <v>269.81342222222224</v>
      </c>
      <c r="L41">
        <v>2.23333E-3</v>
      </c>
    </row>
    <row r="42" spans="1:12">
      <c r="A42" s="218" t="s">
        <v>755</v>
      </c>
      <c r="B42" s="219">
        <v>7053.44</v>
      </c>
      <c r="C42" s="219">
        <v>6651.75</v>
      </c>
      <c r="D42" s="219">
        <v>8010.12</v>
      </c>
      <c r="E42" s="219">
        <v>2824.7</v>
      </c>
      <c r="F42" s="219">
        <v>24540.01</v>
      </c>
      <c r="H42" s="220">
        <f t="shared" si="0"/>
        <v>5828.8566666666666</v>
      </c>
      <c r="I42" s="220">
        <f t="shared" si="1"/>
        <v>4352.2129777777773</v>
      </c>
      <c r="J42" s="219">
        <f t="shared" si="2"/>
        <v>10181.069644444444</v>
      </c>
      <c r="L42">
        <v>2.23333E-3</v>
      </c>
    </row>
    <row r="43" spans="1:12">
      <c r="A43" s="218" t="s">
        <v>373</v>
      </c>
      <c r="B43" s="219">
        <v>47214.32</v>
      </c>
      <c r="C43" s="219">
        <v>13638.55</v>
      </c>
      <c r="D43" s="219">
        <v>-288.35000000000002</v>
      </c>
      <c r="E43" s="219">
        <v>2148.71</v>
      </c>
      <c r="F43" s="219">
        <v>62713.229999999996</v>
      </c>
      <c r="H43" s="220">
        <f t="shared" si="0"/>
        <v>5166.3033333333333</v>
      </c>
      <c r="I43" s="220">
        <f t="shared" si="1"/>
        <v>3857.5064888888892</v>
      </c>
      <c r="J43" s="219">
        <f t="shared" si="2"/>
        <v>9023.8098222222216</v>
      </c>
      <c r="L43">
        <v>2.23333E-3</v>
      </c>
    </row>
    <row r="44" spans="1:12">
      <c r="A44" s="218" t="s">
        <v>1594</v>
      </c>
      <c r="B44" s="219">
        <v>1343.76</v>
      </c>
      <c r="C44" s="219">
        <v>2397.15</v>
      </c>
      <c r="D44" s="219">
        <v>-65.48</v>
      </c>
      <c r="E44" s="219">
        <v>-207.19</v>
      </c>
      <c r="F44" s="219">
        <v>3468.24</v>
      </c>
      <c r="H44" s="220">
        <f t="shared" si="0"/>
        <v>708.16</v>
      </c>
      <c r="I44" s="220">
        <f t="shared" si="1"/>
        <v>528.75946666666664</v>
      </c>
      <c r="J44" s="219">
        <f t="shared" si="2"/>
        <v>1236.9194666666667</v>
      </c>
      <c r="L44">
        <v>2.0333299999999999E-3</v>
      </c>
    </row>
    <row r="45" spans="1:12">
      <c r="A45" s="218" t="s">
        <v>195</v>
      </c>
      <c r="B45" s="219"/>
      <c r="C45" s="219">
        <v>100.15</v>
      </c>
      <c r="D45" s="219">
        <v>-2.78</v>
      </c>
      <c r="E45" s="219">
        <v>-8.64</v>
      </c>
      <c r="F45" s="219">
        <v>88.73</v>
      </c>
      <c r="H45" s="220">
        <f t="shared" si="0"/>
        <v>29.576666666666668</v>
      </c>
      <c r="I45" s="220">
        <f t="shared" si="1"/>
        <v>22.083911111111114</v>
      </c>
      <c r="J45" s="219">
        <f t="shared" si="2"/>
        <v>51.660577777777782</v>
      </c>
      <c r="L45">
        <v>2.23333E-3</v>
      </c>
    </row>
    <row r="46" spans="1:12">
      <c r="A46" s="218" t="s">
        <v>676</v>
      </c>
      <c r="B46" s="219">
        <v>16917.41</v>
      </c>
      <c r="C46" s="219">
        <v>14213.17</v>
      </c>
      <c r="D46" s="219">
        <v>-5090.0600000000004</v>
      </c>
      <c r="E46" s="219">
        <v>4755.1000000000004</v>
      </c>
      <c r="F46" s="219">
        <v>30795.620000000003</v>
      </c>
      <c r="H46" s="220">
        <f t="shared" si="0"/>
        <v>4626.0700000000006</v>
      </c>
      <c r="I46" s="220">
        <f t="shared" si="1"/>
        <v>3454.132266666667</v>
      </c>
      <c r="J46" s="219">
        <f t="shared" si="2"/>
        <v>8080.2022666666671</v>
      </c>
      <c r="L46">
        <v>2.23333E-3</v>
      </c>
    </row>
    <row r="47" spans="1:12">
      <c r="A47" s="218" t="s">
        <v>1604</v>
      </c>
      <c r="B47" s="219">
        <v>-4.0199999999999996</v>
      </c>
      <c r="C47" s="219"/>
      <c r="D47" s="219"/>
      <c r="E47" s="219"/>
      <c r="F47" s="219">
        <v>-4.0199999999999996</v>
      </c>
      <c r="H47" s="220">
        <f t="shared" si="0"/>
        <v>0</v>
      </c>
      <c r="I47" s="220">
        <f t="shared" si="1"/>
        <v>0</v>
      </c>
      <c r="J47" s="219">
        <f t="shared" si="2"/>
        <v>0</v>
      </c>
      <c r="L47">
        <v>2.0333299999999999E-3</v>
      </c>
    </row>
    <row r="48" spans="1:12">
      <c r="A48" s="218" t="s">
        <v>749</v>
      </c>
      <c r="B48" s="219">
        <v>103995.5</v>
      </c>
      <c r="C48" s="219">
        <v>26052.94</v>
      </c>
      <c r="D48" s="219">
        <v>-983.36</v>
      </c>
      <c r="E48" s="219">
        <v>8776.2099999999991</v>
      </c>
      <c r="F48" s="219">
        <v>137841.29</v>
      </c>
      <c r="H48" s="220">
        <f t="shared" si="0"/>
        <v>11281.929999999998</v>
      </c>
      <c r="I48" s="220">
        <f t="shared" si="1"/>
        <v>8423.8410666666659</v>
      </c>
      <c r="J48" s="219">
        <f t="shared" si="2"/>
        <v>19705.771066666664</v>
      </c>
      <c r="L48">
        <v>2.23333E-3</v>
      </c>
    </row>
    <row r="49" spans="1:12">
      <c r="A49" s="218" t="s">
        <v>1450</v>
      </c>
      <c r="B49" s="219">
        <v>1285142.3299999998</v>
      </c>
      <c r="C49" s="219">
        <v>969345.81</v>
      </c>
      <c r="D49" s="219">
        <v>367380.73</v>
      </c>
      <c r="E49" s="219">
        <v>526140.9</v>
      </c>
      <c r="F49" s="219">
        <v>3148009.7699999991</v>
      </c>
      <c r="H49" s="220">
        <f>SUM(H5:H48)</f>
        <v>620995.5033333333</v>
      </c>
      <c r="I49" s="220">
        <f>SUM(I5:I48)</f>
        <v>463676.64248888887</v>
      </c>
      <c r="J49" s="220">
        <f>SUM(J5:J48)</f>
        <v>1084672.1458222219</v>
      </c>
    </row>
    <row r="51" spans="1:12">
      <c r="A51" s="218" t="s">
        <v>1699</v>
      </c>
      <c r="H51" s="220">
        <f>144000</f>
        <v>144000</v>
      </c>
      <c r="I51" s="220">
        <f t="shared" ref="I51" si="3">((H51/30)*28)*0.9</f>
        <v>120960</v>
      </c>
      <c r="J51" s="219">
        <f t="shared" ref="J51" si="4">SUM(H51:I51)</f>
        <v>264960</v>
      </c>
      <c r="L51">
        <v>1.4833299999999999E-3</v>
      </c>
    </row>
    <row r="53" spans="1:12">
      <c r="A53" s="218" t="s">
        <v>1700</v>
      </c>
      <c r="H53" s="221">
        <f>H49+H51</f>
        <v>764995.5033333333</v>
      </c>
      <c r="I53" s="222">
        <f t="shared" ref="I53" si="5">((H53/30)*28)*0.8</f>
        <v>571196.64248888881</v>
      </c>
      <c r="J53" s="221">
        <f>J49+J51</f>
        <v>1349632.1458222219</v>
      </c>
    </row>
    <row r="56" spans="1:12">
      <c r="H56" s="220">
        <v>764995.5033333333</v>
      </c>
      <c r="I56" s="220">
        <v>571196.64248888881</v>
      </c>
      <c r="J56" s="220">
        <v>1349632.1458222219</v>
      </c>
    </row>
    <row r="59" spans="1:12">
      <c r="A59" t="s">
        <v>1696</v>
      </c>
      <c r="B59" t="s">
        <v>1697</v>
      </c>
      <c r="J59" t="s">
        <v>1746</v>
      </c>
    </row>
    <row r="60" spans="1:12">
      <c r="A60" t="s">
        <v>1698</v>
      </c>
      <c r="B60">
        <v>201409</v>
      </c>
      <c r="C60">
        <v>201410</v>
      </c>
      <c r="D60">
        <v>201411</v>
      </c>
      <c r="E60">
        <v>201412</v>
      </c>
      <c r="F60" t="s">
        <v>1450</v>
      </c>
      <c r="H60">
        <v>201501</v>
      </c>
      <c r="I60">
        <v>201502</v>
      </c>
      <c r="J60" t="s">
        <v>1747</v>
      </c>
      <c r="L60" t="s">
        <v>1745</v>
      </c>
    </row>
    <row r="61" spans="1:12">
      <c r="A61" t="s">
        <v>1699</v>
      </c>
      <c r="B61" s="33"/>
      <c r="C61" s="33"/>
      <c r="D61" s="33"/>
      <c r="E61" s="33"/>
      <c r="F61" s="33"/>
      <c r="G61" s="33"/>
      <c r="H61" s="33">
        <v>144000</v>
      </c>
      <c r="I61" s="33">
        <v>120960</v>
      </c>
      <c r="J61" s="33">
        <v>264960</v>
      </c>
      <c r="L61">
        <v>1.4833299999999999E-3</v>
      </c>
    </row>
    <row r="62" spans="1:12">
      <c r="B62" s="33"/>
      <c r="C62" s="33"/>
      <c r="D62" s="33"/>
      <c r="E62" s="33"/>
      <c r="F62" s="33"/>
      <c r="G62" s="33"/>
      <c r="H62" s="33"/>
      <c r="I62" s="33"/>
      <c r="J62" s="33"/>
    </row>
    <row r="63" spans="1:12">
      <c r="B63" s="33"/>
      <c r="C63" s="33"/>
      <c r="D63" s="33"/>
      <c r="E63" s="33"/>
      <c r="F63" s="33"/>
      <c r="G63" s="33"/>
      <c r="H63" s="33"/>
      <c r="I63" s="33"/>
      <c r="J63" s="33"/>
    </row>
    <row r="64" spans="1:12">
      <c r="A64" t="s">
        <v>1611</v>
      </c>
      <c r="B64" s="33">
        <v>-5.08</v>
      </c>
      <c r="C64" s="33"/>
      <c r="D64" s="33"/>
      <c r="E64" s="33"/>
      <c r="F64" s="33">
        <v>-5.08</v>
      </c>
      <c r="G64" s="33"/>
      <c r="H64" s="33">
        <v>0</v>
      </c>
      <c r="I64" s="33">
        <v>0</v>
      </c>
      <c r="J64" s="33">
        <v>0</v>
      </c>
      <c r="L64">
        <v>2.0333299999999999E-3</v>
      </c>
    </row>
    <row r="65" spans="1:12">
      <c r="A65" t="s">
        <v>1597</v>
      </c>
      <c r="B65" s="33">
        <v>34137.56</v>
      </c>
      <c r="C65" s="33">
        <v>26051.41</v>
      </c>
      <c r="D65" s="33">
        <v>12942.18</v>
      </c>
      <c r="E65" s="33">
        <v>24376.35</v>
      </c>
      <c r="F65" s="33">
        <v>97507.5</v>
      </c>
      <c r="G65" s="33"/>
      <c r="H65" s="33">
        <v>21123.313333333332</v>
      </c>
      <c r="I65" s="33">
        <v>15772.073955555556</v>
      </c>
      <c r="J65" s="33">
        <v>36895.387288888887</v>
      </c>
      <c r="L65">
        <v>2.0333299999999999E-3</v>
      </c>
    </row>
    <row r="66" spans="1:12">
      <c r="A66" t="s">
        <v>1601</v>
      </c>
      <c r="B66" s="33">
        <v>34733.839999999997</v>
      </c>
      <c r="C66" s="33">
        <v>8169.02</v>
      </c>
      <c r="D66" s="33">
        <v>7279.43</v>
      </c>
      <c r="E66" s="33">
        <v>23241.21</v>
      </c>
      <c r="F66" s="33">
        <v>73423.5</v>
      </c>
      <c r="G66" s="33"/>
      <c r="H66" s="33">
        <v>12896.553333333335</v>
      </c>
      <c r="I66" s="33">
        <v>9629.4264888888902</v>
      </c>
      <c r="J66" s="33">
        <v>22525.979822222223</v>
      </c>
      <c r="L66">
        <v>2.0333299999999999E-3</v>
      </c>
    </row>
    <row r="67" spans="1:12">
      <c r="A67" t="s">
        <v>1608</v>
      </c>
      <c r="B67" s="33">
        <v>14022.68</v>
      </c>
      <c r="C67" s="33">
        <v>18008.71</v>
      </c>
      <c r="D67" s="33">
        <v>13521.65</v>
      </c>
      <c r="E67" s="33">
        <v>11008.76</v>
      </c>
      <c r="F67" s="33">
        <v>56561.8</v>
      </c>
      <c r="G67" s="33"/>
      <c r="H67" s="33">
        <v>14179.706666666667</v>
      </c>
      <c r="I67" s="33">
        <v>10587.514311111112</v>
      </c>
      <c r="J67" s="33">
        <v>24767.220977777779</v>
      </c>
      <c r="L67">
        <v>2.0333299999999999E-3</v>
      </c>
    </row>
    <row r="68" spans="1:12">
      <c r="A68" t="s">
        <v>1614</v>
      </c>
      <c r="B68" s="33">
        <v>453.16</v>
      </c>
      <c r="C68" s="33">
        <v>434.13</v>
      </c>
      <c r="D68" s="33">
        <v>425.66</v>
      </c>
      <c r="E68" s="33">
        <v>332.2</v>
      </c>
      <c r="F68" s="33">
        <v>1645.15</v>
      </c>
      <c r="G68" s="33"/>
      <c r="H68" s="33">
        <v>397.33</v>
      </c>
      <c r="I68" s="33">
        <v>296.67306666666667</v>
      </c>
      <c r="J68" s="33">
        <v>694.00306666666665</v>
      </c>
      <c r="L68">
        <v>2.0333299999999999E-3</v>
      </c>
    </row>
    <row r="69" spans="1:12">
      <c r="A69" t="s">
        <v>1617</v>
      </c>
      <c r="B69" s="33">
        <v>13225.13</v>
      </c>
      <c r="C69" s="33">
        <v>4029.73</v>
      </c>
      <c r="D69" s="33">
        <v>4.0199999999999996</v>
      </c>
      <c r="E69" s="33">
        <v>-275.81</v>
      </c>
      <c r="F69" s="33">
        <v>16983.07</v>
      </c>
      <c r="G69" s="33"/>
      <c r="H69" s="33">
        <v>1252.6466666666668</v>
      </c>
      <c r="I69" s="33">
        <v>935.30951111111119</v>
      </c>
      <c r="J69" s="33">
        <v>2187.9561777777781</v>
      </c>
      <c r="L69">
        <v>2.0333299999999999E-3</v>
      </c>
    </row>
    <row r="70" spans="1:12">
      <c r="A70" t="s">
        <v>1594</v>
      </c>
      <c r="B70" s="33">
        <v>1343.76</v>
      </c>
      <c r="C70" s="33">
        <v>2397.15</v>
      </c>
      <c r="D70" s="33">
        <v>-65.48</v>
      </c>
      <c r="E70" s="33">
        <v>-207.19</v>
      </c>
      <c r="F70" s="33">
        <v>3468.24</v>
      </c>
      <c r="G70" s="33"/>
      <c r="H70" s="33">
        <v>708.16</v>
      </c>
      <c r="I70" s="33">
        <v>528.75946666666664</v>
      </c>
      <c r="J70" s="33">
        <v>1236.9194666666667</v>
      </c>
      <c r="L70">
        <v>2.0333299999999999E-3</v>
      </c>
    </row>
    <row r="71" spans="1:12">
      <c r="A71" t="s">
        <v>1604</v>
      </c>
      <c r="B71" s="33">
        <v>-4.0199999999999996</v>
      </c>
      <c r="C71" s="33"/>
      <c r="D71" s="33"/>
      <c r="E71" s="33"/>
      <c r="F71" s="33">
        <v>-4.0199999999999996</v>
      </c>
      <c r="G71" s="33"/>
      <c r="H71" s="33">
        <v>0</v>
      </c>
      <c r="I71" s="33">
        <v>0</v>
      </c>
      <c r="J71" s="33">
        <v>0</v>
      </c>
      <c r="L71">
        <v>2.0333299999999999E-3</v>
      </c>
    </row>
    <row r="72" spans="1:12">
      <c r="B72" s="33"/>
      <c r="C72" s="33"/>
      <c r="D72" s="33"/>
      <c r="E72" s="33"/>
      <c r="F72" s="33"/>
      <c r="G72" s="33"/>
      <c r="H72" s="33">
        <f>SUM(H64:H71)</f>
        <v>50557.710000000006</v>
      </c>
      <c r="I72" s="33">
        <f t="shared" ref="I72:J72" si="6">SUM(I64:I71)</f>
        <v>37749.75680000001</v>
      </c>
      <c r="J72" s="33">
        <f t="shared" si="6"/>
        <v>88307.466800000024</v>
      </c>
    </row>
    <row r="73" spans="1:12">
      <c r="B73" s="33"/>
      <c r="C73" s="33"/>
      <c r="D73" s="33"/>
      <c r="E73" s="33"/>
      <c r="F73" s="33"/>
      <c r="G73" s="33"/>
      <c r="H73" s="33"/>
      <c r="I73" s="33"/>
      <c r="J73" s="33"/>
    </row>
    <row r="74" spans="1:12">
      <c r="A74" t="s">
        <v>70</v>
      </c>
      <c r="B74" s="33">
        <v>1237.47</v>
      </c>
      <c r="C74" s="33">
        <v>0</v>
      </c>
      <c r="D74" s="33">
        <v>-127.08</v>
      </c>
      <c r="E74" s="33">
        <v>8.01</v>
      </c>
      <c r="F74" s="33">
        <v>1118.4000000000001</v>
      </c>
      <c r="G74" s="33"/>
      <c r="H74" s="33"/>
      <c r="I74" s="33"/>
      <c r="J74" s="33"/>
      <c r="L74">
        <v>2.23333E-3</v>
      </c>
    </row>
    <row r="75" spans="1:12">
      <c r="A75" t="s">
        <v>203</v>
      </c>
      <c r="B75" s="33">
        <v>103697.26</v>
      </c>
      <c r="C75" s="33">
        <v>64057.599999999999</v>
      </c>
      <c r="D75" s="33">
        <v>8450.75</v>
      </c>
      <c r="E75" s="33">
        <v>23427.599999999999</v>
      </c>
      <c r="F75" s="33">
        <v>199633.21</v>
      </c>
      <c r="G75" s="33"/>
      <c r="H75" s="33">
        <v>31978.650000000005</v>
      </c>
      <c r="I75" s="33">
        <v>23877.392000000007</v>
      </c>
      <c r="J75" s="33">
        <v>55856.042000000016</v>
      </c>
      <c r="L75">
        <v>2.23333E-3</v>
      </c>
    </row>
    <row r="76" spans="1:12">
      <c r="A76" t="s">
        <v>96</v>
      </c>
      <c r="B76" s="33">
        <v>-596.15</v>
      </c>
      <c r="C76" s="33"/>
      <c r="D76" s="33"/>
      <c r="E76" s="33"/>
      <c r="F76" s="33">
        <v>-596.15</v>
      </c>
      <c r="G76" s="33"/>
      <c r="H76" s="33">
        <v>0</v>
      </c>
      <c r="I76" s="33">
        <v>0</v>
      </c>
      <c r="J76" s="33">
        <v>0</v>
      </c>
      <c r="L76">
        <v>2.23333E-3</v>
      </c>
    </row>
    <row r="77" spans="1:12">
      <c r="A77" t="s">
        <v>228</v>
      </c>
      <c r="B77" s="33">
        <v>16732.5</v>
      </c>
      <c r="C77" s="33">
        <v>955.76</v>
      </c>
      <c r="D77" s="33">
        <v>-783.88</v>
      </c>
      <c r="E77" s="33">
        <v>148.91</v>
      </c>
      <c r="F77" s="33">
        <v>17053.289999999997</v>
      </c>
      <c r="G77" s="33"/>
      <c r="H77" s="33">
        <v>106.92999999999999</v>
      </c>
      <c r="I77" s="33">
        <v>79.841066666666663</v>
      </c>
      <c r="J77" s="33">
        <v>186.77106666666666</v>
      </c>
      <c r="L77">
        <v>2.23333E-3</v>
      </c>
    </row>
    <row r="78" spans="1:12">
      <c r="A78" t="s">
        <v>390</v>
      </c>
      <c r="B78" s="33">
        <v>42682.33</v>
      </c>
      <c r="C78" s="33">
        <v>30625.17</v>
      </c>
      <c r="D78" s="33">
        <v>8594.43</v>
      </c>
      <c r="E78" s="33">
        <v>24453.55</v>
      </c>
      <c r="F78" s="33">
        <v>106355.48</v>
      </c>
      <c r="G78" s="33"/>
      <c r="H78" s="33">
        <v>21224.383333333331</v>
      </c>
      <c r="I78" s="33">
        <v>15847.539555555557</v>
      </c>
      <c r="J78" s="33">
        <v>37071.92288888889</v>
      </c>
      <c r="L78">
        <v>2.23333E-3</v>
      </c>
    </row>
    <row r="79" spans="1:12">
      <c r="A79" t="s">
        <v>231</v>
      </c>
      <c r="B79" s="33">
        <v>46346.59</v>
      </c>
      <c r="C79" s="33">
        <v>7523.71</v>
      </c>
      <c r="D79" s="33">
        <v>-3450.23</v>
      </c>
      <c r="E79" s="33">
        <v>4761.8599999999997</v>
      </c>
      <c r="F79" s="33">
        <v>55181.929999999993</v>
      </c>
      <c r="G79" s="33"/>
      <c r="H79" s="33">
        <v>2945.1133333333332</v>
      </c>
      <c r="I79" s="33">
        <v>2199.0179555555555</v>
      </c>
      <c r="J79" s="33">
        <v>5144.1312888888888</v>
      </c>
      <c r="L79">
        <v>2.23333E-3</v>
      </c>
    </row>
    <row r="80" spans="1:12">
      <c r="A80" t="s">
        <v>1589</v>
      </c>
      <c r="B80" s="33">
        <v>3649.84</v>
      </c>
      <c r="C80" s="33">
        <v>10750.98</v>
      </c>
      <c r="D80" s="33">
        <v>3556.67</v>
      </c>
      <c r="E80" s="33">
        <v>2193.1</v>
      </c>
      <c r="F80" s="33">
        <v>20150.589999999997</v>
      </c>
      <c r="G80" s="33"/>
      <c r="H80" s="33">
        <v>5500.25</v>
      </c>
      <c r="I80" s="33">
        <v>4106.8533333333335</v>
      </c>
      <c r="J80" s="33">
        <v>9607.1033333333326</v>
      </c>
      <c r="L80">
        <v>2.23333E-3</v>
      </c>
    </row>
    <row r="81" spans="1:12">
      <c r="A81" t="s">
        <v>377</v>
      </c>
      <c r="B81" s="33">
        <v>23482.38</v>
      </c>
      <c r="C81" s="33">
        <v>18639.88</v>
      </c>
      <c r="D81" s="33">
        <v>-119.93</v>
      </c>
      <c r="E81" s="33">
        <v>1572.18</v>
      </c>
      <c r="F81" s="33">
        <v>43574.51</v>
      </c>
      <c r="G81" s="33"/>
      <c r="H81" s="33">
        <v>6697.376666666667</v>
      </c>
      <c r="I81" s="33">
        <v>5000.7079111111125</v>
      </c>
      <c r="J81" s="33">
        <v>11698.084577777779</v>
      </c>
      <c r="L81">
        <v>2.23333E-3</v>
      </c>
    </row>
    <row r="82" spans="1:12">
      <c r="A82" t="s">
        <v>199</v>
      </c>
      <c r="B82" s="33">
        <v>4610.79</v>
      </c>
      <c r="C82" s="33"/>
      <c r="D82" s="33">
        <v>-444.19</v>
      </c>
      <c r="E82" s="33">
        <v>28.04</v>
      </c>
      <c r="F82" s="33">
        <v>4194.6400000000003</v>
      </c>
      <c r="G82" s="33"/>
      <c r="H82" s="33">
        <v>-138.71666666666667</v>
      </c>
      <c r="I82" s="33">
        <v>-103.57511111111113</v>
      </c>
      <c r="J82" s="33">
        <v>-242.29177777777778</v>
      </c>
      <c r="L82">
        <v>2.23333E-3</v>
      </c>
    </row>
    <row r="83" spans="1:12">
      <c r="A83" t="s">
        <v>92</v>
      </c>
      <c r="B83" s="33">
        <v>26370.98</v>
      </c>
      <c r="C83" s="33">
        <v>7587.08</v>
      </c>
      <c r="D83" s="33">
        <v>25805.41</v>
      </c>
      <c r="E83" s="33">
        <v>11747.82</v>
      </c>
      <c r="F83" s="33">
        <v>71511.290000000008</v>
      </c>
      <c r="G83" s="33"/>
      <c r="H83" s="33">
        <v>15046.769999999999</v>
      </c>
      <c r="I83" s="33">
        <v>11234.9216</v>
      </c>
      <c r="J83" s="33">
        <v>26281.691599999998</v>
      </c>
      <c r="L83">
        <v>2.23333E-3</v>
      </c>
    </row>
    <row r="84" spans="1:12">
      <c r="A84" t="s">
        <v>673</v>
      </c>
      <c r="B84" s="33">
        <v>642.49</v>
      </c>
      <c r="C84" s="33">
        <v>-743.2</v>
      </c>
      <c r="D84" s="33">
        <v>20.29</v>
      </c>
      <c r="E84" s="33">
        <v>64.27</v>
      </c>
      <c r="F84" s="33">
        <v>-16.150000000000048</v>
      </c>
      <c r="G84" s="33"/>
      <c r="H84" s="33">
        <v>-219.54666666666671</v>
      </c>
      <c r="I84" s="33">
        <v>-163.92817777777782</v>
      </c>
      <c r="J84" s="33">
        <v>-383.47484444444456</v>
      </c>
      <c r="L84">
        <v>2.23333E-3</v>
      </c>
    </row>
    <row r="85" spans="1:12">
      <c r="A85" t="s">
        <v>501</v>
      </c>
      <c r="B85" s="33">
        <v>26046.38</v>
      </c>
      <c r="C85" s="33">
        <v>41073.32</v>
      </c>
      <c r="D85" s="33">
        <v>14235.91</v>
      </c>
      <c r="E85" s="33">
        <v>-1460.39</v>
      </c>
      <c r="F85" s="33">
        <v>79895.22</v>
      </c>
      <c r="G85" s="33"/>
      <c r="H85" s="33">
        <v>17949.613333333331</v>
      </c>
      <c r="I85" s="33">
        <v>13402.377955555552</v>
      </c>
      <c r="J85" s="33">
        <v>31351.991288888883</v>
      </c>
      <c r="L85">
        <v>2.23333E-3</v>
      </c>
    </row>
    <row r="86" spans="1:12">
      <c r="A86" t="s">
        <v>89</v>
      </c>
      <c r="B86" s="33">
        <v>5005.29</v>
      </c>
      <c r="C86" s="33"/>
      <c r="D86" s="33"/>
      <c r="E86" s="33"/>
      <c r="F86" s="33">
        <v>5005.29</v>
      </c>
      <c r="G86" s="33"/>
      <c r="H86" s="33">
        <v>0</v>
      </c>
      <c r="I86" s="33">
        <v>0</v>
      </c>
      <c r="J86" s="33">
        <v>0</v>
      </c>
      <c r="L86">
        <v>2.23333E-3</v>
      </c>
    </row>
    <row r="87" spans="1:12">
      <c r="A87" t="s">
        <v>598</v>
      </c>
      <c r="B87" s="33">
        <v>260099.33</v>
      </c>
      <c r="C87" s="33">
        <v>100421.51</v>
      </c>
      <c r="D87" s="33">
        <v>46466.6</v>
      </c>
      <c r="E87" s="33">
        <v>24356.41</v>
      </c>
      <c r="F87" s="33">
        <v>431343.84999999992</v>
      </c>
      <c r="G87" s="33"/>
      <c r="H87" s="33">
        <v>57081.506666666661</v>
      </c>
      <c r="I87" s="33">
        <v>42620.858311111107</v>
      </c>
      <c r="J87" s="33">
        <v>99702.364977777761</v>
      </c>
      <c r="L87">
        <v>2.23333E-3</v>
      </c>
    </row>
    <row r="88" spans="1:12">
      <c r="A88" t="s">
        <v>75</v>
      </c>
      <c r="B88" s="33">
        <v>29889.97</v>
      </c>
      <c r="C88" s="33">
        <v>170646.25</v>
      </c>
      <c r="D88" s="33">
        <v>75040.75</v>
      </c>
      <c r="E88" s="33">
        <v>137868.63</v>
      </c>
      <c r="F88" s="33">
        <v>413445.6</v>
      </c>
      <c r="G88" s="33"/>
      <c r="H88" s="33">
        <v>127851.87666666666</v>
      </c>
      <c r="I88" s="33">
        <v>95462.734577777781</v>
      </c>
      <c r="J88" s="33">
        <v>223314.61124444444</v>
      </c>
      <c r="L88">
        <v>2.23333E-3</v>
      </c>
    </row>
    <row r="89" spans="1:12">
      <c r="A89" t="s">
        <v>382</v>
      </c>
      <c r="B89" s="33">
        <v>51541.52</v>
      </c>
      <c r="C89" s="33">
        <v>44071.92</v>
      </c>
      <c r="D89" s="33">
        <v>8632.84</v>
      </c>
      <c r="E89" s="33">
        <v>-3419.01</v>
      </c>
      <c r="F89" s="33">
        <v>100827.27</v>
      </c>
      <c r="G89" s="33"/>
      <c r="H89" s="33">
        <v>16428.583333333332</v>
      </c>
      <c r="I89" s="33">
        <v>12266.675555555556</v>
      </c>
      <c r="J89" s="33">
        <v>28695.258888888886</v>
      </c>
      <c r="L89">
        <v>2.23333E-3</v>
      </c>
    </row>
    <row r="90" spans="1:12">
      <c r="A90" t="s">
        <v>601</v>
      </c>
      <c r="B90" s="33">
        <v>3438.85</v>
      </c>
      <c r="C90" s="33">
        <v>5829.85</v>
      </c>
      <c r="D90" s="33">
        <v>5494.87</v>
      </c>
      <c r="E90" s="33">
        <v>5423.03</v>
      </c>
      <c r="F90" s="33">
        <v>20186.599999999999</v>
      </c>
      <c r="G90" s="33"/>
      <c r="H90" s="33">
        <v>5582.583333333333</v>
      </c>
      <c r="I90" s="33">
        <v>4168.3288888888883</v>
      </c>
      <c r="J90" s="33">
        <v>9750.9122222222213</v>
      </c>
      <c r="L90">
        <v>2.23333E-3</v>
      </c>
    </row>
    <row r="91" spans="1:12">
      <c r="A91" t="s">
        <v>746</v>
      </c>
      <c r="B91" s="33">
        <v>47053.64</v>
      </c>
      <c r="C91" s="33">
        <v>49038.54</v>
      </c>
      <c r="D91" s="33">
        <v>8037.46</v>
      </c>
      <c r="E91" s="33">
        <v>-3814.16</v>
      </c>
      <c r="F91" s="33">
        <v>100315.48</v>
      </c>
      <c r="G91" s="33"/>
      <c r="H91" s="33">
        <v>17753.946666666667</v>
      </c>
      <c r="I91" s="33">
        <v>13256.280177777779</v>
      </c>
      <c r="J91" s="33">
        <v>31010.226844444445</v>
      </c>
      <c r="L91">
        <v>2.23333E-3</v>
      </c>
    </row>
    <row r="92" spans="1:12">
      <c r="A92" t="s">
        <v>84</v>
      </c>
      <c r="B92" s="33">
        <v>152025.89000000001</v>
      </c>
      <c r="C92" s="33">
        <v>28628.69</v>
      </c>
      <c r="D92" s="33">
        <v>18288.689999999999</v>
      </c>
      <c r="E92" s="33">
        <v>21637.919999999998</v>
      </c>
      <c r="F92" s="33">
        <v>220581.19</v>
      </c>
      <c r="G92" s="33"/>
      <c r="H92" s="33">
        <v>22851.766666666663</v>
      </c>
      <c r="I92" s="33">
        <v>17062.65244444444</v>
      </c>
      <c r="J92" s="33">
        <v>39914.419111111099</v>
      </c>
      <c r="L92">
        <v>2.23333E-3</v>
      </c>
    </row>
    <row r="93" spans="1:12">
      <c r="A93" t="s">
        <v>211</v>
      </c>
      <c r="B93" s="33">
        <v>-620.16</v>
      </c>
      <c r="C93" s="33"/>
      <c r="D93" s="33"/>
      <c r="E93" s="33"/>
      <c r="F93" s="33">
        <v>-620.16</v>
      </c>
      <c r="G93" s="33"/>
      <c r="H93" s="33">
        <v>0</v>
      </c>
      <c r="I93" s="33">
        <v>0</v>
      </c>
      <c r="J93" s="33">
        <v>0</v>
      </c>
      <c r="L93">
        <v>2.23333E-3</v>
      </c>
    </row>
    <row r="94" spans="1:12">
      <c r="A94" t="s">
        <v>79</v>
      </c>
      <c r="B94" s="33">
        <v>5719.2</v>
      </c>
      <c r="C94" s="33"/>
      <c r="D94" s="33"/>
      <c r="E94" s="33"/>
      <c r="F94" s="33">
        <v>5719.2</v>
      </c>
      <c r="G94" s="33"/>
      <c r="H94" s="33">
        <v>0</v>
      </c>
      <c r="I94" s="33">
        <v>0</v>
      </c>
      <c r="J94" s="33">
        <v>0</v>
      </c>
      <c r="L94">
        <v>2.23333E-3</v>
      </c>
    </row>
    <row r="95" spans="1:12">
      <c r="A95" t="s">
        <v>492</v>
      </c>
      <c r="B95" s="33">
        <v>-2416.5500000000002</v>
      </c>
      <c r="C95" s="33"/>
      <c r="D95" s="33">
        <v>2182.83</v>
      </c>
      <c r="E95" s="33">
        <v>-341.38</v>
      </c>
      <c r="F95" s="33">
        <v>-575.10000000000025</v>
      </c>
      <c r="G95" s="33"/>
      <c r="H95" s="33">
        <v>613.81666666666661</v>
      </c>
      <c r="I95" s="33">
        <v>458.31644444444447</v>
      </c>
      <c r="J95" s="33">
        <v>1072.133111111111</v>
      </c>
      <c r="L95">
        <v>2.23333E-3</v>
      </c>
    </row>
    <row r="96" spans="1:12">
      <c r="A96" t="s">
        <v>752</v>
      </c>
      <c r="B96" s="33">
        <v>-0.62</v>
      </c>
      <c r="C96" s="33"/>
      <c r="D96" s="33"/>
      <c r="E96" s="33">
        <v>48.78</v>
      </c>
      <c r="F96" s="33">
        <v>48.160000000000004</v>
      </c>
      <c r="G96" s="33"/>
      <c r="H96" s="33">
        <v>16.260000000000002</v>
      </c>
      <c r="I96" s="33">
        <v>12.140800000000002</v>
      </c>
      <c r="J96" s="33">
        <v>28.400800000000004</v>
      </c>
      <c r="L96">
        <v>2.23333E-3</v>
      </c>
    </row>
    <row r="97" spans="1:12">
      <c r="A97" t="s">
        <v>590</v>
      </c>
      <c r="B97" s="33">
        <v>-3.04</v>
      </c>
      <c r="C97" s="33"/>
      <c r="D97" s="33"/>
      <c r="E97" s="33"/>
      <c r="F97" s="33">
        <v>-3.04</v>
      </c>
      <c r="G97" s="33"/>
      <c r="H97" s="33">
        <v>0</v>
      </c>
      <c r="I97" s="33">
        <v>0</v>
      </c>
      <c r="J97" s="33">
        <v>0</v>
      </c>
      <c r="L97">
        <v>2.23333E-3</v>
      </c>
    </row>
    <row r="98" spans="1:12">
      <c r="A98" t="s">
        <v>498</v>
      </c>
      <c r="B98" s="33">
        <v>55968.13</v>
      </c>
      <c r="C98" s="33">
        <v>86678.53</v>
      </c>
      <c r="D98" s="33">
        <v>467</v>
      </c>
      <c r="E98" s="33">
        <v>44688.62</v>
      </c>
      <c r="F98" s="33">
        <v>187802.28</v>
      </c>
      <c r="G98" s="33"/>
      <c r="H98" s="33">
        <v>43944.716666666667</v>
      </c>
      <c r="I98" s="33">
        <v>32812.055111111113</v>
      </c>
      <c r="J98" s="33">
        <v>76756.771777777787</v>
      </c>
      <c r="L98">
        <v>2.23333E-3</v>
      </c>
    </row>
    <row r="99" spans="1:12">
      <c r="A99" t="s">
        <v>386</v>
      </c>
      <c r="B99" s="33">
        <v>103600.86</v>
      </c>
      <c r="C99" s="33">
        <v>183813.51</v>
      </c>
      <c r="D99" s="33">
        <v>112142.79</v>
      </c>
      <c r="E99" s="33">
        <v>155294.04</v>
      </c>
      <c r="F99" s="33">
        <v>554851.19999999995</v>
      </c>
      <c r="G99" s="33"/>
      <c r="H99" s="33">
        <v>150416.78</v>
      </c>
      <c r="I99" s="33">
        <v>112311.19573333334</v>
      </c>
      <c r="J99" s="33">
        <v>262727.97573333333</v>
      </c>
      <c r="L99">
        <v>2.23333E-3</v>
      </c>
    </row>
    <row r="100" spans="1:12">
      <c r="A100" t="s">
        <v>594</v>
      </c>
      <c r="B100" s="33">
        <v>-383.88</v>
      </c>
      <c r="C100" s="33"/>
      <c r="D100" s="33"/>
      <c r="E100" s="33"/>
      <c r="F100" s="33">
        <v>-383.88</v>
      </c>
      <c r="G100" s="33"/>
      <c r="H100" s="33">
        <v>0</v>
      </c>
      <c r="I100" s="33">
        <v>0</v>
      </c>
      <c r="J100" s="33">
        <v>0</v>
      </c>
      <c r="L100">
        <v>2.23333E-3</v>
      </c>
    </row>
    <row r="101" spans="1:12">
      <c r="A101" t="s">
        <v>225</v>
      </c>
      <c r="B101" s="33">
        <v>6250.26</v>
      </c>
      <c r="C101" s="33"/>
      <c r="D101" s="33">
        <v>-864.28</v>
      </c>
      <c r="E101" s="33">
        <v>18.05</v>
      </c>
      <c r="F101" s="33">
        <v>5404.0300000000007</v>
      </c>
      <c r="G101" s="33"/>
      <c r="H101" s="33">
        <v>-282.07666666666665</v>
      </c>
      <c r="I101" s="33">
        <v>-210.61724444444445</v>
      </c>
      <c r="J101" s="33">
        <v>-492.69391111111111</v>
      </c>
      <c r="L101">
        <v>2.23333E-3</v>
      </c>
    </row>
    <row r="102" spans="1:12">
      <c r="A102" t="s">
        <v>740</v>
      </c>
      <c r="B102" s="33">
        <v>29.7</v>
      </c>
      <c r="C102" s="33"/>
      <c r="D102" s="33"/>
      <c r="E102" s="33"/>
      <c r="F102" s="33">
        <v>29.7</v>
      </c>
      <c r="G102" s="33"/>
      <c r="H102" s="33">
        <v>0</v>
      </c>
      <c r="I102" s="33">
        <v>0</v>
      </c>
      <c r="J102" s="33">
        <v>0</v>
      </c>
      <c r="L102">
        <v>2.23333E-3</v>
      </c>
    </row>
    <row r="103" spans="1:12">
      <c r="A103" t="s">
        <v>207</v>
      </c>
      <c r="B103" s="33">
        <v>-46.62</v>
      </c>
      <c r="C103" s="33"/>
      <c r="D103" s="33"/>
      <c r="E103" s="33"/>
      <c r="F103" s="33">
        <v>-46.62</v>
      </c>
      <c r="G103" s="33"/>
      <c r="H103" s="33">
        <v>0</v>
      </c>
      <c r="I103" s="33">
        <v>0</v>
      </c>
      <c r="J103" s="33">
        <v>0</v>
      </c>
      <c r="L103">
        <v>2.23333E-3</v>
      </c>
    </row>
    <row r="104" spans="1:12">
      <c r="A104" t="s">
        <v>1029</v>
      </c>
      <c r="B104" s="33"/>
      <c r="C104" s="33"/>
      <c r="D104" s="33"/>
      <c r="E104" s="33">
        <v>463.42</v>
      </c>
      <c r="F104" s="33">
        <v>463.42</v>
      </c>
      <c r="G104" s="33"/>
      <c r="H104" s="33">
        <v>154.47333333333333</v>
      </c>
      <c r="I104" s="33">
        <v>115.34008888888889</v>
      </c>
      <c r="J104" s="33">
        <v>269.81342222222224</v>
      </c>
      <c r="L104">
        <v>2.23333E-3</v>
      </c>
    </row>
    <row r="105" spans="1:12">
      <c r="A105" t="s">
        <v>755</v>
      </c>
      <c r="B105" s="33">
        <v>7053.44</v>
      </c>
      <c r="C105" s="33">
        <v>6651.75</v>
      </c>
      <c r="D105" s="33">
        <v>8010.12</v>
      </c>
      <c r="E105" s="33">
        <v>2824.7</v>
      </c>
      <c r="F105" s="33">
        <v>24540.01</v>
      </c>
      <c r="G105" s="33"/>
      <c r="H105" s="33">
        <v>5828.8566666666666</v>
      </c>
      <c r="I105" s="33">
        <v>4352.2129777777773</v>
      </c>
      <c r="J105" s="33">
        <v>10181.069644444444</v>
      </c>
      <c r="L105">
        <v>2.23333E-3</v>
      </c>
    </row>
    <row r="106" spans="1:12">
      <c r="A106" t="s">
        <v>373</v>
      </c>
      <c r="B106" s="33">
        <v>47214.32</v>
      </c>
      <c r="C106" s="33">
        <v>13638.55</v>
      </c>
      <c r="D106" s="33">
        <v>-288.35000000000002</v>
      </c>
      <c r="E106" s="33">
        <v>2148.71</v>
      </c>
      <c r="F106" s="33">
        <v>62713.229999999996</v>
      </c>
      <c r="G106" s="33"/>
      <c r="H106" s="33">
        <v>5166.3033333333333</v>
      </c>
      <c r="I106" s="33">
        <v>3857.5064888888892</v>
      </c>
      <c r="J106" s="33">
        <v>9023.8098222222216</v>
      </c>
      <c r="L106">
        <v>2.23333E-3</v>
      </c>
    </row>
    <row r="107" spans="1:12">
      <c r="A107" t="s">
        <v>195</v>
      </c>
      <c r="B107" s="33"/>
      <c r="C107" s="33">
        <v>100.15</v>
      </c>
      <c r="D107" s="33">
        <v>-2.78</v>
      </c>
      <c r="E107" s="33">
        <v>-8.64</v>
      </c>
      <c r="F107" s="33">
        <v>88.73</v>
      </c>
      <c r="G107" s="33"/>
      <c r="H107" s="33">
        <v>29.576666666666668</v>
      </c>
      <c r="I107" s="33">
        <v>22.083911111111114</v>
      </c>
      <c r="J107" s="33">
        <v>51.660577777777782</v>
      </c>
      <c r="L107">
        <v>2.23333E-3</v>
      </c>
    </row>
    <row r="108" spans="1:12">
      <c r="A108" t="s">
        <v>676</v>
      </c>
      <c r="B108" s="33">
        <v>16917.41</v>
      </c>
      <c r="C108" s="33">
        <v>14213.17</v>
      </c>
      <c r="D108" s="33">
        <v>-5090.0600000000004</v>
      </c>
      <c r="E108" s="33">
        <v>4755.1000000000004</v>
      </c>
      <c r="F108" s="33">
        <v>30795.620000000003</v>
      </c>
      <c r="G108" s="33"/>
      <c r="H108" s="33">
        <v>4626.0700000000006</v>
      </c>
      <c r="I108" s="33">
        <v>3454.132266666667</v>
      </c>
      <c r="J108" s="33">
        <v>8080.2022666666671</v>
      </c>
      <c r="L108">
        <v>2.23333E-3</v>
      </c>
    </row>
    <row r="109" spans="1:12">
      <c r="A109" t="s">
        <v>749</v>
      </c>
      <c r="B109" s="33">
        <v>103995.5</v>
      </c>
      <c r="C109" s="33">
        <v>26052.94</v>
      </c>
      <c r="D109" s="33">
        <v>-983.36</v>
      </c>
      <c r="E109" s="33">
        <v>8776.2099999999991</v>
      </c>
      <c r="F109" s="33">
        <v>137841.29</v>
      </c>
      <c r="G109" s="33"/>
      <c r="H109" s="33">
        <v>11281.929999999998</v>
      </c>
      <c r="I109" s="33">
        <v>8423.8410666666659</v>
      </c>
      <c r="J109" s="33">
        <v>19705.771066666664</v>
      </c>
      <c r="L109">
        <v>2.23333E-3</v>
      </c>
    </row>
    <row r="110" spans="1:12">
      <c r="B110" s="33"/>
      <c r="C110" s="33"/>
      <c r="D110" s="33"/>
      <c r="E110" s="33"/>
      <c r="F110" s="33"/>
      <c r="G110" s="33"/>
      <c r="H110" s="33">
        <f>SUM(H74:H109)</f>
        <v>570437.79333333333</v>
      </c>
      <c r="I110" s="33">
        <f t="shared" ref="I110:J110" si="7">SUM(I74:I109)</f>
        <v>425926.8856888889</v>
      </c>
      <c r="J110" s="33">
        <f t="shared" si="7"/>
        <v>996364.67902222206</v>
      </c>
    </row>
    <row r="111" spans="1:12">
      <c r="B111" s="33"/>
      <c r="C111" s="33"/>
      <c r="D111" s="33"/>
      <c r="E111" s="33"/>
      <c r="F111" s="33"/>
      <c r="G111" s="33"/>
      <c r="H111" s="33"/>
      <c r="I111" s="33"/>
      <c r="J111" s="33"/>
    </row>
    <row r="112" spans="1:12" ht="15.75" thickBot="1">
      <c r="B112" s="33"/>
      <c r="C112" s="33"/>
      <c r="D112" s="33"/>
      <c r="E112" s="33"/>
      <c r="F112" s="33"/>
      <c r="G112" s="33"/>
      <c r="H112" s="234">
        <f>+H61+H72+H110</f>
        <v>764995.50333333341</v>
      </c>
      <c r="I112" s="234">
        <f t="shared" ref="I112:J112" si="8">+I61+I72+I110</f>
        <v>584636.64248888893</v>
      </c>
      <c r="J112" s="234">
        <f t="shared" si="8"/>
        <v>1349632.1458222221</v>
      </c>
    </row>
    <row r="113" spans="1:10" ht="15.75" thickTop="1">
      <c r="A113" t="s">
        <v>1700</v>
      </c>
      <c r="B113" s="33"/>
      <c r="C113" s="33"/>
      <c r="D113" s="33"/>
      <c r="E113" s="33"/>
      <c r="F113" s="33"/>
      <c r="G113" s="33"/>
      <c r="H113" s="33">
        <v>764995.5033333333</v>
      </c>
      <c r="I113" s="33">
        <v>571196.64248888881</v>
      </c>
      <c r="J113" s="33">
        <v>1349632.1458222219</v>
      </c>
    </row>
  </sheetData>
  <sortState ref="A61:L105">
    <sortCondition ref="L61:L105"/>
    <sortCondition ref="A61:A105"/>
  </sortState>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127"/>
  <sheetViews>
    <sheetView workbookViewId="0">
      <selection activeCell="J56" sqref="J56"/>
    </sheetView>
  </sheetViews>
  <sheetFormatPr defaultRowHeight="12.75"/>
  <cols>
    <col min="1" max="1" width="12.7109375" style="226" bestFit="1" customWidth="1"/>
    <col min="2" max="2" width="16.42578125" style="226" bestFit="1" customWidth="1"/>
    <col min="3" max="3" width="32.140625" style="226" bestFit="1" customWidth="1"/>
    <col min="4" max="4" width="35.5703125" style="226" hidden="1" customWidth="1"/>
    <col min="5" max="5" width="10.140625" style="226" hidden="1" customWidth="1"/>
    <col min="6" max="6" width="16.7109375" style="226" hidden="1" customWidth="1"/>
    <col min="7" max="7" width="15.85546875" style="226" hidden="1" customWidth="1"/>
    <col min="8" max="8" width="9" style="226" hidden="1" customWidth="1"/>
    <col min="9" max="9" width="12.85546875" style="226" bestFit="1" customWidth="1"/>
    <col min="10" max="10" width="9.5703125" style="226" hidden="1" customWidth="1"/>
    <col min="11" max="11" width="9.85546875" style="226" hidden="1" customWidth="1"/>
    <col min="12" max="12" width="10.7109375" style="226" hidden="1" customWidth="1"/>
    <col min="13" max="13" width="9.5703125" style="226" hidden="1" customWidth="1"/>
    <col min="14" max="14" width="21.7109375" style="226" bestFit="1" customWidth="1"/>
    <col min="15" max="15" width="19.28515625" style="226" hidden="1" customWidth="1"/>
    <col min="16" max="16" width="19.5703125" style="226" customWidth="1"/>
    <col min="17" max="16384" width="9.140625" style="226"/>
  </cols>
  <sheetData>
    <row r="1" spans="1:16" ht="15">
      <c r="A1" s="223" t="s">
        <v>1701</v>
      </c>
      <c r="B1" s="223" t="s">
        <v>1702</v>
      </c>
      <c r="C1" s="223" t="s">
        <v>8</v>
      </c>
      <c r="D1" s="223" t="s">
        <v>6</v>
      </c>
      <c r="E1" s="223" t="s">
        <v>1703</v>
      </c>
      <c r="F1" s="223" t="s">
        <v>1704</v>
      </c>
      <c r="G1" s="223" t="s">
        <v>1705</v>
      </c>
      <c r="H1" s="223" t="s">
        <v>1706</v>
      </c>
      <c r="I1" s="223" t="s">
        <v>1707</v>
      </c>
      <c r="J1" s="224" t="s">
        <v>1708</v>
      </c>
      <c r="K1" s="223" t="s">
        <v>1709</v>
      </c>
      <c r="L1" s="223" t="s">
        <v>1710</v>
      </c>
      <c r="M1" s="223" t="s">
        <v>1711</v>
      </c>
      <c r="N1" s="223" t="s">
        <v>1712</v>
      </c>
      <c r="O1" s="225" t="s">
        <v>1713</v>
      </c>
      <c r="P1" s="226" t="s">
        <v>1745</v>
      </c>
    </row>
    <row r="2" spans="1:16" ht="15">
      <c r="A2" s="223" t="s">
        <v>1727</v>
      </c>
      <c r="B2" s="223" t="s">
        <v>53</v>
      </c>
      <c r="C2" s="223" t="s">
        <v>41</v>
      </c>
      <c r="D2" s="223" t="s">
        <v>1728</v>
      </c>
      <c r="E2" s="223" t="s">
        <v>1716</v>
      </c>
      <c r="F2" s="223" t="s">
        <v>1717</v>
      </c>
      <c r="G2" s="223"/>
      <c r="H2" s="228">
        <v>100</v>
      </c>
      <c r="I2" s="228">
        <v>120162.78</v>
      </c>
      <c r="J2" s="229">
        <v>1201.6278</v>
      </c>
      <c r="K2" s="225" t="s">
        <v>1718</v>
      </c>
      <c r="L2" s="223" t="s">
        <v>1718</v>
      </c>
      <c r="M2" s="223"/>
      <c r="N2" s="223" t="s">
        <v>1719</v>
      </c>
      <c r="O2" s="230" t="s">
        <v>1718</v>
      </c>
      <c r="P2" s="226">
        <v>1.4833299999999999E-3</v>
      </c>
    </row>
    <row r="3" spans="1:16" ht="15">
      <c r="A3" s="223" t="s">
        <v>1735</v>
      </c>
      <c r="B3" s="223" t="s">
        <v>104</v>
      </c>
      <c r="C3" s="223" t="s">
        <v>41</v>
      </c>
      <c r="D3" s="223" t="s">
        <v>1736</v>
      </c>
      <c r="E3" s="223" t="s">
        <v>1716</v>
      </c>
      <c r="F3" s="223" t="s">
        <v>1717</v>
      </c>
      <c r="G3" s="227">
        <v>41810.654467592598</v>
      </c>
      <c r="H3" s="228">
        <v>3756.71</v>
      </c>
      <c r="I3" s="228">
        <v>5277.87</v>
      </c>
      <c r="J3" s="229">
        <v>1.4049181331537435</v>
      </c>
      <c r="K3" s="225" t="s">
        <v>1718</v>
      </c>
      <c r="L3" s="223"/>
      <c r="M3" s="223" t="s">
        <v>1718</v>
      </c>
      <c r="N3" s="223" t="s">
        <v>1719</v>
      </c>
      <c r="O3" s="230" t="s">
        <v>1718</v>
      </c>
      <c r="P3" s="226">
        <v>1.4833299999999999E-3</v>
      </c>
    </row>
    <row r="4" spans="1:16" ht="15">
      <c r="A4" s="223" t="s">
        <v>1735</v>
      </c>
      <c r="B4" s="223" t="s">
        <v>104</v>
      </c>
      <c r="C4" s="223" t="s">
        <v>41</v>
      </c>
      <c r="D4" s="223" t="s">
        <v>1736</v>
      </c>
      <c r="E4" s="223" t="s">
        <v>1716</v>
      </c>
      <c r="F4" s="223" t="s">
        <v>1482</v>
      </c>
      <c r="G4" s="227">
        <v>41810.654467592598</v>
      </c>
      <c r="H4" s="228">
        <v>417.41</v>
      </c>
      <c r="I4" s="228">
        <v>604.36</v>
      </c>
      <c r="J4" s="229">
        <v>1.4478809803310893</v>
      </c>
      <c r="K4" s="225" t="s">
        <v>1718</v>
      </c>
      <c r="L4" s="223"/>
      <c r="M4" s="223" t="s">
        <v>1718</v>
      </c>
      <c r="N4" s="223" t="s">
        <v>1719</v>
      </c>
      <c r="O4" s="230" t="s">
        <v>1718</v>
      </c>
      <c r="P4" s="226">
        <v>1.4833299999999999E-3</v>
      </c>
    </row>
    <row r="5" spans="1:16" ht="15">
      <c r="A5" s="223" t="s">
        <v>1743</v>
      </c>
      <c r="B5" s="223" t="s">
        <v>53</v>
      </c>
      <c r="C5" s="223" t="s">
        <v>41</v>
      </c>
      <c r="D5" s="223" t="s">
        <v>1744</v>
      </c>
      <c r="E5" s="223" t="s">
        <v>1716</v>
      </c>
      <c r="F5" s="223" t="s">
        <v>1717</v>
      </c>
      <c r="G5" s="227">
        <v>41936.363043981502</v>
      </c>
      <c r="H5" s="228">
        <v>8381.42</v>
      </c>
      <c r="I5" s="228">
        <v>6280.7</v>
      </c>
      <c r="J5" s="229">
        <v>0.74935989366956912</v>
      </c>
      <c r="K5" s="225" t="s">
        <v>1718</v>
      </c>
      <c r="L5" s="223"/>
      <c r="M5" s="223" t="s">
        <v>1718</v>
      </c>
      <c r="N5" s="223" t="s">
        <v>1719</v>
      </c>
      <c r="O5" s="230" t="s">
        <v>1718</v>
      </c>
      <c r="P5" s="226">
        <v>1.4833299999999999E-3</v>
      </c>
    </row>
    <row r="6" spans="1:16" ht="15">
      <c r="A6" s="223" t="s">
        <v>1743</v>
      </c>
      <c r="B6" s="223" t="s">
        <v>53</v>
      </c>
      <c r="C6" s="223" t="s">
        <v>41</v>
      </c>
      <c r="D6" s="223" t="s">
        <v>1744</v>
      </c>
      <c r="E6" s="223" t="s">
        <v>1716</v>
      </c>
      <c r="F6" s="223" t="s">
        <v>1482</v>
      </c>
      <c r="G6" s="227">
        <v>41936.363043981502</v>
      </c>
      <c r="H6" s="228">
        <v>1479.06</v>
      </c>
      <c r="I6" s="228">
        <v>1222.1600000000001</v>
      </c>
      <c r="J6" s="229">
        <v>0.82630860140900309</v>
      </c>
      <c r="K6" s="225" t="s">
        <v>1718</v>
      </c>
      <c r="L6" s="223"/>
      <c r="M6" s="223" t="s">
        <v>1718</v>
      </c>
      <c r="N6" s="223" t="s">
        <v>1719</v>
      </c>
      <c r="O6" s="230" t="s">
        <v>1718</v>
      </c>
      <c r="P6" s="226">
        <v>1.4833299999999999E-3</v>
      </c>
    </row>
    <row r="7" spans="1:16" ht="15">
      <c r="A7" s="14"/>
      <c r="B7" s="14"/>
      <c r="C7" s="14"/>
      <c r="D7" s="14"/>
      <c r="E7" s="14"/>
      <c r="F7" s="14"/>
      <c r="G7" s="235"/>
      <c r="H7" s="236"/>
      <c r="I7" s="239">
        <f>SUM(I2:I6)</f>
        <v>133547.87</v>
      </c>
      <c r="J7" s="237"/>
      <c r="K7" s="18"/>
      <c r="L7" s="14"/>
      <c r="M7" s="14"/>
      <c r="N7" s="14"/>
      <c r="O7" s="238"/>
    </row>
    <row r="8" spans="1:16" ht="15">
      <c r="A8" s="14"/>
      <c r="B8" s="14"/>
      <c r="C8" s="14"/>
      <c r="D8" s="14"/>
      <c r="E8" s="14"/>
      <c r="F8" s="14"/>
      <c r="G8" s="235"/>
      <c r="H8" s="236"/>
      <c r="I8" s="236"/>
      <c r="J8" s="237"/>
      <c r="K8" s="18"/>
      <c r="L8" s="14"/>
      <c r="M8" s="14"/>
      <c r="N8" s="14"/>
      <c r="O8" s="238"/>
    </row>
    <row r="9" spans="1:16" ht="15">
      <c r="A9" s="223" t="s">
        <v>1714</v>
      </c>
      <c r="B9" s="223" t="s">
        <v>574</v>
      </c>
      <c r="C9" s="223" t="s">
        <v>28</v>
      </c>
      <c r="D9" s="223" t="s">
        <v>1715</v>
      </c>
      <c r="E9" s="223" t="s">
        <v>1716</v>
      </c>
      <c r="F9" s="223" t="s">
        <v>1717</v>
      </c>
      <c r="G9" s="227">
        <v>41752.689224537004</v>
      </c>
      <c r="H9" s="228">
        <v>129045.9</v>
      </c>
      <c r="I9" s="228">
        <v>126772.4</v>
      </c>
      <c r="J9" s="229">
        <v>0.98238223763792576</v>
      </c>
      <c r="K9" s="225" t="s">
        <v>1718</v>
      </c>
      <c r="L9" s="223"/>
      <c r="M9" s="223"/>
      <c r="N9" s="223" t="s">
        <v>1719</v>
      </c>
      <c r="O9" s="230" t="s">
        <v>1718</v>
      </c>
      <c r="P9" s="226">
        <v>1.4833299999999999E-3</v>
      </c>
    </row>
    <row r="10" spans="1:16" ht="15">
      <c r="A10" s="223" t="s">
        <v>1714</v>
      </c>
      <c r="B10" s="223" t="s">
        <v>574</v>
      </c>
      <c r="C10" s="223" t="s">
        <v>28</v>
      </c>
      <c r="D10" s="223" t="s">
        <v>1715</v>
      </c>
      <c r="E10" s="223" t="s">
        <v>1716</v>
      </c>
      <c r="F10" s="223" t="s">
        <v>1482</v>
      </c>
      <c r="G10" s="227">
        <v>41752.689224537004</v>
      </c>
      <c r="H10" s="228">
        <v>17597.169999999998</v>
      </c>
      <c r="I10" s="228">
        <v>16896.71</v>
      </c>
      <c r="J10" s="229">
        <v>0.96019473585809545</v>
      </c>
      <c r="K10" s="225" t="s">
        <v>1718</v>
      </c>
      <c r="L10" s="223"/>
      <c r="M10" s="223"/>
      <c r="N10" s="223" t="s">
        <v>1719</v>
      </c>
      <c r="O10" s="230" t="s">
        <v>1718</v>
      </c>
      <c r="P10" s="226">
        <v>1.4833299999999999E-3</v>
      </c>
    </row>
    <row r="11" spans="1:16" ht="15">
      <c r="A11" s="14"/>
      <c r="B11" s="14"/>
      <c r="C11" s="14"/>
      <c r="D11" s="14"/>
      <c r="E11" s="14"/>
      <c r="F11" s="14"/>
      <c r="G11" s="235"/>
      <c r="H11" s="236"/>
      <c r="I11" s="239">
        <f>SUM(I9:I10)</f>
        <v>143669.10999999999</v>
      </c>
      <c r="J11" s="237"/>
      <c r="K11" s="18"/>
      <c r="L11" s="14"/>
      <c r="M11" s="14"/>
      <c r="N11" s="14"/>
      <c r="O11" s="238"/>
    </row>
    <row r="12" spans="1:16" ht="15">
      <c r="A12" s="14"/>
      <c r="B12" s="14"/>
      <c r="C12" s="14"/>
      <c r="D12" s="14"/>
      <c r="E12" s="14"/>
      <c r="F12" s="14"/>
      <c r="G12" s="235"/>
      <c r="H12" s="236"/>
      <c r="I12" s="236"/>
      <c r="J12" s="237"/>
      <c r="K12" s="18"/>
      <c r="L12" s="14"/>
      <c r="M12" s="14"/>
      <c r="N12" s="14"/>
      <c r="O12" s="238"/>
    </row>
    <row r="13" spans="1:16" ht="15">
      <c r="A13" s="223" t="s">
        <v>1720</v>
      </c>
      <c r="B13" s="223" t="s">
        <v>32</v>
      </c>
      <c r="C13" s="223" t="s">
        <v>22</v>
      </c>
      <c r="D13" s="223" t="s">
        <v>1721</v>
      </c>
      <c r="E13" s="223" t="s">
        <v>1716</v>
      </c>
      <c r="F13" s="223" t="s">
        <v>1717</v>
      </c>
      <c r="G13" s="227">
        <v>41752.689178240696</v>
      </c>
      <c r="H13" s="228">
        <v>75590.8</v>
      </c>
      <c r="I13" s="228">
        <v>62502.55</v>
      </c>
      <c r="J13" s="229">
        <v>0.82685392931414936</v>
      </c>
      <c r="K13" s="225" t="s">
        <v>1718</v>
      </c>
      <c r="L13" s="223" t="s">
        <v>1718</v>
      </c>
      <c r="M13" s="223"/>
      <c r="N13" s="223" t="s">
        <v>1722</v>
      </c>
      <c r="O13" s="230" t="s">
        <v>1718</v>
      </c>
      <c r="P13" s="226">
        <v>1.4833299999999999E-3</v>
      </c>
    </row>
    <row r="14" spans="1:16" ht="15">
      <c r="A14" s="223" t="s">
        <v>1720</v>
      </c>
      <c r="B14" s="223" t="s">
        <v>32</v>
      </c>
      <c r="C14" s="223" t="s">
        <v>22</v>
      </c>
      <c r="D14" s="223" t="s">
        <v>1721</v>
      </c>
      <c r="E14" s="223" t="s">
        <v>1716</v>
      </c>
      <c r="F14" s="223" t="s">
        <v>1482</v>
      </c>
      <c r="G14" s="227">
        <v>41752.689178240696</v>
      </c>
      <c r="H14" s="228">
        <v>8398.98</v>
      </c>
      <c r="I14" s="228">
        <v>7736.26</v>
      </c>
      <c r="J14" s="229">
        <v>0.92109518060526407</v>
      </c>
      <c r="K14" s="225" t="s">
        <v>1718</v>
      </c>
      <c r="L14" s="223" t="s">
        <v>1718</v>
      </c>
      <c r="M14" s="223"/>
      <c r="N14" s="223" t="s">
        <v>1722</v>
      </c>
      <c r="O14" s="230" t="s">
        <v>1718</v>
      </c>
      <c r="P14" s="226">
        <v>1.4833299999999999E-3</v>
      </c>
    </row>
    <row r="15" spans="1:16" ht="15">
      <c r="A15" s="223" t="s">
        <v>1723</v>
      </c>
      <c r="B15" s="223" t="s">
        <v>62</v>
      </c>
      <c r="C15" s="223" t="s">
        <v>22</v>
      </c>
      <c r="D15" s="223" t="s">
        <v>1724</v>
      </c>
      <c r="E15" s="223" t="s">
        <v>1716</v>
      </c>
      <c r="F15" s="223" t="s">
        <v>1717</v>
      </c>
      <c r="G15" s="227">
        <v>41792.317384259302</v>
      </c>
      <c r="H15" s="228">
        <v>961465.19</v>
      </c>
      <c r="I15" s="228">
        <v>648273.54</v>
      </c>
      <c r="J15" s="229">
        <v>0.67425586151486161</v>
      </c>
      <c r="K15" s="225" t="s">
        <v>1718</v>
      </c>
      <c r="L15" s="223" t="s">
        <v>1718</v>
      </c>
      <c r="M15" s="223"/>
      <c r="N15" s="223" t="s">
        <v>1722</v>
      </c>
      <c r="O15" s="230" t="s">
        <v>1718</v>
      </c>
      <c r="P15" s="226">
        <v>1.4833299999999999E-3</v>
      </c>
    </row>
    <row r="16" spans="1:16" ht="15">
      <c r="A16" s="223" t="s">
        <v>1723</v>
      </c>
      <c r="B16" s="223" t="s">
        <v>62</v>
      </c>
      <c r="C16" s="223" t="s">
        <v>22</v>
      </c>
      <c r="D16" s="223" t="s">
        <v>1724</v>
      </c>
      <c r="E16" s="223" t="s">
        <v>1716</v>
      </c>
      <c r="F16" s="223" t="s">
        <v>1482</v>
      </c>
      <c r="G16" s="227">
        <v>41792.317384259302</v>
      </c>
      <c r="H16" s="228">
        <v>131108.89000000001</v>
      </c>
      <c r="I16" s="228">
        <v>86681.87</v>
      </c>
      <c r="J16" s="229">
        <v>0.66114410700906689</v>
      </c>
      <c r="K16" s="225" t="s">
        <v>1718</v>
      </c>
      <c r="L16" s="223" t="s">
        <v>1718</v>
      </c>
      <c r="M16" s="223"/>
      <c r="N16" s="223" t="s">
        <v>1722</v>
      </c>
      <c r="O16" s="230" t="s">
        <v>1718</v>
      </c>
      <c r="P16" s="226">
        <v>1.4833299999999999E-3</v>
      </c>
    </row>
    <row r="17" spans="1:16" ht="15">
      <c r="A17" s="223" t="s">
        <v>1725</v>
      </c>
      <c r="B17" s="223" t="s">
        <v>58</v>
      </c>
      <c r="C17" s="223" t="s">
        <v>22</v>
      </c>
      <c r="D17" s="223" t="s">
        <v>1726</v>
      </c>
      <c r="E17" s="223" t="s">
        <v>1716</v>
      </c>
      <c r="F17" s="223" t="s">
        <v>1717</v>
      </c>
      <c r="G17" s="227">
        <v>41800.706006944398</v>
      </c>
      <c r="H17" s="228">
        <v>452306</v>
      </c>
      <c r="I17" s="228">
        <v>302668.51</v>
      </c>
      <c r="J17" s="229">
        <v>0.6691675768174643</v>
      </c>
      <c r="K17" s="225" t="s">
        <v>1718</v>
      </c>
      <c r="L17" s="223" t="s">
        <v>1718</v>
      </c>
      <c r="M17" s="223"/>
      <c r="N17" s="223" t="s">
        <v>1722</v>
      </c>
      <c r="O17" s="230" t="s">
        <v>1718</v>
      </c>
      <c r="P17" s="226">
        <v>1.4833299999999999E-3</v>
      </c>
    </row>
    <row r="18" spans="1:16" ht="15">
      <c r="A18" s="14"/>
      <c r="B18" s="14"/>
      <c r="C18" s="14"/>
      <c r="D18" s="14"/>
      <c r="E18" s="14"/>
      <c r="F18" s="14"/>
      <c r="G18" s="235"/>
      <c r="H18" s="236"/>
      <c r="I18" s="239">
        <f>SUM(I13:I17)</f>
        <v>1107862.73</v>
      </c>
      <c r="J18" s="237"/>
      <c r="K18" s="18"/>
      <c r="L18" s="14"/>
      <c r="M18" s="14"/>
      <c r="N18" s="14"/>
      <c r="O18" s="238"/>
    </row>
    <row r="19" spans="1:16" ht="15">
      <c r="A19" s="14"/>
      <c r="B19" s="14"/>
      <c r="C19" s="14"/>
      <c r="D19" s="14"/>
      <c r="E19" s="14"/>
      <c r="F19" s="14"/>
      <c r="G19" s="235"/>
      <c r="H19" s="236"/>
      <c r="I19" s="236"/>
      <c r="J19" s="237"/>
      <c r="K19" s="18"/>
      <c r="L19" s="14"/>
      <c r="M19" s="14"/>
      <c r="N19" s="14"/>
      <c r="O19" s="238"/>
    </row>
    <row r="20" spans="1:16" ht="15">
      <c r="A20" s="223" t="s">
        <v>1729</v>
      </c>
      <c r="B20" s="223" t="s">
        <v>62</v>
      </c>
      <c r="C20" s="223" t="s">
        <v>22</v>
      </c>
      <c r="D20" s="223" t="s">
        <v>1730</v>
      </c>
      <c r="E20" s="223" t="s">
        <v>1716</v>
      </c>
      <c r="F20" s="223" t="s">
        <v>1717</v>
      </c>
      <c r="G20" s="227">
        <v>41736.5945601852</v>
      </c>
      <c r="H20" s="228">
        <v>225430.32</v>
      </c>
      <c r="I20" s="228">
        <v>171437.23</v>
      </c>
      <c r="J20" s="229">
        <v>0.76048878429485445</v>
      </c>
      <c r="K20" s="225" t="s">
        <v>1718</v>
      </c>
      <c r="L20" s="223"/>
      <c r="M20" s="223" t="s">
        <v>1718</v>
      </c>
      <c r="N20" s="223" t="s">
        <v>1719</v>
      </c>
      <c r="O20" s="225" t="s">
        <v>1718</v>
      </c>
      <c r="P20" s="226">
        <v>1.4833299999999999E-3</v>
      </c>
    </row>
    <row r="21" spans="1:16" ht="15">
      <c r="A21" s="223" t="s">
        <v>1729</v>
      </c>
      <c r="B21" s="223" t="s">
        <v>62</v>
      </c>
      <c r="C21" s="223" t="s">
        <v>22</v>
      </c>
      <c r="D21" s="223" t="s">
        <v>1730</v>
      </c>
      <c r="E21" s="223" t="s">
        <v>1716</v>
      </c>
      <c r="F21" s="223" t="s">
        <v>1482</v>
      </c>
      <c r="G21" s="227">
        <v>41736.5945601852</v>
      </c>
      <c r="H21" s="228">
        <v>30740.5</v>
      </c>
      <c r="I21" s="228">
        <v>24619.05</v>
      </c>
      <c r="J21" s="229">
        <v>0.80086693450008939</v>
      </c>
      <c r="K21" s="225" t="s">
        <v>1718</v>
      </c>
      <c r="L21" s="223"/>
      <c r="M21" s="223" t="s">
        <v>1718</v>
      </c>
      <c r="N21" s="223" t="s">
        <v>1719</v>
      </c>
      <c r="O21" s="225" t="s">
        <v>1718</v>
      </c>
      <c r="P21" s="226">
        <v>1.4833299999999999E-3</v>
      </c>
    </row>
    <row r="22" spans="1:16" ht="15">
      <c r="A22" s="223" t="s">
        <v>1731</v>
      </c>
      <c r="B22" s="223" t="s">
        <v>62</v>
      </c>
      <c r="C22" s="223" t="s">
        <v>22</v>
      </c>
      <c r="D22" s="223" t="s">
        <v>1732</v>
      </c>
      <c r="E22" s="223" t="s">
        <v>1716</v>
      </c>
      <c r="F22" s="223" t="s">
        <v>1717</v>
      </c>
      <c r="G22" s="227">
        <v>41799.537465277797</v>
      </c>
      <c r="H22" s="228">
        <v>777330.09</v>
      </c>
      <c r="I22" s="228">
        <v>718592.99</v>
      </c>
      <c r="J22" s="229">
        <v>0.92443737769111711</v>
      </c>
      <c r="K22" s="225" t="s">
        <v>1718</v>
      </c>
      <c r="L22" s="223" t="s">
        <v>1718</v>
      </c>
      <c r="M22" s="223"/>
      <c r="N22" s="223" t="s">
        <v>1719</v>
      </c>
      <c r="O22" s="230" t="s">
        <v>1718</v>
      </c>
      <c r="P22" s="226">
        <v>1.4833299999999999E-3</v>
      </c>
    </row>
    <row r="23" spans="1:16" ht="15">
      <c r="A23" s="223" t="s">
        <v>1731</v>
      </c>
      <c r="B23" s="223" t="s">
        <v>62</v>
      </c>
      <c r="C23" s="223" t="s">
        <v>22</v>
      </c>
      <c r="D23" s="223" t="s">
        <v>1732</v>
      </c>
      <c r="E23" s="223" t="s">
        <v>1716</v>
      </c>
      <c r="F23" s="223" t="s">
        <v>1482</v>
      </c>
      <c r="G23" s="227">
        <v>41799.537465277797</v>
      </c>
      <c r="H23" s="228">
        <v>105999.55</v>
      </c>
      <c r="I23" s="228">
        <v>91163.95</v>
      </c>
      <c r="J23" s="229">
        <v>0.8600409152680365</v>
      </c>
      <c r="K23" s="225" t="s">
        <v>1718</v>
      </c>
      <c r="L23" s="223" t="s">
        <v>1718</v>
      </c>
      <c r="M23" s="223"/>
      <c r="N23" s="223" t="s">
        <v>1719</v>
      </c>
      <c r="O23" s="230" t="s">
        <v>1718</v>
      </c>
      <c r="P23" s="226">
        <v>1.4833299999999999E-3</v>
      </c>
    </row>
    <row r="24" spans="1:16" ht="15">
      <c r="A24" s="223" t="s">
        <v>1733</v>
      </c>
      <c r="B24" s="223" t="s">
        <v>216</v>
      </c>
      <c r="C24" s="223" t="s">
        <v>22</v>
      </c>
      <c r="D24" s="223" t="s">
        <v>1734</v>
      </c>
      <c r="E24" s="223" t="s">
        <v>1716</v>
      </c>
      <c r="F24" s="223" t="s">
        <v>1717</v>
      </c>
      <c r="G24" s="227">
        <v>41808.777812499997</v>
      </c>
      <c r="H24" s="228">
        <v>28808.31</v>
      </c>
      <c r="I24" s="228">
        <v>27744.71</v>
      </c>
      <c r="J24" s="229">
        <v>0.96308009737468103</v>
      </c>
      <c r="K24" s="225" t="s">
        <v>1718</v>
      </c>
      <c r="L24" s="223"/>
      <c r="M24" s="223" t="s">
        <v>1718</v>
      </c>
      <c r="N24" s="223" t="s">
        <v>1719</v>
      </c>
      <c r="O24" s="230" t="s">
        <v>1718</v>
      </c>
      <c r="P24" s="226">
        <v>1.4833299999999999E-3</v>
      </c>
    </row>
    <row r="25" spans="1:16" ht="15">
      <c r="A25" s="223" t="s">
        <v>1737</v>
      </c>
      <c r="B25" s="223" t="s">
        <v>62</v>
      </c>
      <c r="C25" s="223" t="s">
        <v>22</v>
      </c>
      <c r="D25" s="223" t="s">
        <v>1738</v>
      </c>
      <c r="E25" s="223" t="s">
        <v>1716</v>
      </c>
      <c r="F25" s="223" t="s">
        <v>1717</v>
      </c>
      <c r="G25" s="227">
        <v>41836.370023148098</v>
      </c>
      <c r="H25" s="228">
        <v>133397.59</v>
      </c>
      <c r="I25" s="228">
        <v>107301.15</v>
      </c>
      <c r="J25" s="229">
        <v>0.80437097851617856</v>
      </c>
      <c r="K25" s="225" t="s">
        <v>1718</v>
      </c>
      <c r="L25" s="223"/>
      <c r="M25" s="223" t="s">
        <v>1718</v>
      </c>
      <c r="N25" s="223" t="s">
        <v>1719</v>
      </c>
      <c r="O25" s="230" t="s">
        <v>1718</v>
      </c>
      <c r="P25" s="226">
        <v>1.4833299999999999E-3</v>
      </c>
    </row>
    <row r="26" spans="1:16" ht="15">
      <c r="A26" s="223" t="s">
        <v>1737</v>
      </c>
      <c r="B26" s="223" t="s">
        <v>62</v>
      </c>
      <c r="C26" s="223" t="s">
        <v>22</v>
      </c>
      <c r="D26" s="223" t="s">
        <v>1738</v>
      </c>
      <c r="E26" s="223" t="s">
        <v>1716</v>
      </c>
      <c r="F26" s="223" t="s">
        <v>1482</v>
      </c>
      <c r="G26" s="227">
        <v>41836.370023148098</v>
      </c>
      <c r="H26" s="228">
        <v>18190.57</v>
      </c>
      <c r="I26" s="228">
        <v>14947.02</v>
      </c>
      <c r="J26" s="229">
        <v>0.82169057923968303</v>
      </c>
      <c r="K26" s="225" t="s">
        <v>1718</v>
      </c>
      <c r="L26" s="223"/>
      <c r="M26" s="223" t="s">
        <v>1718</v>
      </c>
      <c r="N26" s="223" t="s">
        <v>1719</v>
      </c>
      <c r="O26" s="230" t="s">
        <v>1718</v>
      </c>
      <c r="P26" s="226">
        <v>1.4833299999999999E-3</v>
      </c>
    </row>
    <row r="27" spans="1:16" ht="15">
      <c r="A27" s="223" t="s">
        <v>1741</v>
      </c>
      <c r="B27" s="223" t="s">
        <v>216</v>
      </c>
      <c r="C27" s="223" t="s">
        <v>22</v>
      </c>
      <c r="D27" s="223" t="s">
        <v>1742</v>
      </c>
      <c r="E27" s="223" t="s">
        <v>1716</v>
      </c>
      <c r="F27" s="223" t="s">
        <v>1717</v>
      </c>
      <c r="G27" s="227">
        <v>41928.899062500001</v>
      </c>
      <c r="H27" s="228">
        <v>42086.41</v>
      </c>
      <c r="I27" s="228">
        <v>46205.78</v>
      </c>
      <c r="J27" s="229">
        <v>1.0978788639848349</v>
      </c>
      <c r="K27" s="225" t="s">
        <v>1718</v>
      </c>
      <c r="L27" s="223" t="s">
        <v>1718</v>
      </c>
      <c r="M27" s="223"/>
      <c r="N27" s="223" t="s">
        <v>1719</v>
      </c>
      <c r="O27" s="230" t="s">
        <v>1718</v>
      </c>
      <c r="P27" s="226">
        <v>1.4833299999999999E-3</v>
      </c>
    </row>
    <row r="28" spans="1:16" ht="15">
      <c r="A28" s="223" t="s">
        <v>1741</v>
      </c>
      <c r="B28" s="223" t="s">
        <v>216</v>
      </c>
      <c r="C28" s="223" t="s">
        <v>22</v>
      </c>
      <c r="D28" s="223" t="s">
        <v>1742</v>
      </c>
      <c r="E28" s="223" t="s">
        <v>1716</v>
      </c>
      <c r="F28" s="223" t="s">
        <v>1482</v>
      </c>
      <c r="G28" s="227">
        <v>41928.899062500001</v>
      </c>
      <c r="H28" s="228">
        <v>7427.01</v>
      </c>
      <c r="I28" s="228">
        <v>7467.54</v>
      </c>
      <c r="J28" s="229">
        <v>1.0054571085807074</v>
      </c>
      <c r="K28" s="225" t="s">
        <v>1718</v>
      </c>
      <c r="L28" s="223" t="s">
        <v>1718</v>
      </c>
      <c r="M28" s="223"/>
      <c r="N28" s="223" t="s">
        <v>1719</v>
      </c>
      <c r="O28" s="230" t="s">
        <v>1718</v>
      </c>
      <c r="P28" s="226">
        <v>1.4833299999999999E-3</v>
      </c>
    </row>
    <row r="29" spans="1:16" ht="15">
      <c r="A29" s="14"/>
      <c r="B29" s="14"/>
      <c r="C29" s="14"/>
      <c r="D29" s="14"/>
      <c r="E29" s="14"/>
      <c r="F29" s="14"/>
      <c r="G29" s="235"/>
      <c r="H29" s="236"/>
      <c r="I29" s="239">
        <f>SUM(I20:I28)</f>
        <v>1209479.42</v>
      </c>
      <c r="J29" s="237"/>
      <c r="K29" s="18"/>
      <c r="L29" s="14"/>
      <c r="M29" s="14"/>
      <c r="N29" s="14"/>
      <c r="O29" s="238"/>
    </row>
    <row r="30" spans="1:16" ht="15">
      <c r="A30" s="14"/>
      <c r="B30" s="14"/>
      <c r="C30" s="14"/>
      <c r="D30" s="14"/>
      <c r="E30" s="14"/>
      <c r="F30" s="14"/>
      <c r="G30" s="235"/>
      <c r="H30" s="236"/>
      <c r="I30" s="236"/>
      <c r="J30" s="237"/>
      <c r="K30" s="18"/>
      <c r="L30" s="14"/>
      <c r="M30" s="14"/>
      <c r="N30" s="14"/>
      <c r="O30" s="238"/>
    </row>
    <row r="31" spans="1:16" ht="15">
      <c r="A31" s="223" t="s">
        <v>1739</v>
      </c>
      <c r="B31" s="223" t="s">
        <v>324</v>
      </c>
      <c r="C31" s="223" t="s">
        <v>325</v>
      </c>
      <c r="D31" s="223" t="s">
        <v>1740</v>
      </c>
      <c r="E31" s="223" t="s">
        <v>1716</v>
      </c>
      <c r="F31" s="223" t="s">
        <v>1717</v>
      </c>
      <c r="G31" s="227">
        <v>41884.699317129598</v>
      </c>
      <c r="H31" s="228">
        <v>28977.91</v>
      </c>
      <c r="I31" s="228">
        <v>22976.91</v>
      </c>
      <c r="J31" s="229">
        <v>0.79291122099557909</v>
      </c>
      <c r="K31" s="225" t="s">
        <v>1718</v>
      </c>
      <c r="L31" s="223"/>
      <c r="M31" s="223" t="s">
        <v>1718</v>
      </c>
      <c r="N31" s="223" t="s">
        <v>1719</v>
      </c>
      <c r="O31" s="230" t="s">
        <v>1718</v>
      </c>
      <c r="P31" s="226">
        <v>1.4833299999999999E-3</v>
      </c>
    </row>
    <row r="32" spans="1:16" ht="15">
      <c r="A32" s="231"/>
      <c r="B32" s="219"/>
      <c r="I32" s="232">
        <f>+I7+I11+I18+I29+I31</f>
        <v>2617536.04</v>
      </c>
    </row>
    <row r="33" spans="1:9" ht="15">
      <c r="A33" s="233"/>
      <c r="B33" s="219"/>
      <c r="I33" s="241">
        <v>1349632.1458222219</v>
      </c>
    </row>
    <row r="34" spans="1:9" ht="15">
      <c r="A34" s="231"/>
      <c r="B34" s="219"/>
      <c r="I34" s="232">
        <f>+I32+I33</f>
        <v>3967168.1858222219</v>
      </c>
    </row>
    <row r="35" spans="1:9" ht="15">
      <c r="A35" s="233"/>
      <c r="B35" s="219"/>
    </row>
    <row r="36" spans="1:9" ht="15">
      <c r="A36" s="231"/>
      <c r="B36" s="219"/>
      <c r="I36" s="232"/>
    </row>
    <row r="37" spans="1:9" ht="15">
      <c r="A37" s="233"/>
      <c r="B37" s="219"/>
    </row>
    <row r="38" spans="1:9" ht="15">
      <c r="A38" s="231"/>
      <c r="B38" s="219"/>
    </row>
    <row r="39" spans="1:9" ht="15">
      <c r="A39" s="233"/>
      <c r="B39" s="219"/>
    </row>
    <row r="40" spans="1:9" ht="15">
      <c r="A40" s="231"/>
      <c r="B40" s="219"/>
    </row>
    <row r="41" spans="1:9" ht="15">
      <c r="A41" s="233"/>
      <c r="B41" s="219"/>
    </row>
    <row r="42" spans="1:9" ht="15">
      <c r="A42" s="231"/>
      <c r="B42" s="219"/>
    </row>
    <row r="43" spans="1:9" ht="15">
      <c r="A43" s="233"/>
      <c r="B43" s="219"/>
    </row>
    <row r="44" spans="1:9" ht="15">
      <c r="A44" s="231"/>
      <c r="B44" s="219"/>
    </row>
    <row r="45" spans="1:9" ht="15">
      <c r="A45" s="233"/>
      <c r="B45" s="219"/>
    </row>
    <row r="46" spans="1:9" ht="15">
      <c r="A46" s="231"/>
      <c r="B46" s="219"/>
    </row>
    <row r="47" spans="1:9" ht="15">
      <c r="A47" s="233"/>
      <c r="B47" s="219"/>
    </row>
    <row r="48" spans="1:9" ht="15">
      <c r="A48" s="231"/>
      <c r="B48" s="219"/>
    </row>
    <row r="49" spans="1:2" ht="15">
      <c r="A49" s="233"/>
      <c r="B49" s="219"/>
    </row>
    <row r="50" spans="1:2" ht="15">
      <c r="A50" s="231"/>
      <c r="B50" s="219"/>
    </row>
    <row r="51" spans="1:2" ht="15">
      <c r="A51" s="233"/>
      <c r="B51" s="219"/>
    </row>
    <row r="52" spans="1:2" ht="15">
      <c r="A52" s="231"/>
      <c r="B52" s="219"/>
    </row>
    <row r="53" spans="1:2" ht="15">
      <c r="A53" s="233"/>
      <c r="B53" s="219"/>
    </row>
    <row r="54" spans="1:2" ht="15">
      <c r="A54" s="231"/>
      <c r="B54" s="219"/>
    </row>
    <row r="55" spans="1:2" ht="15">
      <c r="A55" s="233"/>
      <c r="B55" s="219"/>
    </row>
    <row r="56" spans="1:2" ht="15">
      <c r="A56" s="231"/>
      <c r="B56" s="219"/>
    </row>
    <row r="57" spans="1:2" ht="15">
      <c r="A57" s="218"/>
      <c r="B57" s="219"/>
    </row>
    <row r="58" spans="1:2" ht="15">
      <c r="A58"/>
      <c r="B58"/>
    </row>
    <row r="59" spans="1:2" ht="15">
      <c r="A59"/>
      <c r="B59"/>
    </row>
    <row r="60" spans="1:2" ht="15">
      <c r="A60"/>
      <c r="B60"/>
    </row>
    <row r="61" spans="1:2" ht="15">
      <c r="A61"/>
      <c r="B61"/>
    </row>
    <row r="62" spans="1:2" ht="15">
      <c r="A62"/>
      <c r="B62"/>
    </row>
    <row r="63" spans="1:2" ht="15">
      <c r="A63"/>
      <c r="B63"/>
    </row>
    <row r="64" spans="1:2" ht="15">
      <c r="A64"/>
      <c r="B64"/>
    </row>
    <row r="65" spans="1:2" ht="15">
      <c r="A65"/>
      <c r="B65"/>
    </row>
    <row r="66" spans="1:2" ht="15">
      <c r="A66"/>
      <c r="B66"/>
    </row>
    <row r="67" spans="1:2" ht="15">
      <c r="A67"/>
      <c r="B67"/>
    </row>
    <row r="68" spans="1:2" ht="15">
      <c r="A68"/>
      <c r="B68"/>
    </row>
    <row r="69" spans="1:2" ht="15">
      <c r="A69"/>
      <c r="B69"/>
    </row>
    <row r="70" spans="1:2" ht="15">
      <c r="A70"/>
      <c r="B70"/>
    </row>
    <row r="71" spans="1:2" ht="15">
      <c r="A71"/>
      <c r="B71"/>
    </row>
    <row r="72" spans="1:2" ht="15">
      <c r="A72"/>
      <c r="B72"/>
    </row>
    <row r="73" spans="1:2" ht="15">
      <c r="A73"/>
      <c r="B73"/>
    </row>
    <row r="74" spans="1:2" ht="15">
      <c r="A74"/>
      <c r="B74"/>
    </row>
    <row r="75" spans="1:2" ht="15">
      <c r="A75"/>
      <c r="B75"/>
    </row>
    <row r="76" spans="1:2" ht="15">
      <c r="A76"/>
      <c r="B76"/>
    </row>
    <row r="77" spans="1:2" ht="15">
      <c r="A77"/>
      <c r="B77"/>
    </row>
    <row r="78" spans="1:2" ht="15">
      <c r="A78"/>
      <c r="B78"/>
    </row>
    <row r="79" spans="1:2" ht="15">
      <c r="A79"/>
      <c r="B79"/>
    </row>
    <row r="80" spans="1:2" ht="15">
      <c r="A80"/>
      <c r="B80"/>
    </row>
    <row r="81" spans="1:2" ht="15">
      <c r="A81"/>
      <c r="B81"/>
    </row>
    <row r="82" spans="1:2" ht="15">
      <c r="A82"/>
      <c r="B82"/>
    </row>
    <row r="83" spans="1:2" ht="15">
      <c r="A83"/>
      <c r="B83"/>
    </row>
    <row r="84" spans="1:2" ht="15">
      <c r="A84"/>
      <c r="B84"/>
    </row>
    <row r="85" spans="1:2" ht="15">
      <c r="A85"/>
      <c r="B85"/>
    </row>
    <row r="86" spans="1:2" ht="15">
      <c r="A86"/>
      <c r="B86"/>
    </row>
    <row r="87" spans="1:2" ht="15">
      <c r="A87"/>
      <c r="B87"/>
    </row>
    <row r="88" spans="1:2" ht="15">
      <c r="A88"/>
      <c r="B88"/>
    </row>
    <row r="89" spans="1:2" ht="15">
      <c r="A89"/>
      <c r="B89"/>
    </row>
    <row r="90" spans="1:2" ht="15">
      <c r="A90"/>
      <c r="B90"/>
    </row>
    <row r="91" spans="1:2" ht="15">
      <c r="A91"/>
      <c r="B91"/>
    </row>
    <row r="92" spans="1:2" ht="15">
      <c r="A92"/>
      <c r="B92"/>
    </row>
    <row r="93" spans="1:2" ht="15">
      <c r="A93"/>
      <c r="B93"/>
    </row>
    <row r="94" spans="1:2" ht="15">
      <c r="A94"/>
      <c r="B94"/>
    </row>
    <row r="95" spans="1:2" ht="15">
      <c r="A95"/>
      <c r="B95"/>
    </row>
    <row r="96" spans="1:2" ht="15">
      <c r="A96"/>
      <c r="B96"/>
    </row>
    <row r="97" spans="1:2" ht="15">
      <c r="A97"/>
      <c r="B97"/>
    </row>
    <row r="98" spans="1:2" ht="15">
      <c r="A98"/>
      <c r="B98"/>
    </row>
    <row r="99" spans="1:2" ht="15">
      <c r="A99"/>
      <c r="B99"/>
    </row>
    <row r="100" spans="1:2" ht="15">
      <c r="A100"/>
      <c r="B100"/>
    </row>
    <row r="101" spans="1:2" ht="15">
      <c r="A101"/>
      <c r="B101"/>
    </row>
    <row r="102" spans="1:2" ht="15">
      <c r="A102"/>
      <c r="B102"/>
    </row>
    <row r="103" spans="1:2" ht="15">
      <c r="A103"/>
      <c r="B103"/>
    </row>
    <row r="104" spans="1:2" ht="15">
      <c r="A104"/>
      <c r="B104"/>
    </row>
    <row r="105" spans="1:2" ht="15">
      <c r="A105"/>
      <c r="B105"/>
    </row>
    <row r="106" spans="1:2" ht="15">
      <c r="A106"/>
      <c r="B106"/>
    </row>
    <row r="107" spans="1:2" ht="15">
      <c r="A107"/>
      <c r="B107"/>
    </row>
    <row r="108" spans="1:2" ht="15">
      <c r="A108"/>
      <c r="B108"/>
    </row>
    <row r="109" spans="1:2" ht="15">
      <c r="A109"/>
      <c r="B109"/>
    </row>
    <row r="110" spans="1:2" ht="15">
      <c r="A110"/>
      <c r="B110"/>
    </row>
    <row r="111" spans="1:2" ht="15">
      <c r="A111"/>
      <c r="B111"/>
    </row>
    <row r="112" spans="1:2" ht="15">
      <c r="A112"/>
      <c r="B112"/>
    </row>
    <row r="113" spans="1:2" ht="15">
      <c r="A113"/>
      <c r="B113"/>
    </row>
    <row r="114" spans="1:2" ht="15">
      <c r="A114"/>
      <c r="B114"/>
    </row>
    <row r="115" spans="1:2" ht="15">
      <c r="A115"/>
      <c r="B115"/>
    </row>
    <row r="116" spans="1:2" ht="15">
      <c r="A116"/>
      <c r="B116"/>
    </row>
    <row r="117" spans="1:2" ht="15">
      <c r="A117"/>
      <c r="B117"/>
    </row>
    <row r="118" spans="1:2" ht="15">
      <c r="A118"/>
      <c r="B118"/>
    </row>
    <row r="119" spans="1:2" ht="15">
      <c r="A119"/>
      <c r="B119"/>
    </row>
    <row r="120" spans="1:2" ht="15">
      <c r="A120"/>
      <c r="B120"/>
    </row>
    <row r="121" spans="1:2" ht="15">
      <c r="A121"/>
      <c r="B121"/>
    </row>
    <row r="122" spans="1:2" ht="15">
      <c r="A122"/>
      <c r="B122"/>
    </row>
    <row r="123" spans="1:2" ht="15">
      <c r="A123"/>
      <c r="B123"/>
    </row>
    <row r="124" spans="1:2" ht="15">
      <c r="A124"/>
      <c r="B124"/>
    </row>
    <row r="125" spans="1:2" ht="15">
      <c r="A125"/>
      <c r="B125"/>
    </row>
    <row r="126" spans="1:2" ht="15">
      <c r="A126"/>
      <c r="B126"/>
    </row>
    <row r="127" spans="1:2" ht="15">
      <c r="A127"/>
      <c r="B127"/>
    </row>
  </sheetData>
  <sortState ref="A2:P23">
    <sortCondition descending="1" ref="C2:C23"/>
    <sortCondition ref="N2:N23"/>
  </sortState>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Additions </vt:lpstr>
      <vt:lpstr>WO Additions</vt:lpstr>
      <vt:lpstr>Additions Sorted by WO</vt:lpstr>
      <vt:lpstr>Descriptions Sorted by WO </vt:lpstr>
      <vt:lpstr>Updated WO Additions - statute</vt:lpstr>
      <vt:lpstr>WO Retirements</vt:lpstr>
      <vt:lpstr>WO Descriptions</vt:lpstr>
      <vt:lpstr>BWO Estimate</vt:lpstr>
      <vt:lpstr>Open WO Estimate</vt:lpstr>
      <vt:lpstr>Depr-DIT GR-2015-0025</vt:lpstr>
      <vt:lpstr>Depr-DIT Current</vt:lpstr>
      <vt:lpstr>MGE - Deferred Taxes</vt:lpstr>
      <vt:lpstr>Customers</vt:lpstr>
      <vt:lpstr>Rate of Return</vt:lpstr>
      <vt:lpstr>Property Taxes</vt:lpstr>
      <vt:lpstr>Rev Req 9.75%</vt:lpstr>
      <vt:lpstr>summary</vt:lpstr>
      <vt:lpstr>9.75% Wtd Total</vt:lpstr>
      <vt:lpstr>Staff property tax WP</vt:lpstr>
      <vt:lpstr>ISRS Property Taxes</vt:lpstr>
      <vt:lpstr>MGE 2014 property taxes</vt:lpstr>
      <vt:lpstr>'9.75% Wtd Total'!Print_Area</vt:lpstr>
      <vt:lpstr>'Additions Sorted by WO'!Print_Area</vt:lpstr>
      <vt:lpstr>Customers!Print_Area</vt:lpstr>
      <vt:lpstr>'Descriptions Sorted by WO '!Print_Area</vt:lpstr>
      <vt:lpstr>'ISRS Property Taxes'!Print_Area</vt:lpstr>
      <vt:lpstr>'MGE - Deferred Taxes'!Print_Area</vt:lpstr>
      <vt:lpstr>'MGE 2014 property taxes'!Print_Area</vt:lpstr>
      <vt:lpstr>'Property Taxes'!Print_Area</vt:lpstr>
      <vt:lpstr>'Rate of Return'!Print_Area</vt:lpstr>
      <vt:lpstr>'Rev Req 9.75%'!Print_Area</vt:lpstr>
      <vt:lpstr>'Staff property tax WP'!Print_Area</vt:lpstr>
      <vt:lpstr>summary!Print_Area</vt:lpstr>
      <vt:lpstr>'Updated WO Additions - statute'!Print_Area</vt:lpstr>
      <vt:lpstr>'WO Additions'!Print_Area</vt:lpstr>
      <vt:lpstr>'WO Retirements'!Print_Area</vt:lpstr>
      <vt:lpstr>'Additions Sorted by WO'!Print_Titles</vt:lpstr>
      <vt:lpstr>'Descriptions Sorted by WO '!Print_Titles</vt:lpstr>
      <vt:lpstr>'MGE 2014 property taxes'!Print_Titles</vt:lpstr>
      <vt:lpstr>'Updated WO Additions - statute'!Print_Titles</vt:lpstr>
      <vt:lpstr>'WO Additions'!Print_Titles</vt:lpstr>
      <vt:lpstr>'WO Retirements'!Print_Titles</vt:lpstr>
    </vt:vector>
  </TitlesOfParts>
  <Company>Laclede Gas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Muehlenkamp, Anne</dc:creator>
  <cp:lastModifiedBy>keri.roth</cp:lastModifiedBy>
  <cp:lastPrinted>2015-04-14T20:31:04Z</cp:lastPrinted>
  <dcterms:created xsi:type="dcterms:W3CDTF">2015-01-12T14:43:02Z</dcterms:created>
  <dcterms:modified xsi:type="dcterms:W3CDTF">2015-04-14T20:38:07Z</dcterms:modified>
</cp:coreProperties>
</file>